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ference" sheetId="2" state="visible" r:id="rId4"/>
    <sheet name="Plan" sheetId="3" state="visible" r:id="rId5"/>
    <sheet name="Risk Register" sheetId="4" state="visible" r:id="rId6"/>
    <sheet name="Treatment Actions" sheetId="5" state="visible" r:id="rId7"/>
    <sheet name="Summary" sheetId="6" state="visible" r:id="rId8"/>
  </sheets>
  <definedNames>
    <definedName function="false" hidden="false" localSheetId="0" name="_xlnm.Print_Area" vbProcedure="false">Cover!$A$1:$G$71</definedName>
    <definedName function="false" hidden="false" localSheetId="2" name="_xlnm.Print_Area" vbProcedure="false">Plan!$A$1:$F$34</definedName>
    <definedName function="false" hidden="false" localSheetId="1" name="_xlnm.Print_Area" vbProcedure="false">Reference!$A$1:$H$110</definedName>
    <definedName function="false" hidden="false" localSheetId="3" name="_xlnm.Print_Area" vbProcedure="false">'Risk Register'!$A$1:$AI$48</definedName>
    <definedName function="false" hidden="false" localSheetId="3" name="_xlnm.Print_Titles" vbProcedure="false">'Risk Register'!$8:$8</definedName>
    <definedName function="false" hidden="true" localSheetId="3" name="_xlnm._FilterDatabase" vbProcedure="false">'Risk Register'!$B$8:$AI$158</definedName>
    <definedName function="false" hidden="false" localSheetId="5" name="_xlnm.Print_Area" vbProcedure="false">Summary!$A$1:$J$68</definedName>
    <definedName function="false" hidden="false" localSheetId="4" name="_xlnm.Print_Area" vbProcedure="false">'Treatment Actions'!$A$1:$J$48</definedName>
    <definedName function="false" hidden="false" localSheetId="4" name="_xlnm.Print_Titles" vbProcedure="false">'Treatment Actions'!$8:$8</definedName>
    <definedName function="false" hidden="true" localSheetId="4" name="_xlnm._FilterDatabase" vbProcedure="false">'Treatment Actions'!$B$8:$J$208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<sst xmlns="http://schemas.openxmlformats.org/spreadsheetml/2006/main" count="711" uniqueCount="363">
  <si>
    <t xml:space="preserve">Risk Mitigation Plan</t>
  </si>
  <si>
    <t xml:space="preserve">A risk management plan and register for capital projects. The Plan sheet holds the scales, the roles and the review points; the register holds the risks; the actions sheet holds the treatments and who owes them. Ratings come from a matrix lookup and exposure is expressed in money, so the register connects to contingency rather than stopping at a colour.</t>
  </si>
  <si>
    <t xml:space="preserve">HOW TO USE IT</t>
  </si>
  <si>
    <t xml:space="preserve">1</t>
  </si>
  <si>
    <t xml:space="preserve">Set the plan up first</t>
  </si>
  <si>
    <t xml:space="preserve">The Plan sheet is the risk mitigation plan - the scales, the roles, the appetite and the review points. It is not admin. Every rating in the register is meaningless until the likelihood and consequence bands are calibrated to this project's base estimate.</t>
  </si>
  <si>
    <t xml:space="preserve">2</t>
  </si>
  <si>
    <t xml:space="preserve">Write the risk, not the worry</t>
  </si>
  <si>
    <t xml:space="preserve">Use the three-part form: if CAUSE, then EVENT, resulting in EFFECT. 'Bad weather' is not a risk. 'If rainfall exceeds the 10-year average in Q3, then bulk earthworks are suspended, resulting in 15 days of delay to the critical path' is.</t>
  </si>
  <si>
    <t xml:space="preserve">3</t>
  </si>
  <si>
    <t xml:space="preserve">Rate three times, not once</t>
  </si>
  <si>
    <t xml:space="preserve">Inherent is before project treatments. Current is where it stands today with what is actually in place. Target is where it lands once the planned actions are done. Most templates carry one score and quietly book benefits that have not been delivered.</t>
  </si>
  <si>
    <t xml:space="preserve">4</t>
  </si>
  <si>
    <t xml:space="preserve">Separate the two owners</t>
  </si>
  <si>
    <t xml:space="preserve">The risk owner carries accountability and the authority to act. The action owner does the work. One risk, one owner; one risk, many actions, one owner each on the Actions sheet.</t>
  </si>
  <si>
    <t xml:space="preserve">5</t>
  </si>
  <si>
    <t xml:space="preserve">Read the exposure, not the colour</t>
  </si>
  <si>
    <t xml:space="preserve">Expected cost is probability band x consequence band - real money, and the only arithmetic in this workbook that is mathematically legitimate. It is what connects the register to contingency.</t>
  </si>
  <si>
    <t xml:space="preserve">6</t>
  </si>
  <si>
    <t xml:space="preserve">Treat opportunities as real</t>
  </si>
  <si>
    <t xml:space="preserve">Risk is the effect of uncertainty on objectives, and effects can be positive. Set the type to Opportunity and use an upside response. A register with no opportunities in it has not been done properly.</t>
  </si>
  <si>
    <t xml:space="preserve">7</t>
  </si>
  <si>
    <t xml:space="preserve">Review on events, not on a calendar</t>
  </si>
  <si>
    <t xml:space="preserve">Stage gates, contract award, design freeze, planning approval - plus whenever a trigger fires. No standard prescribes a monthly review; the Plan sheet is where you record what actually drives yours.</t>
  </si>
  <si>
    <t xml:space="preserve">WHAT IS IN THE WORKBOOK</t>
  </si>
  <si>
    <t xml:space="preserve">Sheet</t>
  </si>
  <si>
    <t xml:space="preserve">What it is for</t>
  </si>
  <si>
    <t xml:space="preserve">Plan</t>
  </si>
  <si>
    <t xml:space="preserve">The plan itself - project, governance, the calibration that makes ratings mean something, the response set in use and the review trigger.</t>
  </si>
  <si>
    <t xml:space="preserve">Risk Register</t>
  </si>
  <si>
    <t xml:space="preserve">One row per risk, rated inherent, current and target, with expected cost in money. Detail columns are grouped and open on demand.</t>
  </si>
  <si>
    <t xml:space="preserve">Treatment Actions</t>
  </si>
  <si>
    <t xml:space="preserve">One row per action with its own owner and date. The register counts them and shows how many are done.</t>
  </si>
  <si>
    <t xml:space="preserve">Summary</t>
  </si>
  <si>
    <t xml:space="preserve">Counts by rating, status, type and category, and expected cost by category against the contingency held.</t>
  </si>
  <si>
    <t xml:space="preserve">Reference</t>
  </si>
  <si>
    <t xml:space="preserve">Every dropdown, the calibrated scales, the rating matrix, the three treatment sets, and the terminology map between ISO, PMI and PRINCE2.</t>
  </si>
  <si>
    <t xml:space="preserve">WHAT MOST RISK TEMPLATES GET WRONG</t>
  </si>
  <si>
    <t xml:space="preserve">They multiply the scores</t>
  </si>
  <si>
    <t xml:space="preserve">A likelihood rank times a consequence rank is arithmetic on an ordinal scale, and IEC 31010 states plainly that mathematical operations should not be used with ordinal scales. This workbook looks the rating up in a matrix instead, and does its only multiplication on calibrated bands - a probability per cent by a dollar amount - which is a real expected value.</t>
  </si>
  <si>
    <t xml:space="preserve">They carry one score, so the register flatters itself</t>
  </si>
  <si>
    <t xml:space="preserve">A single 'risk score after mitigation' quietly books the benefit of actions nobody has done yet. Inherent, current and target are three different numbers here, and the actions that close the gap have owners and dates on their own sheet.</t>
  </si>
  <si>
    <t xml:space="preserve">They have one owner column, and no opportunities</t>
  </si>
  <si>
    <t xml:space="preserve">The person accountable for a risk and the person doing the task are different people. And risk is the effect of uncertainty on objectives - effects can be positive. A register with no opportunities in it is half a register.</t>
  </si>
  <si>
    <t xml:space="preserve">IMPORTANT</t>
  </si>
  <si>
    <t xml:space="preserve">This workbook is a management and record-keeping tool, not advice. Rating scales, risk appetite, escalation thresholds and contingency policy are set by your organisation and by the Contract - set this workbook to match them. Expected cost is an estimate for triage and comparison; it does not replace a quantitative risk analysis where one is required for funding approval.</t>
  </si>
  <si>
    <t xml:space="preserve">Built for teams delivering capital projects, programs and portfolios.  Mastt  ·  mastt.com</t>
  </si>
  <si>
    <t xml:space="preserve">RISK MITIGATION PLAN     ·     REFERENCE</t>
  </si>
  <si>
    <t xml:space="preserve">Every dropdown is sourced from this sheet. Add your own values inside the ranges, not below them.</t>
  </si>
  <si>
    <t xml:space="preserve">Risk category</t>
  </si>
  <si>
    <t xml:space="preserve">Status</t>
  </si>
  <si>
    <t xml:space="preserve">Proximity</t>
  </si>
  <si>
    <t xml:space="preserve">Project phase</t>
  </si>
  <si>
    <t xml:space="preserve">Strategic and business case</t>
  </si>
  <si>
    <t xml:space="preserve">Open</t>
  </si>
  <si>
    <t xml:space="preserve">Now</t>
  </si>
  <si>
    <t xml:space="preserve">Strategy and business case</t>
  </si>
  <si>
    <t xml:space="preserve">Stakeholder and community</t>
  </si>
  <si>
    <t xml:space="preserve">Treating</t>
  </si>
  <si>
    <t xml:space="preserve">Within 3 months</t>
  </si>
  <si>
    <t xml:space="preserve">Planning and approvals</t>
  </si>
  <si>
    <t xml:space="preserve">Monitoring</t>
  </si>
  <si>
    <t xml:space="preserve">3 to 6 months</t>
  </si>
  <si>
    <t xml:space="preserve">Design</t>
  </si>
  <si>
    <t xml:space="preserve">Land and property acquisition</t>
  </si>
  <si>
    <t xml:space="preserve">Escalated</t>
  </si>
  <si>
    <t xml:space="preserve">6 to 12 months</t>
  </si>
  <si>
    <t xml:space="preserve">Procurement</t>
  </si>
  <si>
    <t xml:space="preserve">Environmental and heritage</t>
  </si>
  <si>
    <t xml:space="preserve">Occurred</t>
  </si>
  <si>
    <t xml:space="preserve">Beyond 12 months</t>
  </si>
  <si>
    <t xml:space="preserve">Construction</t>
  </si>
  <si>
    <t xml:space="preserve">Design and technical</t>
  </si>
  <si>
    <t xml:space="preserve">Closed</t>
  </si>
  <si>
    <t xml:space="preserve">Whole of project</t>
  </si>
  <si>
    <t xml:space="preserve">Commissioning and handover</t>
  </si>
  <si>
    <t xml:space="preserve">Geotechnical and ground conditions</t>
  </si>
  <si>
    <t xml:space="preserve">Defects and warranty</t>
  </si>
  <si>
    <t xml:space="preserve">Existing conditions and services</t>
  </si>
  <si>
    <t xml:space="preserve">Procurement and contract</t>
  </si>
  <si>
    <t xml:space="preserve">Contractor performance and capability</t>
  </si>
  <si>
    <t xml:space="preserve">Market, supply chain and escalation</t>
  </si>
  <si>
    <t xml:space="preserve">Cost and funding</t>
  </si>
  <si>
    <t xml:space="preserve">Program and schedule</t>
  </si>
  <si>
    <t xml:space="preserve">Construction delivery</t>
  </si>
  <si>
    <t xml:space="preserve">Health, safety and wellbeing</t>
  </si>
  <si>
    <t xml:space="preserve">Quality and defects</t>
  </si>
  <si>
    <t xml:space="preserve">Operations and maintenance readiness</t>
  </si>
  <si>
    <t xml:space="preserve">Industrial relations and resourcing</t>
  </si>
  <si>
    <t xml:space="preserve">Weather and force majeure</t>
  </si>
  <si>
    <t xml:space="preserve">Regulatory and compliance</t>
  </si>
  <si>
    <t xml:space="preserve">Governance and assurance</t>
  </si>
  <si>
    <t xml:space="preserve">Treatment - all sets</t>
  </si>
  <si>
    <t xml:space="preserve">Response set in use</t>
  </si>
  <si>
    <t xml:space="preserve">Action status</t>
  </si>
  <si>
    <t xml:space="preserve">Type</t>
  </si>
  <si>
    <t xml:space="preserve">Accept</t>
  </si>
  <si>
    <t xml:space="preserve">A - ISO 31000 (recommended)</t>
  </si>
  <si>
    <t xml:space="preserve">Not started</t>
  </si>
  <si>
    <t xml:space="preserve">Threat</t>
  </si>
  <si>
    <t xml:space="preserve">Avoid</t>
  </si>
  <si>
    <t xml:space="preserve">B - PMBOK threats and opportunities</t>
  </si>
  <si>
    <t xml:space="preserve">In progress</t>
  </si>
  <si>
    <t xml:space="preserve">Opportunity</t>
  </si>
  <si>
    <t xml:space="preserve">Avoid - do not start or continue the activity</t>
  </si>
  <si>
    <t xml:space="preserve">C - PRINCE2</t>
  </si>
  <si>
    <t xml:space="preserve">Complete</t>
  </si>
  <si>
    <t xml:space="preserve">Change the consequences</t>
  </si>
  <si>
    <t xml:space="preserve">Cancelled</t>
  </si>
  <si>
    <t xml:space="preserve">Yes / No</t>
  </si>
  <si>
    <t xml:space="preserve">Change the likelihood</t>
  </si>
  <si>
    <t xml:space="preserve">Yes</t>
  </si>
  <si>
    <t xml:space="preserve">Enhance</t>
  </si>
  <si>
    <t xml:space="preserve">Rating</t>
  </si>
  <si>
    <t xml:space="preserve">No</t>
  </si>
  <si>
    <t xml:space="preserve">Escalate</t>
  </si>
  <si>
    <t xml:space="preserve">Extreme</t>
  </si>
  <si>
    <t xml:space="preserve">Exploit</t>
  </si>
  <si>
    <t xml:space="preserve">High</t>
  </si>
  <si>
    <t xml:space="preserve">Fallback</t>
  </si>
  <si>
    <t xml:space="preserve">Medium</t>
  </si>
  <si>
    <t xml:space="preserve">Mitigate</t>
  </si>
  <si>
    <t xml:space="preserve">Low</t>
  </si>
  <si>
    <t xml:space="preserve">Reduce</t>
  </si>
  <si>
    <t xml:space="preserve">Reject</t>
  </si>
  <si>
    <t xml:space="preserve">Remove the risk source</t>
  </si>
  <si>
    <t xml:space="preserve">Retain by informed decision</t>
  </si>
  <si>
    <t xml:space="preserve">Share</t>
  </si>
  <si>
    <t xml:space="preserve">Share - contract, insurance or joint venture</t>
  </si>
  <si>
    <t xml:space="preserve">Take or increase the risk to pursue an opportunity</t>
  </si>
  <si>
    <t xml:space="preserve">Transfer</t>
  </si>
  <si>
    <t xml:space="preserve">LIKELIHOOD SCALE - the register reads the bands, not the words</t>
  </si>
  <si>
    <t xml:space="preserve">Level</t>
  </si>
  <si>
    <t xml:space="preserve">From</t>
  </si>
  <si>
    <t xml:space="preserve">To</t>
  </si>
  <si>
    <t xml:space="preserve">Mid</t>
  </si>
  <si>
    <t xml:space="preserve">What it means</t>
  </si>
  <si>
    <t xml:space="preserve">5  Almost certain</t>
  </si>
  <si>
    <t xml:space="preserve">Expected to occur in most circumstances</t>
  </si>
  <si>
    <t xml:space="preserve">4  Likely</t>
  </si>
  <si>
    <t xml:space="preserve">Will probably occur in most circumstances</t>
  </si>
  <si>
    <t xml:space="preserve">3  Possible</t>
  </si>
  <si>
    <t xml:space="preserve">Might occur at some time</t>
  </si>
  <si>
    <t xml:space="preserve">2  Unlikely</t>
  </si>
  <si>
    <t xml:space="preserve">Could occur at some time</t>
  </si>
  <si>
    <t xml:space="preserve">1  Rare</t>
  </si>
  <si>
    <t xml:space="preserve">May occur only in exceptional circumstances</t>
  </si>
  <si>
    <t xml:space="preserve">CONSEQUENCE SCALE - cost bands are a share of the base estimate on Plan</t>
  </si>
  <si>
    <t xml:space="preserve">Cost from</t>
  </si>
  <si>
    <t xml:space="preserve">Cost to</t>
  </si>
  <si>
    <t xml:space="preserve">Mid $</t>
  </si>
  <si>
    <t xml:space="preserve">Schedule (days)</t>
  </si>
  <si>
    <t xml:space="preserve">5  Catastrophic</t>
  </si>
  <si>
    <t xml:space="preserve">4  Major</t>
  </si>
  <si>
    <t xml:space="preserve">3  Moderate</t>
  </si>
  <si>
    <t xml:space="preserve">2  Minor</t>
  </si>
  <si>
    <t xml:space="preserve">1  Insignificant</t>
  </si>
  <si>
    <t xml:space="preserve">RATING MATRIX - the register looks the rating up here</t>
  </si>
  <si>
    <t xml:space="preserve">Likelihood \ Consequence</t>
  </si>
  <si>
    <t xml:space="preserve">A risk matrix compares risks; it does not measure them. IEC 31010:2019 states that mathematical operations should not be used with ordinal scales - which is why this workbook never multiplies a likelihood rank by a consequence rank to make a score. The rating is a lookup into the matrix on this sheet. The only multiplication is probability band x consequence band, in per cent and dollars, which is a legitimate expected value. Research into risk matrices - Cox (2008), Thomas, Bratvold and Bickel (2014), Ball and Watt (2013) - documents range compression, centring bias and ranking instability, and none of it supports using a matrix to set contingency. Use the matrix to triage and the expected value to talk about money.</t>
  </si>
  <si>
    <t xml:space="preserve">WHAT THE RATING REQUIRES OF YOU</t>
  </si>
  <si>
    <t xml:space="preserve">Unacceptable. Stop or re-scope the activity, or treat it down before proceeding. Owner is the project sponsor. Report at every governance meeting.</t>
  </si>
  <si>
    <t xml:space="preserve">Treat it. A funded treatment plan with a named owner and a date is required. Report monthly to the project control group.</t>
  </si>
  <si>
    <t xml:space="preserve">Manage by routine procedure with a nominated owner. Review at each stage gate.</t>
  </si>
  <si>
    <t xml:space="preserve">Accept and monitor. Review only if the trigger fires or the project changes.</t>
  </si>
  <si>
    <t xml:space="preserve">THE THREE TREATMENT SETS - pick one on Plan and stay with it</t>
  </si>
  <si>
    <t xml:space="preserve">The seven options in ISO 31000:2018 clause 6.5.2, in the standard's own words. Note what is NOT there: no 'transfer' - ISO says SHARE, deliberately, because risk is rarely fully transferred; and no 'mitigate' - ISO never uses the word. Note also the two options almost every free template drops: taking or increasing risk to pursue an opportunity, and removing the risk source. The UK HM Treasury Orange Book mirrors this list almost word for word.</t>
  </si>
  <si>
    <t xml:space="preserve">Five strategies for threats - Escalate, Avoid, Transfer, Mitigate, Accept - and five for opportunities - Escalate, Exploit, Share, Enhance, Accept. Escalate was added in the 6th edition (2017) for risk outside the project's authority; it needs a named receiving authority, which is why this register has an Escalate to column.</t>
  </si>
  <si>
    <t xml:space="preserve">Threats: Avoid, Reduce, Fallback, Transfer, Share, Accept. Opportunities: Exploit, Enhance, Share, Reject. Two differences that matter - PRINCE2 says REDUCE where PMI says mitigate, and it has FALLBACK, a planned response if the risk occurs, which PMI has no equivalent for.</t>
  </si>
  <si>
    <t xml:space="preserve">STATUS DEFINITIONS</t>
  </si>
  <si>
    <t xml:space="preserve">Identified and rated, no treatment agreed yet. The clock is running.</t>
  </si>
  <si>
    <t xml:space="preserve">A funded treatment is agreed and actions are in progress on the Actions sheet.</t>
  </si>
  <si>
    <t xml:space="preserve">Treated as far as it will go. Watch the trigger, review on the set date.</t>
  </si>
  <si>
    <t xml:space="preserve">Outside the project's authority or appetite. Named in Escalate to and raised.</t>
  </si>
  <si>
    <t xml:space="preserve">The risk has materialised. It is now an issue - but the row stays as the record of whether it was foreseen and what was done.</t>
  </si>
  <si>
    <t xml:space="preserve">The risk can no longer occur, or the window has passed. Never delete the row.</t>
  </si>
  <si>
    <t xml:space="preserve">TERMINOLOGY - the same step has three names</t>
  </si>
  <si>
    <t xml:space="preserve">The response step</t>
  </si>
  <si>
    <t xml:space="preserve">ISO 31000 and Australian, New Zealand and UK public sector practice say RISK TREATMENT. PMI says RISK RESPONSE. US federal and defence practice says MITIGATION, which is where the popular name for this document comes from. All three mean the same step.</t>
  </si>
  <si>
    <t xml:space="preserve">This document</t>
  </si>
  <si>
    <t xml:space="preserve">ISO 31000 clause 6.5.3 names a RISK TREATMENT PLAN. PMBOK names a RISK MANAGEMENT PLAN, a RISK REGISTER and a RISK REPORT. PRINCE2 names a RISK MANAGEMENT APPROACH and a RISK REGISTER. 'Risk mitigation plan' is the common name rather than a standard's name - this workbook holds the plan on the Plan sheet and the register alongside it.</t>
  </si>
  <si>
    <t xml:space="preserve">Share or transfer</t>
  </si>
  <si>
    <t xml:space="preserve">ISO says SHARE - through a contract, insurance or a joint venture - because risk is rarely fully transferred. PMI says TRANSFER. The distinction matters when a contract moves liability but not the consequence of the event happening.</t>
  </si>
  <si>
    <t xml:space="preserve">Remaining or residual risk</t>
  </si>
  <si>
    <t xml:space="preserve">ISO 31000 says the REMAINING RISK should be documented and monitored. The defined term RESIDUAL RISK - risk remaining after risk treatment - comes from the vocabulary standard, ISO 31073:2022, which replaced ISO Guide 73:2009.</t>
  </si>
  <si>
    <t xml:space="preserve">Inherent risk</t>
  </si>
  <si>
    <t xml:space="preserve">No ISO definition exists. In capital projects it means the rating before project-specific treatments, with statutory and design controls assumed present. Say which you mean - the industry uses the word both ways.</t>
  </si>
  <si>
    <t xml:space="preserve">Early Warning Register</t>
  </si>
  <si>
    <t xml:space="preserve">Under NEC4 the NEC3 Risk Register was renamed the Early Warning Register. It is a contractual instrument holding the matter and the action to be taken, not a scored risk assessment. Do not use this workbook as one.</t>
  </si>
  <si>
    <t xml:space="preserve">CELL CONVENTIONS</t>
  </si>
  <si>
    <t xml:space="preserve">You complete this</t>
  </si>
  <si>
    <t xml:space="preserve">Pale blue fill, blue text.</t>
  </si>
  <si>
    <t xml:space="preserve">Calculated</t>
  </si>
  <si>
    <t xml:space="preserve">Grey fill. A formula - do not type over it.</t>
  </si>
  <si>
    <t xml:space="preserve">Section band</t>
  </si>
  <si>
    <t xml:space="preserve">Marks the start of a section.</t>
  </si>
  <si>
    <t xml:space="preserve">RISK MITIGATION PLAN     ·     PLAN</t>
  </si>
  <si>
    <t xml:space="preserve">This sheet is the plan - the scales, the roles, the appetite and the review points. Every rating in the register depends on it. Fill it in first.</t>
  </si>
  <si>
    <t xml:space="preserve">1  ·  PROJECT AND GOVERNANCE</t>
  </si>
  <si>
    <t xml:space="preserve">Project name</t>
  </si>
  <si>
    <t xml:space="preserve">Project number</t>
  </si>
  <si>
    <t xml:space="preserve">Client / Owner</t>
  </si>
  <si>
    <t xml:space="preserve">Drives which risks are live. Sourced from Reference.</t>
  </si>
  <si>
    <t xml:space="preserve">Project Director</t>
  </si>
  <si>
    <t xml:space="preserve">Usually the escalation point for Extreme ratings.</t>
  </si>
  <si>
    <t xml:space="preserve">Project Manager</t>
  </si>
  <si>
    <t xml:space="preserve">Owns the risk process, not the risks themselves.</t>
  </si>
  <si>
    <t xml:space="preserve">Risk owner group</t>
  </si>
  <si>
    <t xml:space="preserve">Who can be named as a risk owner - they need budget authority.</t>
  </si>
  <si>
    <t xml:space="preserve">Escalation authority</t>
  </si>
  <si>
    <t xml:space="preserve">Named body a risk goes to when it exceeds project authority.</t>
  </si>
  <si>
    <t xml:space="preserve">2  ·  CALIBRATION - what makes the ratings mean anything</t>
  </si>
  <si>
    <t xml:space="preserve">Base estimate (excluding contingency and escalation)</t>
  </si>
  <si>
    <t xml:space="preserve">The consequence cost bands on Reference are a share of this. Enter it before rating anything - it is what converts a word like Major into money.</t>
  </si>
  <si>
    <t xml:space="preserve">Contingency currently held</t>
  </si>
  <si>
    <t xml:space="preserve">Compare this against total expected cost on the Summary. If expected cost exceeds contingency, the register is telling you something.</t>
  </si>
  <si>
    <t xml:space="preserve">Three real frameworks and they are not interchangeable. Reference explains each.</t>
  </si>
  <si>
    <t xml:space="preserve">Escalate at rating</t>
  </si>
  <si>
    <t xml:space="preserve">Ratings at or above this need the escalation authority named on the row.</t>
  </si>
  <si>
    <t xml:space="preserve">Review at each stage gate</t>
  </si>
  <si>
    <t xml:space="preserve">No standard prescribes a monthly review. Good practice is event-driven - gates, contract award, design freeze, approvals - plus whenever a trigger fires.</t>
  </si>
  <si>
    <t xml:space="preserve">3  ·  WHERE THE REGISTER STANDS</t>
  </si>
  <si>
    <t xml:space="preserve">Risks on the register</t>
  </si>
  <si>
    <t xml:space="preserve">Open - not yet closed</t>
  </si>
  <si>
    <t xml:space="preserve">Extreme and High, open</t>
  </si>
  <si>
    <t xml:space="preserve">Opportunities identified</t>
  </si>
  <si>
    <t xml:space="preserve">Expected cost - open threats</t>
  </si>
  <si>
    <t xml:space="preserve">Expected cost as % of contingency</t>
  </si>
  <si>
    <t xml:space="preserve">Expected cost across the open register is the register's contribution to contingency - it is the arithmetic mean of what these risks are worth, which is the sense in which contingency is expected to be spent. It is not a P-value. A P50, P65, P80 or P90 figure comes from a Monte Carlo simulation over the base estimate and the quantified risk ranges, and the percentile required depends on who is funding the project - it differs by jurisdiction and by programme, so take it from your funding guidance rather than assuming a number.</t>
  </si>
  <si>
    <t xml:space="preserve">RISK MITIGATION PLAN     ·     REGISTER</t>
  </si>
  <si>
    <t xml:space="preserve">One row per risk. Blue cells are yours; grey columns calculate. The rating is looked up in the matrix on Reference - it is never a likelihood rank multiplied by a consequence rank. Columns H to M and V onward are grouped: click the + above the column headers to open the inherent, target and governance detail.</t>
  </si>
  <si>
    <t xml:space="preserve">Ref</t>
  </si>
  <si>
    <t xml:space="preserve">Risk ID</t>
  </si>
  <si>
    <t xml:space="preserve">Category</t>
  </si>
  <si>
    <t xml:space="preserve">Risk event - if CAUSE, then EVENT, resulting in EFFECT</t>
  </si>
  <si>
    <t xml:space="preserve">Risk owner (accountable)</t>
  </si>
  <si>
    <t xml:space="preserve">Inherent likelihood</t>
  </si>
  <si>
    <t xml:space="preserve">Inherent consequence</t>
  </si>
  <si>
    <t xml:space="preserve">Inherent rating</t>
  </si>
  <si>
    <t xml:space="preserve">Existing controls</t>
  </si>
  <si>
    <t xml:space="preserve">Trigger / early warning</t>
  </si>
  <si>
    <t xml:space="preserve">Current likelihood</t>
  </si>
  <si>
    <t xml:space="preserve">Current consequence</t>
  </si>
  <si>
    <t xml:space="preserve">Current rating</t>
  </si>
  <si>
    <t xml:space="preserve">Expected cost</t>
  </si>
  <si>
    <t xml:space="preserve">Expected days</t>
  </si>
  <si>
    <t xml:space="preserve">Treatment strategy</t>
  </si>
  <si>
    <t xml:space="preserve">Actions</t>
  </si>
  <si>
    <t xml:space="preserve">Actions done</t>
  </si>
  <si>
    <t xml:space="preserve">Target likelihood</t>
  </si>
  <si>
    <t xml:space="preserve">Target consequence</t>
  </si>
  <si>
    <t xml:space="preserve">Target rating</t>
  </si>
  <si>
    <t xml:space="preserve">Movement</t>
  </si>
  <si>
    <t xml:space="preserve">Escalate to</t>
  </si>
  <si>
    <t xml:space="preserve">Phase</t>
  </si>
  <si>
    <t xml:space="preserve">Date raised</t>
  </si>
  <si>
    <t xml:space="preserve">Last reviewed</t>
  </si>
  <si>
    <t xml:space="preserve">Next review</t>
  </si>
  <si>
    <t xml:space="preserve">Overdue review</t>
  </si>
  <si>
    <t xml:space="preserve">Closure criteria</t>
  </si>
  <si>
    <t xml:space="preserve">Date closed</t>
  </si>
  <si>
    <t xml:space="preserve">Notes</t>
  </si>
  <si>
    <t xml:space="preserve">If ground conditions below RL 12 differ from the geotechnical baseline, then piling depths increase across the podium, resulting in additional cost and delay to the structure</t>
  </si>
  <si>
    <t xml:space="preserve">Design Manager</t>
  </si>
  <si>
    <t xml:space="preserve">See the treatment actions listed against this risk</t>
  </si>
  <si>
    <t xml:space="preserve">First 3 test piles exceed baseline depth by more than 10%</t>
  </si>
  <si>
    <t xml:space="preserve">Trigger has passed without the event, or the phase is complete</t>
  </si>
  <si>
    <t xml:space="preserve">EXAMPLE - delete before use</t>
  </si>
  <si>
    <t xml:space="preserve">If the development approval condition on out-of-hours work is not varied, then night pours cannot proceed, resulting in loss of float on the structure</t>
  </si>
  <si>
    <t xml:space="preserve">Council response not received 14 days before the first planned night pour</t>
  </si>
  <si>
    <t xml:space="preserve">EXAMPLE</t>
  </si>
  <si>
    <t xml:space="preserve">If structural steel escalation exceeds the allowance in the base estimate, then the trade package cannot be let within budget, resulting in a funding shortfall</t>
  </si>
  <si>
    <t xml:space="preserve">Commercial Manager</t>
  </si>
  <si>
    <t xml:space="preserve">Published steel index moves more than 5% in a quarter</t>
  </si>
  <si>
    <t xml:space="preserve">If the live HV cable alignment differs from the service authority records, then excavation in the north-east corner is suspended, resulting in delay and re-design of the substation</t>
  </si>
  <si>
    <t xml:space="preserve">Construction Manager</t>
  </si>
  <si>
    <t xml:space="preserve">Potholing finds any service outside the surveyed corridor</t>
  </si>
  <si>
    <t xml:space="preserve">If the facade subcontractor's order book grows beyond its fabrication capacity, then unit delivery slips, resulting in delay to building enclosure</t>
  </si>
  <si>
    <t xml:space="preserve">Contract Administrator</t>
  </si>
  <si>
    <t xml:space="preserve">Two consecutive monthly fabrication reports below the agreed rate</t>
  </si>
  <si>
    <t xml:space="preserve">EXAMPLE - untreated, high current rating</t>
  </si>
  <si>
    <t xml:space="preserve">If the early works package is tendered before the market softens in Q1, then competitive tension increases, resulting in a saving against the base estimate</t>
  </si>
  <si>
    <t xml:space="preserve">Three or more compliant tenders received</t>
  </si>
  <si>
    <t xml:space="preserve">EXAMPLE - opportunity, upside response</t>
  </si>
  <si>
    <t xml:space="preserve">If the services coordination model is not resolved before the shop drawing release, then clashes are found on site, resulting in rework and delay to fit-out</t>
  </si>
  <si>
    <t xml:space="preserve">Clash report exceeds 50 unresolved hard clashes at the 90% model review</t>
  </si>
  <si>
    <t xml:space="preserve">If work at height controls on the perimeter are not verified before the facade starts, then a fall from height occurs, resulting in serious injury and a work stoppage</t>
  </si>
  <si>
    <t xml:space="preserve">Any perimeter edge protection non-conformance raised at inspection</t>
  </si>
  <si>
    <t xml:space="preserve">EXAMPLE - low likelihood, catastrophic consequence</t>
  </si>
  <si>
    <t xml:space="preserve">If community objection to the construction traffic route is sustained, then the approved haul route is withdrawn, resulting in longer haulage and higher disposal cost</t>
  </si>
  <si>
    <t xml:space="preserve">Stakeholder Manager</t>
  </si>
  <si>
    <t xml:space="preserve">More than 5 complaints received in any 30-day period</t>
  </si>
  <si>
    <t xml:space="preserve">If the funding decision for Stage 2 is deferred beyond the December gate, then the contractor demobilises, resulting in remobilisation cost and loss of program</t>
  </si>
  <si>
    <t xml:space="preserve">Project Sponsor</t>
  </si>
  <si>
    <t xml:space="preserve">Gate paper not lodged 6 weeks before the committee date</t>
  </si>
  <si>
    <t xml:space="preserve">Infrastructure Investment Committee</t>
  </si>
  <si>
    <t xml:space="preserve">EXAMPLE - outside project authority, escalated</t>
  </si>
  <si>
    <t xml:space="preserve">If rainfall in Q3 exceeds the 10-year average, then bulk earthworks are suspended, resulting in delay to the critical path</t>
  </si>
  <si>
    <t xml:space="preserve">Cumulative monthly rainfall exceeds the 10-year average by 20%</t>
  </si>
  <si>
    <t xml:space="preserve">EXAMPLE - weather retained, not treatable</t>
  </si>
  <si>
    <t xml:space="preserve">If the O&amp;M documentation is not delivered progressively, then commissioning evidence is incomplete at handover, resulting in delay to Substantial Completion</t>
  </si>
  <si>
    <t xml:space="preserve">Less than 60% of O&amp;M sections received by practical completion minus 8 weeks</t>
  </si>
  <si>
    <t xml:space="preserve">Write the risk as if CAUSE, then EVENT, resulting in EFFECT - a register full of one-word worries cannot be treated or costed. Rate inherent, current and target separately: current is what you carry today, target is what you get once the actions on the next sheet are done. Expected cost is the probability band multiplied by the consequence band, which is the only arithmetic here that survives contact with IEC 31010. Prints A3 landscape.</t>
  </si>
  <si>
    <t xml:space="preserve">RISK MITIGATION PLAN     ·     TREATMENT ACTIONS</t>
  </si>
  <si>
    <t xml:space="preserve">One row per action. A risk has one owner who is accountable; each action has its own owner who is responsible for doing it. The register counts these automatically.</t>
  </si>
  <si>
    <t xml:space="preserve">Risk event</t>
  </si>
  <si>
    <t xml:space="preserve">Treatment action</t>
  </si>
  <si>
    <t xml:space="preserve">Action owner (responsible)</t>
  </si>
  <si>
    <t xml:space="preserve">Due</t>
  </si>
  <si>
    <t xml:space="preserve">Days to due</t>
  </si>
  <si>
    <t xml:space="preserve">Flag</t>
  </si>
  <si>
    <t xml:space="preserve">RSK-001</t>
  </si>
  <si>
    <t xml:space="preserve">Commission additional boreholes at grid lines 4 to 9 to confirm rock level</t>
  </si>
  <si>
    <t xml:space="preserve">Price a deeper pile option and hold as a contingent design</t>
  </si>
  <si>
    <t xml:space="preserve">Cost Manager</t>
  </si>
  <si>
    <t xml:space="preserve">RSK-002</t>
  </si>
  <si>
    <t xml:space="preserve">Lodge the section 4.55 variation for out-of-hours work</t>
  </si>
  <si>
    <t xml:space="preserve">Planning Consultant</t>
  </si>
  <si>
    <t xml:space="preserve">Re-sequence the pours to avoid night work in the base program</t>
  </si>
  <si>
    <t xml:space="preserve">Planner</t>
  </si>
  <si>
    <t xml:space="preserve">RSK-003</t>
  </si>
  <si>
    <t xml:space="preserve">Lock the steel rate through an early supply agreement</t>
  </si>
  <si>
    <t xml:space="preserve">RSK-004</t>
  </si>
  <si>
    <t xml:space="preserve">Pothole the full HV alignment before excavation starts</t>
  </si>
  <si>
    <t xml:space="preserve">RSK-005</t>
  </si>
  <si>
    <t xml:space="preserve">Obtain and verify the facade fabricator's committed capacity</t>
  </si>
  <si>
    <t xml:space="preserve">RSK-006</t>
  </si>
  <si>
    <t xml:space="preserve">Bring the early works tender forward to November</t>
  </si>
  <si>
    <t xml:space="preserve">RSK-007</t>
  </si>
  <si>
    <t xml:space="preserve">Run a federated model clash review at 90% design</t>
  </si>
  <si>
    <t xml:space="preserve">BIM Manager</t>
  </si>
  <si>
    <t xml:space="preserve">RSK-008</t>
  </si>
  <si>
    <t xml:space="preserve">Verify perimeter edge protection against the safety plan before facade start</t>
  </si>
  <si>
    <t xml:space="preserve">HSE Manager</t>
  </si>
  <si>
    <t xml:space="preserve">RSK-009</t>
  </si>
  <si>
    <t xml:space="preserve">Agree an alternative haul route with council as a fallback</t>
  </si>
  <si>
    <t xml:space="preserve">RSK-010</t>
  </si>
  <si>
    <t xml:space="preserve">Lodge the Stage 2 gate paper 6 weeks before the committee</t>
  </si>
  <si>
    <t xml:space="preserve">RSK-012</t>
  </si>
  <si>
    <t xml:space="preserve">Agree progressive O&amp;M delivery milestones in the contract</t>
  </si>
  <si>
    <t xml:space="preserve">ISO 31000 requires a treatment plan to record who is accountable and responsible, the proposed actions, the resources, the performance measures and when the actions are expected to be completed. That is what this sheet is. An action with no owner and no date is not a treatment - it is an intention.</t>
  </si>
  <si>
    <t xml:space="preserve">RISK MITIGATION PLAN     ·     SUMMARY</t>
  </si>
  <si>
    <t xml:space="preserve">Every figure is a formula over the register. Open means anything not Closed.</t>
  </si>
  <si>
    <t xml:space="preserve">EXPOSURE</t>
  </si>
  <si>
    <t xml:space="preserve">Extreme, open</t>
  </si>
  <si>
    <t xml:space="preserve">High, open</t>
  </si>
  <si>
    <t xml:space="preserve">Threats</t>
  </si>
  <si>
    <t xml:space="preserve">Reviews overdue</t>
  </si>
  <si>
    <t xml:space="preserve">Opportunities</t>
  </si>
  <si>
    <t xml:space="preserve">Contingency held</t>
  </si>
  <si>
    <t xml:space="preserve">Expected upside - open opportunities</t>
  </si>
  <si>
    <t xml:space="preserve">Expected cost vs contingency</t>
  </si>
  <si>
    <t xml:space="preserve">Category counts show OPEN risks only.</t>
  </si>
  <si>
    <t xml:space="preserve">BY CURRENT RATING</t>
  </si>
  <si>
    <t xml:space="preserve">BY CATEGORY</t>
  </si>
  <si>
    <t xml:space="preserve">Current Rating</t>
  </si>
  <si>
    <t xml:space="preserve">Items</t>
  </si>
  <si>
    <t xml:space="preserve">BY STATUS</t>
  </si>
  <si>
    <t xml:space="preserve">BY TYPE</t>
  </si>
  <si>
    <t xml:space="preserve">EXPECTED COST BY CATEGORY - open threats</t>
  </si>
  <si>
    <t xml:space="preserve">Risks</t>
  </si>
  <si>
    <t xml:space="preserve">TOTAL - open threats</t>
  </si>
  <si>
    <t xml:space="preserve">Expected cost is the probability band multiplied by the consequence band - real money, and the only arithmetic in this workbook that IEC 31010 permits. It is a mean, not a percentile: it tells you what these risks are worth in aggregate, which is the sense in which contingency is expected to be spent. It is not a substitute for a quantitative risk analysis where your funding guidance requires one.</t>
  </si>
</sst>
</file>

<file path=xl/styles.xml><?xml version="1.0" encoding="utf-8"?>
<styleSheet xmlns="http://schemas.openxmlformats.org/spreadsheetml/2006/main">
  <numFmts count="8">
    <numFmt numFmtId="164" formatCode="General"/>
    <numFmt numFmtId="165" formatCode="0.00%"/>
    <numFmt numFmtId="166" formatCode="0.0%"/>
    <numFmt numFmtId="167" formatCode="\$#,##0;[RED]&quot;($&quot;#,##0\);\-"/>
    <numFmt numFmtId="168" formatCode="#,##0"/>
    <numFmt numFmtId="169" formatCode="General"/>
    <numFmt numFmtId="170" formatCode="0;;\-"/>
    <numFmt numFmtId="171" formatCode="dd\ mmm\ yyyy"/>
  </numFmts>
  <fonts count="27">
    <font>
      <sz val="11"/>
      <color theme="1"/>
      <name val="Calibri"/>
      <family val="2"/>
      <charset val="1"/>
    </font>
    <font>
      <sz val="10"/>
      <name val="Arial"/>
      <family val="0"/>
    </font>
    <font>
      <sz val="10"/>
      <name val="Arial"/>
      <family val="0"/>
    </font>
    <font>
      <sz val="10"/>
      <name val="Arial"/>
      <family val="0"/>
    </font>
    <font>
      <b val="true"/>
      <sz val="24"/>
      <color rgb="FFFFFFFF"/>
      <name val="Inter"/>
      <family val="0"/>
      <charset val="1"/>
    </font>
    <font>
      <sz val="11"/>
      <color rgb="FF1D3245"/>
      <name val="Inter"/>
      <family val="0"/>
      <charset val="1"/>
    </font>
    <font>
      <b val="true"/>
      <sz val="11"/>
      <color rgb="FFFFFFFF"/>
      <name val="Inter"/>
      <family val="0"/>
      <charset val="1"/>
    </font>
    <font>
      <b val="true"/>
      <sz val="11"/>
      <color rgb="FF3480BC"/>
      <name val="Inter"/>
      <family val="0"/>
      <charset val="1"/>
    </font>
    <font>
      <b val="true"/>
      <sz val="10"/>
      <color rgb="FF1D3245"/>
      <name val="Inter"/>
      <family val="0"/>
      <charset val="1"/>
    </font>
    <font>
      <sz val="9.5"/>
      <color rgb="FF1D3245"/>
      <name val="Inter"/>
      <family val="0"/>
      <charset val="1"/>
    </font>
    <font>
      <b val="true"/>
      <sz val="9.5"/>
      <color rgb="FF0D3C61"/>
      <name val="Inter"/>
      <family val="0"/>
      <charset val="1"/>
    </font>
    <font>
      <b val="true"/>
      <u val="single"/>
      <sz val="10"/>
      <color rgb="FF3480BC"/>
      <name val="Inter"/>
      <family val="0"/>
      <charset val="1"/>
    </font>
    <font>
      <b val="true"/>
      <sz val="10"/>
      <color rgb="FF0D3C61"/>
      <name val="Inter"/>
      <family val="0"/>
      <charset val="1"/>
    </font>
    <font>
      <b val="true"/>
      <sz val="9.5"/>
      <color rgb="FFE31B0C"/>
      <name val="Inter"/>
      <family val="0"/>
      <charset val="1"/>
    </font>
    <font>
      <u val="single"/>
      <sz val="10"/>
      <color rgb="FF3480BC"/>
      <name val="Inter"/>
      <family val="0"/>
      <charset val="1"/>
    </font>
    <font>
      <b val="true"/>
      <sz val="13"/>
      <color rgb="FFFFFFFF"/>
      <name val="Inter"/>
      <family val="0"/>
      <charset val="1"/>
    </font>
    <font>
      <i val="true"/>
      <sz val="9.5"/>
      <color rgb="FF8E98A2"/>
      <name val="Inter"/>
      <family val="0"/>
      <charset val="1"/>
    </font>
    <font>
      <b val="true"/>
      <sz val="10"/>
      <color rgb="FFFFFFFF"/>
      <name val="Inter"/>
      <family val="0"/>
      <charset val="1"/>
    </font>
    <font>
      <sz val="10"/>
      <color rgb="FF0D3C61"/>
      <name val="Inter"/>
      <family val="0"/>
      <charset val="1"/>
    </font>
    <font>
      <b val="true"/>
      <sz val="9.5"/>
      <color rgb="FF1D3245"/>
      <name val="Inter"/>
      <family val="0"/>
      <charset val="1"/>
    </font>
    <font>
      <b val="true"/>
      <sz val="9.5"/>
      <color rgb="FFFFFFFF"/>
      <name val="Inter"/>
      <family val="0"/>
      <charset val="1"/>
    </font>
    <font>
      <sz val="10"/>
      <color rgb="FF1D3245"/>
      <name val="Inter"/>
      <family val="0"/>
      <charset val="1"/>
    </font>
    <font>
      <b val="true"/>
      <sz val="13"/>
      <color rgb="FF0D3C61"/>
      <name val="Inter"/>
      <family val="0"/>
      <charset val="1"/>
    </font>
    <font>
      <sz val="9.5"/>
      <color rgb="FF0D3C61"/>
      <name val="Inter"/>
      <family val="0"/>
      <charset val="1"/>
    </font>
    <font>
      <i val="true"/>
      <sz val="9.5"/>
      <color rgb="FF039BE5"/>
      <name val="Inter"/>
      <family val="0"/>
      <charset val="1"/>
    </font>
    <font>
      <sz val="9.5"/>
      <color rgb="FF8E98A2"/>
      <name val="Inter"/>
      <family val="0"/>
      <charset val="1"/>
    </font>
    <font>
      <b val="true"/>
      <sz val="10"/>
      <color rgb="FF039BE5"/>
      <name val="Inter"/>
      <family val="0"/>
      <charset val="1"/>
    </font>
  </fonts>
  <fills count="17">
    <fill>
      <patternFill patternType="none"/>
    </fill>
    <fill>
      <patternFill patternType="gray125"/>
    </fill>
    <fill>
      <patternFill patternType="solid">
        <fgColor rgb="FF1D3245"/>
        <bgColor rgb="FF0D3C61"/>
      </patternFill>
    </fill>
    <fill>
      <patternFill patternType="solid">
        <fgColor rgb="FF3480BC"/>
        <bgColor rgb="FF008080"/>
      </patternFill>
    </fill>
    <fill>
      <patternFill patternType="solid">
        <fgColor rgb="FF0D3C61"/>
        <bgColor rgb="FF1D3245"/>
      </patternFill>
    </fill>
    <fill>
      <patternFill patternType="solid">
        <fgColor rgb="FFDCE9F4"/>
        <bgColor rgb="FFE3F0FA"/>
      </patternFill>
    </fill>
    <fill>
      <patternFill patternType="solid">
        <fgColor rgb="FFFFFFFF"/>
        <bgColor rgb="FFF5F5F5"/>
      </patternFill>
    </fill>
    <fill>
      <patternFill patternType="solid">
        <fgColor rgb="FFF5F5F5"/>
        <bgColor rgb="FFEEEEEE"/>
      </patternFill>
    </fill>
    <fill>
      <patternFill patternType="solid">
        <fgColor rgb="FFFFF4E0"/>
        <bgColor rgb="FFF5F5F5"/>
      </patternFill>
    </fill>
    <fill>
      <patternFill patternType="solid">
        <fgColor rgb="FFE3F0FA"/>
        <bgColor rgb="FFDCE9F4"/>
      </patternFill>
    </fill>
    <fill>
      <patternFill patternType="solid">
        <fgColor rgb="FFEEEEEE"/>
        <bgColor rgb="FFE8F5E9"/>
      </patternFill>
    </fill>
    <fill>
      <patternFill patternType="solid">
        <fgColor rgb="FFFFB547"/>
        <bgColor rgb="FFFF9900"/>
      </patternFill>
    </fill>
    <fill>
      <patternFill patternType="solid">
        <fgColor rgb="FFEC6917"/>
        <bgColor rgb="FFFF9900"/>
      </patternFill>
    </fill>
    <fill>
      <patternFill patternType="solid">
        <fgColor rgb="FFE31B0C"/>
        <bgColor rgb="FF993300"/>
      </patternFill>
    </fill>
    <fill>
      <patternFill patternType="solid">
        <fgColor rgb="FF4CAF50"/>
        <bgColor rgb="FF8E98A2"/>
      </patternFill>
    </fill>
    <fill>
      <patternFill patternType="solid">
        <fgColor rgb="FFE0E0E0"/>
        <bgColor rgb="FFDCE9F4"/>
      </patternFill>
    </fill>
    <fill>
      <patternFill patternType="solid">
        <fgColor rgb="FF64B6F7"/>
        <bgColor rgb="FF33CCCC"/>
      </patternFill>
    </fill>
  </fills>
  <borders count="4">
    <border diagonalUp="false" diagonalDown="false">
      <left/>
      <right/>
      <top/>
      <bottom/>
      <diagonal/>
    </border>
    <border diagonalUp="false" diagonalDown="false">
      <left style="thin">
        <color rgb="FFE0E0E0"/>
      </left>
      <right style="thin">
        <color rgb="FFE0E0E0"/>
      </right>
      <top style="thin">
        <color rgb="FFE0E0E0"/>
      </top>
      <bottom style="medium">
        <color rgb="FF3480BC"/>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right/>
      <top style="thin">
        <color rgb="FF1D3245"/>
      </top>
      <bottom style="double">
        <color rgb="FF1D324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true" indent="1" shrinkToFit="false"/>
      <protection locked="true" hidden="false"/>
    </xf>
    <xf numFmtId="164" fontId="6"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center" vertical="top" textRotation="0" wrapText="false" indent="0" shrinkToFit="false"/>
      <protection locked="true" hidden="false"/>
    </xf>
    <xf numFmtId="164" fontId="8" fillId="0" borderId="0" xfId="0" applyFont="true" applyBorder="true" applyAlignment="true" applyProtection="false">
      <alignment horizontal="left" vertical="top" textRotation="0" wrapText="tru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0" fillId="6" borderId="2" xfId="0" applyFont="false" applyBorder="true" applyAlignment="false" applyProtection="false">
      <alignment horizontal="general" vertical="bottom" textRotation="0" wrapText="false" indent="0" shrinkToFit="false"/>
      <protection locked="true" hidden="false"/>
    </xf>
    <xf numFmtId="164" fontId="11" fillId="6" borderId="2" xfId="0" applyFont="true" applyBorder="true" applyAlignment="true" applyProtection="false">
      <alignment horizontal="left" vertical="center" textRotation="0" wrapText="false" indent="1" shrinkToFit="false"/>
      <protection locked="true" hidden="false"/>
    </xf>
    <xf numFmtId="164" fontId="9" fillId="6" borderId="2" xfId="0" applyFont="true" applyBorder="true" applyAlignment="true" applyProtection="false">
      <alignment horizontal="left" vertical="center" textRotation="0" wrapText="true" indent="1" shrinkToFit="false"/>
      <protection locked="true" hidden="false"/>
    </xf>
    <xf numFmtId="164" fontId="0" fillId="7" borderId="2" xfId="0" applyFont="false" applyBorder="true" applyAlignment="false" applyProtection="false">
      <alignment horizontal="general" vertical="bottom" textRotation="0" wrapText="false" indent="0" shrinkToFit="false"/>
      <protection locked="true" hidden="false"/>
    </xf>
    <xf numFmtId="164" fontId="11" fillId="7" borderId="2" xfId="0" applyFont="true" applyBorder="true" applyAlignment="true" applyProtection="false">
      <alignment horizontal="left" vertical="center" textRotation="0" wrapText="false" indent="1" shrinkToFit="false"/>
      <protection locked="true" hidden="false"/>
    </xf>
    <xf numFmtId="164" fontId="9" fillId="7" borderId="2" xfId="0" applyFont="true" applyBorder="true" applyAlignment="true" applyProtection="false">
      <alignment horizontal="left" vertical="center" textRotation="0" wrapText="true" indent="1" shrinkToFit="false"/>
      <protection locked="true" hidden="false"/>
    </xf>
    <xf numFmtId="164" fontId="12" fillId="0"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left" vertical="center" textRotation="0" wrapText="false" indent="1" shrinkToFit="false"/>
      <protection locked="true" hidden="false"/>
    </xf>
    <xf numFmtId="164" fontId="9" fillId="8" borderId="2" xfId="0" applyFont="true" applyBorder="true" applyAlignment="true" applyProtection="false">
      <alignment horizontal="left" vertical="top" textRotation="0" wrapText="true" indent="1" shrinkToFit="false"/>
      <protection locked="true" hidden="false"/>
    </xf>
    <xf numFmtId="164" fontId="14" fillId="0" borderId="0" xfId="0" applyFont="true" applyBorder="true" applyAlignment="true" applyProtection="false">
      <alignment horizontal="left" vertical="center" textRotation="0" wrapText="false" indent="1" shrinkToFit="false"/>
      <protection locked="true" hidden="false"/>
    </xf>
    <xf numFmtId="164" fontId="15" fillId="2" borderId="0" xfId="0" applyFont="true" applyBorder="true" applyAlignment="true" applyProtection="false">
      <alignment horizontal="left" vertical="center" textRotation="0" wrapText="false" indent="15" shrinkToFit="false"/>
      <protection locked="true" hidden="false"/>
    </xf>
    <xf numFmtId="164" fontId="6" fillId="3" borderId="0" xfId="0" applyFont="true" applyBorder="true" applyAlignment="true" applyProtection="false">
      <alignment horizontal="left" vertical="center" textRotation="0" wrapText="false" indent="1" shrinkToFit="false"/>
      <protection locked="true" hidden="false"/>
    </xf>
    <xf numFmtId="164" fontId="16" fillId="0" borderId="0" xfId="0" applyFont="true" applyBorder="true" applyAlignment="true" applyProtection="false">
      <alignment horizontal="left" vertical="top" textRotation="0" wrapText="true" indent="1" shrinkToFit="false"/>
      <protection locked="true" hidden="false"/>
    </xf>
    <xf numFmtId="164" fontId="9" fillId="0" borderId="2" xfId="0" applyFont="true" applyBorder="true" applyAlignment="true" applyProtection="false">
      <alignment horizontal="left" vertical="center" textRotation="0" wrapText="true" indent="1" shrinkToFit="false"/>
      <protection locked="true" hidden="false"/>
    </xf>
    <xf numFmtId="164" fontId="17" fillId="3" borderId="0" xfId="0" applyFont="true" applyBorder="true" applyAlignment="true" applyProtection="false">
      <alignment horizontal="left" vertical="center" textRotation="0" wrapText="false" indent="1"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left" vertical="center" textRotation="0" wrapText="false" indent="1" shrinkToFit="false"/>
      <protection locked="true" hidden="false"/>
    </xf>
    <xf numFmtId="165" fontId="18" fillId="9" borderId="2" xfId="0" applyFont="true" applyBorder="true" applyAlignment="true" applyProtection="false">
      <alignment horizontal="center" vertical="center" textRotation="0" wrapText="false" indent="1" shrinkToFit="false"/>
      <protection locked="true" hidden="false"/>
    </xf>
    <xf numFmtId="166" fontId="9" fillId="10" borderId="2" xfId="0" applyFont="true" applyBorder="true" applyAlignment="true" applyProtection="false">
      <alignment horizontal="center" vertical="center" textRotation="0" wrapText="false" indent="0" shrinkToFit="false"/>
      <protection locked="true" hidden="false"/>
    </xf>
    <xf numFmtId="166" fontId="18" fillId="9" borderId="2" xfId="0" applyFont="true" applyBorder="true" applyAlignment="true" applyProtection="false">
      <alignment horizontal="center" vertical="center" textRotation="0" wrapText="false" indent="1" shrinkToFit="false"/>
      <protection locked="true" hidden="false"/>
    </xf>
    <xf numFmtId="167" fontId="9" fillId="10" borderId="2" xfId="0" applyFont="true" applyBorder="true" applyAlignment="true" applyProtection="false">
      <alignment horizontal="center" vertical="center" textRotation="0" wrapText="false" indent="0" shrinkToFit="false"/>
      <protection locked="true" hidden="false"/>
    </xf>
    <xf numFmtId="168" fontId="18" fillId="9" borderId="2" xfId="0" applyFont="true" applyBorder="true" applyAlignment="true" applyProtection="false">
      <alignment horizontal="center" vertical="center" textRotation="0" wrapText="false" indent="1" shrinkToFit="false"/>
      <protection locked="true" hidden="false"/>
    </xf>
    <xf numFmtId="164" fontId="10" fillId="5" borderId="1" xfId="0" applyFont="true" applyBorder="true" applyAlignment="true" applyProtection="false">
      <alignment horizontal="left" vertical="center" textRotation="0" wrapText="false" indent="1" shrinkToFit="false"/>
      <protection locked="true" hidden="false"/>
    </xf>
    <xf numFmtId="164" fontId="19" fillId="11" borderId="2" xfId="0" applyFont="true" applyBorder="true" applyAlignment="true" applyProtection="false">
      <alignment horizontal="center" vertical="center" textRotation="0" wrapText="false" indent="0" shrinkToFit="false"/>
      <protection locked="true" hidden="false"/>
    </xf>
    <xf numFmtId="164" fontId="20" fillId="12" borderId="2" xfId="0" applyFont="true" applyBorder="true" applyAlignment="true" applyProtection="false">
      <alignment horizontal="center" vertical="center" textRotation="0" wrapText="false" indent="0" shrinkToFit="false"/>
      <protection locked="true" hidden="false"/>
    </xf>
    <xf numFmtId="164" fontId="20" fillId="13" borderId="2" xfId="0" applyFont="true" applyBorder="true" applyAlignment="true" applyProtection="false">
      <alignment horizontal="center" vertical="center" textRotation="0" wrapText="false" indent="0" shrinkToFit="false"/>
      <protection locked="true" hidden="false"/>
    </xf>
    <xf numFmtId="164" fontId="19" fillId="14" borderId="2" xfId="0" applyFont="true" applyBorder="true" applyAlignment="true" applyProtection="false">
      <alignment horizontal="center" vertical="center" textRotation="0" wrapText="false" indent="0" shrinkToFit="false"/>
      <protection locked="true" hidden="false"/>
    </xf>
    <xf numFmtId="164" fontId="10" fillId="7" borderId="2" xfId="0" applyFont="true" applyBorder="true" applyAlignment="true" applyProtection="false">
      <alignment horizontal="left" vertical="top" textRotation="0" wrapText="true" indent="1" shrinkToFit="false"/>
      <protection locked="true" hidden="false"/>
    </xf>
    <xf numFmtId="164" fontId="9" fillId="0" borderId="2" xfId="0" applyFont="true" applyBorder="true" applyAlignment="true" applyProtection="false">
      <alignment horizontal="left" vertical="top" textRotation="0" wrapText="true" indent="1" shrinkToFit="false"/>
      <protection locked="true" hidden="false"/>
    </xf>
    <xf numFmtId="164" fontId="19" fillId="15" borderId="2" xfId="0" applyFont="true" applyBorder="true" applyAlignment="true" applyProtection="false">
      <alignment horizontal="center" vertical="center" textRotation="0" wrapText="false" indent="0" shrinkToFit="false"/>
      <protection locked="true" hidden="false"/>
    </xf>
    <xf numFmtId="164" fontId="19" fillId="16" borderId="2" xfId="0" applyFont="true" applyBorder="true" applyAlignment="true" applyProtection="false">
      <alignment horizontal="center" vertical="center" textRotation="0" wrapText="false" indent="0" shrinkToFit="false"/>
      <protection locked="true" hidden="false"/>
    </xf>
    <xf numFmtId="164" fontId="10" fillId="9" borderId="2"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1" shrinkToFit="false"/>
      <protection locked="true" hidden="false"/>
    </xf>
    <xf numFmtId="164" fontId="19" fillId="10" borderId="2" xfId="0" applyFont="true" applyBorder="true" applyAlignment="true" applyProtection="false">
      <alignment horizontal="center" vertical="center" textRotation="0" wrapText="false" indent="0" shrinkToFit="false"/>
      <protection locked="true" hidden="false"/>
    </xf>
    <xf numFmtId="164" fontId="20" fillId="4" borderId="2"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left" vertical="center" textRotation="0" wrapText="true" indent="1" shrinkToFit="false"/>
      <protection locked="true" hidden="false"/>
    </xf>
    <xf numFmtId="164" fontId="18" fillId="9" borderId="2" xfId="0" applyFont="true" applyBorder="true" applyAlignment="true" applyProtection="false">
      <alignment horizontal="left" vertical="center" textRotation="0" wrapText="false" indent="1" shrinkToFit="false"/>
      <protection locked="true" hidden="false"/>
    </xf>
    <xf numFmtId="164" fontId="16" fillId="0" borderId="0" xfId="0" applyFont="true" applyBorder="true" applyAlignment="true" applyProtection="false">
      <alignment horizontal="left" vertical="center" textRotation="0" wrapText="true" indent="1" shrinkToFit="false"/>
      <protection locked="true" hidden="false"/>
    </xf>
    <xf numFmtId="167" fontId="18" fillId="9" borderId="2" xfId="0" applyFont="true" applyBorder="true" applyAlignment="true" applyProtection="false">
      <alignment horizontal="right" vertical="center" textRotation="0" wrapText="false" indent="1" shrinkToFit="false"/>
      <protection locked="true" hidden="false"/>
    </xf>
    <xf numFmtId="164" fontId="21" fillId="10" borderId="2" xfId="0" applyFont="true" applyBorder="true" applyAlignment="true" applyProtection="false">
      <alignment horizontal="left" vertical="center" textRotation="0" wrapText="false" indent="1" shrinkToFit="false"/>
      <protection locked="true" hidden="false"/>
    </xf>
    <xf numFmtId="168" fontId="22" fillId="10" borderId="2" xfId="0" applyFont="true" applyBorder="true" applyAlignment="true" applyProtection="false">
      <alignment horizontal="center" vertical="center" textRotation="0" wrapText="false" indent="0" shrinkToFit="false"/>
      <protection locked="true" hidden="false"/>
    </xf>
    <xf numFmtId="167" fontId="22" fillId="10" borderId="2" xfId="0" applyFont="true" applyBorder="true" applyAlignment="true" applyProtection="false">
      <alignment horizontal="center" vertical="center" textRotation="0" wrapText="false" indent="0" shrinkToFit="false"/>
      <protection locked="true" hidden="false"/>
    </xf>
    <xf numFmtId="166" fontId="22" fillId="10" borderId="2"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9" fontId="9" fillId="10" borderId="2" xfId="0" applyFont="true" applyBorder="true" applyAlignment="true" applyProtection="false">
      <alignment horizontal="center" vertical="center" textRotation="0" wrapText="true" indent="0" shrinkToFit="false"/>
      <protection locked="true" hidden="false"/>
    </xf>
    <xf numFmtId="164" fontId="9" fillId="10" borderId="2" xfId="0" applyFont="true" applyBorder="true" applyAlignment="true" applyProtection="false">
      <alignment horizontal="left" vertical="top" textRotation="0" wrapText="true" indent="1" shrinkToFit="false"/>
      <protection locked="true" hidden="false"/>
    </xf>
    <xf numFmtId="164" fontId="23" fillId="6" borderId="2" xfId="0" applyFont="true" applyBorder="true" applyAlignment="true" applyProtection="false">
      <alignment horizontal="left" vertical="top" textRotation="0" wrapText="true" indent="1" shrinkToFit="false"/>
      <protection locked="true" hidden="false"/>
    </xf>
    <xf numFmtId="164" fontId="23" fillId="6" borderId="2" xfId="0" applyFont="true" applyBorder="true" applyAlignment="true" applyProtection="false">
      <alignment horizontal="center" vertical="center" textRotation="0" wrapText="true" indent="0" shrinkToFit="false"/>
      <protection locked="true" hidden="false"/>
    </xf>
    <xf numFmtId="164" fontId="9" fillId="10" borderId="2" xfId="0" applyFont="true" applyBorder="true" applyAlignment="true" applyProtection="false">
      <alignment horizontal="center" vertical="center" textRotation="0" wrapText="true" indent="0" shrinkToFit="false"/>
      <protection locked="true" hidden="false"/>
    </xf>
    <xf numFmtId="167" fontId="9" fillId="10" borderId="2" xfId="0" applyFont="true" applyBorder="true" applyAlignment="true" applyProtection="false">
      <alignment horizontal="left" vertical="top" textRotation="0" wrapText="true" indent="1" shrinkToFit="false"/>
      <protection locked="true" hidden="false"/>
    </xf>
    <xf numFmtId="170" fontId="9" fillId="10" borderId="2" xfId="0" applyFont="true" applyBorder="true" applyAlignment="true" applyProtection="false">
      <alignment horizontal="left" vertical="top" textRotation="0" wrapText="true" indent="1" shrinkToFit="false"/>
      <protection locked="true" hidden="false"/>
    </xf>
    <xf numFmtId="164" fontId="9" fillId="6" borderId="2" xfId="0" applyFont="true" applyBorder="true" applyAlignment="true" applyProtection="false">
      <alignment horizontal="left" vertical="top" textRotation="0" wrapText="true" indent="1" shrinkToFit="false"/>
      <protection locked="true" hidden="false"/>
    </xf>
    <xf numFmtId="164" fontId="9" fillId="6" borderId="2" xfId="0" applyFont="true" applyBorder="true" applyAlignment="true" applyProtection="false">
      <alignment horizontal="center" vertical="center" textRotation="0" wrapText="true" indent="0" shrinkToFit="false"/>
      <protection locked="true" hidden="false"/>
    </xf>
    <xf numFmtId="171" fontId="9" fillId="6" borderId="2" xfId="0" applyFont="true" applyBorder="true" applyAlignment="true" applyProtection="false">
      <alignment horizontal="center" vertical="center" textRotation="0" wrapText="false" indent="0" shrinkToFit="false"/>
      <protection locked="true" hidden="false"/>
    </xf>
    <xf numFmtId="164" fontId="24" fillId="6" borderId="2" xfId="0" applyFont="true" applyBorder="true" applyAlignment="true" applyProtection="false">
      <alignment horizontal="left" vertical="top" textRotation="0" wrapText="true" indent="1" shrinkToFit="false"/>
      <protection locked="true" hidden="false"/>
    </xf>
    <xf numFmtId="164" fontId="23" fillId="7" borderId="2" xfId="0" applyFont="true" applyBorder="true" applyAlignment="true" applyProtection="false">
      <alignment horizontal="left" vertical="top" textRotation="0" wrapText="true" indent="1" shrinkToFit="false"/>
      <protection locked="true" hidden="false"/>
    </xf>
    <xf numFmtId="164" fontId="23" fillId="7" borderId="2" xfId="0" applyFont="true" applyBorder="true" applyAlignment="true" applyProtection="false">
      <alignment horizontal="center" vertical="center" textRotation="0" wrapText="true" indent="0" shrinkToFit="false"/>
      <protection locked="true" hidden="false"/>
    </xf>
    <xf numFmtId="164" fontId="9" fillId="7" borderId="2" xfId="0" applyFont="true" applyBorder="true" applyAlignment="true" applyProtection="false">
      <alignment horizontal="left" vertical="top" textRotation="0" wrapText="true" indent="1" shrinkToFit="false"/>
      <protection locked="true" hidden="false"/>
    </xf>
    <xf numFmtId="164" fontId="9" fillId="7" borderId="2" xfId="0" applyFont="true" applyBorder="true" applyAlignment="true" applyProtection="false">
      <alignment horizontal="center" vertical="center" textRotation="0" wrapText="true" indent="0" shrinkToFit="false"/>
      <protection locked="true" hidden="false"/>
    </xf>
    <xf numFmtId="171" fontId="9" fillId="7" borderId="2" xfId="0" applyFont="true" applyBorder="true" applyAlignment="true" applyProtection="false">
      <alignment horizontal="center" vertical="center" textRotation="0" wrapText="false" indent="0" shrinkToFit="false"/>
      <protection locked="true" hidden="false"/>
    </xf>
    <xf numFmtId="164" fontId="24" fillId="7" borderId="2" xfId="0" applyFont="true" applyBorder="true" applyAlignment="true" applyProtection="false">
      <alignment horizontal="left" vertical="top" textRotation="0" wrapText="true" indent="1" shrinkToFit="false"/>
      <protection locked="true" hidden="false"/>
    </xf>
    <xf numFmtId="171" fontId="23" fillId="6" borderId="2" xfId="0" applyFont="true" applyBorder="true" applyAlignment="true" applyProtection="false">
      <alignment horizontal="center" vertical="center" textRotation="0" wrapText="true" indent="0" shrinkToFit="false"/>
      <protection locked="true" hidden="false"/>
    </xf>
    <xf numFmtId="171" fontId="23" fillId="7" borderId="2" xfId="0" applyFont="true" applyBorder="true" applyAlignment="true" applyProtection="false">
      <alignment horizontal="center" vertical="center" textRotation="0" wrapText="true" indent="0" shrinkToFit="false"/>
      <protection locked="true" hidden="false"/>
    </xf>
    <xf numFmtId="170" fontId="8" fillId="6" borderId="2" xfId="0" applyFont="true" applyBorder="true" applyAlignment="true" applyProtection="false">
      <alignment horizontal="center" vertical="center" textRotation="0" wrapText="false" indent="0" shrinkToFit="false"/>
      <protection locked="true" hidden="false"/>
    </xf>
    <xf numFmtId="166" fontId="25" fillId="6" borderId="2" xfId="0" applyFont="true" applyBorder="true" applyAlignment="true" applyProtection="false">
      <alignment horizontal="center" vertical="center" textRotation="0" wrapText="false" indent="0" shrinkToFit="false"/>
      <protection locked="true" hidden="false"/>
    </xf>
    <xf numFmtId="164" fontId="26" fillId="6" borderId="2" xfId="0" applyFont="true" applyBorder="true" applyAlignment="true" applyProtection="false">
      <alignment horizontal="left" vertical="center" textRotation="0" wrapText="false" indent="1" shrinkToFit="false"/>
      <protection locked="true" hidden="false"/>
    </xf>
    <xf numFmtId="170" fontId="8" fillId="7" borderId="2" xfId="0" applyFont="true" applyBorder="true" applyAlignment="true" applyProtection="false">
      <alignment horizontal="center" vertical="center" textRotation="0" wrapText="false" indent="0" shrinkToFit="false"/>
      <protection locked="true" hidden="false"/>
    </xf>
    <xf numFmtId="166" fontId="25" fillId="7" borderId="2" xfId="0" applyFont="true" applyBorder="true" applyAlignment="true" applyProtection="false">
      <alignment horizontal="center" vertical="center" textRotation="0" wrapText="false" indent="0" shrinkToFit="false"/>
      <protection locked="true" hidden="false"/>
    </xf>
    <xf numFmtId="164" fontId="26" fillId="7" borderId="2" xfId="0" applyFont="true" applyBorder="true" applyAlignment="true" applyProtection="false">
      <alignment horizontal="left" vertical="center" textRotation="0" wrapText="false" indent="1" shrinkToFit="false"/>
      <protection locked="true" hidden="false"/>
    </xf>
    <xf numFmtId="167" fontId="10" fillId="6" borderId="2" xfId="0" applyFont="true" applyBorder="true" applyAlignment="true" applyProtection="false">
      <alignment horizontal="right" vertical="center" textRotation="0" wrapText="false" indent="1" shrinkToFit="false"/>
      <protection locked="true" hidden="false"/>
    </xf>
    <xf numFmtId="167" fontId="10" fillId="7" borderId="2" xfId="0" applyFont="true" applyBorder="true" applyAlignment="true" applyProtection="false">
      <alignment horizontal="right" vertical="center" textRotation="0" wrapText="false" indent="1" shrinkToFit="false"/>
      <protection locked="true" hidden="false"/>
    </xf>
    <xf numFmtId="164" fontId="8" fillId="10" borderId="3" xfId="0" applyFont="true" applyBorder="true" applyAlignment="true" applyProtection="false">
      <alignment horizontal="left" vertical="center" textRotation="0" wrapText="false" indent="1" shrinkToFit="false"/>
      <protection locked="true" hidden="false"/>
    </xf>
    <xf numFmtId="168" fontId="8" fillId="10" borderId="3" xfId="0" applyFont="true" applyBorder="true" applyAlignment="true" applyProtection="false">
      <alignment horizontal="center" vertical="center" textRotation="0" wrapText="false" indent="0" shrinkToFit="false"/>
      <protection locked="true" hidden="false"/>
    </xf>
    <xf numFmtId="167" fontId="12" fillId="10" borderId="3" xfId="0" applyFont="true" applyBorder="true" applyAlignment="true" applyProtection="false">
      <alignment horizontal="righ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4">
    <dxf>
      <font>
        <name val="Inter"/>
        <charset val="1"/>
        <family val="0"/>
        <b val="1"/>
        <color rgb="FFE31B0C"/>
        <sz val="13"/>
      </font>
    </dxf>
    <dxf>
      <fill>
        <patternFill patternType="solid">
          <fgColor rgb="FFDCE9F4"/>
          <bgColor rgb="FF000000"/>
        </patternFill>
      </fill>
    </dxf>
    <dxf>
      <fill>
        <patternFill patternType="solid">
          <fgColor rgb="FFEEEEEE"/>
          <bgColor rgb="FF000000"/>
        </patternFill>
      </fill>
    </dxf>
    <dxf>
      <fill>
        <patternFill patternType="solid">
          <fgColor rgb="FF0D3C61"/>
          <bgColor rgb="FF000000"/>
        </patternFill>
      </fill>
    </dxf>
    <dxf>
      <fill>
        <patternFill patternType="solid">
          <fgColor rgb="FF1D3245"/>
          <bgColor rgb="FF000000"/>
        </patternFill>
      </fill>
    </dxf>
    <dxf>
      <fill>
        <patternFill patternType="solid">
          <fgColor rgb="FFF5F5F5"/>
          <bgColor rgb="FF000000"/>
        </patternFill>
      </fill>
    </dxf>
    <dxf>
      <fill>
        <patternFill patternType="solid">
          <fgColor rgb="FFFFFFFF"/>
          <bgColor rgb="FF000000"/>
        </patternFill>
      </fill>
    </dxf>
    <dxf>
      <fill>
        <patternFill patternType="solid">
          <fgColor rgb="FFE8F5E9"/>
          <bgColor rgb="FF000000"/>
        </patternFill>
      </fill>
    </dxf>
    <dxf>
      <fill>
        <patternFill patternType="solid">
          <fgColor rgb="FF4CAF50"/>
          <bgColor rgb="FF000000"/>
        </patternFill>
      </fill>
    </dxf>
    <dxf>
      <fill>
        <patternFill patternType="solid">
          <fgColor rgb="FFE31B0C"/>
          <bgColor rgb="FF000000"/>
        </patternFill>
      </fill>
    </dxf>
    <dxf>
      <fill>
        <patternFill patternType="solid">
          <fgColor rgb="FFEC6917"/>
          <bgColor rgb="FF000000"/>
        </patternFill>
      </fill>
    </dxf>
    <dxf>
      <fill>
        <patternFill patternType="solid">
          <fgColor rgb="FFFFB547"/>
          <bgColor rgb="FF000000"/>
        </patternFill>
      </fill>
    </dxf>
    <dxf>
      <fill>
        <patternFill patternType="solid">
          <fgColor rgb="FF64B6F7"/>
          <bgColor rgb="FF000000"/>
        </patternFill>
      </fill>
    </dxf>
    <dxf>
      <fill>
        <patternFill patternType="solid">
          <fgColor rgb="FFE0E0E0"/>
          <bgColor rgb="FF000000"/>
        </patternFill>
      </fill>
    </dxf>
    <dxf>
      <fill>
        <patternFill patternType="solid">
          <fgColor rgb="FF039BE5"/>
          <bgColor rgb="FF000000"/>
        </patternFill>
      </fill>
    </dxf>
    <dxf>
      <fill>
        <patternFill>
          <bgColor rgb="FFFFF4E0"/>
        </patternFill>
      </fill>
    </dxf>
    <dxf>
      <font>
        <name val="Inter"/>
        <charset val="1"/>
        <family val="0"/>
        <b val="1"/>
        <color rgb="FFFFFFFF"/>
        <sz val="9"/>
      </font>
      <fill>
        <patternFill>
          <bgColor rgb="FFE31B0C"/>
        </patternFill>
      </fill>
    </dxf>
    <dxf>
      <font>
        <name val="Inter"/>
        <charset val="1"/>
        <family val="0"/>
        <b val="1"/>
        <color rgb="FFFFFFFF"/>
        <sz val="9"/>
      </font>
      <fill>
        <patternFill>
          <bgColor rgb="FFEC6917"/>
        </patternFill>
      </fill>
    </dxf>
    <dxf>
      <font>
        <name val="Inter"/>
        <charset val="1"/>
        <family val="0"/>
        <b val="1"/>
        <color rgb="FF1D3245"/>
        <sz val="9"/>
      </font>
      <fill>
        <patternFill>
          <bgColor rgb="FFFFB547"/>
        </patternFill>
      </fill>
    </dxf>
    <dxf>
      <font>
        <name val="Inter"/>
        <charset val="1"/>
        <family val="0"/>
        <b val="1"/>
        <color rgb="FF1D3245"/>
        <sz val="9"/>
      </font>
      <fill>
        <patternFill>
          <bgColor rgb="FF4CAF50"/>
        </patternFill>
      </fill>
    </dxf>
    <dxf>
      <font>
        <name val="Inter"/>
        <charset val="1"/>
        <family val="0"/>
        <b val="1"/>
        <color rgb="FF1D3245"/>
        <sz val="9"/>
      </font>
      <fill>
        <patternFill>
          <bgColor rgb="FFE0E0E0"/>
        </patternFill>
      </fill>
    </dxf>
    <dxf>
      <font>
        <name val="Inter"/>
        <charset val="1"/>
        <family val="0"/>
        <b val="1"/>
        <color rgb="FF1D3245"/>
        <sz val="9"/>
      </font>
      <fill>
        <patternFill>
          <bgColor rgb="FF64B6F7"/>
        </patternFill>
      </fill>
    </dxf>
    <dxf>
      <font>
        <name val="Inter"/>
        <charset val="1"/>
        <family val="0"/>
        <b val="1"/>
        <color rgb="FF1D3245"/>
        <sz val="9"/>
      </font>
      <fill>
        <patternFill>
          <bgColor rgb="FFE8F5E9"/>
        </patternFill>
      </fill>
    </dxf>
    <dxf>
      <font>
        <name val="Inter"/>
        <charset val="1"/>
        <family val="0"/>
        <b val="1"/>
        <color rgb="FFBDBDBD"/>
        <sz val="9"/>
      </font>
      <fill>
        <patternFill>
          <bgColor rgb="FFEEEEEE"/>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BDBDBD"/>
      <rgbColor rgb="FF808080"/>
      <rgbColor rgb="FF9999FF"/>
      <rgbColor rgb="FF993366"/>
      <rgbColor rgb="FFFFF4E0"/>
      <rgbColor rgb="FFE3F0FA"/>
      <rgbColor rgb="FF660066"/>
      <rgbColor rgb="FFFF8080"/>
      <rgbColor rgb="FF0066CC"/>
      <rgbColor rgb="FFE0E0E0"/>
      <rgbColor rgb="FF000080"/>
      <rgbColor rgb="FFFF00FF"/>
      <rgbColor rgb="FFFFFF00"/>
      <rgbColor rgb="FF00FFFF"/>
      <rgbColor rgb="FF800080"/>
      <rgbColor rgb="FF800000"/>
      <rgbColor rgb="FF008080"/>
      <rgbColor rgb="FF0000FF"/>
      <rgbColor rgb="FF039BE5"/>
      <rgbColor rgb="FFE8F5E9"/>
      <rgbColor rgb="FFDCE9F4"/>
      <rgbColor rgb="FFF5F5F5"/>
      <rgbColor rgb="FF64B6F7"/>
      <rgbColor rgb="FFFF99CC"/>
      <rgbColor rgb="FFCC99FF"/>
      <rgbColor rgb="FFEEEEEE"/>
      <rgbColor rgb="FF3480BC"/>
      <rgbColor rgb="FF33CCCC"/>
      <rgbColor rgb="FF99CC00"/>
      <rgbColor rgb="FFFFB547"/>
      <rgbColor rgb="FFFF9900"/>
      <rgbColor rgb="FFEC6917"/>
      <rgbColor rgb="FF666699"/>
      <rgbColor rgb="FF8E98A2"/>
      <rgbColor rgb="FF0D3C61"/>
      <rgbColor rgb="FF4CAF50"/>
      <rgbColor rgb="FF0C1628"/>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57240</xdr:colOff>
      <xdr:row>2</xdr:row>
      <xdr:rowOff>76320</xdr:rowOff>
    </xdr:from>
    <xdr:to>
      <xdr:col>3</xdr:col>
      <xdr:colOff>230400</xdr:colOff>
      <xdr:row>5</xdr:row>
      <xdr:rowOff>66600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423720" y="409680"/>
          <a:ext cx="2076120" cy="618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599760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599760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106200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B1:G7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
    <col collapsed="false" customWidth="true" hidden="false" outlineLevel="0" max="3" min="3" style="0" width="27"/>
    <col collapsed="false" customWidth="true" hidden="false" outlineLevel="0" max="6" min="4" style="0" width="20"/>
    <col collapsed="false" customWidth="true" hidden="false" outlineLevel="0" max="7" min="7" style="0" width="18"/>
    <col collapsed="false" customWidth="true" hidden="false" outlineLevel="0" max="8" min="8" style="0" width="2.2"/>
  </cols>
  <sheetData>
    <row r="1" customFormat="false" ht="9.75" hidden="false" customHeight="true" outlineLevel="0" collapsed="false"/>
    <row r="2" customFormat="false" ht="16.5" hidden="false" customHeight="true" outlineLevel="0" collapsed="false">
      <c r="B2" s="1"/>
      <c r="C2" s="1"/>
      <c r="D2" s="1"/>
      <c r="E2" s="1"/>
      <c r="F2" s="1"/>
      <c r="G2" s="1"/>
    </row>
    <row r="3" customFormat="false" ht="16.5" hidden="false" customHeight="true" outlineLevel="0" collapsed="false">
      <c r="B3" s="1"/>
      <c r="C3" s="1"/>
      <c r="D3" s="1"/>
      <c r="E3" s="1"/>
      <c r="F3" s="1"/>
      <c r="G3" s="1"/>
    </row>
    <row r="4" customFormat="false" ht="16.5" hidden="false" customHeight="true" outlineLevel="0" collapsed="false">
      <c r="B4" s="1"/>
      <c r="C4" s="1"/>
      <c r="D4" s="1"/>
      <c r="E4" s="1"/>
      <c r="F4" s="1"/>
      <c r="G4" s="1"/>
    </row>
    <row r="5" customFormat="false" ht="16.5" hidden="false" customHeight="true" outlineLevel="0" collapsed="false">
      <c r="B5" s="1"/>
      <c r="C5" s="1"/>
      <c r="D5" s="1"/>
      <c r="E5" s="1"/>
      <c r="F5" s="1"/>
      <c r="G5" s="1"/>
    </row>
    <row r="6" customFormat="false" ht="31.5" hidden="false" customHeight="true" outlineLevel="0" collapsed="false">
      <c r="B6" s="1"/>
      <c r="C6" s="2" t="s">
        <v>0</v>
      </c>
      <c r="D6" s="2"/>
      <c r="E6" s="2"/>
      <c r="F6" s="2"/>
      <c r="G6" s="2"/>
    </row>
    <row r="7" customFormat="false" ht="9.75" hidden="false" customHeight="true" outlineLevel="0" collapsed="false">
      <c r="B7" s="1"/>
      <c r="C7" s="1"/>
      <c r="D7" s="1"/>
      <c r="E7" s="1"/>
      <c r="F7" s="1"/>
      <c r="G7" s="1"/>
    </row>
    <row r="8" customFormat="false" ht="4.5" hidden="false" customHeight="true" outlineLevel="0" collapsed="false">
      <c r="B8" s="3"/>
      <c r="C8" s="3"/>
      <c r="D8" s="3"/>
      <c r="E8" s="3"/>
      <c r="F8" s="3"/>
      <c r="G8" s="3"/>
    </row>
    <row r="9" customFormat="false" ht="7.5" hidden="false" customHeight="true" outlineLevel="0" collapsed="false"/>
    <row r="10" customFormat="false" ht="16.5" hidden="false" customHeight="true" outlineLevel="0" collapsed="false">
      <c r="B10" s="4" t="s">
        <v>1</v>
      </c>
      <c r="C10" s="4"/>
      <c r="D10" s="4"/>
      <c r="E10" s="4"/>
      <c r="F10" s="4"/>
      <c r="G10" s="4"/>
    </row>
    <row r="11" customFormat="false" ht="16.5" hidden="false" customHeight="true" outlineLevel="0" collapsed="false">
      <c r="B11" s="4"/>
      <c r="C11" s="4"/>
      <c r="D11" s="4"/>
      <c r="E11" s="4"/>
      <c r="F11" s="4"/>
      <c r="G11" s="4"/>
    </row>
    <row r="12" customFormat="false" ht="16.5" hidden="false" customHeight="true" outlineLevel="0" collapsed="false">
      <c r="B12" s="4"/>
      <c r="C12" s="4"/>
      <c r="D12" s="4"/>
      <c r="E12" s="4"/>
      <c r="F12" s="4"/>
      <c r="G12" s="4"/>
    </row>
    <row r="13" customFormat="false" ht="16.5" hidden="false" customHeight="true" outlineLevel="0" collapsed="false">
      <c r="B13" s="4"/>
      <c r="C13" s="4"/>
      <c r="D13" s="4"/>
      <c r="E13" s="4"/>
      <c r="F13" s="4"/>
      <c r="G13" s="4"/>
    </row>
    <row r="15" customFormat="false" ht="24" hidden="false" customHeight="true" outlineLevel="0" collapsed="false">
      <c r="B15" s="5" t="s">
        <v>2</v>
      </c>
      <c r="C15" s="5"/>
      <c r="D15" s="5"/>
      <c r="E15" s="5"/>
      <c r="F15" s="5"/>
      <c r="G15" s="5"/>
    </row>
    <row r="16" customFormat="false" ht="15.75" hidden="false" customHeight="true" outlineLevel="0" collapsed="false">
      <c r="B16" s="6" t="s">
        <v>3</v>
      </c>
      <c r="C16" s="7" t="s">
        <v>4</v>
      </c>
      <c r="D16" s="8" t="s">
        <v>5</v>
      </c>
      <c r="E16" s="8"/>
      <c r="F16" s="8"/>
      <c r="G16" s="8"/>
    </row>
    <row r="17" customFormat="false" ht="15.75" hidden="false" customHeight="true" outlineLevel="0" collapsed="false">
      <c r="B17" s="6"/>
      <c r="C17" s="6"/>
      <c r="D17" s="6"/>
      <c r="E17" s="8"/>
      <c r="F17" s="8"/>
      <c r="G17" s="8"/>
    </row>
    <row r="18" customFormat="false" ht="15.75" hidden="false" customHeight="true" outlineLevel="0" collapsed="false">
      <c r="B18" s="6"/>
      <c r="C18" s="6"/>
      <c r="D18" s="6"/>
      <c r="E18" s="8"/>
      <c r="F18" s="8"/>
      <c r="G18" s="8"/>
    </row>
    <row r="19" customFormat="false" ht="15.75" hidden="false" customHeight="true" outlineLevel="0" collapsed="false">
      <c r="B19" s="6" t="s">
        <v>6</v>
      </c>
      <c r="C19" s="7" t="s">
        <v>7</v>
      </c>
      <c r="D19" s="8" t="s">
        <v>8</v>
      </c>
      <c r="E19" s="8"/>
      <c r="F19" s="8"/>
      <c r="G19" s="8"/>
    </row>
    <row r="20" customFormat="false" ht="15.75" hidden="false" customHeight="true" outlineLevel="0" collapsed="false">
      <c r="B20" s="6"/>
      <c r="C20" s="6"/>
      <c r="D20" s="6"/>
      <c r="E20" s="8"/>
      <c r="F20" s="8"/>
      <c r="G20" s="8"/>
    </row>
    <row r="21" customFormat="false" ht="15.75" hidden="false" customHeight="true" outlineLevel="0" collapsed="false">
      <c r="B21" s="6"/>
      <c r="C21" s="6"/>
      <c r="D21" s="6"/>
      <c r="E21" s="8"/>
      <c r="F21" s="8"/>
      <c r="G21" s="8"/>
    </row>
    <row r="22" customFormat="false" ht="15.75" hidden="false" customHeight="true" outlineLevel="0" collapsed="false">
      <c r="B22" s="6" t="s">
        <v>9</v>
      </c>
      <c r="C22" s="7" t="s">
        <v>10</v>
      </c>
      <c r="D22" s="8" t="s">
        <v>11</v>
      </c>
      <c r="E22" s="8"/>
      <c r="F22" s="8"/>
      <c r="G22" s="8"/>
    </row>
    <row r="23" customFormat="false" ht="15.75" hidden="false" customHeight="true" outlineLevel="0" collapsed="false">
      <c r="B23" s="6"/>
      <c r="C23" s="6"/>
      <c r="D23" s="6"/>
      <c r="E23" s="8"/>
      <c r="F23" s="8"/>
      <c r="G23" s="8"/>
    </row>
    <row r="24" customFormat="false" ht="15.75" hidden="false" customHeight="true" outlineLevel="0" collapsed="false">
      <c r="B24" s="6"/>
      <c r="C24" s="6"/>
      <c r="D24" s="6"/>
      <c r="E24" s="8"/>
      <c r="F24" s="8"/>
      <c r="G24" s="8"/>
    </row>
    <row r="25" customFormat="false" ht="15.75" hidden="false" customHeight="true" outlineLevel="0" collapsed="false">
      <c r="B25" s="6" t="s">
        <v>12</v>
      </c>
      <c r="C25" s="7" t="s">
        <v>13</v>
      </c>
      <c r="D25" s="8" t="s">
        <v>14</v>
      </c>
      <c r="E25" s="8"/>
      <c r="F25" s="8"/>
      <c r="G25" s="8"/>
    </row>
    <row r="26" customFormat="false" ht="15.75" hidden="false" customHeight="true" outlineLevel="0" collapsed="false">
      <c r="B26" s="6"/>
      <c r="C26" s="6"/>
      <c r="D26" s="6"/>
      <c r="E26" s="8"/>
      <c r="F26" s="8"/>
      <c r="G26" s="8"/>
    </row>
    <row r="27" customFormat="false" ht="15.75" hidden="false" customHeight="true" outlineLevel="0" collapsed="false">
      <c r="B27" s="6"/>
      <c r="C27" s="6"/>
      <c r="D27" s="6"/>
      <c r="E27" s="8"/>
      <c r="F27" s="8"/>
      <c r="G27" s="8"/>
    </row>
    <row r="28" customFormat="false" ht="15.75" hidden="false" customHeight="true" outlineLevel="0" collapsed="false">
      <c r="B28" s="6" t="s">
        <v>15</v>
      </c>
      <c r="C28" s="7" t="s">
        <v>16</v>
      </c>
      <c r="D28" s="8" t="s">
        <v>17</v>
      </c>
      <c r="E28" s="8"/>
      <c r="F28" s="8"/>
      <c r="G28" s="8"/>
    </row>
    <row r="29" customFormat="false" ht="15.75" hidden="false" customHeight="true" outlineLevel="0" collapsed="false">
      <c r="B29" s="6"/>
      <c r="C29" s="6"/>
      <c r="D29" s="6"/>
      <c r="E29" s="8"/>
      <c r="F29" s="8"/>
      <c r="G29" s="8"/>
    </row>
    <row r="30" customFormat="false" ht="15.75" hidden="false" customHeight="true" outlineLevel="0" collapsed="false">
      <c r="B30" s="6"/>
      <c r="C30" s="6"/>
      <c r="D30" s="6"/>
      <c r="E30" s="8"/>
      <c r="F30" s="8"/>
      <c r="G30" s="8"/>
    </row>
    <row r="31" customFormat="false" ht="15.75" hidden="false" customHeight="true" outlineLevel="0" collapsed="false">
      <c r="B31" s="6" t="s">
        <v>18</v>
      </c>
      <c r="C31" s="7" t="s">
        <v>19</v>
      </c>
      <c r="D31" s="8" t="s">
        <v>20</v>
      </c>
      <c r="E31" s="8"/>
      <c r="F31" s="8"/>
      <c r="G31" s="8"/>
    </row>
    <row r="32" customFormat="false" ht="15.75" hidden="false" customHeight="true" outlineLevel="0" collapsed="false">
      <c r="B32" s="6"/>
      <c r="C32" s="6"/>
      <c r="D32" s="6"/>
      <c r="E32" s="8"/>
      <c r="F32" s="8"/>
      <c r="G32" s="8"/>
    </row>
    <row r="33" customFormat="false" ht="15.75" hidden="false" customHeight="true" outlineLevel="0" collapsed="false">
      <c r="B33" s="6"/>
      <c r="C33" s="6"/>
      <c r="D33" s="6"/>
      <c r="E33" s="8"/>
      <c r="F33" s="8"/>
      <c r="G33" s="8"/>
    </row>
    <row r="34" customFormat="false" ht="15.75" hidden="false" customHeight="true" outlineLevel="0" collapsed="false">
      <c r="B34" s="6" t="s">
        <v>21</v>
      </c>
      <c r="C34" s="7" t="s">
        <v>22</v>
      </c>
      <c r="D34" s="8" t="s">
        <v>23</v>
      </c>
      <c r="E34" s="8"/>
      <c r="F34" s="8"/>
      <c r="G34" s="8"/>
    </row>
    <row r="35" customFormat="false" ht="15.75" hidden="false" customHeight="true" outlineLevel="0" collapsed="false">
      <c r="B35" s="6"/>
      <c r="C35" s="6"/>
      <c r="D35" s="6"/>
      <c r="E35" s="8"/>
      <c r="F35" s="8"/>
      <c r="G35" s="8"/>
    </row>
    <row r="36" customFormat="false" ht="15.75" hidden="false" customHeight="true" outlineLevel="0" collapsed="false">
      <c r="B36" s="6"/>
      <c r="C36" s="6"/>
      <c r="D36" s="6"/>
      <c r="E36" s="8"/>
      <c r="F36" s="8"/>
      <c r="G36" s="8"/>
    </row>
    <row r="38" customFormat="false" ht="24" hidden="false" customHeight="true" outlineLevel="0" collapsed="false">
      <c r="B38" s="5" t="s">
        <v>24</v>
      </c>
      <c r="C38" s="5"/>
      <c r="D38" s="5"/>
      <c r="E38" s="5"/>
      <c r="F38" s="5"/>
      <c r="G38" s="5"/>
    </row>
    <row r="39" customFormat="false" ht="18.75" hidden="false" customHeight="true" outlineLevel="0" collapsed="false">
      <c r="B39" s="9"/>
      <c r="C39" s="9" t="s">
        <v>25</v>
      </c>
      <c r="D39" s="9" t="s">
        <v>26</v>
      </c>
      <c r="E39" s="9"/>
      <c r="F39" s="9"/>
      <c r="G39" s="9"/>
    </row>
    <row r="40" customFormat="false" ht="30" hidden="false" customHeight="true" outlineLevel="0" collapsed="false">
      <c r="B40" s="10"/>
      <c r="C40" s="11" t="s">
        <v>27</v>
      </c>
      <c r="D40" s="12" t="s">
        <v>28</v>
      </c>
      <c r="E40" s="12"/>
      <c r="F40" s="12"/>
      <c r="G40" s="12"/>
    </row>
    <row r="41" customFormat="false" ht="30" hidden="false" customHeight="true" outlineLevel="0" collapsed="false">
      <c r="B41" s="13"/>
      <c r="C41" s="14" t="s">
        <v>29</v>
      </c>
      <c r="D41" s="15" t="s">
        <v>30</v>
      </c>
      <c r="E41" s="15"/>
      <c r="F41" s="15"/>
      <c r="G41" s="15"/>
    </row>
    <row r="42" customFormat="false" ht="30" hidden="false" customHeight="true" outlineLevel="0" collapsed="false">
      <c r="B42" s="10"/>
      <c r="C42" s="11" t="s">
        <v>31</v>
      </c>
      <c r="D42" s="12" t="s">
        <v>32</v>
      </c>
      <c r="E42" s="12"/>
      <c r="F42" s="12"/>
      <c r="G42" s="12"/>
    </row>
    <row r="43" customFormat="false" ht="30" hidden="false" customHeight="true" outlineLevel="0" collapsed="false">
      <c r="B43" s="13"/>
      <c r="C43" s="14" t="s">
        <v>33</v>
      </c>
      <c r="D43" s="15" t="s">
        <v>34</v>
      </c>
      <c r="E43" s="15"/>
      <c r="F43" s="15"/>
      <c r="G43" s="15"/>
    </row>
    <row r="44" customFormat="false" ht="30" hidden="false" customHeight="true" outlineLevel="0" collapsed="false">
      <c r="B44" s="10"/>
      <c r="C44" s="11" t="s">
        <v>35</v>
      </c>
      <c r="D44" s="12" t="s">
        <v>36</v>
      </c>
      <c r="E44" s="12"/>
      <c r="F44" s="12"/>
      <c r="G44" s="12"/>
    </row>
    <row r="46" customFormat="false" ht="24" hidden="false" customHeight="true" outlineLevel="0" collapsed="false">
      <c r="B46" s="5" t="s">
        <v>37</v>
      </c>
      <c r="C46" s="5"/>
      <c r="D46" s="5"/>
      <c r="E46" s="5"/>
      <c r="F46" s="5"/>
      <c r="G46" s="5"/>
    </row>
    <row r="47" customFormat="false" ht="15.75" hidden="false" customHeight="true" outlineLevel="0" collapsed="false">
      <c r="C47" s="16" t="s">
        <v>38</v>
      </c>
      <c r="D47" s="8" t="s">
        <v>39</v>
      </c>
      <c r="E47" s="8"/>
      <c r="F47" s="8"/>
      <c r="G47" s="8"/>
    </row>
    <row r="48" customFormat="false" ht="15.75" hidden="false" customHeight="true" outlineLevel="0" collapsed="false">
      <c r="C48" s="16"/>
      <c r="D48" s="16"/>
      <c r="E48" s="8"/>
      <c r="F48" s="8"/>
      <c r="G48" s="8"/>
    </row>
    <row r="49" customFormat="false" ht="15.75" hidden="false" customHeight="true" outlineLevel="0" collapsed="false">
      <c r="C49" s="16"/>
      <c r="D49" s="16"/>
      <c r="E49" s="8"/>
      <c r="F49" s="8"/>
      <c r="G49" s="8"/>
    </row>
    <row r="50" customFormat="false" ht="15.75" hidden="false" customHeight="true" outlineLevel="0" collapsed="false">
      <c r="C50" s="16"/>
      <c r="D50" s="16"/>
      <c r="E50" s="8"/>
      <c r="F50" s="8"/>
      <c r="G50" s="8"/>
    </row>
    <row r="51" customFormat="false" ht="15.75" hidden="false" customHeight="true" outlineLevel="0" collapsed="false">
      <c r="C51" s="16"/>
      <c r="D51" s="16"/>
      <c r="E51" s="8"/>
      <c r="F51" s="8"/>
      <c r="G51" s="8"/>
    </row>
    <row r="53" customFormat="false" ht="15.75" hidden="false" customHeight="true" outlineLevel="0" collapsed="false">
      <c r="C53" s="16" t="s">
        <v>40</v>
      </c>
      <c r="D53" s="8" t="s">
        <v>41</v>
      </c>
      <c r="E53" s="8"/>
      <c r="F53" s="8"/>
      <c r="G53" s="8"/>
    </row>
    <row r="54" customFormat="false" ht="15.75" hidden="false" customHeight="true" outlineLevel="0" collapsed="false">
      <c r="C54" s="16"/>
      <c r="D54" s="16"/>
      <c r="E54" s="8"/>
      <c r="F54" s="8"/>
      <c r="G54" s="8"/>
    </row>
    <row r="55" customFormat="false" ht="15.75" hidden="false" customHeight="true" outlineLevel="0" collapsed="false">
      <c r="C55" s="16"/>
      <c r="D55" s="16"/>
      <c r="E55" s="8"/>
      <c r="F55" s="8"/>
      <c r="G55" s="8"/>
    </row>
    <row r="56" customFormat="false" ht="15.75" hidden="false" customHeight="true" outlineLevel="0" collapsed="false">
      <c r="C56" s="16"/>
      <c r="D56" s="16"/>
      <c r="E56" s="8"/>
      <c r="F56" s="8"/>
      <c r="G56" s="8"/>
    </row>
    <row r="57" customFormat="false" ht="15.75" hidden="false" customHeight="true" outlineLevel="0" collapsed="false">
      <c r="C57" s="16"/>
      <c r="D57" s="16"/>
      <c r="E57" s="8"/>
      <c r="F57" s="8"/>
      <c r="G57" s="8"/>
    </row>
    <row r="59" customFormat="false" ht="15.75" hidden="false" customHeight="true" outlineLevel="0" collapsed="false">
      <c r="C59" s="16" t="s">
        <v>42</v>
      </c>
      <c r="D59" s="8" t="s">
        <v>43</v>
      </c>
      <c r="E59" s="8"/>
      <c r="F59" s="8"/>
      <c r="G59" s="8"/>
    </row>
    <row r="60" customFormat="false" ht="15.75" hidden="false" customHeight="true" outlineLevel="0" collapsed="false">
      <c r="C60" s="16"/>
      <c r="D60" s="16"/>
      <c r="E60" s="8"/>
      <c r="F60" s="8"/>
      <c r="G60" s="8"/>
    </row>
    <row r="61" customFormat="false" ht="15.75" hidden="false" customHeight="true" outlineLevel="0" collapsed="false">
      <c r="C61" s="16"/>
      <c r="D61" s="16"/>
      <c r="E61" s="8"/>
      <c r="F61" s="8"/>
      <c r="G61" s="8"/>
    </row>
    <row r="62" customFormat="false" ht="15.75" hidden="false" customHeight="true" outlineLevel="0" collapsed="false">
      <c r="C62" s="16"/>
      <c r="D62" s="16"/>
      <c r="E62" s="8"/>
      <c r="F62" s="8"/>
      <c r="G62" s="8"/>
    </row>
    <row r="63" customFormat="false" ht="15.75" hidden="false" customHeight="true" outlineLevel="0" collapsed="false">
      <c r="C63" s="16"/>
      <c r="D63" s="16"/>
      <c r="E63" s="8"/>
      <c r="F63" s="8"/>
      <c r="G63" s="8"/>
    </row>
    <row r="65" customFormat="false" ht="15" hidden="false" customHeight="false" outlineLevel="0" collapsed="false">
      <c r="B65" s="17" t="s">
        <v>44</v>
      </c>
      <c r="C65" s="17"/>
      <c r="D65" s="17"/>
      <c r="E65" s="17"/>
      <c r="F65" s="17"/>
      <c r="G65" s="17"/>
    </row>
    <row r="66" customFormat="false" ht="15" hidden="false" customHeight="true" outlineLevel="0" collapsed="false">
      <c r="B66" s="18" t="s">
        <v>45</v>
      </c>
      <c r="C66" s="18"/>
      <c r="D66" s="18"/>
      <c r="E66" s="18"/>
      <c r="F66" s="18"/>
      <c r="G66" s="18"/>
    </row>
    <row r="67" customFormat="false" ht="15" hidden="false" customHeight="true" outlineLevel="0" collapsed="false">
      <c r="B67" s="18"/>
      <c r="C67" s="18"/>
      <c r="D67" s="18"/>
      <c r="E67" s="18"/>
      <c r="F67" s="18"/>
      <c r="G67" s="18"/>
    </row>
    <row r="68" customFormat="false" ht="15" hidden="false" customHeight="true" outlineLevel="0" collapsed="false">
      <c r="B68" s="18"/>
      <c r="C68" s="18"/>
      <c r="D68" s="18"/>
      <c r="E68" s="18"/>
      <c r="F68" s="18"/>
      <c r="G68" s="18"/>
    </row>
    <row r="69" customFormat="false" ht="15" hidden="false" customHeight="true" outlineLevel="0" collapsed="false">
      <c r="B69" s="18"/>
      <c r="C69" s="18"/>
      <c r="D69" s="18"/>
      <c r="E69" s="18"/>
      <c r="F69" s="18"/>
      <c r="G69" s="18"/>
    </row>
    <row r="71" customFormat="false" ht="19.5" hidden="false" customHeight="true" outlineLevel="0" collapsed="false">
      <c r="B71" s="19" t="s">
        <v>46</v>
      </c>
      <c r="C71" s="19"/>
      <c r="D71" s="19"/>
      <c r="E71" s="19"/>
      <c r="F71" s="19"/>
      <c r="G71" s="19"/>
    </row>
  </sheetData>
  <mergeCells count="41">
    <mergeCell ref="C6:G6"/>
    <mergeCell ref="B10:G13"/>
    <mergeCell ref="B15:G15"/>
    <mergeCell ref="B16:B18"/>
    <mergeCell ref="C16:C18"/>
    <mergeCell ref="D16:G18"/>
    <mergeCell ref="B19:B21"/>
    <mergeCell ref="C19:C21"/>
    <mergeCell ref="D19:G21"/>
    <mergeCell ref="B22:B24"/>
    <mergeCell ref="C22:C24"/>
    <mergeCell ref="D22:G24"/>
    <mergeCell ref="B25:B27"/>
    <mergeCell ref="C25:C27"/>
    <mergeCell ref="D25:G27"/>
    <mergeCell ref="B28:B30"/>
    <mergeCell ref="C28:C30"/>
    <mergeCell ref="D28:G30"/>
    <mergeCell ref="B31:B33"/>
    <mergeCell ref="C31:C33"/>
    <mergeCell ref="D31:G33"/>
    <mergeCell ref="B34:B36"/>
    <mergeCell ref="C34:C36"/>
    <mergeCell ref="D34:G36"/>
    <mergeCell ref="B38:G38"/>
    <mergeCell ref="D39:G39"/>
    <mergeCell ref="D40:G40"/>
    <mergeCell ref="D41:G41"/>
    <mergeCell ref="D42:G42"/>
    <mergeCell ref="D43:G43"/>
    <mergeCell ref="D44:G44"/>
    <mergeCell ref="B46:G46"/>
    <mergeCell ref="C47:C51"/>
    <mergeCell ref="D47:G51"/>
    <mergeCell ref="C53:C57"/>
    <mergeCell ref="D53:G57"/>
    <mergeCell ref="C59:C63"/>
    <mergeCell ref="D59:G63"/>
    <mergeCell ref="B65:G65"/>
    <mergeCell ref="B66:G69"/>
    <mergeCell ref="B71:G71"/>
  </mergeCells>
  <hyperlinks>
    <hyperlink ref="C40" location="'Plan'!A1" display="Plan"/>
    <hyperlink ref="C41" location="'Risk Register'!A1" display="Risk Register"/>
    <hyperlink ref="C42" location="'Treatment Actions'!A1" display="Treatment Actions"/>
    <hyperlink ref="C43" location="'Summary'!A1" display="Summary"/>
    <hyperlink ref="C44" location="'Reference'!A1" display="Reference"/>
    <hyperlink ref="B71" r:id="rId1" display="Built for teams delivering capital projects, programs and portfolios.  Mastt  ·  mastt.com"/>
  </hyperlink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H1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4"/>
    <col collapsed="false" customWidth="true" hidden="false" outlineLevel="0" max="3" min="3" style="0" width="5"/>
    <col collapsed="false" customWidth="true" hidden="false" outlineLevel="0" max="4" min="4" style="0" width="30"/>
    <col collapsed="false" customWidth="true" hidden="false" outlineLevel="0" max="5" min="5" style="0" width="5"/>
    <col collapsed="false" customWidth="true" hidden="false" outlineLevel="0" max="6" min="6" style="0" width="26"/>
    <col collapsed="false" customWidth="true" hidden="false" outlineLevel="0" max="7" min="7" style="0" width="5"/>
    <col collapsed="false" customWidth="true" hidden="false" outlineLevel="0" max="8" min="8" style="0" width="20"/>
    <col collapsed="false" customWidth="true" hidden="false" outlineLevel="0" max="9" min="9" style="0" width="2.2"/>
  </cols>
  <sheetData>
    <row r="1" customFormat="false" ht="33.75" hidden="false" customHeight="true" outlineLevel="0" collapsed="false">
      <c r="B1" s="20" t="s">
        <v>47</v>
      </c>
      <c r="C1" s="20"/>
      <c r="D1" s="20"/>
      <c r="E1" s="20"/>
      <c r="F1" s="20"/>
      <c r="G1" s="20"/>
      <c r="H1" s="20"/>
    </row>
    <row r="2" customFormat="false" ht="4.5" hidden="false" customHeight="true" outlineLevel="0" collapsed="false">
      <c r="B2" s="21"/>
      <c r="C2" s="21"/>
      <c r="D2" s="21"/>
      <c r="E2" s="21"/>
      <c r="F2" s="21"/>
      <c r="G2" s="21"/>
      <c r="H2" s="21"/>
    </row>
    <row r="4" customFormat="false" ht="42" hidden="false" customHeight="true" outlineLevel="0" collapsed="false">
      <c r="B4" s="22" t="s">
        <v>48</v>
      </c>
      <c r="C4" s="22"/>
      <c r="D4" s="22"/>
      <c r="E4" s="22"/>
      <c r="F4" s="22"/>
      <c r="G4" s="22"/>
      <c r="H4" s="22"/>
    </row>
    <row r="6" customFormat="false" ht="25.5" hidden="false" customHeight="true" outlineLevel="0" collapsed="false">
      <c r="B6" s="9" t="s">
        <v>49</v>
      </c>
      <c r="D6" s="9" t="s">
        <v>50</v>
      </c>
      <c r="F6" s="9" t="s">
        <v>51</v>
      </c>
      <c r="H6" s="9" t="s">
        <v>52</v>
      </c>
    </row>
    <row r="7" customFormat="false" ht="21.75" hidden="false" customHeight="true" outlineLevel="0" collapsed="false">
      <c r="B7" s="23" t="s">
        <v>53</v>
      </c>
      <c r="D7" s="23" t="s">
        <v>54</v>
      </c>
      <c r="F7" s="23" t="s">
        <v>55</v>
      </c>
      <c r="H7" s="23" t="s">
        <v>56</v>
      </c>
    </row>
    <row r="8" customFormat="false" ht="21.75" hidden="false" customHeight="true" outlineLevel="0" collapsed="false">
      <c r="B8" s="23" t="s">
        <v>57</v>
      </c>
      <c r="D8" s="23" t="s">
        <v>58</v>
      </c>
      <c r="F8" s="23" t="s">
        <v>59</v>
      </c>
      <c r="H8" s="23" t="s">
        <v>60</v>
      </c>
    </row>
    <row r="9" customFormat="false" ht="21.75" hidden="false" customHeight="true" outlineLevel="0" collapsed="false">
      <c r="B9" s="23" t="s">
        <v>60</v>
      </c>
      <c r="D9" s="23" t="s">
        <v>61</v>
      </c>
      <c r="F9" s="23" t="s">
        <v>62</v>
      </c>
      <c r="H9" s="23" t="s">
        <v>63</v>
      </c>
    </row>
    <row r="10" customFormat="false" ht="21.75" hidden="false" customHeight="true" outlineLevel="0" collapsed="false">
      <c r="B10" s="23" t="s">
        <v>64</v>
      </c>
      <c r="D10" s="23" t="s">
        <v>65</v>
      </c>
      <c r="F10" s="23" t="s">
        <v>66</v>
      </c>
      <c r="H10" s="23" t="s">
        <v>67</v>
      </c>
    </row>
    <row r="11" customFormat="false" ht="21.75" hidden="false" customHeight="true" outlineLevel="0" collapsed="false">
      <c r="B11" s="23" t="s">
        <v>68</v>
      </c>
      <c r="D11" s="23" t="s">
        <v>69</v>
      </c>
      <c r="F11" s="23" t="s">
        <v>70</v>
      </c>
      <c r="H11" s="23" t="s">
        <v>71</v>
      </c>
    </row>
    <row r="12" customFormat="false" ht="21.75" hidden="false" customHeight="true" outlineLevel="0" collapsed="false">
      <c r="B12" s="23" t="s">
        <v>72</v>
      </c>
      <c r="D12" s="23" t="s">
        <v>73</v>
      </c>
      <c r="F12" s="23" t="s">
        <v>74</v>
      </c>
      <c r="H12" s="23" t="s">
        <v>75</v>
      </c>
    </row>
    <row r="13" customFormat="false" ht="21.75" hidden="false" customHeight="true" outlineLevel="0" collapsed="false">
      <c r="B13" s="23" t="s">
        <v>76</v>
      </c>
      <c r="H13" s="23" t="s">
        <v>77</v>
      </c>
    </row>
    <row r="14" customFormat="false" ht="15.75" hidden="false" customHeight="true" outlineLevel="0" collapsed="false">
      <c r="B14" s="23" t="s">
        <v>78</v>
      </c>
    </row>
    <row r="15" customFormat="false" ht="15.75" hidden="false" customHeight="true" outlineLevel="0" collapsed="false">
      <c r="B15" s="23" t="s">
        <v>79</v>
      </c>
    </row>
    <row r="16" customFormat="false" ht="15.75" hidden="false" customHeight="true" outlineLevel="0" collapsed="false">
      <c r="B16" s="23" t="s">
        <v>80</v>
      </c>
    </row>
    <row r="17" customFormat="false" ht="15.75" hidden="false" customHeight="true" outlineLevel="0" collapsed="false">
      <c r="B17" s="23" t="s">
        <v>81</v>
      </c>
    </row>
    <row r="18" customFormat="false" ht="15.75" hidden="false" customHeight="true" outlineLevel="0" collapsed="false">
      <c r="B18" s="23" t="s">
        <v>82</v>
      </c>
    </row>
    <row r="19" customFormat="false" ht="15.75" hidden="false" customHeight="true" outlineLevel="0" collapsed="false">
      <c r="B19" s="23" t="s">
        <v>83</v>
      </c>
    </row>
    <row r="20" customFormat="false" ht="15.75" hidden="false" customHeight="true" outlineLevel="0" collapsed="false">
      <c r="B20" s="23" t="s">
        <v>84</v>
      </c>
    </row>
    <row r="21" customFormat="false" ht="15.75" hidden="false" customHeight="true" outlineLevel="0" collapsed="false">
      <c r="B21" s="23" t="s">
        <v>85</v>
      </c>
    </row>
    <row r="22" customFormat="false" ht="15.75" hidden="false" customHeight="true" outlineLevel="0" collapsed="false">
      <c r="B22" s="23" t="s">
        <v>86</v>
      </c>
    </row>
    <row r="23" customFormat="false" ht="15.75" hidden="false" customHeight="true" outlineLevel="0" collapsed="false">
      <c r="B23" s="23" t="s">
        <v>75</v>
      </c>
    </row>
    <row r="24" customFormat="false" ht="15.75" hidden="false" customHeight="true" outlineLevel="0" collapsed="false">
      <c r="B24" s="23" t="s">
        <v>87</v>
      </c>
    </row>
    <row r="25" customFormat="false" ht="15.75" hidden="false" customHeight="true" outlineLevel="0" collapsed="false">
      <c r="B25" s="23" t="s">
        <v>88</v>
      </c>
    </row>
    <row r="26" customFormat="false" ht="15.75" hidden="false" customHeight="true" outlineLevel="0" collapsed="false">
      <c r="B26" s="23" t="s">
        <v>89</v>
      </c>
    </row>
    <row r="27" customFormat="false" ht="15.75" hidden="false" customHeight="true" outlineLevel="0" collapsed="false">
      <c r="B27" s="23" t="s">
        <v>90</v>
      </c>
    </row>
    <row r="28" customFormat="false" ht="15.75" hidden="false" customHeight="true" outlineLevel="0" collapsed="false">
      <c r="B28" s="23" t="s">
        <v>91</v>
      </c>
    </row>
    <row r="30" customFormat="false" ht="25.5" hidden="false" customHeight="true" outlineLevel="0" collapsed="false">
      <c r="B30" s="9" t="s">
        <v>92</v>
      </c>
      <c r="D30" s="9" t="s">
        <v>93</v>
      </c>
      <c r="F30" s="9" t="s">
        <v>94</v>
      </c>
      <c r="H30" s="9" t="s">
        <v>95</v>
      </c>
    </row>
    <row r="31" customFormat="false" ht="15.75" hidden="false" customHeight="true" outlineLevel="0" collapsed="false">
      <c r="B31" s="23" t="s">
        <v>96</v>
      </c>
      <c r="D31" s="23" t="s">
        <v>97</v>
      </c>
      <c r="F31" s="23" t="s">
        <v>98</v>
      </c>
      <c r="H31" s="23" t="s">
        <v>99</v>
      </c>
    </row>
    <row r="32" customFormat="false" ht="15.75" hidden="false" customHeight="true" outlineLevel="0" collapsed="false">
      <c r="B32" s="23" t="s">
        <v>100</v>
      </c>
      <c r="D32" s="23" t="s">
        <v>101</v>
      </c>
      <c r="F32" s="23" t="s">
        <v>102</v>
      </c>
      <c r="H32" s="23" t="s">
        <v>103</v>
      </c>
    </row>
    <row r="33" customFormat="false" ht="15.75" hidden="false" customHeight="true" outlineLevel="0" collapsed="false">
      <c r="B33" s="23" t="s">
        <v>104</v>
      </c>
      <c r="D33" s="23" t="s">
        <v>105</v>
      </c>
      <c r="F33" s="23" t="s">
        <v>106</v>
      </c>
    </row>
    <row r="34" customFormat="false" ht="25.5" hidden="false" customHeight="true" outlineLevel="0" collapsed="false">
      <c r="B34" s="23" t="s">
        <v>107</v>
      </c>
      <c r="F34" s="23" t="s">
        <v>108</v>
      </c>
      <c r="H34" s="9" t="s">
        <v>109</v>
      </c>
    </row>
    <row r="35" customFormat="false" ht="15.75" hidden="false" customHeight="true" outlineLevel="0" collapsed="false">
      <c r="B35" s="23" t="s">
        <v>110</v>
      </c>
      <c r="H35" s="23" t="s">
        <v>111</v>
      </c>
    </row>
    <row r="36" customFormat="false" ht="25.5" hidden="false" customHeight="true" outlineLevel="0" collapsed="false">
      <c r="B36" s="23" t="s">
        <v>112</v>
      </c>
      <c r="F36" s="9" t="s">
        <v>113</v>
      </c>
      <c r="H36" s="23" t="s">
        <v>114</v>
      </c>
    </row>
    <row r="37" customFormat="false" ht="15.75" hidden="false" customHeight="true" outlineLevel="0" collapsed="false">
      <c r="B37" s="23" t="s">
        <v>115</v>
      </c>
      <c r="F37" s="23" t="s">
        <v>116</v>
      </c>
    </row>
    <row r="38" customFormat="false" ht="15.75" hidden="false" customHeight="true" outlineLevel="0" collapsed="false">
      <c r="B38" s="23" t="s">
        <v>117</v>
      </c>
      <c r="F38" s="23" t="s">
        <v>118</v>
      </c>
    </row>
    <row r="39" customFormat="false" ht="15.75" hidden="false" customHeight="true" outlineLevel="0" collapsed="false">
      <c r="B39" s="23" t="s">
        <v>119</v>
      </c>
      <c r="F39" s="23" t="s">
        <v>120</v>
      </c>
    </row>
    <row r="40" customFormat="false" ht="15.75" hidden="false" customHeight="true" outlineLevel="0" collapsed="false">
      <c r="B40" s="23" t="s">
        <v>121</v>
      </c>
      <c r="F40" s="23" t="s">
        <v>122</v>
      </c>
    </row>
    <row r="41" customFormat="false" ht="21.75" hidden="false" customHeight="true" outlineLevel="0" collapsed="false">
      <c r="B41" s="23" t="s">
        <v>123</v>
      </c>
    </row>
    <row r="42" customFormat="false" ht="21.75" hidden="false" customHeight="true" outlineLevel="0" collapsed="false">
      <c r="B42" s="23" t="s">
        <v>124</v>
      </c>
    </row>
    <row r="43" customFormat="false" ht="21.75" hidden="false" customHeight="true" outlineLevel="0" collapsed="false">
      <c r="B43" s="23" t="s">
        <v>125</v>
      </c>
    </row>
    <row r="44" customFormat="false" ht="21.75" hidden="false" customHeight="true" outlineLevel="0" collapsed="false">
      <c r="B44" s="23" t="s">
        <v>126</v>
      </c>
    </row>
    <row r="45" customFormat="false" ht="21.75" hidden="false" customHeight="true" outlineLevel="0" collapsed="false">
      <c r="B45" s="23" t="s">
        <v>127</v>
      </c>
    </row>
    <row r="46" customFormat="false" ht="21.75" hidden="false" customHeight="true" outlineLevel="0" collapsed="false">
      <c r="B46" s="23" t="s">
        <v>128</v>
      </c>
    </row>
    <row r="47" customFormat="false" ht="21.75" hidden="false" customHeight="true" outlineLevel="0" collapsed="false">
      <c r="B47" s="23" t="s">
        <v>129</v>
      </c>
    </row>
    <row r="48" customFormat="false" ht="21.75" hidden="false" customHeight="true" outlineLevel="0" collapsed="false">
      <c r="B48" s="23" t="s">
        <v>130</v>
      </c>
    </row>
    <row r="50" customFormat="false" ht="19.5" hidden="false" customHeight="true" outlineLevel="0" collapsed="false">
      <c r="B50" s="24" t="s">
        <v>131</v>
      </c>
      <c r="C50" s="24"/>
      <c r="D50" s="24"/>
      <c r="E50" s="24"/>
      <c r="F50" s="24"/>
      <c r="G50" s="24"/>
      <c r="H50" s="24"/>
    </row>
    <row r="51" customFormat="false" ht="19.5" hidden="false" customHeight="true" outlineLevel="0" collapsed="false">
      <c r="B51" s="9" t="s">
        <v>132</v>
      </c>
      <c r="C51" s="25"/>
      <c r="D51" s="9" t="s">
        <v>133</v>
      </c>
      <c r="E51" s="9" t="s">
        <v>134</v>
      </c>
      <c r="F51" s="9" t="s">
        <v>135</v>
      </c>
      <c r="G51" s="25"/>
      <c r="H51" s="9" t="s">
        <v>136</v>
      </c>
    </row>
    <row r="52" customFormat="false" ht="21.75" hidden="false" customHeight="true" outlineLevel="0" collapsed="false">
      <c r="B52" s="26" t="s">
        <v>137</v>
      </c>
      <c r="D52" s="27" t="n">
        <v>0.75</v>
      </c>
      <c r="E52" s="27" t="n">
        <v>1</v>
      </c>
      <c r="F52" s="28" t="n">
        <f aca="false">($D52+$E52)/2</f>
        <v>0.875</v>
      </c>
      <c r="H52" s="23" t="s">
        <v>138</v>
      </c>
    </row>
    <row r="53" customFormat="false" ht="21.75" hidden="false" customHeight="true" outlineLevel="0" collapsed="false">
      <c r="B53" s="26" t="s">
        <v>139</v>
      </c>
      <c r="D53" s="27" t="n">
        <v>0.25</v>
      </c>
      <c r="E53" s="27" t="n">
        <v>0.75</v>
      </c>
      <c r="F53" s="28" t="n">
        <f aca="false">($D53+$E53)/2</f>
        <v>0.5</v>
      </c>
      <c r="H53" s="23" t="s">
        <v>140</v>
      </c>
    </row>
    <row r="54" customFormat="false" ht="21.75" hidden="false" customHeight="true" outlineLevel="0" collapsed="false">
      <c r="B54" s="26" t="s">
        <v>141</v>
      </c>
      <c r="D54" s="27" t="n">
        <v>0.1</v>
      </c>
      <c r="E54" s="27" t="n">
        <v>0.25</v>
      </c>
      <c r="F54" s="28" t="n">
        <f aca="false">($D54+$E54)/2</f>
        <v>0.175</v>
      </c>
      <c r="H54" s="23" t="s">
        <v>142</v>
      </c>
    </row>
    <row r="55" customFormat="false" ht="21.75" hidden="false" customHeight="true" outlineLevel="0" collapsed="false">
      <c r="B55" s="26" t="s">
        <v>143</v>
      </c>
      <c r="D55" s="27" t="n">
        <v>0.01</v>
      </c>
      <c r="E55" s="27" t="n">
        <v>0.1</v>
      </c>
      <c r="F55" s="28" t="n">
        <f aca="false">($D55+$E55)/2</f>
        <v>0.055</v>
      </c>
      <c r="H55" s="23" t="s">
        <v>144</v>
      </c>
    </row>
    <row r="56" customFormat="false" ht="21.75" hidden="false" customHeight="true" outlineLevel="0" collapsed="false">
      <c r="B56" s="26" t="s">
        <v>145</v>
      </c>
      <c r="D56" s="27" t="n">
        <v>0</v>
      </c>
      <c r="E56" s="27" t="n">
        <v>0.01</v>
      </c>
      <c r="F56" s="28" t="n">
        <f aca="false">($D56+$E56)/2</f>
        <v>0.005</v>
      </c>
      <c r="H56" s="23" t="s">
        <v>146</v>
      </c>
    </row>
    <row r="58" customFormat="false" ht="19.5" hidden="false" customHeight="true" outlineLevel="0" collapsed="false">
      <c r="B58" s="24" t="s">
        <v>147</v>
      </c>
      <c r="C58" s="24"/>
      <c r="D58" s="24"/>
      <c r="E58" s="24"/>
      <c r="F58" s="24"/>
      <c r="G58" s="24"/>
      <c r="H58" s="24"/>
    </row>
    <row r="59" customFormat="false" ht="19.5" hidden="false" customHeight="true" outlineLevel="0" collapsed="false">
      <c r="B59" s="9" t="s">
        <v>132</v>
      </c>
      <c r="C59" s="25"/>
      <c r="D59" s="9" t="s">
        <v>148</v>
      </c>
      <c r="E59" s="9" t="s">
        <v>149</v>
      </c>
      <c r="F59" s="9" t="s">
        <v>150</v>
      </c>
      <c r="G59" s="25"/>
      <c r="H59" s="9" t="s">
        <v>151</v>
      </c>
    </row>
    <row r="60" customFormat="false" ht="21.75" hidden="false" customHeight="true" outlineLevel="0" collapsed="false">
      <c r="B60" s="26" t="s">
        <v>152</v>
      </c>
      <c r="D60" s="29" t="n">
        <v>0.1</v>
      </c>
      <c r="E60" s="29" t="n">
        <v>0.25</v>
      </c>
      <c r="F60" s="30" t="n">
        <f aca="false">(($D60+$E60)/2)*Plan!$D$17</f>
        <v>14875000</v>
      </c>
      <c r="H60" s="31" t="n">
        <v>180</v>
      </c>
    </row>
    <row r="61" customFormat="false" ht="21.75" hidden="false" customHeight="true" outlineLevel="0" collapsed="false">
      <c r="B61" s="26" t="s">
        <v>153</v>
      </c>
      <c r="D61" s="29" t="n">
        <v>0.05</v>
      </c>
      <c r="E61" s="29" t="n">
        <v>0.1</v>
      </c>
      <c r="F61" s="30" t="n">
        <f aca="false">(($D61+$E61)/2)*Plan!$D$17</f>
        <v>6375000</v>
      </c>
      <c r="H61" s="31" t="n">
        <v>90</v>
      </c>
    </row>
    <row r="62" customFormat="false" ht="21.75" hidden="false" customHeight="true" outlineLevel="0" collapsed="false">
      <c r="B62" s="26" t="s">
        <v>154</v>
      </c>
      <c r="D62" s="29" t="n">
        <v>0.02</v>
      </c>
      <c r="E62" s="29" t="n">
        <v>0.05</v>
      </c>
      <c r="F62" s="30" t="n">
        <f aca="false">(($D62+$E62)/2)*Plan!$D$17</f>
        <v>2975000</v>
      </c>
      <c r="H62" s="31" t="n">
        <v>30</v>
      </c>
    </row>
    <row r="63" customFormat="false" ht="21.75" hidden="false" customHeight="true" outlineLevel="0" collapsed="false">
      <c r="B63" s="26" t="s">
        <v>155</v>
      </c>
      <c r="D63" s="29" t="n">
        <v>0.005</v>
      </c>
      <c r="E63" s="29" t="n">
        <v>0.02</v>
      </c>
      <c r="F63" s="30" t="n">
        <f aca="false">(($D63+$E63)/2)*Plan!$D$17</f>
        <v>1062500</v>
      </c>
      <c r="H63" s="31" t="n">
        <v>10</v>
      </c>
    </row>
    <row r="64" customFormat="false" ht="21.75" hidden="false" customHeight="true" outlineLevel="0" collapsed="false">
      <c r="B64" s="26" t="s">
        <v>156</v>
      </c>
      <c r="D64" s="29" t="n">
        <v>0</v>
      </c>
      <c r="E64" s="29" t="n">
        <v>0.005</v>
      </c>
      <c r="F64" s="30" t="n">
        <f aca="false">(($D64+$E64)/2)*Plan!$D$17</f>
        <v>212500</v>
      </c>
      <c r="H64" s="31" t="n">
        <v>2</v>
      </c>
    </row>
    <row r="66" customFormat="false" ht="19.5" hidden="false" customHeight="true" outlineLevel="0" collapsed="false">
      <c r="B66" s="24" t="s">
        <v>157</v>
      </c>
      <c r="C66" s="24"/>
      <c r="D66" s="24"/>
      <c r="E66" s="24"/>
      <c r="F66" s="24"/>
      <c r="G66" s="24"/>
      <c r="H66" s="24"/>
    </row>
    <row r="67" customFormat="false" ht="30" hidden="false" customHeight="true" outlineLevel="0" collapsed="false">
      <c r="B67" s="9" t="s">
        <v>158</v>
      </c>
      <c r="C67" s="9" t="s">
        <v>156</v>
      </c>
      <c r="D67" s="9" t="s">
        <v>155</v>
      </c>
      <c r="E67" s="9" t="s">
        <v>154</v>
      </c>
      <c r="F67" s="9" t="s">
        <v>153</v>
      </c>
      <c r="G67" s="9" t="s">
        <v>152</v>
      </c>
    </row>
    <row r="68" customFormat="false" ht="19.5" hidden="false" customHeight="true" outlineLevel="0" collapsed="false">
      <c r="B68" s="32" t="s">
        <v>137</v>
      </c>
      <c r="C68" s="33" t="s">
        <v>120</v>
      </c>
      <c r="D68" s="34" t="s">
        <v>118</v>
      </c>
      <c r="E68" s="34" t="s">
        <v>118</v>
      </c>
      <c r="F68" s="35" t="s">
        <v>116</v>
      </c>
      <c r="G68" s="35" t="s">
        <v>116</v>
      </c>
    </row>
    <row r="69" customFormat="false" ht="19.5" hidden="false" customHeight="true" outlineLevel="0" collapsed="false">
      <c r="B69" s="32" t="s">
        <v>139</v>
      </c>
      <c r="C69" s="36" t="s">
        <v>122</v>
      </c>
      <c r="D69" s="33" t="s">
        <v>120</v>
      </c>
      <c r="E69" s="34" t="s">
        <v>118</v>
      </c>
      <c r="F69" s="34" t="s">
        <v>118</v>
      </c>
      <c r="G69" s="35" t="s">
        <v>116</v>
      </c>
    </row>
    <row r="70" customFormat="false" ht="19.5" hidden="false" customHeight="true" outlineLevel="0" collapsed="false">
      <c r="B70" s="32" t="s">
        <v>141</v>
      </c>
      <c r="C70" s="36" t="s">
        <v>122</v>
      </c>
      <c r="D70" s="33" t="s">
        <v>120</v>
      </c>
      <c r="E70" s="33" t="s">
        <v>120</v>
      </c>
      <c r="F70" s="34" t="s">
        <v>118</v>
      </c>
      <c r="G70" s="34" t="s">
        <v>118</v>
      </c>
    </row>
    <row r="71" customFormat="false" ht="19.5" hidden="false" customHeight="true" outlineLevel="0" collapsed="false">
      <c r="B71" s="32" t="s">
        <v>143</v>
      </c>
      <c r="C71" s="36" t="s">
        <v>122</v>
      </c>
      <c r="D71" s="36" t="s">
        <v>122</v>
      </c>
      <c r="E71" s="33" t="s">
        <v>120</v>
      </c>
      <c r="F71" s="33" t="s">
        <v>120</v>
      </c>
      <c r="G71" s="34" t="s">
        <v>118</v>
      </c>
    </row>
    <row r="72" customFormat="false" ht="19.5" hidden="false" customHeight="true" outlineLevel="0" collapsed="false">
      <c r="B72" s="32" t="s">
        <v>145</v>
      </c>
      <c r="C72" s="36" t="s">
        <v>122</v>
      </c>
      <c r="D72" s="36" t="s">
        <v>122</v>
      </c>
      <c r="E72" s="36" t="s">
        <v>122</v>
      </c>
      <c r="F72" s="33" t="s">
        <v>120</v>
      </c>
      <c r="G72" s="33" t="s">
        <v>120</v>
      </c>
    </row>
    <row r="74" customFormat="false" ht="15" hidden="false" customHeight="true" outlineLevel="0" collapsed="false">
      <c r="B74" s="22" t="s">
        <v>159</v>
      </c>
      <c r="C74" s="22"/>
      <c r="D74" s="22"/>
      <c r="E74" s="22"/>
      <c r="F74" s="22"/>
      <c r="G74" s="22"/>
      <c r="H74" s="22"/>
    </row>
    <row r="75" customFormat="false" ht="15" hidden="false" customHeight="false" outlineLevel="0" collapsed="false">
      <c r="B75" s="22"/>
      <c r="C75" s="22"/>
      <c r="D75" s="22"/>
      <c r="E75" s="22"/>
      <c r="F75" s="22"/>
      <c r="G75" s="22"/>
      <c r="H75" s="22"/>
    </row>
    <row r="76" customFormat="false" ht="15" hidden="false" customHeight="false" outlineLevel="0" collapsed="false">
      <c r="B76" s="22"/>
      <c r="C76" s="22"/>
      <c r="D76" s="22"/>
      <c r="E76" s="22"/>
      <c r="F76" s="22"/>
      <c r="G76" s="22"/>
      <c r="H76" s="22"/>
    </row>
    <row r="77" customFormat="false" ht="15" hidden="false" customHeight="false" outlineLevel="0" collapsed="false">
      <c r="B77" s="22"/>
      <c r="C77" s="22"/>
      <c r="D77" s="22"/>
      <c r="E77" s="22"/>
      <c r="F77" s="22"/>
      <c r="G77" s="22"/>
      <c r="H77" s="22"/>
    </row>
    <row r="79" customFormat="false" ht="19.5" hidden="false" customHeight="true" outlineLevel="0" collapsed="false">
      <c r="B79" s="24" t="s">
        <v>160</v>
      </c>
      <c r="C79" s="24"/>
      <c r="D79" s="24"/>
      <c r="E79" s="24"/>
      <c r="F79" s="24"/>
      <c r="G79" s="24"/>
      <c r="H79" s="24"/>
    </row>
    <row r="80" customFormat="false" ht="33.75" hidden="false" customHeight="true" outlineLevel="0" collapsed="false">
      <c r="B80" s="35" t="s">
        <v>116</v>
      </c>
      <c r="D80" s="23" t="s">
        <v>161</v>
      </c>
      <c r="E80" s="23"/>
      <c r="F80" s="23"/>
      <c r="G80" s="23"/>
      <c r="H80" s="23"/>
    </row>
    <row r="81" customFormat="false" ht="33.75" hidden="false" customHeight="true" outlineLevel="0" collapsed="false">
      <c r="B81" s="34" t="s">
        <v>118</v>
      </c>
      <c r="D81" s="23" t="s">
        <v>162</v>
      </c>
      <c r="E81" s="23"/>
      <c r="F81" s="23"/>
      <c r="G81" s="23"/>
      <c r="H81" s="23"/>
    </row>
    <row r="82" customFormat="false" ht="33.75" hidden="false" customHeight="true" outlineLevel="0" collapsed="false">
      <c r="B82" s="33" t="s">
        <v>120</v>
      </c>
      <c r="D82" s="23" t="s">
        <v>163</v>
      </c>
      <c r="E82" s="23"/>
      <c r="F82" s="23"/>
      <c r="G82" s="23"/>
      <c r="H82" s="23"/>
    </row>
    <row r="83" customFormat="false" ht="33.75" hidden="false" customHeight="true" outlineLevel="0" collapsed="false">
      <c r="B83" s="36" t="s">
        <v>122</v>
      </c>
      <c r="D83" s="23" t="s">
        <v>164</v>
      </c>
      <c r="E83" s="23"/>
      <c r="F83" s="23"/>
      <c r="G83" s="23"/>
      <c r="H83" s="23"/>
    </row>
    <row r="85" customFormat="false" ht="19.5" hidden="false" customHeight="true" outlineLevel="0" collapsed="false">
      <c r="B85" s="24" t="s">
        <v>165</v>
      </c>
      <c r="C85" s="24"/>
      <c r="D85" s="24"/>
      <c r="E85" s="24"/>
      <c r="F85" s="24"/>
      <c r="G85" s="24"/>
      <c r="H85" s="24"/>
    </row>
    <row r="86" customFormat="false" ht="75.75" hidden="false" customHeight="true" outlineLevel="0" collapsed="false">
      <c r="B86" s="37" t="s">
        <v>97</v>
      </c>
      <c r="D86" s="38" t="s">
        <v>166</v>
      </c>
      <c r="E86" s="38"/>
      <c r="F86" s="38"/>
      <c r="G86" s="38"/>
      <c r="H86" s="38"/>
    </row>
    <row r="87" customFormat="false" ht="75.75" hidden="false" customHeight="true" outlineLevel="0" collapsed="false">
      <c r="B87" s="37" t="s">
        <v>101</v>
      </c>
      <c r="D87" s="38" t="s">
        <v>167</v>
      </c>
      <c r="E87" s="38"/>
      <c r="F87" s="38"/>
      <c r="G87" s="38"/>
      <c r="H87" s="38"/>
    </row>
    <row r="88" customFormat="false" ht="75.75" hidden="false" customHeight="true" outlineLevel="0" collapsed="false">
      <c r="B88" s="37" t="s">
        <v>105</v>
      </c>
      <c r="D88" s="38" t="s">
        <v>168</v>
      </c>
      <c r="E88" s="38"/>
      <c r="F88" s="38"/>
      <c r="G88" s="38"/>
      <c r="H88" s="38"/>
    </row>
    <row r="90" customFormat="false" ht="19.5" hidden="false" customHeight="true" outlineLevel="0" collapsed="false">
      <c r="B90" s="24" t="s">
        <v>169</v>
      </c>
      <c r="C90" s="24"/>
      <c r="D90" s="24"/>
      <c r="E90" s="24"/>
      <c r="F90" s="24"/>
      <c r="G90" s="24"/>
      <c r="H90" s="24"/>
    </row>
    <row r="91" customFormat="false" ht="30" hidden="false" customHeight="true" outlineLevel="0" collapsed="false">
      <c r="B91" s="39" t="s">
        <v>54</v>
      </c>
      <c r="D91" s="23" t="s">
        <v>170</v>
      </c>
      <c r="E91" s="23"/>
      <c r="F91" s="23"/>
      <c r="G91" s="23"/>
      <c r="H91" s="23"/>
    </row>
    <row r="92" customFormat="false" ht="30" hidden="false" customHeight="true" outlineLevel="0" collapsed="false">
      <c r="B92" s="40" t="s">
        <v>58</v>
      </c>
      <c r="D92" s="23" t="s">
        <v>171</v>
      </c>
      <c r="E92" s="23"/>
      <c r="F92" s="23"/>
      <c r="G92" s="23"/>
      <c r="H92" s="23"/>
    </row>
    <row r="93" customFormat="false" ht="30" hidden="false" customHeight="true" outlineLevel="0" collapsed="false">
      <c r="B93" s="33" t="s">
        <v>61</v>
      </c>
      <c r="D93" s="23" t="s">
        <v>172</v>
      </c>
      <c r="E93" s="23"/>
      <c r="F93" s="23"/>
      <c r="G93" s="23"/>
      <c r="H93" s="23"/>
    </row>
    <row r="94" customFormat="false" ht="30" hidden="false" customHeight="true" outlineLevel="0" collapsed="false">
      <c r="B94" s="34" t="s">
        <v>65</v>
      </c>
      <c r="D94" s="23" t="s">
        <v>173</v>
      </c>
      <c r="E94" s="23"/>
      <c r="F94" s="23"/>
      <c r="G94" s="23"/>
      <c r="H94" s="23"/>
    </row>
    <row r="95" customFormat="false" ht="30" hidden="false" customHeight="true" outlineLevel="0" collapsed="false">
      <c r="B95" s="35" t="s">
        <v>69</v>
      </c>
      <c r="D95" s="23" t="s">
        <v>174</v>
      </c>
      <c r="E95" s="23"/>
      <c r="F95" s="23"/>
      <c r="G95" s="23"/>
      <c r="H95" s="23"/>
    </row>
    <row r="96" customFormat="false" ht="30" hidden="false" customHeight="true" outlineLevel="0" collapsed="false">
      <c r="B96" s="36" t="s">
        <v>73</v>
      </c>
      <c r="D96" s="23" t="s">
        <v>175</v>
      </c>
      <c r="E96" s="23"/>
      <c r="F96" s="23"/>
      <c r="G96" s="23"/>
      <c r="H96" s="23"/>
    </row>
    <row r="98" customFormat="false" ht="19.5" hidden="false" customHeight="true" outlineLevel="0" collapsed="false">
      <c r="B98" s="24" t="s">
        <v>176</v>
      </c>
      <c r="C98" s="24"/>
      <c r="D98" s="24"/>
      <c r="E98" s="24"/>
      <c r="F98" s="24"/>
      <c r="G98" s="24"/>
      <c r="H98" s="24"/>
    </row>
    <row r="99" customFormat="false" ht="61.5" hidden="false" customHeight="true" outlineLevel="0" collapsed="false">
      <c r="B99" s="37" t="s">
        <v>177</v>
      </c>
      <c r="D99" s="38" t="s">
        <v>178</v>
      </c>
      <c r="E99" s="38"/>
      <c r="F99" s="38"/>
      <c r="G99" s="38"/>
      <c r="H99" s="38"/>
    </row>
    <row r="100" customFormat="false" ht="61.5" hidden="false" customHeight="true" outlineLevel="0" collapsed="false">
      <c r="B100" s="37" t="s">
        <v>179</v>
      </c>
      <c r="D100" s="38" t="s">
        <v>180</v>
      </c>
      <c r="E100" s="38"/>
      <c r="F100" s="38"/>
      <c r="G100" s="38"/>
      <c r="H100" s="38"/>
    </row>
    <row r="101" customFormat="false" ht="61.5" hidden="false" customHeight="true" outlineLevel="0" collapsed="false">
      <c r="B101" s="37" t="s">
        <v>181</v>
      </c>
      <c r="D101" s="38" t="s">
        <v>182</v>
      </c>
      <c r="E101" s="38"/>
      <c r="F101" s="38"/>
      <c r="G101" s="38"/>
      <c r="H101" s="38"/>
    </row>
    <row r="102" customFormat="false" ht="61.5" hidden="false" customHeight="true" outlineLevel="0" collapsed="false">
      <c r="B102" s="37" t="s">
        <v>183</v>
      </c>
      <c r="D102" s="38" t="s">
        <v>184</v>
      </c>
      <c r="E102" s="38"/>
      <c r="F102" s="38"/>
      <c r="G102" s="38"/>
      <c r="H102" s="38"/>
    </row>
    <row r="103" customFormat="false" ht="61.5" hidden="false" customHeight="true" outlineLevel="0" collapsed="false">
      <c r="B103" s="37" t="s">
        <v>185</v>
      </c>
      <c r="D103" s="38" t="s">
        <v>186</v>
      </c>
      <c r="E103" s="38"/>
      <c r="F103" s="38"/>
      <c r="G103" s="38"/>
      <c r="H103" s="38"/>
    </row>
    <row r="104" customFormat="false" ht="61.5" hidden="false" customHeight="true" outlineLevel="0" collapsed="false">
      <c r="B104" s="37" t="s">
        <v>187</v>
      </c>
      <c r="D104" s="38" t="s">
        <v>188</v>
      </c>
      <c r="E104" s="38"/>
      <c r="F104" s="38"/>
      <c r="G104" s="38"/>
      <c r="H104" s="38"/>
    </row>
    <row r="106" customFormat="false" ht="19.5" hidden="false" customHeight="true" outlineLevel="0" collapsed="false">
      <c r="B106" s="24" t="s">
        <v>189</v>
      </c>
      <c r="C106" s="24"/>
      <c r="D106" s="24"/>
      <c r="E106" s="24"/>
      <c r="F106" s="24"/>
      <c r="G106" s="24"/>
      <c r="H106" s="24"/>
    </row>
    <row r="107" customFormat="false" ht="18.75" hidden="false" customHeight="true" outlineLevel="0" collapsed="false">
      <c r="B107" s="41" t="s">
        <v>190</v>
      </c>
      <c r="D107" s="42" t="s">
        <v>191</v>
      </c>
      <c r="E107" s="42"/>
      <c r="F107" s="42"/>
      <c r="G107" s="42"/>
      <c r="H107" s="42"/>
    </row>
    <row r="108" customFormat="false" ht="18.75" hidden="false" customHeight="true" outlineLevel="0" collapsed="false">
      <c r="B108" s="43" t="s">
        <v>192</v>
      </c>
      <c r="D108" s="42" t="s">
        <v>193</v>
      </c>
      <c r="E108" s="42"/>
      <c r="F108" s="42"/>
      <c r="G108" s="42"/>
      <c r="H108" s="42"/>
    </row>
    <row r="109" customFormat="false" ht="18.75" hidden="false" customHeight="true" outlineLevel="0" collapsed="false">
      <c r="B109" s="44" t="s">
        <v>194</v>
      </c>
      <c r="D109" s="42" t="s">
        <v>195</v>
      </c>
      <c r="E109" s="42"/>
      <c r="F109" s="42"/>
      <c r="G109" s="42"/>
      <c r="H109" s="42"/>
    </row>
  </sheetData>
  <mergeCells count="34">
    <mergeCell ref="B1:H1"/>
    <mergeCell ref="B2:H2"/>
    <mergeCell ref="B4:H4"/>
    <mergeCell ref="B50:H50"/>
    <mergeCell ref="B58:H58"/>
    <mergeCell ref="B66:H66"/>
    <mergeCell ref="B74:H77"/>
    <mergeCell ref="B79:H79"/>
    <mergeCell ref="D80:H80"/>
    <mergeCell ref="D81:H81"/>
    <mergeCell ref="D82:H82"/>
    <mergeCell ref="D83:H83"/>
    <mergeCell ref="B85:H85"/>
    <mergeCell ref="D86:H86"/>
    <mergeCell ref="D87:H87"/>
    <mergeCell ref="D88:H88"/>
    <mergeCell ref="B90:H90"/>
    <mergeCell ref="D91:H91"/>
    <mergeCell ref="D92:H92"/>
    <mergeCell ref="D93:H93"/>
    <mergeCell ref="D94:H94"/>
    <mergeCell ref="D95:H95"/>
    <mergeCell ref="D96:H96"/>
    <mergeCell ref="B98:H98"/>
    <mergeCell ref="D99:H99"/>
    <mergeCell ref="D100:H100"/>
    <mergeCell ref="D101:H101"/>
    <mergeCell ref="D102:H102"/>
    <mergeCell ref="D103:H103"/>
    <mergeCell ref="D104:H104"/>
    <mergeCell ref="B106:H106"/>
    <mergeCell ref="D107:H107"/>
    <mergeCell ref="D108:H108"/>
    <mergeCell ref="D109:H109"/>
  </mergeCell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32"/>
    <col collapsed="false" customWidth="true" hidden="false" outlineLevel="0" max="4" min="4" style="0" width="24"/>
    <col collapsed="false" customWidth="true" hidden="false" outlineLevel="0" max="5" min="5" style="0" width="36"/>
    <col collapsed="false" customWidth="true" hidden="false" outlineLevel="0" max="6" min="6" style="0" width="10"/>
    <col collapsed="false" customWidth="true" hidden="false" outlineLevel="0" max="7" min="7" style="0" width="2.2"/>
  </cols>
  <sheetData>
    <row r="1" customFormat="false" ht="33.75" hidden="false" customHeight="true" outlineLevel="0" collapsed="false">
      <c r="B1" s="20" t="s">
        <v>196</v>
      </c>
      <c r="C1" s="20"/>
      <c r="D1" s="20"/>
      <c r="E1" s="20"/>
      <c r="F1" s="20"/>
    </row>
    <row r="2" customFormat="false" ht="4.5" hidden="false" customHeight="true" outlineLevel="0" collapsed="false">
      <c r="B2" s="21"/>
      <c r="C2" s="21"/>
      <c r="D2" s="21"/>
      <c r="E2" s="21"/>
      <c r="F2" s="21"/>
    </row>
    <row r="4" customFormat="false" ht="42" hidden="false" customHeight="true" outlineLevel="0" collapsed="false">
      <c r="B4" s="22" t="s">
        <v>197</v>
      </c>
      <c r="C4" s="22"/>
      <c r="D4" s="22"/>
      <c r="E4" s="22"/>
      <c r="F4" s="22"/>
    </row>
    <row r="6" customFormat="false" ht="21.75" hidden="false" customHeight="true" outlineLevel="0" collapsed="false">
      <c r="B6" s="5" t="s">
        <v>198</v>
      </c>
      <c r="C6" s="5"/>
      <c r="D6" s="5"/>
      <c r="E6" s="5"/>
      <c r="F6" s="5"/>
    </row>
    <row r="7" customFormat="false" ht="25.5" hidden="false" customHeight="true" outlineLevel="0" collapsed="false">
      <c r="B7" s="45" t="s">
        <v>199</v>
      </c>
      <c r="C7" s="45"/>
      <c r="D7" s="46"/>
    </row>
    <row r="8" customFormat="false" ht="25.5" hidden="false" customHeight="true" outlineLevel="0" collapsed="false">
      <c r="B8" s="45" t="s">
        <v>200</v>
      </c>
      <c r="C8" s="45"/>
      <c r="D8" s="46"/>
    </row>
    <row r="9" customFormat="false" ht="25.5" hidden="false" customHeight="true" outlineLevel="0" collapsed="false">
      <c r="B9" s="45" t="s">
        <v>201</v>
      </c>
      <c r="C9" s="45"/>
      <c r="D9" s="46"/>
    </row>
    <row r="10" customFormat="false" ht="25.5" hidden="false" customHeight="true" outlineLevel="0" collapsed="false">
      <c r="B10" s="45" t="s">
        <v>52</v>
      </c>
      <c r="C10" s="45"/>
      <c r="D10" s="46"/>
      <c r="E10" s="47" t="s">
        <v>202</v>
      </c>
      <c r="F10" s="47"/>
    </row>
    <row r="11" customFormat="false" ht="25.5" hidden="false" customHeight="true" outlineLevel="0" collapsed="false">
      <c r="B11" s="45" t="s">
        <v>203</v>
      </c>
      <c r="C11" s="45"/>
      <c r="D11" s="46"/>
      <c r="E11" s="47" t="s">
        <v>204</v>
      </c>
      <c r="F11" s="47"/>
    </row>
    <row r="12" customFormat="false" ht="25.5" hidden="false" customHeight="true" outlineLevel="0" collapsed="false">
      <c r="B12" s="45" t="s">
        <v>205</v>
      </c>
      <c r="C12" s="45"/>
      <c r="D12" s="46"/>
      <c r="E12" s="47" t="s">
        <v>206</v>
      </c>
      <c r="F12" s="47"/>
    </row>
    <row r="13" customFormat="false" ht="25.5" hidden="false" customHeight="true" outlineLevel="0" collapsed="false">
      <c r="B13" s="45" t="s">
        <v>207</v>
      </c>
      <c r="C13" s="45"/>
      <c r="D13" s="46"/>
      <c r="E13" s="47" t="s">
        <v>208</v>
      </c>
      <c r="F13" s="47"/>
    </row>
    <row r="14" customFormat="false" ht="25.5" hidden="false" customHeight="true" outlineLevel="0" collapsed="false">
      <c r="B14" s="45" t="s">
        <v>209</v>
      </c>
      <c r="C14" s="45"/>
      <c r="D14" s="46"/>
      <c r="E14" s="47" t="s">
        <v>210</v>
      </c>
      <c r="F14" s="47"/>
    </row>
    <row r="16" customFormat="false" ht="21.75" hidden="false" customHeight="true" outlineLevel="0" collapsed="false">
      <c r="B16" s="5" t="s">
        <v>211</v>
      </c>
      <c r="C16" s="5"/>
      <c r="D16" s="5"/>
      <c r="E16" s="5"/>
      <c r="F16" s="5"/>
    </row>
    <row r="17" customFormat="false" ht="45.75" hidden="false" customHeight="true" outlineLevel="0" collapsed="false">
      <c r="B17" s="45" t="s">
        <v>212</v>
      </c>
      <c r="C17" s="45"/>
      <c r="D17" s="48" t="n">
        <v>85000000</v>
      </c>
      <c r="E17" s="47" t="s">
        <v>213</v>
      </c>
      <c r="F17" s="47"/>
    </row>
    <row r="18" customFormat="false" ht="45.75" hidden="false" customHeight="true" outlineLevel="0" collapsed="false">
      <c r="B18" s="45" t="s">
        <v>214</v>
      </c>
      <c r="C18" s="45"/>
      <c r="D18" s="48" t="n">
        <v>8500000</v>
      </c>
      <c r="E18" s="47" t="s">
        <v>215</v>
      </c>
      <c r="F18" s="47"/>
    </row>
    <row r="19" customFormat="false" ht="45.75" hidden="false" customHeight="true" outlineLevel="0" collapsed="false">
      <c r="B19" s="45" t="s">
        <v>93</v>
      </c>
      <c r="C19" s="45"/>
      <c r="D19" s="46" t="s">
        <v>97</v>
      </c>
      <c r="E19" s="47" t="s">
        <v>216</v>
      </c>
      <c r="F19" s="47"/>
    </row>
    <row r="20" customFormat="false" ht="45.75" hidden="false" customHeight="true" outlineLevel="0" collapsed="false">
      <c r="B20" s="45" t="s">
        <v>217</v>
      </c>
      <c r="C20" s="45"/>
      <c r="D20" s="46" t="s">
        <v>116</v>
      </c>
      <c r="E20" s="47" t="s">
        <v>218</v>
      </c>
      <c r="F20" s="47"/>
    </row>
    <row r="21" customFormat="false" ht="45.75" hidden="false" customHeight="true" outlineLevel="0" collapsed="false">
      <c r="B21" s="45" t="s">
        <v>219</v>
      </c>
      <c r="C21" s="45"/>
      <c r="D21" s="46" t="s">
        <v>111</v>
      </c>
      <c r="E21" s="47" t="s">
        <v>220</v>
      </c>
      <c r="F21" s="47"/>
    </row>
    <row r="23" customFormat="false" ht="21.75" hidden="false" customHeight="true" outlineLevel="0" collapsed="false">
      <c r="B23" s="5" t="s">
        <v>221</v>
      </c>
      <c r="C23" s="5"/>
      <c r="D23" s="5"/>
      <c r="E23" s="5"/>
      <c r="F23" s="5"/>
    </row>
    <row r="24" customFormat="false" ht="24" hidden="false" customHeight="true" outlineLevel="0" collapsed="false">
      <c r="B24" s="49" t="s">
        <v>222</v>
      </c>
      <c r="C24" s="49"/>
      <c r="D24" s="50" t="n">
        <f aca="false">COUNTIF('Risk Register'!$F$9:$F$158,"?*")</f>
        <v>12</v>
      </c>
    </row>
    <row r="25" customFormat="false" ht="24" hidden="false" customHeight="true" outlineLevel="0" collapsed="false">
      <c r="B25" s="49" t="s">
        <v>223</v>
      </c>
      <c r="C25" s="49"/>
      <c r="D25" s="50" t="n">
        <f aca="false">COUNTIFS('Risk Register'!$F$9:$F$158,"?*",'Risk Register'!$AB$9:$AB$158,"&lt;&gt;Closed")</f>
        <v>12</v>
      </c>
    </row>
    <row r="26" customFormat="false" ht="24" hidden="false" customHeight="true" outlineLevel="0" collapsed="false">
      <c r="B26" s="49" t="s">
        <v>224</v>
      </c>
      <c r="C26" s="49"/>
      <c r="D26" s="50" t="n">
        <f aca="false">COUNTIFS('Risk Register'!$P$9:$P$158,"Extreme",'Risk Register'!$AB$9:$AB$158,"&lt;&gt;Closed")+COUNTIFS('Risk Register'!$P$9:$P$158,"High",'Risk Register'!$AB$9:$AB$158,"&lt;&gt;Closed")</f>
        <v>6</v>
      </c>
    </row>
    <row r="27" customFormat="false" ht="24" hidden="false" customHeight="true" outlineLevel="0" collapsed="false">
      <c r="B27" s="49" t="s">
        <v>225</v>
      </c>
      <c r="C27" s="49"/>
      <c r="D27" s="50" t="n">
        <f aca="false">COUNTIFS('Risk Register'!$E$9:$E$158,"Opportunity")</f>
        <v>1</v>
      </c>
    </row>
    <row r="28" customFormat="false" ht="24" hidden="false" customHeight="true" outlineLevel="0" collapsed="false">
      <c r="B28" s="49" t="s">
        <v>226</v>
      </c>
      <c r="C28" s="49"/>
      <c r="D28" s="51" t="n">
        <f aca="false">SUMIFS('Risk Register'!$Q$9:$Q$158,'Risk Register'!$E$9:$E$158,"Threat",'Risk Register'!$AB$9:$AB$158,"&lt;&gt;Closed")</f>
        <v>19512812.5</v>
      </c>
    </row>
    <row r="29" customFormat="false" ht="24" hidden="false" customHeight="true" outlineLevel="0" collapsed="false">
      <c r="B29" s="49" t="s">
        <v>227</v>
      </c>
      <c r="C29" s="49"/>
      <c r="D29" s="52" t="n">
        <f aca="false">IFERROR(SUMIFS('Risk Register'!$Q$9:$Q$158,'Risk Register'!$E$9:$E$158,"Threat",'Risk Register'!$AB$9:$AB$158,"&lt;&gt;Closed")/Plan!$D$18,0)</f>
        <v>2.295625</v>
      </c>
    </row>
    <row r="31" customFormat="false" ht="15" hidden="false" customHeight="true" outlineLevel="0" collapsed="false">
      <c r="B31" s="22" t="s">
        <v>228</v>
      </c>
      <c r="C31" s="22"/>
      <c r="D31" s="22"/>
      <c r="E31" s="22"/>
      <c r="F31" s="22"/>
    </row>
    <row r="32" customFormat="false" ht="15" hidden="false" customHeight="false" outlineLevel="0" collapsed="false">
      <c r="B32" s="22"/>
      <c r="C32" s="22"/>
      <c r="D32" s="22"/>
      <c r="E32" s="22"/>
      <c r="F32" s="22"/>
    </row>
    <row r="33" customFormat="false" ht="15" hidden="false" customHeight="false" outlineLevel="0" collapsed="false">
      <c r="B33" s="22"/>
      <c r="C33" s="22"/>
      <c r="D33" s="22"/>
      <c r="E33" s="22"/>
      <c r="F33" s="22"/>
    </row>
  </sheetData>
  <mergeCells count="36">
    <mergeCell ref="B1:F1"/>
    <mergeCell ref="B2:F2"/>
    <mergeCell ref="B4:F4"/>
    <mergeCell ref="B6:F6"/>
    <mergeCell ref="B7:C7"/>
    <mergeCell ref="B8:C8"/>
    <mergeCell ref="B9:C9"/>
    <mergeCell ref="B10:C10"/>
    <mergeCell ref="E10:F10"/>
    <mergeCell ref="B11:C11"/>
    <mergeCell ref="E11:F11"/>
    <mergeCell ref="B12:C12"/>
    <mergeCell ref="E12:F12"/>
    <mergeCell ref="B13:C13"/>
    <mergeCell ref="E13:F13"/>
    <mergeCell ref="B14:C14"/>
    <mergeCell ref="E14:F14"/>
    <mergeCell ref="B16:F16"/>
    <mergeCell ref="B17:C17"/>
    <mergeCell ref="E17:F17"/>
    <mergeCell ref="B18:C18"/>
    <mergeCell ref="E18:F18"/>
    <mergeCell ref="B19:C19"/>
    <mergeCell ref="E19:F19"/>
    <mergeCell ref="B20:C20"/>
    <mergeCell ref="E20:F20"/>
    <mergeCell ref="B21:C21"/>
    <mergeCell ref="E21:F21"/>
    <mergeCell ref="B23:F23"/>
    <mergeCell ref="B24:C24"/>
    <mergeCell ref="B25:C25"/>
    <mergeCell ref="B26:C26"/>
    <mergeCell ref="B27:C27"/>
    <mergeCell ref="B28:C28"/>
    <mergeCell ref="B29:C29"/>
    <mergeCell ref="B31:F33"/>
  </mergeCells>
  <conditionalFormatting sqref="D26">
    <cfRule type="cellIs" priority="2" operator="greaterThan" aboveAverage="0" equalAverage="0" bottom="0" percent="0" rank="0" text="" dxfId="0">
      <formula>0</formula>
    </cfRule>
  </conditionalFormatting>
  <conditionalFormatting sqref="D29">
    <cfRule type="cellIs" priority="3" operator="greaterThan" aboveAverage="0" equalAverage="0" bottom="0" percent="0" rank="0" text="" dxfId="0">
      <formula>1</formula>
    </cfRule>
  </conditionalFormatting>
  <dataValidations count="4">
    <dataValidation allowBlank="true" error="Pick a value from the list." errorStyle="stop" errorTitle="Not on the list" operator="between" prompt="The delivery phase this register currently covers." promptTitle="Project phase" showDropDown="false" showErrorMessage="true" showInputMessage="true" sqref="D10" type="list">
      <formula1>Reference!$H$7:$H$13</formula1>
      <formula2>0</formula2>
    </dataValidation>
    <dataValidation allowBlank="true" error="Pick a value from the list." errorStyle="stop" errorTitle="Not on the list" operator="between" prompt="ISO 31000, PMBOK or PRINCE2. They use different words for different things - pick one." promptTitle="Response set" showDropDown="false" showErrorMessage="true" showInputMessage="true" sqref="D19" type="list">
      <formula1>Reference!$D$31:$D$33</formula1>
      <formula2>0</formula2>
    </dataValidation>
    <dataValidation allowBlank="true" error="Pick a value from the list." errorStyle="stop" errorTitle="Not on the list" operator="between" prompt="Ratings at or above this must name an escalation authority." promptTitle="Escalation threshold" showDropDown="false" showErrorMessage="true" showInputMessage="true" sqref="D20" type="list">
      <formula1>Reference!$F$37:$F$40</formula1>
      <formula2>0</formula2>
    </dataValidation>
    <dataValidation allowBlank="true" error="Pick a value from the list." errorStyle="stop" errorTitle="Not on the list" operator="between" prompt="Review the whole register at every stage gate." promptTitle="Stage gate review" showDropDown="false" showErrorMessage="true" showInputMessage="true" sqref="D21" type="list">
      <formula1>Reference!$H$35:$H$36</formula1>
      <formula2>0</formula2>
    </dataValidation>
  </dataValidation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80BC"/>
    <pageSetUpPr fitToPage="true"/>
  </sheetPr>
  <dimension ref="A1:AJ1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8" topLeftCell="G9" activePane="bottomRight" state="frozen"/>
      <selection pane="topLeft" activeCell="A1" activeCellId="0" sqref="A1"/>
      <selection pane="topRight" activeCell="G1" activeCellId="0" sqref="G1"/>
      <selection pane="bottomLeft" activeCell="A9" activeCellId="0" sqref="A9"/>
      <selection pane="bottomRight" activeCell="A1" activeCellId="0" sqref="A1"/>
    </sheetView>
  </sheetViews>
  <sheetFormatPr defaultColWidth="8.6796875" defaultRowHeight="15" zeroHeight="false" outlineLevelRow="0" outlineLevelCol="1"/>
  <cols>
    <col collapsed="false" customWidth="true" hidden="false" outlineLevel="0" max="1" min="1" style="0" width="2.2"/>
    <col collapsed="false" customWidth="true" hidden="false" outlineLevel="0" max="2" min="2" style="0" width="5"/>
    <col collapsed="false" customWidth="true" hidden="false" outlineLevel="0" max="3" min="3" style="0" width="11"/>
    <col collapsed="false" customWidth="true" hidden="false" outlineLevel="0" max="4" min="4" style="0" width="24"/>
    <col collapsed="false" customWidth="true" hidden="false" outlineLevel="0" max="5" min="5" style="0" width="14"/>
    <col collapsed="false" customWidth="true" hidden="false" outlineLevel="0" max="6" min="6" style="0" width="60"/>
    <col collapsed="false" customWidth="true" hidden="false" outlineLevel="0" max="7" min="7" style="0" width="20"/>
    <col collapsed="false" customWidth="true" outlineLevel="1" max="13" min="8" style="0" width="15" hidden="1"/>
    <col collapsed="false" customWidth="true" hidden="false" outlineLevel="0" max="15" min="14" style="0" width="15"/>
    <col collapsed="false" customWidth="true" hidden="false" outlineLevel="0" max="16" min="16" style="0" width="12"/>
    <col collapsed="false" customWidth="true" hidden="false" outlineLevel="0" max="17" min="17" style="0" width="14"/>
    <col collapsed="false" customWidth="true" hidden="false" outlineLevel="0" max="18" min="18" style="0" width="10"/>
    <col collapsed="false" customWidth="true" hidden="false" outlineLevel="0" max="19" min="19" style="0" width="30"/>
    <col collapsed="false" customWidth="true" hidden="false" outlineLevel="0" max="21" min="20" style="0" width="8"/>
    <col collapsed="false" customWidth="true" outlineLevel="1" max="25" min="22" style="0" width="15" hidden="1"/>
    <col collapsed="false" customWidth="true" hidden="false" outlineLevel="0" max="26" min="26" style="0" width="22"/>
    <col collapsed="false" customWidth="true" hidden="false" outlineLevel="0" max="27" min="27" style="0" width="20"/>
    <col collapsed="false" customWidth="true" hidden="false" outlineLevel="0" max="28" min="28" style="0" width="13"/>
    <col collapsed="false" customWidth="true" outlineLevel="1" max="34" min="29" style="0" width="12" hidden="1"/>
    <col collapsed="false" customWidth="true" hidden="false" outlineLevel="0" max="35" min="35" style="0" width="26"/>
    <col collapsed="false" customWidth="true" hidden="false" outlineLevel="0" max="36" min="36" style="0" width="2.2"/>
  </cols>
  <sheetData>
    <row r="1" customFormat="false" ht="33.75" hidden="false" customHeight="true" outlineLevel="0" collapsed="false">
      <c r="B1" s="20" t="s">
        <v>229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row>
    <row r="2" customFormat="false" ht="4.5" hidden="false" customHeight="true" outlineLevel="0" collapsed="false">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3" customFormat="false" ht="16.5" hidden="false" customHeight="true" outlineLevel="0" collapsed="false">
      <c r="B3" s="53" t="str">
        <f aca="false">IF(COUNTIF('Risk Register'!$AI$9:$AI$158,"EXAMPLE*")=0,"","EXAMPLE DATA - 12 risks and 13 actions are worked examples. Delete them and this banner clears.")</f>
        <v>EXAMPLE DATA - 12 risks and 13 actions are worked examples. Delete them and this banner clears.</v>
      </c>
      <c r="C3" s="53"/>
      <c r="D3" s="53"/>
      <c r="E3" s="53"/>
      <c r="F3" s="53"/>
      <c r="G3" s="53"/>
      <c r="H3" s="53"/>
      <c r="I3" s="53"/>
      <c r="J3" s="53"/>
      <c r="K3" s="53"/>
      <c r="L3" s="53"/>
    </row>
    <row r="4" customFormat="false" ht="42" hidden="false" customHeight="true" outlineLevel="0" collapsed="false">
      <c r="B4" s="22" t="s">
        <v>230</v>
      </c>
      <c r="C4" s="22"/>
      <c r="D4" s="22"/>
      <c r="E4" s="22"/>
      <c r="F4" s="22"/>
      <c r="G4" s="22"/>
      <c r="H4" s="22"/>
      <c r="I4" s="22"/>
      <c r="J4" s="22"/>
      <c r="K4" s="22"/>
      <c r="L4" s="22"/>
    </row>
    <row r="8" customFormat="false" ht="45.75" hidden="false" customHeight="true" outlineLevel="0" collapsed="false">
      <c r="B8" s="9" t="s">
        <v>231</v>
      </c>
      <c r="C8" s="9" t="s">
        <v>232</v>
      </c>
      <c r="D8" s="9" t="s">
        <v>233</v>
      </c>
      <c r="E8" s="9" t="s">
        <v>95</v>
      </c>
      <c r="F8" s="9" t="s">
        <v>234</v>
      </c>
      <c r="G8" s="9" t="s">
        <v>235</v>
      </c>
      <c r="H8" s="9" t="s">
        <v>236</v>
      </c>
      <c r="I8" s="9" t="s">
        <v>237</v>
      </c>
      <c r="J8" s="9" t="s">
        <v>238</v>
      </c>
      <c r="K8" s="9" t="s">
        <v>239</v>
      </c>
      <c r="L8" s="9" t="s">
        <v>240</v>
      </c>
      <c r="M8" s="9" t="s">
        <v>51</v>
      </c>
      <c r="N8" s="9" t="s">
        <v>241</v>
      </c>
      <c r="O8" s="9" t="s">
        <v>242</v>
      </c>
      <c r="P8" s="9" t="s">
        <v>243</v>
      </c>
      <c r="Q8" s="9" t="s">
        <v>244</v>
      </c>
      <c r="R8" s="9" t="s">
        <v>245</v>
      </c>
      <c r="S8" s="9" t="s">
        <v>246</v>
      </c>
      <c r="T8" s="9" t="s">
        <v>247</v>
      </c>
      <c r="U8" s="9" t="s">
        <v>248</v>
      </c>
      <c r="V8" s="9" t="s">
        <v>249</v>
      </c>
      <c r="W8" s="9" t="s">
        <v>250</v>
      </c>
      <c r="X8" s="9" t="s">
        <v>251</v>
      </c>
      <c r="Y8" s="9" t="s">
        <v>252</v>
      </c>
      <c r="Z8" s="9" t="s">
        <v>253</v>
      </c>
      <c r="AA8" s="9" t="s">
        <v>254</v>
      </c>
      <c r="AB8" s="9" t="s">
        <v>50</v>
      </c>
      <c r="AC8" s="9" t="s">
        <v>255</v>
      </c>
      <c r="AD8" s="9" t="s">
        <v>256</v>
      </c>
      <c r="AE8" s="9" t="s">
        <v>257</v>
      </c>
      <c r="AF8" s="9" t="s">
        <v>258</v>
      </c>
      <c r="AG8" s="9" t="s">
        <v>259</v>
      </c>
      <c r="AH8" s="9" t="s">
        <v>260</v>
      </c>
      <c r="AI8" s="9" t="s">
        <v>261</v>
      </c>
    </row>
    <row r="9" customFormat="false" ht="33.75" hidden="false" customHeight="true" outlineLevel="0" collapsed="false">
      <c r="A9" s="54"/>
      <c r="B9" s="55" t="n">
        <f aca="false">IF($F9="","",ROW()-8)</f>
        <v>1</v>
      </c>
      <c r="C9" s="56" t="str">
        <f aca="false">IF($F9="","","RSK-"&amp;TEXT(ROW()-8,"000"))</f>
        <v>RSK-001</v>
      </c>
      <c r="D9" s="57" t="s">
        <v>76</v>
      </c>
      <c r="E9" s="58" t="s">
        <v>99</v>
      </c>
      <c r="F9" s="57" t="s">
        <v>262</v>
      </c>
      <c r="G9" s="57" t="s">
        <v>263</v>
      </c>
      <c r="H9" s="57" t="s">
        <v>137</v>
      </c>
      <c r="I9" s="57" t="s">
        <v>153</v>
      </c>
      <c r="J9" s="59" t="str">
        <f aca="false">IF(OR($H9="",$I9=""),"",INDEX(Reference!$C$68:$G$72,MATCH($H9,Reference!$B$52:$B$56,0),6-MATCH($I9,Reference!$B$60:$B$64,0)))</f>
        <v>Extreme</v>
      </c>
      <c r="K9" s="57" t="s">
        <v>264</v>
      </c>
      <c r="L9" s="57" t="s">
        <v>265</v>
      </c>
      <c r="M9" s="58" t="s">
        <v>59</v>
      </c>
      <c r="N9" s="57" t="s">
        <v>139</v>
      </c>
      <c r="O9" s="57" t="s">
        <v>153</v>
      </c>
      <c r="P9" s="59" t="str">
        <f aca="false">IF(OR($N9="",$O9=""),"",INDEX(Reference!$C$68:$G$72,MATCH($N9,Reference!$B$52:$B$56,0),6-MATCH($O9,Reference!$B$60:$B$64,0)))</f>
        <v>High</v>
      </c>
      <c r="Q9" s="60" t="n">
        <f aca="false">IF(OR($N9="",$O9=""),"",INDEX(Reference!$F$52:$F$56,MATCH($N9,Reference!$B$52:$B$56,0))*INDEX(Reference!$F$60:$F$64,MATCH($O9,Reference!$B$60:$B$64,0)))</f>
        <v>3187500</v>
      </c>
      <c r="R9" s="61" t="n">
        <f aca="false">IF(OR($N9="",$O9=""),"",ROUND(INDEX(Reference!$F$52:$F$56,MATCH($N9,Reference!$B$52:$B$56,0))*INDEX(Reference!$H$60:$H$64,MATCH($O9,Reference!$B$60:$B$64,0)),0))</f>
        <v>45</v>
      </c>
      <c r="S9" s="57" t="s">
        <v>110</v>
      </c>
      <c r="T9" s="55" t="n">
        <f aca="false">IF($F9="","",COUNTIF('Treatment Actions'!$B$9:$B$208,$C9))</f>
        <v>2</v>
      </c>
      <c r="U9" s="55" t="n">
        <f aca="false">IF($F9="","",COUNTIFS('Treatment Actions'!$B$9:$B$208,$C9,'Treatment Actions'!$F$9:$F$208,"Complete"))</f>
        <v>0</v>
      </c>
      <c r="V9" s="57" t="s">
        <v>143</v>
      </c>
      <c r="W9" s="57" t="s">
        <v>154</v>
      </c>
      <c r="X9" s="59" t="str">
        <f aca="false">IF(OR($V9="",$W9=""),"",INDEX(Reference!$C$68:$G$72,MATCH($V9,Reference!$B$52:$B$56,0),6-MATCH($W9,Reference!$B$60:$B$64,0)))</f>
        <v>Medium</v>
      </c>
      <c r="Y9" s="59" t="str">
        <f aca="false">IF(OR($P9="",$X9=""),"",IF(MATCH($X9,Reference!$F$37:$F$40,0)&gt;MATCH($P9,Reference!$F$37:$F$40,0),"Improving",IF($X9=$P9,"Flat","Worsening")))</f>
        <v>Improving</v>
      </c>
      <c r="Z9" s="57"/>
      <c r="AA9" s="62" t="s">
        <v>63</v>
      </c>
      <c r="AB9" s="63" t="s">
        <v>58</v>
      </c>
      <c r="AC9" s="64" t="n">
        <v>46204</v>
      </c>
      <c r="AD9" s="64" t="n">
        <v>46235</v>
      </c>
      <c r="AE9" s="64" t="n">
        <v>46280</v>
      </c>
      <c r="AF9" s="59" t="str">
        <f aca="true">IF(OR($F9="",$AE9="",$AB9="Closed"),"",IF($AE9&lt;TODAY(),"Overdue",""))</f>
        <v/>
      </c>
      <c r="AG9" s="62" t="s">
        <v>266</v>
      </c>
      <c r="AH9" s="64"/>
      <c r="AI9" s="65" t="s">
        <v>267</v>
      </c>
    </row>
    <row r="10" customFormat="false" ht="33.75" hidden="false" customHeight="true" outlineLevel="0" collapsed="false">
      <c r="A10" s="54"/>
      <c r="B10" s="55" t="n">
        <f aca="false">IF($F10="","",ROW()-8)</f>
        <v>2</v>
      </c>
      <c r="C10" s="56" t="str">
        <f aca="false">IF($F10="","","RSK-"&amp;TEXT(ROW()-8,"000"))</f>
        <v>RSK-002</v>
      </c>
      <c r="D10" s="66" t="s">
        <v>60</v>
      </c>
      <c r="E10" s="67" t="s">
        <v>99</v>
      </c>
      <c r="F10" s="66" t="s">
        <v>268</v>
      </c>
      <c r="G10" s="66" t="s">
        <v>203</v>
      </c>
      <c r="H10" s="66" t="s">
        <v>139</v>
      </c>
      <c r="I10" s="66" t="s">
        <v>153</v>
      </c>
      <c r="J10" s="59" t="str">
        <f aca="false">IF(OR($H10="",$I10=""),"",INDEX(Reference!$C$68:$G$72,MATCH($H10,Reference!$B$52:$B$56,0),6-MATCH($I10,Reference!$B$60:$B$64,0)))</f>
        <v>High</v>
      </c>
      <c r="K10" s="66" t="s">
        <v>264</v>
      </c>
      <c r="L10" s="66" t="s">
        <v>269</v>
      </c>
      <c r="M10" s="67" t="s">
        <v>55</v>
      </c>
      <c r="N10" s="66" t="s">
        <v>139</v>
      </c>
      <c r="O10" s="66" t="s">
        <v>154</v>
      </c>
      <c r="P10" s="59" t="str">
        <f aca="false">IF(OR($N10="",$O10=""),"",INDEX(Reference!$C$68:$G$72,MATCH($N10,Reference!$B$52:$B$56,0),6-MATCH($O10,Reference!$B$60:$B$64,0)))</f>
        <v>High</v>
      </c>
      <c r="Q10" s="60" t="n">
        <f aca="false">IF(OR($N10="",$O10=""),"",INDEX(Reference!$F$52:$F$56,MATCH($N10,Reference!$B$52:$B$56,0))*INDEX(Reference!$F$60:$F$64,MATCH($O10,Reference!$B$60:$B$64,0)))</f>
        <v>1487500</v>
      </c>
      <c r="R10" s="61" t="n">
        <f aca="false">IF(OR($N10="",$O10=""),"",ROUND(INDEX(Reference!$F$52:$F$56,MATCH($N10,Reference!$B$52:$B$56,0))*INDEX(Reference!$H$60:$H$64,MATCH($O10,Reference!$B$60:$B$64,0)),0))</f>
        <v>15</v>
      </c>
      <c r="S10" s="66" t="s">
        <v>107</v>
      </c>
      <c r="T10" s="55" t="n">
        <f aca="false">IF($F10="","",COUNTIF('Treatment Actions'!$B$9:$B$208,$C10))</f>
        <v>2</v>
      </c>
      <c r="U10" s="55" t="n">
        <f aca="false">IF($F10="","",COUNTIFS('Treatment Actions'!$B$9:$B$208,$C10,'Treatment Actions'!$F$9:$F$208,"Complete"))</f>
        <v>0</v>
      </c>
      <c r="V10" s="66" t="s">
        <v>143</v>
      </c>
      <c r="W10" s="66" t="s">
        <v>154</v>
      </c>
      <c r="X10" s="59" t="str">
        <f aca="false">IF(OR($V10="",$W10=""),"",INDEX(Reference!$C$68:$G$72,MATCH($V10,Reference!$B$52:$B$56,0),6-MATCH($W10,Reference!$B$60:$B$64,0)))</f>
        <v>Medium</v>
      </c>
      <c r="Y10" s="59" t="str">
        <f aca="false">IF(OR($P10="",$X10=""),"",IF(MATCH($X10,Reference!$F$37:$F$40,0)&gt;MATCH($P10,Reference!$F$37:$F$40,0),"Improving",IF($X10=$P10,"Flat","Worsening")))</f>
        <v>Improving</v>
      </c>
      <c r="Z10" s="66"/>
      <c r="AA10" s="68" t="s">
        <v>60</v>
      </c>
      <c r="AB10" s="69" t="s">
        <v>58</v>
      </c>
      <c r="AC10" s="70" t="n">
        <v>46204</v>
      </c>
      <c r="AD10" s="70" t="n">
        <v>46235</v>
      </c>
      <c r="AE10" s="70" t="n">
        <v>46263</v>
      </c>
      <c r="AF10" s="59" t="str">
        <f aca="true">IF(OR($F10="",$AE10="",$AB10="Closed"),"",IF($AE10&lt;TODAY(),"Overdue",""))</f>
        <v/>
      </c>
      <c r="AG10" s="68" t="s">
        <v>266</v>
      </c>
      <c r="AH10" s="70"/>
      <c r="AI10" s="71" t="s">
        <v>270</v>
      </c>
    </row>
    <row r="11" customFormat="false" ht="33.75" hidden="false" customHeight="true" outlineLevel="0" collapsed="false">
      <c r="A11" s="54"/>
      <c r="B11" s="55" t="n">
        <f aca="false">IF($F11="","",ROW()-8)</f>
        <v>3</v>
      </c>
      <c r="C11" s="56" t="str">
        <f aca="false">IF($F11="","","RSK-"&amp;TEXT(ROW()-8,"000"))</f>
        <v>RSK-003</v>
      </c>
      <c r="D11" s="57" t="s">
        <v>81</v>
      </c>
      <c r="E11" s="58" t="s">
        <v>99</v>
      </c>
      <c r="F11" s="57" t="s">
        <v>271</v>
      </c>
      <c r="G11" s="57" t="s">
        <v>272</v>
      </c>
      <c r="H11" s="57" t="s">
        <v>139</v>
      </c>
      <c r="I11" s="57" t="s">
        <v>153</v>
      </c>
      <c r="J11" s="59" t="str">
        <f aca="false">IF(OR($H11="",$I11=""),"",INDEX(Reference!$C$68:$G$72,MATCH($H11,Reference!$B$52:$B$56,0),6-MATCH($I11,Reference!$B$60:$B$64,0)))</f>
        <v>High</v>
      </c>
      <c r="K11" s="57" t="s">
        <v>264</v>
      </c>
      <c r="L11" s="57" t="s">
        <v>273</v>
      </c>
      <c r="M11" s="58" t="s">
        <v>62</v>
      </c>
      <c r="N11" s="57" t="s">
        <v>141</v>
      </c>
      <c r="O11" s="57" t="s">
        <v>153</v>
      </c>
      <c r="P11" s="59" t="str">
        <f aca="false">IF(OR($N11="",$O11=""),"",INDEX(Reference!$C$68:$G$72,MATCH($N11,Reference!$B$52:$B$56,0),6-MATCH($O11,Reference!$B$60:$B$64,0)))</f>
        <v>High</v>
      </c>
      <c r="Q11" s="60" t="n">
        <f aca="false">IF(OR($N11="",$O11=""),"",INDEX(Reference!$F$52:$F$56,MATCH($N11,Reference!$B$52:$B$56,0))*INDEX(Reference!$F$60:$F$64,MATCH($O11,Reference!$B$60:$B$64,0)))</f>
        <v>1115625</v>
      </c>
      <c r="R11" s="61" t="n">
        <f aca="false">IF(OR($N11="",$O11=""),"",ROUND(INDEX(Reference!$F$52:$F$56,MATCH($N11,Reference!$B$52:$B$56,0))*INDEX(Reference!$H$60:$H$64,MATCH($O11,Reference!$B$60:$B$64,0)),0))</f>
        <v>16</v>
      </c>
      <c r="S11" s="57" t="s">
        <v>128</v>
      </c>
      <c r="T11" s="55" t="n">
        <f aca="false">IF($F11="","",COUNTIF('Treatment Actions'!$B$9:$B$208,$C11))</f>
        <v>1</v>
      </c>
      <c r="U11" s="55" t="n">
        <f aca="false">IF($F11="","",COUNTIFS('Treatment Actions'!$B$9:$B$208,$C11,'Treatment Actions'!$F$9:$F$208,"Complete"))</f>
        <v>0</v>
      </c>
      <c r="V11" s="57" t="s">
        <v>143</v>
      </c>
      <c r="W11" s="57" t="s">
        <v>153</v>
      </c>
      <c r="X11" s="59" t="str">
        <f aca="false">IF(OR($V11="",$W11=""),"",INDEX(Reference!$C$68:$G$72,MATCH($V11,Reference!$B$52:$B$56,0),6-MATCH($W11,Reference!$B$60:$B$64,0)))</f>
        <v>Medium</v>
      </c>
      <c r="Y11" s="59" t="str">
        <f aca="false">IF(OR($P11="",$X11=""),"",IF(MATCH($X11,Reference!$F$37:$F$40,0)&gt;MATCH($P11,Reference!$F$37:$F$40,0),"Improving",IF($X11=$P11,"Flat","Worsening")))</f>
        <v>Improving</v>
      </c>
      <c r="Z11" s="57"/>
      <c r="AA11" s="62" t="s">
        <v>67</v>
      </c>
      <c r="AB11" s="63" t="s">
        <v>58</v>
      </c>
      <c r="AC11" s="64" t="n">
        <v>46204</v>
      </c>
      <c r="AD11" s="64" t="n">
        <v>46235</v>
      </c>
      <c r="AE11" s="64" t="n">
        <v>46295</v>
      </c>
      <c r="AF11" s="59" t="str">
        <f aca="true">IF(OR($F11="",$AE11="",$AB11="Closed"),"",IF($AE11&lt;TODAY(),"Overdue",""))</f>
        <v/>
      </c>
      <c r="AG11" s="62" t="s">
        <v>266</v>
      </c>
      <c r="AH11" s="64"/>
      <c r="AI11" s="65" t="s">
        <v>270</v>
      </c>
    </row>
    <row r="12" customFormat="false" ht="33.75" hidden="false" customHeight="true" outlineLevel="0" collapsed="false">
      <c r="A12" s="54"/>
      <c r="B12" s="55" t="n">
        <f aca="false">IF($F12="","",ROW()-8)</f>
        <v>4</v>
      </c>
      <c r="C12" s="56" t="str">
        <f aca="false">IF($F12="","","RSK-"&amp;TEXT(ROW()-8,"000"))</f>
        <v>RSK-004</v>
      </c>
      <c r="D12" s="66" t="s">
        <v>78</v>
      </c>
      <c r="E12" s="67" t="s">
        <v>99</v>
      </c>
      <c r="F12" s="66" t="s">
        <v>274</v>
      </c>
      <c r="G12" s="66" t="s">
        <v>275</v>
      </c>
      <c r="H12" s="66" t="s">
        <v>137</v>
      </c>
      <c r="I12" s="66" t="s">
        <v>154</v>
      </c>
      <c r="J12" s="59" t="str">
        <f aca="false">IF(OR($H12="",$I12=""),"",INDEX(Reference!$C$68:$G$72,MATCH($H12,Reference!$B$52:$B$56,0),6-MATCH($I12,Reference!$B$60:$B$64,0)))</f>
        <v>High</v>
      </c>
      <c r="K12" s="66" t="s">
        <v>264</v>
      </c>
      <c r="L12" s="66" t="s">
        <v>276</v>
      </c>
      <c r="M12" s="67" t="s">
        <v>59</v>
      </c>
      <c r="N12" s="66" t="s">
        <v>141</v>
      </c>
      <c r="O12" s="66" t="s">
        <v>154</v>
      </c>
      <c r="P12" s="59" t="str">
        <f aca="false">IF(OR($N12="",$O12=""),"",INDEX(Reference!$C$68:$G$72,MATCH($N12,Reference!$B$52:$B$56,0),6-MATCH($O12,Reference!$B$60:$B$64,0)))</f>
        <v>Medium</v>
      </c>
      <c r="Q12" s="60" t="n">
        <f aca="false">IF(OR($N12="",$O12=""),"",INDEX(Reference!$F$52:$F$56,MATCH($N12,Reference!$B$52:$B$56,0))*INDEX(Reference!$F$60:$F$64,MATCH($O12,Reference!$B$60:$B$64,0)))</f>
        <v>520625</v>
      </c>
      <c r="R12" s="61" t="n">
        <f aca="false">IF(OR($N12="",$O12=""),"",ROUND(INDEX(Reference!$F$52:$F$56,MATCH($N12,Reference!$B$52:$B$56,0))*INDEX(Reference!$H$60:$H$64,MATCH($O12,Reference!$B$60:$B$64,0)),0))</f>
        <v>5</v>
      </c>
      <c r="S12" s="66" t="s">
        <v>125</v>
      </c>
      <c r="T12" s="55" t="n">
        <f aca="false">IF($F12="","",COUNTIF('Treatment Actions'!$B$9:$B$208,$C12))</f>
        <v>1</v>
      </c>
      <c r="U12" s="55" t="n">
        <f aca="false">IF($F12="","",COUNTIFS('Treatment Actions'!$B$9:$B$208,$C12,'Treatment Actions'!$F$9:$F$208,"Complete"))</f>
        <v>1</v>
      </c>
      <c r="V12" s="66" t="s">
        <v>143</v>
      </c>
      <c r="W12" s="66" t="s">
        <v>154</v>
      </c>
      <c r="X12" s="59" t="str">
        <f aca="false">IF(OR($V12="",$W12=""),"",INDEX(Reference!$C$68:$G$72,MATCH($V12,Reference!$B$52:$B$56,0),6-MATCH($W12,Reference!$B$60:$B$64,0)))</f>
        <v>Medium</v>
      </c>
      <c r="Y12" s="59" t="str">
        <f aca="false">IF(OR($P12="",$X12=""),"",IF(MATCH($X12,Reference!$F$37:$F$40,0)&gt;MATCH($P12,Reference!$F$37:$F$40,0),"Improving",IF($X12=$P12,"Flat","Worsening")))</f>
        <v>Flat</v>
      </c>
      <c r="Z12" s="66"/>
      <c r="AA12" s="68" t="s">
        <v>71</v>
      </c>
      <c r="AB12" s="69" t="s">
        <v>61</v>
      </c>
      <c r="AC12" s="70" t="n">
        <v>46204</v>
      </c>
      <c r="AD12" s="70" t="n">
        <v>46235</v>
      </c>
      <c r="AE12" s="70" t="n">
        <v>46270</v>
      </c>
      <c r="AF12" s="59" t="str">
        <f aca="true">IF(OR($F12="",$AE12="",$AB12="Closed"),"",IF($AE12&lt;TODAY(),"Overdue",""))</f>
        <v/>
      </c>
      <c r="AG12" s="68" t="s">
        <v>266</v>
      </c>
      <c r="AH12" s="70"/>
      <c r="AI12" s="71" t="s">
        <v>270</v>
      </c>
    </row>
    <row r="13" customFormat="false" ht="33.75" hidden="false" customHeight="true" outlineLevel="0" collapsed="false">
      <c r="A13" s="54"/>
      <c r="B13" s="55" t="n">
        <f aca="false">IF($F13="","",ROW()-8)</f>
        <v>5</v>
      </c>
      <c r="C13" s="56" t="str">
        <f aca="false">IF($F13="","","RSK-"&amp;TEXT(ROW()-8,"000"))</f>
        <v>RSK-005</v>
      </c>
      <c r="D13" s="57" t="s">
        <v>80</v>
      </c>
      <c r="E13" s="58" t="s">
        <v>99</v>
      </c>
      <c r="F13" s="57" t="s">
        <v>277</v>
      </c>
      <c r="G13" s="57" t="s">
        <v>278</v>
      </c>
      <c r="H13" s="57" t="s">
        <v>139</v>
      </c>
      <c r="I13" s="57" t="s">
        <v>153</v>
      </c>
      <c r="J13" s="59" t="str">
        <f aca="false">IF(OR($H13="",$I13=""),"",INDEX(Reference!$C$68:$G$72,MATCH($H13,Reference!$B$52:$B$56,0),6-MATCH($I13,Reference!$B$60:$B$64,0)))</f>
        <v>High</v>
      </c>
      <c r="K13" s="57" t="s">
        <v>264</v>
      </c>
      <c r="L13" s="57" t="s">
        <v>279</v>
      </c>
      <c r="M13" s="58" t="s">
        <v>66</v>
      </c>
      <c r="N13" s="57" t="s">
        <v>139</v>
      </c>
      <c r="O13" s="57" t="s">
        <v>153</v>
      </c>
      <c r="P13" s="59" t="str">
        <f aca="false">IF(OR($N13="",$O13=""),"",INDEX(Reference!$C$68:$G$72,MATCH($N13,Reference!$B$52:$B$56,0),6-MATCH($O13,Reference!$B$60:$B$64,0)))</f>
        <v>High</v>
      </c>
      <c r="Q13" s="60" t="n">
        <f aca="false">IF(OR($N13="",$O13=""),"",INDEX(Reference!$F$52:$F$56,MATCH($N13,Reference!$B$52:$B$56,0))*INDEX(Reference!$F$60:$F$64,MATCH($O13,Reference!$B$60:$B$64,0)))</f>
        <v>3187500</v>
      </c>
      <c r="R13" s="61" t="n">
        <f aca="false">IF(OR($N13="",$O13=""),"",ROUND(INDEX(Reference!$F$52:$F$56,MATCH($N13,Reference!$B$52:$B$56,0))*INDEX(Reference!$H$60:$H$64,MATCH($O13,Reference!$B$60:$B$64,0)),0))</f>
        <v>45</v>
      </c>
      <c r="S13" s="57" t="s">
        <v>110</v>
      </c>
      <c r="T13" s="55" t="n">
        <f aca="false">IF($F13="","",COUNTIF('Treatment Actions'!$B$9:$B$208,$C13))</f>
        <v>1</v>
      </c>
      <c r="U13" s="55" t="n">
        <f aca="false">IF($F13="","",COUNTIFS('Treatment Actions'!$B$9:$B$208,$C13,'Treatment Actions'!$F$9:$F$208,"Complete"))</f>
        <v>0</v>
      </c>
      <c r="V13" s="57" t="s">
        <v>141</v>
      </c>
      <c r="W13" s="57" t="s">
        <v>154</v>
      </c>
      <c r="X13" s="59" t="str">
        <f aca="false">IF(OR($V13="",$W13=""),"",INDEX(Reference!$C$68:$G$72,MATCH($V13,Reference!$B$52:$B$56,0),6-MATCH($W13,Reference!$B$60:$B$64,0)))</f>
        <v>Medium</v>
      </c>
      <c r="Y13" s="59" t="str">
        <f aca="false">IF(OR($P13="",$X13=""),"",IF(MATCH($X13,Reference!$F$37:$F$40,0)&gt;MATCH($P13,Reference!$F$37:$F$40,0),"Improving",IF($X13=$P13,"Flat","Worsening")))</f>
        <v>Improving</v>
      </c>
      <c r="Z13" s="57"/>
      <c r="AA13" s="62" t="s">
        <v>71</v>
      </c>
      <c r="AB13" s="63" t="s">
        <v>54</v>
      </c>
      <c r="AC13" s="64" t="n">
        <v>46204</v>
      </c>
      <c r="AD13" s="64" t="n">
        <v>46235</v>
      </c>
      <c r="AE13" s="64" t="n">
        <v>46256</v>
      </c>
      <c r="AF13" s="59" t="str">
        <f aca="true">IF(OR($F13="",$AE13="",$AB13="Closed"),"",IF($AE13&lt;TODAY(),"Overdue",""))</f>
        <v/>
      </c>
      <c r="AG13" s="62" t="s">
        <v>266</v>
      </c>
      <c r="AH13" s="64"/>
      <c r="AI13" s="65" t="s">
        <v>280</v>
      </c>
    </row>
    <row r="14" customFormat="false" ht="33.75" hidden="false" customHeight="true" outlineLevel="0" collapsed="false">
      <c r="A14" s="54"/>
      <c r="B14" s="55" t="n">
        <f aca="false">IF($F14="","",ROW()-8)</f>
        <v>6</v>
      </c>
      <c r="C14" s="56" t="str">
        <f aca="false">IF($F14="","","RSK-"&amp;TEXT(ROW()-8,"000"))</f>
        <v>RSK-006</v>
      </c>
      <c r="D14" s="66" t="s">
        <v>82</v>
      </c>
      <c r="E14" s="67" t="s">
        <v>103</v>
      </c>
      <c r="F14" s="66" t="s">
        <v>281</v>
      </c>
      <c r="G14" s="66" t="s">
        <v>272</v>
      </c>
      <c r="H14" s="66" t="s">
        <v>143</v>
      </c>
      <c r="I14" s="66" t="s">
        <v>155</v>
      </c>
      <c r="J14" s="59" t="str">
        <f aca="false">IF(OR($H14="",$I14=""),"",INDEX(Reference!$C$68:$G$72,MATCH($H14,Reference!$B$52:$B$56,0),6-MATCH($I14,Reference!$B$60:$B$64,0)))</f>
        <v>Low</v>
      </c>
      <c r="K14" s="66" t="s">
        <v>264</v>
      </c>
      <c r="L14" s="66" t="s">
        <v>282</v>
      </c>
      <c r="M14" s="67" t="s">
        <v>59</v>
      </c>
      <c r="N14" s="66" t="s">
        <v>141</v>
      </c>
      <c r="O14" s="66" t="s">
        <v>154</v>
      </c>
      <c r="P14" s="59" t="str">
        <f aca="false">IF(OR($N14="",$O14=""),"",INDEX(Reference!$C$68:$G$72,MATCH($N14,Reference!$B$52:$B$56,0),6-MATCH($O14,Reference!$B$60:$B$64,0)))</f>
        <v>Medium</v>
      </c>
      <c r="Q14" s="60" t="n">
        <f aca="false">IF(OR($N14="",$O14=""),"",INDEX(Reference!$F$52:$F$56,MATCH($N14,Reference!$B$52:$B$56,0))*INDEX(Reference!$F$60:$F$64,MATCH($O14,Reference!$B$60:$B$64,0)))</f>
        <v>520625</v>
      </c>
      <c r="R14" s="61" t="n">
        <f aca="false">IF(OR($N14="",$O14=""),"",ROUND(INDEX(Reference!$F$52:$F$56,MATCH($N14,Reference!$B$52:$B$56,0))*INDEX(Reference!$H$60:$H$64,MATCH($O14,Reference!$B$60:$B$64,0)),0))</f>
        <v>5</v>
      </c>
      <c r="S14" s="66" t="s">
        <v>129</v>
      </c>
      <c r="T14" s="55" t="n">
        <f aca="false">IF($F14="","",COUNTIF('Treatment Actions'!$B$9:$B$208,$C14))</f>
        <v>1</v>
      </c>
      <c r="U14" s="55" t="n">
        <f aca="false">IF($F14="","",COUNTIFS('Treatment Actions'!$B$9:$B$208,$C14,'Treatment Actions'!$F$9:$F$208,"Complete"))</f>
        <v>0</v>
      </c>
      <c r="V14" s="66" t="s">
        <v>139</v>
      </c>
      <c r="W14" s="66" t="s">
        <v>153</v>
      </c>
      <c r="X14" s="59" t="str">
        <f aca="false">IF(OR($V14="",$W14=""),"",INDEX(Reference!$C$68:$G$72,MATCH($V14,Reference!$B$52:$B$56,0),6-MATCH($W14,Reference!$B$60:$B$64,0)))</f>
        <v>High</v>
      </c>
      <c r="Y14" s="59" t="str">
        <f aca="false">IF(OR($P14="",$X14=""),"",IF(MATCH($X14,Reference!$F$37:$F$40,0)&gt;MATCH($P14,Reference!$F$37:$F$40,0),"Improving",IF($X14=$P14,"Flat","Worsening")))</f>
        <v>Worsening</v>
      </c>
      <c r="Z14" s="66"/>
      <c r="AA14" s="68" t="s">
        <v>67</v>
      </c>
      <c r="AB14" s="69" t="s">
        <v>58</v>
      </c>
      <c r="AC14" s="70" t="n">
        <v>46204</v>
      </c>
      <c r="AD14" s="70" t="n">
        <v>46235</v>
      </c>
      <c r="AE14" s="70" t="n">
        <v>46277</v>
      </c>
      <c r="AF14" s="59" t="str">
        <f aca="true">IF(OR($F14="",$AE14="",$AB14="Closed"),"",IF($AE14&lt;TODAY(),"Overdue",""))</f>
        <v/>
      </c>
      <c r="AG14" s="68" t="s">
        <v>266</v>
      </c>
      <c r="AH14" s="70"/>
      <c r="AI14" s="71" t="s">
        <v>283</v>
      </c>
    </row>
    <row r="15" customFormat="false" ht="33.75" hidden="false" customHeight="true" outlineLevel="0" collapsed="false">
      <c r="A15" s="54"/>
      <c r="B15" s="55" t="n">
        <f aca="false">IF($F15="","",ROW()-8)</f>
        <v>7</v>
      </c>
      <c r="C15" s="56" t="str">
        <f aca="false">IF($F15="","","RSK-"&amp;TEXT(ROW()-8,"000"))</f>
        <v>RSK-007</v>
      </c>
      <c r="D15" s="57" t="s">
        <v>72</v>
      </c>
      <c r="E15" s="58" t="s">
        <v>99</v>
      </c>
      <c r="F15" s="57" t="s">
        <v>284</v>
      </c>
      <c r="G15" s="57" t="s">
        <v>263</v>
      </c>
      <c r="H15" s="57" t="s">
        <v>139</v>
      </c>
      <c r="I15" s="57" t="s">
        <v>154</v>
      </c>
      <c r="J15" s="59" t="str">
        <f aca="false">IF(OR($H15="",$I15=""),"",INDEX(Reference!$C$68:$G$72,MATCH($H15,Reference!$B$52:$B$56,0),6-MATCH($I15,Reference!$B$60:$B$64,0)))</f>
        <v>High</v>
      </c>
      <c r="K15" s="57" t="s">
        <v>264</v>
      </c>
      <c r="L15" s="57" t="s">
        <v>285</v>
      </c>
      <c r="M15" s="58" t="s">
        <v>59</v>
      </c>
      <c r="N15" s="57" t="s">
        <v>141</v>
      </c>
      <c r="O15" s="57" t="s">
        <v>154</v>
      </c>
      <c r="P15" s="59" t="str">
        <f aca="false">IF(OR($N15="",$O15=""),"",INDEX(Reference!$C$68:$G$72,MATCH($N15,Reference!$B$52:$B$56,0),6-MATCH($O15,Reference!$B$60:$B$64,0)))</f>
        <v>Medium</v>
      </c>
      <c r="Q15" s="60" t="n">
        <f aca="false">IF(OR($N15="",$O15=""),"",INDEX(Reference!$F$52:$F$56,MATCH($N15,Reference!$B$52:$B$56,0))*INDEX(Reference!$F$60:$F$64,MATCH($O15,Reference!$B$60:$B$64,0)))</f>
        <v>520625</v>
      </c>
      <c r="R15" s="61" t="n">
        <f aca="false">IF(OR($N15="",$O15=""),"",ROUND(INDEX(Reference!$F$52:$F$56,MATCH($N15,Reference!$B$52:$B$56,0))*INDEX(Reference!$H$60:$H$64,MATCH($O15,Reference!$B$60:$B$64,0)),0))</f>
        <v>5</v>
      </c>
      <c r="S15" s="57" t="s">
        <v>110</v>
      </c>
      <c r="T15" s="55" t="n">
        <f aca="false">IF($F15="","",COUNTIF('Treatment Actions'!$B$9:$B$208,$C15))</f>
        <v>1</v>
      </c>
      <c r="U15" s="55" t="n">
        <f aca="false">IF($F15="","",COUNTIFS('Treatment Actions'!$B$9:$B$208,$C15,'Treatment Actions'!$F$9:$F$208,"Complete"))</f>
        <v>0</v>
      </c>
      <c r="V15" s="57" t="s">
        <v>143</v>
      </c>
      <c r="W15" s="57" t="s">
        <v>155</v>
      </c>
      <c r="X15" s="59" t="str">
        <f aca="false">IF(OR($V15="",$W15=""),"",INDEX(Reference!$C$68:$G$72,MATCH($V15,Reference!$B$52:$B$56,0),6-MATCH($W15,Reference!$B$60:$B$64,0)))</f>
        <v>Low</v>
      </c>
      <c r="Y15" s="59" t="str">
        <f aca="false">IF(OR($P15="",$X15=""),"",IF(MATCH($X15,Reference!$F$37:$F$40,0)&gt;MATCH($P15,Reference!$F$37:$F$40,0),"Improving",IF($X15=$P15,"Flat","Worsening")))</f>
        <v>Improving</v>
      </c>
      <c r="Z15" s="57"/>
      <c r="AA15" s="62" t="s">
        <v>63</v>
      </c>
      <c r="AB15" s="63" t="s">
        <v>58</v>
      </c>
      <c r="AC15" s="64" t="n">
        <v>46204</v>
      </c>
      <c r="AD15" s="64" t="n">
        <v>46235</v>
      </c>
      <c r="AE15" s="64" t="n">
        <v>46266</v>
      </c>
      <c r="AF15" s="59" t="str">
        <f aca="true">IF(OR($F15="",$AE15="",$AB15="Closed"),"",IF($AE15&lt;TODAY(),"Overdue",""))</f>
        <v/>
      </c>
      <c r="AG15" s="62" t="s">
        <v>266</v>
      </c>
      <c r="AH15" s="64"/>
      <c r="AI15" s="65" t="s">
        <v>270</v>
      </c>
    </row>
    <row r="16" customFormat="false" ht="33.75" hidden="false" customHeight="true" outlineLevel="0" collapsed="false">
      <c r="A16" s="54"/>
      <c r="B16" s="55" t="n">
        <f aca="false">IF($F16="","",ROW()-8)</f>
        <v>8</v>
      </c>
      <c r="C16" s="56" t="str">
        <f aca="false">IF($F16="","","RSK-"&amp;TEXT(ROW()-8,"000"))</f>
        <v>RSK-008</v>
      </c>
      <c r="D16" s="66" t="s">
        <v>85</v>
      </c>
      <c r="E16" s="67" t="s">
        <v>99</v>
      </c>
      <c r="F16" s="66" t="s">
        <v>286</v>
      </c>
      <c r="G16" s="66" t="s">
        <v>203</v>
      </c>
      <c r="H16" s="66" t="s">
        <v>137</v>
      </c>
      <c r="I16" s="66" t="s">
        <v>152</v>
      </c>
      <c r="J16" s="59" t="str">
        <f aca="false">IF(OR($H16="",$I16=""),"",INDEX(Reference!$C$68:$G$72,MATCH($H16,Reference!$B$52:$B$56,0),6-MATCH($I16,Reference!$B$60:$B$64,0)))</f>
        <v>Extreme</v>
      </c>
      <c r="K16" s="66" t="s">
        <v>264</v>
      </c>
      <c r="L16" s="66" t="s">
        <v>287</v>
      </c>
      <c r="M16" s="67" t="s">
        <v>62</v>
      </c>
      <c r="N16" s="66" t="s">
        <v>143</v>
      </c>
      <c r="O16" s="66" t="s">
        <v>152</v>
      </c>
      <c r="P16" s="59" t="str">
        <f aca="false">IF(OR($N16="",$O16=""),"",INDEX(Reference!$C$68:$G$72,MATCH($N16,Reference!$B$52:$B$56,0),6-MATCH($O16,Reference!$B$60:$B$64,0)))</f>
        <v>High</v>
      </c>
      <c r="Q16" s="60" t="n">
        <f aca="false">IF(OR($N16="",$O16=""),"",INDEX(Reference!$F$52:$F$56,MATCH($N16,Reference!$B$52:$B$56,0))*INDEX(Reference!$F$60:$F$64,MATCH($O16,Reference!$B$60:$B$64,0)))</f>
        <v>818125</v>
      </c>
      <c r="R16" s="61" t="n">
        <f aca="false">IF(OR($N16="",$O16=""),"",ROUND(INDEX(Reference!$F$52:$F$56,MATCH($N16,Reference!$B$52:$B$56,0))*INDEX(Reference!$H$60:$H$64,MATCH($O16,Reference!$B$60:$B$64,0)),0))</f>
        <v>10</v>
      </c>
      <c r="S16" s="66" t="s">
        <v>110</v>
      </c>
      <c r="T16" s="55" t="n">
        <f aca="false">IF($F16="","",COUNTIF('Treatment Actions'!$B$9:$B$208,$C16))</f>
        <v>1</v>
      </c>
      <c r="U16" s="55" t="n">
        <f aca="false">IF($F16="","",COUNTIFS('Treatment Actions'!$B$9:$B$208,$C16,'Treatment Actions'!$F$9:$F$208,"Complete"))</f>
        <v>0</v>
      </c>
      <c r="V16" s="66" t="s">
        <v>145</v>
      </c>
      <c r="W16" s="66" t="s">
        <v>152</v>
      </c>
      <c r="X16" s="59" t="str">
        <f aca="false">IF(OR($V16="",$W16=""),"",INDEX(Reference!$C$68:$G$72,MATCH($V16,Reference!$B$52:$B$56,0),6-MATCH($W16,Reference!$B$60:$B$64,0)))</f>
        <v>Medium</v>
      </c>
      <c r="Y16" s="59" t="str">
        <f aca="false">IF(OR($P16="",$X16=""),"",IF(MATCH($X16,Reference!$F$37:$F$40,0)&gt;MATCH($P16,Reference!$F$37:$F$40,0),"Improving",IF($X16=$P16,"Flat","Worsening")))</f>
        <v>Improving</v>
      </c>
      <c r="Z16" s="66"/>
      <c r="AA16" s="68" t="s">
        <v>71</v>
      </c>
      <c r="AB16" s="69" t="s">
        <v>61</v>
      </c>
      <c r="AC16" s="70" t="n">
        <v>46204</v>
      </c>
      <c r="AD16" s="70" t="n">
        <v>46235</v>
      </c>
      <c r="AE16" s="70" t="n">
        <v>46284</v>
      </c>
      <c r="AF16" s="59" t="str">
        <f aca="true">IF(OR($F16="",$AE16="",$AB16="Closed"),"",IF($AE16&lt;TODAY(),"Overdue",""))</f>
        <v/>
      </c>
      <c r="AG16" s="68" t="s">
        <v>266</v>
      </c>
      <c r="AH16" s="70"/>
      <c r="AI16" s="71" t="s">
        <v>288</v>
      </c>
    </row>
    <row r="17" customFormat="false" ht="33.75" hidden="false" customHeight="true" outlineLevel="0" collapsed="false">
      <c r="A17" s="54"/>
      <c r="B17" s="55" t="n">
        <f aca="false">IF($F17="","",ROW()-8)</f>
        <v>9</v>
      </c>
      <c r="C17" s="56" t="str">
        <f aca="false">IF($F17="","","RSK-"&amp;TEXT(ROW()-8,"000"))</f>
        <v>RSK-009</v>
      </c>
      <c r="D17" s="57" t="s">
        <v>57</v>
      </c>
      <c r="E17" s="58" t="s">
        <v>99</v>
      </c>
      <c r="F17" s="57" t="s">
        <v>289</v>
      </c>
      <c r="G17" s="57" t="s">
        <v>290</v>
      </c>
      <c r="H17" s="57" t="s">
        <v>141</v>
      </c>
      <c r="I17" s="57" t="s">
        <v>154</v>
      </c>
      <c r="J17" s="59" t="str">
        <f aca="false">IF(OR($H17="",$I17=""),"",INDEX(Reference!$C$68:$G$72,MATCH($H17,Reference!$B$52:$B$56,0),6-MATCH($I17,Reference!$B$60:$B$64,0)))</f>
        <v>Medium</v>
      </c>
      <c r="K17" s="57" t="s">
        <v>264</v>
      </c>
      <c r="L17" s="57" t="s">
        <v>291</v>
      </c>
      <c r="M17" s="58" t="s">
        <v>59</v>
      </c>
      <c r="N17" s="57" t="s">
        <v>141</v>
      </c>
      <c r="O17" s="57" t="s">
        <v>155</v>
      </c>
      <c r="P17" s="59" t="str">
        <f aca="false">IF(OR($N17="",$O17=""),"",INDEX(Reference!$C$68:$G$72,MATCH($N17,Reference!$B$52:$B$56,0),6-MATCH($O17,Reference!$B$60:$B$64,0)))</f>
        <v>Medium</v>
      </c>
      <c r="Q17" s="60" t="n">
        <f aca="false">IF(OR($N17="",$O17=""),"",INDEX(Reference!$F$52:$F$56,MATCH($N17,Reference!$B$52:$B$56,0))*INDEX(Reference!$F$60:$F$64,MATCH($O17,Reference!$B$60:$B$64,0)))</f>
        <v>185937.5</v>
      </c>
      <c r="R17" s="61" t="n">
        <f aca="false">IF(OR($N17="",$O17=""),"",ROUND(INDEX(Reference!$F$52:$F$56,MATCH($N17,Reference!$B$52:$B$56,0))*INDEX(Reference!$H$60:$H$64,MATCH($O17,Reference!$B$60:$B$64,0)),0))</f>
        <v>2</v>
      </c>
      <c r="S17" s="57" t="s">
        <v>107</v>
      </c>
      <c r="T17" s="55" t="n">
        <f aca="false">IF($F17="","",COUNTIF('Treatment Actions'!$B$9:$B$208,$C17))</f>
        <v>1</v>
      </c>
      <c r="U17" s="55" t="n">
        <f aca="false">IF($F17="","",COUNTIFS('Treatment Actions'!$B$9:$B$208,$C17,'Treatment Actions'!$F$9:$F$208,"Complete"))</f>
        <v>0</v>
      </c>
      <c r="V17" s="57" t="s">
        <v>143</v>
      </c>
      <c r="W17" s="57" t="s">
        <v>155</v>
      </c>
      <c r="X17" s="59" t="str">
        <f aca="false">IF(OR($V17="",$W17=""),"",INDEX(Reference!$C$68:$G$72,MATCH($V17,Reference!$B$52:$B$56,0),6-MATCH($W17,Reference!$B$60:$B$64,0)))</f>
        <v>Low</v>
      </c>
      <c r="Y17" s="59" t="str">
        <f aca="false">IF(OR($P17="",$X17=""),"",IF(MATCH($X17,Reference!$F$37:$F$40,0)&gt;MATCH($P17,Reference!$F$37:$F$40,0),"Improving",IF($X17=$P17,"Flat","Worsening")))</f>
        <v>Improving</v>
      </c>
      <c r="Z17" s="57"/>
      <c r="AA17" s="62" t="s">
        <v>71</v>
      </c>
      <c r="AB17" s="63" t="s">
        <v>61</v>
      </c>
      <c r="AC17" s="64" t="n">
        <v>46204</v>
      </c>
      <c r="AD17" s="64" t="n">
        <v>46235</v>
      </c>
      <c r="AE17" s="64" t="n">
        <v>46305</v>
      </c>
      <c r="AF17" s="59" t="str">
        <f aca="true">IF(OR($F17="",$AE17="",$AB17="Closed"),"",IF($AE17&lt;TODAY(),"Overdue",""))</f>
        <v/>
      </c>
      <c r="AG17" s="62" t="s">
        <v>266</v>
      </c>
      <c r="AH17" s="64"/>
      <c r="AI17" s="65" t="s">
        <v>270</v>
      </c>
    </row>
    <row r="18" customFormat="false" ht="33.75" hidden="false" customHeight="true" outlineLevel="0" collapsed="false">
      <c r="A18" s="54"/>
      <c r="B18" s="55" t="n">
        <f aca="false">IF($F18="","",ROW()-8)</f>
        <v>10</v>
      </c>
      <c r="C18" s="56" t="str">
        <f aca="false">IF($F18="","","RSK-"&amp;TEXT(ROW()-8,"000"))</f>
        <v>RSK-010</v>
      </c>
      <c r="D18" s="66" t="s">
        <v>91</v>
      </c>
      <c r="E18" s="67" t="s">
        <v>99</v>
      </c>
      <c r="F18" s="66" t="s">
        <v>292</v>
      </c>
      <c r="G18" s="66" t="s">
        <v>293</v>
      </c>
      <c r="H18" s="66" t="s">
        <v>139</v>
      </c>
      <c r="I18" s="66" t="s">
        <v>152</v>
      </c>
      <c r="J18" s="59" t="str">
        <f aca="false">IF(OR($H18="",$I18=""),"",INDEX(Reference!$C$68:$G$72,MATCH($H18,Reference!$B$52:$B$56,0),6-MATCH($I18,Reference!$B$60:$B$64,0)))</f>
        <v>Extreme</v>
      </c>
      <c r="K18" s="66" t="s">
        <v>264</v>
      </c>
      <c r="L18" s="66" t="s">
        <v>294</v>
      </c>
      <c r="M18" s="67" t="s">
        <v>66</v>
      </c>
      <c r="N18" s="66" t="s">
        <v>139</v>
      </c>
      <c r="O18" s="66" t="s">
        <v>152</v>
      </c>
      <c r="P18" s="59" t="str">
        <f aca="false">IF(OR($N18="",$O18=""),"",INDEX(Reference!$C$68:$G$72,MATCH($N18,Reference!$B$52:$B$56,0),6-MATCH($O18,Reference!$B$60:$B$64,0)))</f>
        <v>Extreme</v>
      </c>
      <c r="Q18" s="60" t="n">
        <f aca="false">IF(OR($N18="",$O18=""),"",INDEX(Reference!$F$52:$F$56,MATCH($N18,Reference!$B$52:$B$56,0))*INDEX(Reference!$F$60:$F$64,MATCH($O18,Reference!$B$60:$B$64,0)))</f>
        <v>7437500</v>
      </c>
      <c r="R18" s="61" t="n">
        <f aca="false">IF(OR($N18="",$O18=""),"",ROUND(INDEX(Reference!$F$52:$F$56,MATCH($N18,Reference!$B$52:$B$56,0))*INDEX(Reference!$H$60:$H$64,MATCH($O18,Reference!$B$60:$B$64,0)),0))</f>
        <v>90</v>
      </c>
      <c r="S18" s="66" t="s">
        <v>126</v>
      </c>
      <c r="T18" s="55" t="n">
        <f aca="false">IF($F18="","",COUNTIF('Treatment Actions'!$B$9:$B$208,$C18))</f>
        <v>1</v>
      </c>
      <c r="U18" s="55" t="n">
        <f aca="false">IF($F18="","",COUNTIFS('Treatment Actions'!$B$9:$B$208,$C18,'Treatment Actions'!$F$9:$F$208,"Complete"))</f>
        <v>0</v>
      </c>
      <c r="V18" s="66" t="s">
        <v>139</v>
      </c>
      <c r="W18" s="66" t="s">
        <v>152</v>
      </c>
      <c r="X18" s="59" t="str">
        <f aca="false">IF(OR($V18="",$W18=""),"",INDEX(Reference!$C$68:$G$72,MATCH($V18,Reference!$B$52:$B$56,0),6-MATCH($W18,Reference!$B$60:$B$64,0)))</f>
        <v>Extreme</v>
      </c>
      <c r="Y18" s="59" t="str">
        <f aca="false">IF(OR($P18="",$X18=""),"",IF(MATCH($X18,Reference!$F$37:$F$40,0)&gt;MATCH($P18,Reference!$F$37:$F$40,0),"Improving",IF($X18=$P18,"Flat","Worsening")))</f>
        <v>Flat</v>
      </c>
      <c r="Z18" s="66" t="s">
        <v>295</v>
      </c>
      <c r="AA18" s="68" t="s">
        <v>56</v>
      </c>
      <c r="AB18" s="69" t="s">
        <v>65</v>
      </c>
      <c r="AC18" s="70" t="n">
        <v>46204</v>
      </c>
      <c r="AD18" s="70" t="n">
        <v>46235</v>
      </c>
      <c r="AE18" s="70" t="n">
        <v>46254</v>
      </c>
      <c r="AF18" s="59" t="str">
        <f aca="true">IF(OR($F18="",$AE18="",$AB18="Closed"),"",IF($AE18&lt;TODAY(),"Overdue",""))</f>
        <v/>
      </c>
      <c r="AG18" s="68" t="s">
        <v>266</v>
      </c>
      <c r="AH18" s="70"/>
      <c r="AI18" s="71" t="s">
        <v>296</v>
      </c>
    </row>
    <row r="19" customFormat="false" ht="33.75" hidden="false" customHeight="true" outlineLevel="0" collapsed="false">
      <c r="A19" s="54"/>
      <c r="B19" s="55" t="n">
        <f aca="false">IF($F19="","",ROW()-8)</f>
        <v>11</v>
      </c>
      <c r="C19" s="56" t="str">
        <f aca="false">IF($F19="","","RSK-"&amp;TEXT(ROW()-8,"000"))</f>
        <v>RSK-011</v>
      </c>
      <c r="D19" s="57" t="s">
        <v>89</v>
      </c>
      <c r="E19" s="58" t="s">
        <v>99</v>
      </c>
      <c r="F19" s="57" t="s">
        <v>297</v>
      </c>
      <c r="G19" s="57" t="s">
        <v>275</v>
      </c>
      <c r="H19" s="57" t="s">
        <v>139</v>
      </c>
      <c r="I19" s="57" t="s">
        <v>154</v>
      </c>
      <c r="J19" s="59" t="str">
        <f aca="false">IF(OR($H19="",$I19=""),"",INDEX(Reference!$C$68:$G$72,MATCH($H19,Reference!$B$52:$B$56,0),6-MATCH($I19,Reference!$B$60:$B$64,0)))</f>
        <v>High</v>
      </c>
      <c r="K19" s="57" t="s">
        <v>264</v>
      </c>
      <c r="L19" s="57" t="s">
        <v>298</v>
      </c>
      <c r="M19" s="58" t="s">
        <v>59</v>
      </c>
      <c r="N19" s="57" t="s">
        <v>139</v>
      </c>
      <c r="O19" s="57" t="s">
        <v>155</v>
      </c>
      <c r="P19" s="59" t="str">
        <f aca="false">IF(OR($N19="",$O19=""),"",INDEX(Reference!$C$68:$G$72,MATCH($N19,Reference!$B$52:$B$56,0),6-MATCH($O19,Reference!$B$60:$B$64,0)))</f>
        <v>Medium</v>
      </c>
      <c r="Q19" s="60" t="n">
        <f aca="false">IF(OR($N19="",$O19=""),"",INDEX(Reference!$F$52:$F$56,MATCH($N19,Reference!$B$52:$B$56,0))*INDEX(Reference!$F$60:$F$64,MATCH($O19,Reference!$B$60:$B$64,0)))</f>
        <v>531250</v>
      </c>
      <c r="R19" s="61" t="n">
        <f aca="false">IF(OR($N19="",$O19=""),"",ROUND(INDEX(Reference!$F$52:$F$56,MATCH($N19,Reference!$B$52:$B$56,0))*INDEX(Reference!$H$60:$H$64,MATCH($O19,Reference!$B$60:$B$64,0)),0))</f>
        <v>5</v>
      </c>
      <c r="S19" s="57" t="s">
        <v>126</v>
      </c>
      <c r="T19" s="55" t="n">
        <f aca="false">IF($F19="","",COUNTIF('Treatment Actions'!$B$9:$B$208,$C19))</f>
        <v>0</v>
      </c>
      <c r="U19" s="55" t="n">
        <f aca="false">IF($F19="","",COUNTIFS('Treatment Actions'!$B$9:$B$208,$C19,'Treatment Actions'!$F$9:$F$208,"Complete"))</f>
        <v>0</v>
      </c>
      <c r="V19" s="57" t="s">
        <v>139</v>
      </c>
      <c r="W19" s="57" t="s">
        <v>155</v>
      </c>
      <c r="X19" s="59" t="str">
        <f aca="false">IF(OR($V19="",$W19=""),"",INDEX(Reference!$C$68:$G$72,MATCH($V19,Reference!$B$52:$B$56,0),6-MATCH($W19,Reference!$B$60:$B$64,0)))</f>
        <v>Medium</v>
      </c>
      <c r="Y19" s="59" t="str">
        <f aca="false">IF(OR($P19="",$X19=""),"",IF(MATCH($X19,Reference!$F$37:$F$40,0)&gt;MATCH($P19,Reference!$F$37:$F$40,0),"Improving",IF($X19=$P19,"Flat","Worsening")))</f>
        <v>Flat</v>
      </c>
      <c r="Z19" s="57"/>
      <c r="AA19" s="62" t="s">
        <v>71</v>
      </c>
      <c r="AB19" s="63" t="s">
        <v>61</v>
      </c>
      <c r="AC19" s="64" t="n">
        <v>46204</v>
      </c>
      <c r="AD19" s="64" t="n">
        <v>46235</v>
      </c>
      <c r="AE19" s="64" t="n">
        <v>46273</v>
      </c>
      <c r="AF19" s="59" t="str">
        <f aca="true">IF(OR($F19="",$AE19="",$AB19="Closed"),"",IF($AE19&lt;TODAY(),"Overdue",""))</f>
        <v/>
      </c>
      <c r="AG19" s="62" t="s">
        <v>266</v>
      </c>
      <c r="AH19" s="64"/>
      <c r="AI19" s="65" t="s">
        <v>299</v>
      </c>
    </row>
    <row r="20" customFormat="false" ht="33.75" hidden="false" customHeight="true" outlineLevel="0" collapsed="false">
      <c r="A20" s="54"/>
      <c r="B20" s="55" t="n">
        <f aca="false">IF($F20="","",ROW()-8)</f>
        <v>12</v>
      </c>
      <c r="C20" s="56" t="str">
        <f aca="false">IF($F20="","","RSK-"&amp;TEXT(ROW()-8,"000"))</f>
        <v>RSK-012</v>
      </c>
      <c r="D20" s="66" t="s">
        <v>75</v>
      </c>
      <c r="E20" s="67" t="s">
        <v>99</v>
      </c>
      <c r="F20" s="66" t="s">
        <v>300</v>
      </c>
      <c r="G20" s="66" t="s">
        <v>205</v>
      </c>
      <c r="H20" s="66" t="s">
        <v>139</v>
      </c>
      <c r="I20" s="66" t="s">
        <v>154</v>
      </c>
      <c r="J20" s="59" t="str">
        <f aca="false">IF(OR($H20="",$I20=""),"",INDEX(Reference!$C$68:$G$72,MATCH($H20,Reference!$B$52:$B$56,0),6-MATCH($I20,Reference!$B$60:$B$64,0)))</f>
        <v>High</v>
      </c>
      <c r="K20" s="66" t="s">
        <v>264</v>
      </c>
      <c r="L20" s="66" t="s">
        <v>301</v>
      </c>
      <c r="M20" s="67" t="s">
        <v>70</v>
      </c>
      <c r="N20" s="66" t="s">
        <v>141</v>
      </c>
      <c r="O20" s="66" t="s">
        <v>154</v>
      </c>
      <c r="P20" s="59" t="str">
        <f aca="false">IF(OR($N20="",$O20=""),"",INDEX(Reference!$C$68:$G$72,MATCH($N20,Reference!$B$52:$B$56,0),6-MATCH($O20,Reference!$B$60:$B$64,0)))</f>
        <v>Medium</v>
      </c>
      <c r="Q20" s="60" t="n">
        <f aca="false">IF(OR($N20="",$O20=""),"",INDEX(Reference!$F$52:$F$56,MATCH($N20,Reference!$B$52:$B$56,0))*INDEX(Reference!$F$60:$F$64,MATCH($O20,Reference!$B$60:$B$64,0)))</f>
        <v>520625</v>
      </c>
      <c r="R20" s="61" t="n">
        <f aca="false">IF(OR($N20="",$O20=""),"",ROUND(INDEX(Reference!$F$52:$F$56,MATCH($N20,Reference!$B$52:$B$56,0))*INDEX(Reference!$H$60:$H$64,MATCH($O20,Reference!$B$60:$B$64,0)),0))</f>
        <v>5</v>
      </c>
      <c r="S20" s="66" t="s">
        <v>110</v>
      </c>
      <c r="T20" s="55" t="n">
        <f aca="false">IF($F20="","",COUNTIF('Treatment Actions'!$B$9:$B$208,$C20))</f>
        <v>1</v>
      </c>
      <c r="U20" s="55" t="n">
        <f aca="false">IF($F20="","",COUNTIFS('Treatment Actions'!$B$9:$B$208,$C20,'Treatment Actions'!$F$9:$F$208,"Complete"))</f>
        <v>0</v>
      </c>
      <c r="V20" s="66" t="s">
        <v>143</v>
      </c>
      <c r="W20" s="66" t="s">
        <v>155</v>
      </c>
      <c r="X20" s="59" t="str">
        <f aca="false">IF(OR($V20="",$W20=""),"",INDEX(Reference!$C$68:$G$72,MATCH($V20,Reference!$B$52:$B$56,0),6-MATCH($W20,Reference!$B$60:$B$64,0)))</f>
        <v>Low</v>
      </c>
      <c r="Y20" s="59" t="str">
        <f aca="false">IF(OR($P20="",$X20=""),"",IF(MATCH($X20,Reference!$F$37:$F$40,0)&gt;MATCH($P20,Reference!$F$37:$F$40,0),"Improving",IF($X20=$P20,"Flat","Worsening")))</f>
        <v>Improving</v>
      </c>
      <c r="Z20" s="66"/>
      <c r="AA20" s="68" t="s">
        <v>75</v>
      </c>
      <c r="AB20" s="69" t="s">
        <v>54</v>
      </c>
      <c r="AC20" s="70" t="n">
        <v>46204</v>
      </c>
      <c r="AD20" s="70" t="n">
        <v>46235</v>
      </c>
      <c r="AE20" s="70" t="n">
        <v>46354</v>
      </c>
      <c r="AF20" s="59" t="str">
        <f aca="true">IF(OR($F20="",$AE20="",$AB20="Closed"),"",IF($AE20&lt;TODAY(),"Overdue",""))</f>
        <v/>
      </c>
      <c r="AG20" s="68" t="s">
        <v>266</v>
      </c>
      <c r="AH20" s="70"/>
      <c r="AI20" s="71" t="s">
        <v>270</v>
      </c>
    </row>
    <row r="21" customFormat="false" ht="33.75" hidden="false" customHeight="true" outlineLevel="0" collapsed="false">
      <c r="A21" s="54"/>
      <c r="B21" s="55" t="str">
        <f aca="false">IF($F21="","",ROW()-8)</f>
        <v/>
      </c>
      <c r="C21" s="56" t="str">
        <f aca="false">IF($F21="","","RSK-"&amp;TEXT(ROW()-8,"000"))</f>
        <v/>
      </c>
      <c r="D21" s="57"/>
      <c r="E21" s="58"/>
      <c r="F21" s="57"/>
      <c r="G21" s="57"/>
      <c r="H21" s="57"/>
      <c r="I21" s="57"/>
      <c r="J21" s="59" t="str">
        <f aca="false">IF(OR($H21="",$I21=""),"",INDEX(Reference!$C$68:$G$72,MATCH($H21,Reference!$B$52:$B$56,0),6-MATCH($I21,Reference!$B$60:$B$64,0)))</f>
        <v/>
      </c>
      <c r="K21" s="57"/>
      <c r="L21" s="57"/>
      <c r="M21" s="58"/>
      <c r="N21" s="57"/>
      <c r="O21" s="57"/>
      <c r="P21" s="59" t="str">
        <f aca="false">IF(OR($N21="",$O21=""),"",INDEX(Reference!$C$68:$G$72,MATCH($N21,Reference!$B$52:$B$56,0),6-MATCH($O21,Reference!$B$60:$B$64,0)))</f>
        <v/>
      </c>
      <c r="Q21" s="60" t="str">
        <f aca="false">IF(OR($N21="",$O21=""),"",INDEX(Reference!$F$52:$F$56,MATCH($N21,Reference!$B$52:$B$56,0))*INDEX(Reference!$F$60:$F$64,MATCH($O21,Reference!$B$60:$B$64,0)))</f>
        <v/>
      </c>
      <c r="R21" s="61" t="str">
        <f aca="false">IF(OR($N21="",$O21=""),"",ROUND(INDEX(Reference!$F$52:$F$56,MATCH($N21,Reference!$B$52:$B$56,0))*INDEX(Reference!$H$60:$H$64,MATCH($O21,Reference!$B$60:$B$64,0)),0))</f>
        <v/>
      </c>
      <c r="S21" s="57"/>
      <c r="T21" s="55" t="str">
        <f aca="false">IF($F21="","",COUNTIF('Treatment Actions'!$B$9:$B$208,$C21))</f>
        <v/>
      </c>
      <c r="U21" s="55" t="str">
        <f aca="false">IF($F21="","",COUNTIFS('Treatment Actions'!$B$9:$B$208,$C21,'Treatment Actions'!$F$9:$F$208,"Complete"))</f>
        <v/>
      </c>
      <c r="V21" s="57"/>
      <c r="W21" s="57"/>
      <c r="X21" s="59" t="str">
        <f aca="false">IF(OR($V21="",$W21=""),"",INDEX(Reference!$C$68:$G$72,MATCH($V21,Reference!$B$52:$B$56,0),6-MATCH($W21,Reference!$B$60:$B$64,0)))</f>
        <v/>
      </c>
      <c r="Y21" s="59" t="str">
        <f aca="false">IF(OR($P21="",$X21=""),"",IF(MATCH($X21,Reference!$F$37:$F$40,0)&gt;MATCH($P21,Reference!$F$37:$F$40,0),"Improving",IF($X21=$P21,"Flat","Worsening")))</f>
        <v/>
      </c>
      <c r="Z21" s="57"/>
      <c r="AA21" s="62"/>
      <c r="AB21" s="63"/>
      <c r="AC21" s="64"/>
      <c r="AD21" s="64"/>
      <c r="AE21" s="64"/>
      <c r="AF21" s="59" t="str">
        <f aca="true">IF(OR($F21="",$AE21="",$AB21="Closed"),"",IF($AE21&lt;TODAY(),"Overdue",""))</f>
        <v/>
      </c>
      <c r="AG21" s="62"/>
      <c r="AH21" s="64"/>
      <c r="AI21" s="62"/>
    </row>
    <row r="22" customFormat="false" ht="33.75" hidden="false" customHeight="true" outlineLevel="0" collapsed="false">
      <c r="A22" s="54"/>
      <c r="B22" s="55" t="str">
        <f aca="false">IF($F22="","",ROW()-8)</f>
        <v/>
      </c>
      <c r="C22" s="56" t="str">
        <f aca="false">IF($F22="","","RSK-"&amp;TEXT(ROW()-8,"000"))</f>
        <v/>
      </c>
      <c r="D22" s="66"/>
      <c r="E22" s="67"/>
      <c r="F22" s="66"/>
      <c r="G22" s="66"/>
      <c r="H22" s="66"/>
      <c r="I22" s="66"/>
      <c r="J22" s="59" t="str">
        <f aca="false">IF(OR($H22="",$I22=""),"",INDEX(Reference!$C$68:$G$72,MATCH($H22,Reference!$B$52:$B$56,0),6-MATCH($I22,Reference!$B$60:$B$64,0)))</f>
        <v/>
      </c>
      <c r="K22" s="66"/>
      <c r="L22" s="66"/>
      <c r="M22" s="67"/>
      <c r="N22" s="66"/>
      <c r="O22" s="66"/>
      <c r="P22" s="59" t="str">
        <f aca="false">IF(OR($N22="",$O22=""),"",INDEX(Reference!$C$68:$G$72,MATCH($N22,Reference!$B$52:$B$56,0),6-MATCH($O22,Reference!$B$60:$B$64,0)))</f>
        <v/>
      </c>
      <c r="Q22" s="60" t="str">
        <f aca="false">IF(OR($N22="",$O22=""),"",INDEX(Reference!$F$52:$F$56,MATCH($N22,Reference!$B$52:$B$56,0))*INDEX(Reference!$F$60:$F$64,MATCH($O22,Reference!$B$60:$B$64,0)))</f>
        <v/>
      </c>
      <c r="R22" s="61" t="str">
        <f aca="false">IF(OR($N22="",$O22=""),"",ROUND(INDEX(Reference!$F$52:$F$56,MATCH($N22,Reference!$B$52:$B$56,0))*INDEX(Reference!$H$60:$H$64,MATCH($O22,Reference!$B$60:$B$64,0)),0))</f>
        <v/>
      </c>
      <c r="S22" s="66"/>
      <c r="T22" s="55" t="str">
        <f aca="false">IF($F22="","",COUNTIF('Treatment Actions'!$B$9:$B$208,$C22))</f>
        <v/>
      </c>
      <c r="U22" s="55" t="str">
        <f aca="false">IF($F22="","",COUNTIFS('Treatment Actions'!$B$9:$B$208,$C22,'Treatment Actions'!$F$9:$F$208,"Complete"))</f>
        <v/>
      </c>
      <c r="V22" s="66"/>
      <c r="W22" s="66"/>
      <c r="X22" s="59" t="str">
        <f aca="false">IF(OR($V22="",$W22=""),"",INDEX(Reference!$C$68:$G$72,MATCH($V22,Reference!$B$52:$B$56,0),6-MATCH($W22,Reference!$B$60:$B$64,0)))</f>
        <v/>
      </c>
      <c r="Y22" s="59" t="str">
        <f aca="false">IF(OR($P22="",$X22=""),"",IF(MATCH($X22,Reference!$F$37:$F$40,0)&gt;MATCH($P22,Reference!$F$37:$F$40,0),"Improving",IF($X22=$P22,"Flat","Worsening")))</f>
        <v/>
      </c>
      <c r="Z22" s="66"/>
      <c r="AA22" s="68"/>
      <c r="AB22" s="69"/>
      <c r="AC22" s="70"/>
      <c r="AD22" s="70"/>
      <c r="AE22" s="70"/>
      <c r="AF22" s="59" t="str">
        <f aca="true">IF(OR($F22="",$AE22="",$AB22="Closed"),"",IF($AE22&lt;TODAY(),"Overdue",""))</f>
        <v/>
      </c>
      <c r="AG22" s="68"/>
      <c r="AH22" s="70"/>
      <c r="AI22" s="68"/>
    </row>
    <row r="23" customFormat="false" ht="33.75" hidden="false" customHeight="true" outlineLevel="0" collapsed="false">
      <c r="A23" s="54"/>
      <c r="B23" s="55" t="str">
        <f aca="false">IF($F23="","",ROW()-8)</f>
        <v/>
      </c>
      <c r="C23" s="56" t="str">
        <f aca="false">IF($F23="","","RSK-"&amp;TEXT(ROW()-8,"000"))</f>
        <v/>
      </c>
      <c r="D23" s="57"/>
      <c r="E23" s="58"/>
      <c r="F23" s="57"/>
      <c r="G23" s="57"/>
      <c r="H23" s="57"/>
      <c r="I23" s="57"/>
      <c r="J23" s="59" t="str">
        <f aca="false">IF(OR($H23="",$I23=""),"",INDEX(Reference!$C$68:$G$72,MATCH($H23,Reference!$B$52:$B$56,0),6-MATCH($I23,Reference!$B$60:$B$64,0)))</f>
        <v/>
      </c>
      <c r="K23" s="57"/>
      <c r="L23" s="57"/>
      <c r="M23" s="58"/>
      <c r="N23" s="57"/>
      <c r="O23" s="57"/>
      <c r="P23" s="59" t="str">
        <f aca="false">IF(OR($N23="",$O23=""),"",INDEX(Reference!$C$68:$G$72,MATCH($N23,Reference!$B$52:$B$56,0),6-MATCH($O23,Reference!$B$60:$B$64,0)))</f>
        <v/>
      </c>
      <c r="Q23" s="60" t="str">
        <f aca="false">IF(OR($N23="",$O23=""),"",INDEX(Reference!$F$52:$F$56,MATCH($N23,Reference!$B$52:$B$56,0))*INDEX(Reference!$F$60:$F$64,MATCH($O23,Reference!$B$60:$B$64,0)))</f>
        <v/>
      </c>
      <c r="R23" s="61" t="str">
        <f aca="false">IF(OR($N23="",$O23=""),"",ROUND(INDEX(Reference!$F$52:$F$56,MATCH($N23,Reference!$B$52:$B$56,0))*INDEX(Reference!$H$60:$H$64,MATCH($O23,Reference!$B$60:$B$64,0)),0))</f>
        <v/>
      </c>
      <c r="S23" s="57"/>
      <c r="T23" s="55" t="str">
        <f aca="false">IF($F23="","",COUNTIF('Treatment Actions'!$B$9:$B$208,$C23))</f>
        <v/>
      </c>
      <c r="U23" s="55" t="str">
        <f aca="false">IF($F23="","",COUNTIFS('Treatment Actions'!$B$9:$B$208,$C23,'Treatment Actions'!$F$9:$F$208,"Complete"))</f>
        <v/>
      </c>
      <c r="V23" s="57"/>
      <c r="W23" s="57"/>
      <c r="X23" s="59" t="str">
        <f aca="false">IF(OR($V23="",$W23=""),"",INDEX(Reference!$C$68:$G$72,MATCH($V23,Reference!$B$52:$B$56,0),6-MATCH($W23,Reference!$B$60:$B$64,0)))</f>
        <v/>
      </c>
      <c r="Y23" s="59" t="str">
        <f aca="false">IF(OR($P23="",$X23=""),"",IF(MATCH($X23,Reference!$F$37:$F$40,0)&gt;MATCH($P23,Reference!$F$37:$F$40,0),"Improving",IF($X23=$P23,"Flat","Worsening")))</f>
        <v/>
      </c>
      <c r="Z23" s="57"/>
      <c r="AA23" s="62"/>
      <c r="AB23" s="63"/>
      <c r="AC23" s="64"/>
      <c r="AD23" s="64"/>
      <c r="AE23" s="64"/>
      <c r="AF23" s="59" t="str">
        <f aca="true">IF(OR($F23="",$AE23="",$AB23="Closed"),"",IF($AE23&lt;TODAY(),"Overdue",""))</f>
        <v/>
      </c>
      <c r="AG23" s="62"/>
      <c r="AH23" s="64"/>
      <c r="AI23" s="62"/>
    </row>
    <row r="24" customFormat="false" ht="33.75" hidden="false" customHeight="true" outlineLevel="0" collapsed="false">
      <c r="A24" s="54"/>
      <c r="B24" s="55" t="str">
        <f aca="false">IF($F24="","",ROW()-8)</f>
        <v/>
      </c>
      <c r="C24" s="56" t="str">
        <f aca="false">IF($F24="","","RSK-"&amp;TEXT(ROW()-8,"000"))</f>
        <v/>
      </c>
      <c r="D24" s="66"/>
      <c r="E24" s="67"/>
      <c r="F24" s="66"/>
      <c r="G24" s="66"/>
      <c r="H24" s="66"/>
      <c r="I24" s="66"/>
      <c r="J24" s="59" t="str">
        <f aca="false">IF(OR($H24="",$I24=""),"",INDEX(Reference!$C$68:$G$72,MATCH($H24,Reference!$B$52:$B$56,0),6-MATCH($I24,Reference!$B$60:$B$64,0)))</f>
        <v/>
      </c>
      <c r="K24" s="66"/>
      <c r="L24" s="66"/>
      <c r="M24" s="67"/>
      <c r="N24" s="66"/>
      <c r="O24" s="66"/>
      <c r="P24" s="59" t="str">
        <f aca="false">IF(OR($N24="",$O24=""),"",INDEX(Reference!$C$68:$G$72,MATCH($N24,Reference!$B$52:$B$56,0),6-MATCH($O24,Reference!$B$60:$B$64,0)))</f>
        <v/>
      </c>
      <c r="Q24" s="60" t="str">
        <f aca="false">IF(OR($N24="",$O24=""),"",INDEX(Reference!$F$52:$F$56,MATCH($N24,Reference!$B$52:$B$56,0))*INDEX(Reference!$F$60:$F$64,MATCH($O24,Reference!$B$60:$B$64,0)))</f>
        <v/>
      </c>
      <c r="R24" s="61" t="str">
        <f aca="false">IF(OR($N24="",$O24=""),"",ROUND(INDEX(Reference!$F$52:$F$56,MATCH($N24,Reference!$B$52:$B$56,0))*INDEX(Reference!$H$60:$H$64,MATCH($O24,Reference!$B$60:$B$64,0)),0))</f>
        <v/>
      </c>
      <c r="S24" s="66"/>
      <c r="T24" s="55" t="str">
        <f aca="false">IF($F24="","",COUNTIF('Treatment Actions'!$B$9:$B$208,$C24))</f>
        <v/>
      </c>
      <c r="U24" s="55" t="str">
        <f aca="false">IF($F24="","",COUNTIFS('Treatment Actions'!$B$9:$B$208,$C24,'Treatment Actions'!$F$9:$F$208,"Complete"))</f>
        <v/>
      </c>
      <c r="V24" s="66"/>
      <c r="W24" s="66"/>
      <c r="X24" s="59" t="str">
        <f aca="false">IF(OR($V24="",$W24=""),"",INDEX(Reference!$C$68:$G$72,MATCH($V24,Reference!$B$52:$B$56,0),6-MATCH($W24,Reference!$B$60:$B$64,0)))</f>
        <v/>
      </c>
      <c r="Y24" s="59" t="str">
        <f aca="false">IF(OR($P24="",$X24=""),"",IF(MATCH($X24,Reference!$F$37:$F$40,0)&gt;MATCH($P24,Reference!$F$37:$F$40,0),"Improving",IF($X24=$P24,"Flat","Worsening")))</f>
        <v/>
      </c>
      <c r="Z24" s="66"/>
      <c r="AA24" s="68"/>
      <c r="AB24" s="69"/>
      <c r="AC24" s="70"/>
      <c r="AD24" s="70"/>
      <c r="AE24" s="70"/>
      <c r="AF24" s="59" t="str">
        <f aca="true">IF(OR($F24="",$AE24="",$AB24="Closed"),"",IF($AE24&lt;TODAY(),"Overdue",""))</f>
        <v/>
      </c>
      <c r="AG24" s="68"/>
      <c r="AH24" s="70"/>
      <c r="AI24" s="68"/>
    </row>
    <row r="25" customFormat="false" ht="33.75" hidden="false" customHeight="true" outlineLevel="0" collapsed="false">
      <c r="A25" s="54"/>
      <c r="B25" s="55" t="str">
        <f aca="false">IF($F25="","",ROW()-8)</f>
        <v/>
      </c>
      <c r="C25" s="56" t="str">
        <f aca="false">IF($F25="","","RSK-"&amp;TEXT(ROW()-8,"000"))</f>
        <v/>
      </c>
      <c r="D25" s="57"/>
      <c r="E25" s="58"/>
      <c r="F25" s="57"/>
      <c r="G25" s="57"/>
      <c r="H25" s="57"/>
      <c r="I25" s="57"/>
      <c r="J25" s="59" t="str">
        <f aca="false">IF(OR($H25="",$I25=""),"",INDEX(Reference!$C$68:$G$72,MATCH($H25,Reference!$B$52:$B$56,0),6-MATCH($I25,Reference!$B$60:$B$64,0)))</f>
        <v/>
      </c>
      <c r="K25" s="57"/>
      <c r="L25" s="57"/>
      <c r="M25" s="58"/>
      <c r="N25" s="57"/>
      <c r="O25" s="57"/>
      <c r="P25" s="59" t="str">
        <f aca="false">IF(OR($N25="",$O25=""),"",INDEX(Reference!$C$68:$G$72,MATCH($N25,Reference!$B$52:$B$56,0),6-MATCH($O25,Reference!$B$60:$B$64,0)))</f>
        <v/>
      </c>
      <c r="Q25" s="60" t="str">
        <f aca="false">IF(OR($N25="",$O25=""),"",INDEX(Reference!$F$52:$F$56,MATCH($N25,Reference!$B$52:$B$56,0))*INDEX(Reference!$F$60:$F$64,MATCH($O25,Reference!$B$60:$B$64,0)))</f>
        <v/>
      </c>
      <c r="R25" s="61" t="str">
        <f aca="false">IF(OR($N25="",$O25=""),"",ROUND(INDEX(Reference!$F$52:$F$56,MATCH($N25,Reference!$B$52:$B$56,0))*INDEX(Reference!$H$60:$H$64,MATCH($O25,Reference!$B$60:$B$64,0)),0))</f>
        <v/>
      </c>
      <c r="S25" s="57"/>
      <c r="T25" s="55" t="str">
        <f aca="false">IF($F25="","",COUNTIF('Treatment Actions'!$B$9:$B$208,$C25))</f>
        <v/>
      </c>
      <c r="U25" s="55" t="str">
        <f aca="false">IF($F25="","",COUNTIFS('Treatment Actions'!$B$9:$B$208,$C25,'Treatment Actions'!$F$9:$F$208,"Complete"))</f>
        <v/>
      </c>
      <c r="V25" s="57"/>
      <c r="W25" s="57"/>
      <c r="X25" s="59" t="str">
        <f aca="false">IF(OR($V25="",$W25=""),"",INDEX(Reference!$C$68:$G$72,MATCH($V25,Reference!$B$52:$B$56,0),6-MATCH($W25,Reference!$B$60:$B$64,0)))</f>
        <v/>
      </c>
      <c r="Y25" s="59" t="str">
        <f aca="false">IF(OR($P25="",$X25=""),"",IF(MATCH($X25,Reference!$F$37:$F$40,0)&gt;MATCH($P25,Reference!$F$37:$F$40,0),"Improving",IF($X25=$P25,"Flat","Worsening")))</f>
        <v/>
      </c>
      <c r="Z25" s="57"/>
      <c r="AA25" s="62"/>
      <c r="AB25" s="63"/>
      <c r="AC25" s="64"/>
      <c r="AD25" s="64"/>
      <c r="AE25" s="64"/>
      <c r="AF25" s="59" t="str">
        <f aca="true">IF(OR($F25="",$AE25="",$AB25="Closed"),"",IF($AE25&lt;TODAY(),"Overdue",""))</f>
        <v/>
      </c>
      <c r="AG25" s="62"/>
      <c r="AH25" s="64"/>
      <c r="AI25" s="62"/>
    </row>
    <row r="26" customFormat="false" ht="33.75" hidden="false" customHeight="true" outlineLevel="0" collapsed="false">
      <c r="A26" s="54"/>
      <c r="B26" s="55" t="str">
        <f aca="false">IF($F26="","",ROW()-8)</f>
        <v/>
      </c>
      <c r="C26" s="56" t="str">
        <f aca="false">IF($F26="","","RSK-"&amp;TEXT(ROW()-8,"000"))</f>
        <v/>
      </c>
      <c r="D26" s="66"/>
      <c r="E26" s="67"/>
      <c r="F26" s="66"/>
      <c r="G26" s="66"/>
      <c r="H26" s="66"/>
      <c r="I26" s="66"/>
      <c r="J26" s="59" t="str">
        <f aca="false">IF(OR($H26="",$I26=""),"",INDEX(Reference!$C$68:$G$72,MATCH($H26,Reference!$B$52:$B$56,0),6-MATCH($I26,Reference!$B$60:$B$64,0)))</f>
        <v/>
      </c>
      <c r="K26" s="66"/>
      <c r="L26" s="66"/>
      <c r="M26" s="67"/>
      <c r="N26" s="66"/>
      <c r="O26" s="66"/>
      <c r="P26" s="59" t="str">
        <f aca="false">IF(OR($N26="",$O26=""),"",INDEX(Reference!$C$68:$G$72,MATCH($N26,Reference!$B$52:$B$56,0),6-MATCH($O26,Reference!$B$60:$B$64,0)))</f>
        <v/>
      </c>
      <c r="Q26" s="60" t="str">
        <f aca="false">IF(OR($N26="",$O26=""),"",INDEX(Reference!$F$52:$F$56,MATCH($N26,Reference!$B$52:$B$56,0))*INDEX(Reference!$F$60:$F$64,MATCH($O26,Reference!$B$60:$B$64,0)))</f>
        <v/>
      </c>
      <c r="R26" s="61" t="str">
        <f aca="false">IF(OR($N26="",$O26=""),"",ROUND(INDEX(Reference!$F$52:$F$56,MATCH($N26,Reference!$B$52:$B$56,0))*INDEX(Reference!$H$60:$H$64,MATCH($O26,Reference!$B$60:$B$64,0)),0))</f>
        <v/>
      </c>
      <c r="S26" s="66"/>
      <c r="T26" s="55" t="str">
        <f aca="false">IF($F26="","",COUNTIF('Treatment Actions'!$B$9:$B$208,$C26))</f>
        <v/>
      </c>
      <c r="U26" s="55" t="str">
        <f aca="false">IF($F26="","",COUNTIFS('Treatment Actions'!$B$9:$B$208,$C26,'Treatment Actions'!$F$9:$F$208,"Complete"))</f>
        <v/>
      </c>
      <c r="V26" s="66"/>
      <c r="W26" s="66"/>
      <c r="X26" s="59" t="str">
        <f aca="false">IF(OR($V26="",$W26=""),"",INDEX(Reference!$C$68:$G$72,MATCH($V26,Reference!$B$52:$B$56,0),6-MATCH($W26,Reference!$B$60:$B$64,0)))</f>
        <v/>
      </c>
      <c r="Y26" s="59" t="str">
        <f aca="false">IF(OR($P26="",$X26=""),"",IF(MATCH($X26,Reference!$F$37:$F$40,0)&gt;MATCH($P26,Reference!$F$37:$F$40,0),"Improving",IF($X26=$P26,"Flat","Worsening")))</f>
        <v/>
      </c>
      <c r="Z26" s="66"/>
      <c r="AA26" s="68"/>
      <c r="AB26" s="69"/>
      <c r="AC26" s="70"/>
      <c r="AD26" s="70"/>
      <c r="AE26" s="70"/>
      <c r="AF26" s="59" t="str">
        <f aca="true">IF(OR($F26="",$AE26="",$AB26="Closed"),"",IF($AE26&lt;TODAY(),"Overdue",""))</f>
        <v/>
      </c>
      <c r="AG26" s="68"/>
      <c r="AH26" s="70"/>
      <c r="AI26" s="68"/>
    </row>
    <row r="27" customFormat="false" ht="33.75" hidden="false" customHeight="true" outlineLevel="0" collapsed="false">
      <c r="A27" s="54"/>
      <c r="B27" s="55" t="str">
        <f aca="false">IF($F27="","",ROW()-8)</f>
        <v/>
      </c>
      <c r="C27" s="56" t="str">
        <f aca="false">IF($F27="","","RSK-"&amp;TEXT(ROW()-8,"000"))</f>
        <v/>
      </c>
      <c r="D27" s="57"/>
      <c r="E27" s="58"/>
      <c r="F27" s="57"/>
      <c r="G27" s="57"/>
      <c r="H27" s="57"/>
      <c r="I27" s="57"/>
      <c r="J27" s="59" t="str">
        <f aca="false">IF(OR($H27="",$I27=""),"",INDEX(Reference!$C$68:$G$72,MATCH($H27,Reference!$B$52:$B$56,0),6-MATCH($I27,Reference!$B$60:$B$64,0)))</f>
        <v/>
      </c>
      <c r="K27" s="57"/>
      <c r="L27" s="57"/>
      <c r="M27" s="58"/>
      <c r="N27" s="57"/>
      <c r="O27" s="57"/>
      <c r="P27" s="59" t="str">
        <f aca="false">IF(OR($N27="",$O27=""),"",INDEX(Reference!$C$68:$G$72,MATCH($N27,Reference!$B$52:$B$56,0),6-MATCH($O27,Reference!$B$60:$B$64,0)))</f>
        <v/>
      </c>
      <c r="Q27" s="60" t="str">
        <f aca="false">IF(OR($N27="",$O27=""),"",INDEX(Reference!$F$52:$F$56,MATCH($N27,Reference!$B$52:$B$56,0))*INDEX(Reference!$F$60:$F$64,MATCH($O27,Reference!$B$60:$B$64,0)))</f>
        <v/>
      </c>
      <c r="R27" s="61" t="str">
        <f aca="false">IF(OR($N27="",$O27=""),"",ROUND(INDEX(Reference!$F$52:$F$56,MATCH($N27,Reference!$B$52:$B$56,0))*INDEX(Reference!$H$60:$H$64,MATCH($O27,Reference!$B$60:$B$64,0)),0))</f>
        <v/>
      </c>
      <c r="S27" s="57"/>
      <c r="T27" s="55" t="str">
        <f aca="false">IF($F27="","",COUNTIF('Treatment Actions'!$B$9:$B$208,$C27))</f>
        <v/>
      </c>
      <c r="U27" s="55" t="str">
        <f aca="false">IF($F27="","",COUNTIFS('Treatment Actions'!$B$9:$B$208,$C27,'Treatment Actions'!$F$9:$F$208,"Complete"))</f>
        <v/>
      </c>
      <c r="V27" s="57"/>
      <c r="W27" s="57"/>
      <c r="X27" s="59" t="str">
        <f aca="false">IF(OR($V27="",$W27=""),"",INDEX(Reference!$C$68:$G$72,MATCH($V27,Reference!$B$52:$B$56,0),6-MATCH($W27,Reference!$B$60:$B$64,0)))</f>
        <v/>
      </c>
      <c r="Y27" s="59" t="str">
        <f aca="false">IF(OR($P27="",$X27=""),"",IF(MATCH($X27,Reference!$F$37:$F$40,0)&gt;MATCH($P27,Reference!$F$37:$F$40,0),"Improving",IF($X27=$P27,"Flat","Worsening")))</f>
        <v/>
      </c>
      <c r="Z27" s="57"/>
      <c r="AA27" s="62"/>
      <c r="AB27" s="63"/>
      <c r="AC27" s="64"/>
      <c r="AD27" s="64"/>
      <c r="AE27" s="64"/>
      <c r="AF27" s="59" t="str">
        <f aca="true">IF(OR($F27="",$AE27="",$AB27="Closed"),"",IF($AE27&lt;TODAY(),"Overdue",""))</f>
        <v/>
      </c>
      <c r="AG27" s="62"/>
      <c r="AH27" s="64"/>
      <c r="AI27" s="62"/>
    </row>
    <row r="28" customFormat="false" ht="33.75" hidden="false" customHeight="true" outlineLevel="0" collapsed="false">
      <c r="A28" s="54"/>
      <c r="B28" s="55" t="str">
        <f aca="false">IF($F28="","",ROW()-8)</f>
        <v/>
      </c>
      <c r="C28" s="56" t="str">
        <f aca="false">IF($F28="","","RSK-"&amp;TEXT(ROW()-8,"000"))</f>
        <v/>
      </c>
      <c r="D28" s="66"/>
      <c r="E28" s="67"/>
      <c r="F28" s="66"/>
      <c r="G28" s="66"/>
      <c r="H28" s="66"/>
      <c r="I28" s="66"/>
      <c r="J28" s="59" t="str">
        <f aca="false">IF(OR($H28="",$I28=""),"",INDEX(Reference!$C$68:$G$72,MATCH($H28,Reference!$B$52:$B$56,0),6-MATCH($I28,Reference!$B$60:$B$64,0)))</f>
        <v/>
      </c>
      <c r="K28" s="66"/>
      <c r="L28" s="66"/>
      <c r="M28" s="67"/>
      <c r="N28" s="66"/>
      <c r="O28" s="66"/>
      <c r="P28" s="59" t="str">
        <f aca="false">IF(OR($N28="",$O28=""),"",INDEX(Reference!$C$68:$G$72,MATCH($N28,Reference!$B$52:$B$56,0),6-MATCH($O28,Reference!$B$60:$B$64,0)))</f>
        <v/>
      </c>
      <c r="Q28" s="60" t="str">
        <f aca="false">IF(OR($N28="",$O28=""),"",INDEX(Reference!$F$52:$F$56,MATCH($N28,Reference!$B$52:$B$56,0))*INDEX(Reference!$F$60:$F$64,MATCH($O28,Reference!$B$60:$B$64,0)))</f>
        <v/>
      </c>
      <c r="R28" s="61" t="str">
        <f aca="false">IF(OR($N28="",$O28=""),"",ROUND(INDEX(Reference!$F$52:$F$56,MATCH($N28,Reference!$B$52:$B$56,0))*INDEX(Reference!$H$60:$H$64,MATCH($O28,Reference!$B$60:$B$64,0)),0))</f>
        <v/>
      </c>
      <c r="S28" s="66"/>
      <c r="T28" s="55" t="str">
        <f aca="false">IF($F28="","",COUNTIF('Treatment Actions'!$B$9:$B$208,$C28))</f>
        <v/>
      </c>
      <c r="U28" s="55" t="str">
        <f aca="false">IF($F28="","",COUNTIFS('Treatment Actions'!$B$9:$B$208,$C28,'Treatment Actions'!$F$9:$F$208,"Complete"))</f>
        <v/>
      </c>
      <c r="V28" s="66"/>
      <c r="W28" s="66"/>
      <c r="X28" s="59" t="str">
        <f aca="false">IF(OR($V28="",$W28=""),"",INDEX(Reference!$C$68:$G$72,MATCH($V28,Reference!$B$52:$B$56,0),6-MATCH($W28,Reference!$B$60:$B$64,0)))</f>
        <v/>
      </c>
      <c r="Y28" s="59" t="str">
        <f aca="false">IF(OR($P28="",$X28=""),"",IF(MATCH($X28,Reference!$F$37:$F$40,0)&gt;MATCH($P28,Reference!$F$37:$F$40,0),"Improving",IF($X28=$P28,"Flat","Worsening")))</f>
        <v/>
      </c>
      <c r="Z28" s="66"/>
      <c r="AA28" s="68"/>
      <c r="AB28" s="69"/>
      <c r="AC28" s="70"/>
      <c r="AD28" s="70"/>
      <c r="AE28" s="70"/>
      <c r="AF28" s="59" t="str">
        <f aca="true">IF(OR($F28="",$AE28="",$AB28="Closed"),"",IF($AE28&lt;TODAY(),"Overdue",""))</f>
        <v/>
      </c>
      <c r="AG28" s="68"/>
      <c r="AH28" s="70"/>
      <c r="AI28" s="68"/>
    </row>
    <row r="29" customFormat="false" ht="33.75" hidden="false" customHeight="true" outlineLevel="0" collapsed="false">
      <c r="A29" s="54"/>
      <c r="B29" s="55" t="str">
        <f aca="false">IF($F29="","",ROW()-8)</f>
        <v/>
      </c>
      <c r="C29" s="56" t="str">
        <f aca="false">IF($F29="","","RSK-"&amp;TEXT(ROW()-8,"000"))</f>
        <v/>
      </c>
      <c r="D29" s="57"/>
      <c r="E29" s="58"/>
      <c r="F29" s="57"/>
      <c r="G29" s="57"/>
      <c r="H29" s="57"/>
      <c r="I29" s="57"/>
      <c r="J29" s="59" t="str">
        <f aca="false">IF(OR($H29="",$I29=""),"",INDEX(Reference!$C$68:$G$72,MATCH($H29,Reference!$B$52:$B$56,0),6-MATCH($I29,Reference!$B$60:$B$64,0)))</f>
        <v/>
      </c>
      <c r="K29" s="57"/>
      <c r="L29" s="57"/>
      <c r="M29" s="58"/>
      <c r="N29" s="57"/>
      <c r="O29" s="57"/>
      <c r="P29" s="59" t="str">
        <f aca="false">IF(OR($N29="",$O29=""),"",INDEX(Reference!$C$68:$G$72,MATCH($N29,Reference!$B$52:$B$56,0),6-MATCH($O29,Reference!$B$60:$B$64,0)))</f>
        <v/>
      </c>
      <c r="Q29" s="60" t="str">
        <f aca="false">IF(OR($N29="",$O29=""),"",INDEX(Reference!$F$52:$F$56,MATCH($N29,Reference!$B$52:$B$56,0))*INDEX(Reference!$F$60:$F$64,MATCH($O29,Reference!$B$60:$B$64,0)))</f>
        <v/>
      </c>
      <c r="R29" s="61" t="str">
        <f aca="false">IF(OR($N29="",$O29=""),"",ROUND(INDEX(Reference!$F$52:$F$56,MATCH($N29,Reference!$B$52:$B$56,0))*INDEX(Reference!$H$60:$H$64,MATCH($O29,Reference!$B$60:$B$64,0)),0))</f>
        <v/>
      </c>
      <c r="S29" s="57"/>
      <c r="T29" s="55" t="str">
        <f aca="false">IF($F29="","",COUNTIF('Treatment Actions'!$B$9:$B$208,$C29))</f>
        <v/>
      </c>
      <c r="U29" s="55" t="str">
        <f aca="false">IF($F29="","",COUNTIFS('Treatment Actions'!$B$9:$B$208,$C29,'Treatment Actions'!$F$9:$F$208,"Complete"))</f>
        <v/>
      </c>
      <c r="V29" s="57"/>
      <c r="W29" s="57"/>
      <c r="X29" s="59" t="str">
        <f aca="false">IF(OR($V29="",$W29=""),"",INDEX(Reference!$C$68:$G$72,MATCH($V29,Reference!$B$52:$B$56,0),6-MATCH($W29,Reference!$B$60:$B$64,0)))</f>
        <v/>
      </c>
      <c r="Y29" s="59" t="str">
        <f aca="false">IF(OR($P29="",$X29=""),"",IF(MATCH($X29,Reference!$F$37:$F$40,0)&gt;MATCH($P29,Reference!$F$37:$F$40,0),"Improving",IF($X29=$P29,"Flat","Worsening")))</f>
        <v/>
      </c>
      <c r="Z29" s="57"/>
      <c r="AA29" s="62"/>
      <c r="AB29" s="63"/>
      <c r="AC29" s="64"/>
      <c r="AD29" s="64"/>
      <c r="AE29" s="64"/>
      <c r="AF29" s="59" t="str">
        <f aca="true">IF(OR($F29="",$AE29="",$AB29="Closed"),"",IF($AE29&lt;TODAY(),"Overdue",""))</f>
        <v/>
      </c>
      <c r="AG29" s="62"/>
      <c r="AH29" s="64"/>
      <c r="AI29" s="62"/>
    </row>
    <row r="30" customFormat="false" ht="33.75" hidden="false" customHeight="true" outlineLevel="0" collapsed="false">
      <c r="A30" s="54"/>
      <c r="B30" s="55" t="str">
        <f aca="false">IF($F30="","",ROW()-8)</f>
        <v/>
      </c>
      <c r="C30" s="56" t="str">
        <f aca="false">IF($F30="","","RSK-"&amp;TEXT(ROW()-8,"000"))</f>
        <v/>
      </c>
      <c r="D30" s="66"/>
      <c r="E30" s="67"/>
      <c r="F30" s="66"/>
      <c r="G30" s="66"/>
      <c r="H30" s="66"/>
      <c r="I30" s="66"/>
      <c r="J30" s="59" t="str">
        <f aca="false">IF(OR($H30="",$I30=""),"",INDEX(Reference!$C$68:$G$72,MATCH($H30,Reference!$B$52:$B$56,0),6-MATCH($I30,Reference!$B$60:$B$64,0)))</f>
        <v/>
      </c>
      <c r="K30" s="66"/>
      <c r="L30" s="66"/>
      <c r="M30" s="67"/>
      <c r="N30" s="66"/>
      <c r="O30" s="66"/>
      <c r="P30" s="59" t="str">
        <f aca="false">IF(OR($N30="",$O30=""),"",INDEX(Reference!$C$68:$G$72,MATCH($N30,Reference!$B$52:$B$56,0),6-MATCH($O30,Reference!$B$60:$B$64,0)))</f>
        <v/>
      </c>
      <c r="Q30" s="60" t="str">
        <f aca="false">IF(OR($N30="",$O30=""),"",INDEX(Reference!$F$52:$F$56,MATCH($N30,Reference!$B$52:$B$56,0))*INDEX(Reference!$F$60:$F$64,MATCH($O30,Reference!$B$60:$B$64,0)))</f>
        <v/>
      </c>
      <c r="R30" s="61" t="str">
        <f aca="false">IF(OR($N30="",$O30=""),"",ROUND(INDEX(Reference!$F$52:$F$56,MATCH($N30,Reference!$B$52:$B$56,0))*INDEX(Reference!$H$60:$H$64,MATCH($O30,Reference!$B$60:$B$64,0)),0))</f>
        <v/>
      </c>
      <c r="S30" s="66"/>
      <c r="T30" s="55" t="str">
        <f aca="false">IF($F30="","",COUNTIF('Treatment Actions'!$B$9:$B$208,$C30))</f>
        <v/>
      </c>
      <c r="U30" s="55" t="str">
        <f aca="false">IF($F30="","",COUNTIFS('Treatment Actions'!$B$9:$B$208,$C30,'Treatment Actions'!$F$9:$F$208,"Complete"))</f>
        <v/>
      </c>
      <c r="V30" s="66"/>
      <c r="W30" s="66"/>
      <c r="X30" s="59" t="str">
        <f aca="false">IF(OR($V30="",$W30=""),"",INDEX(Reference!$C$68:$G$72,MATCH($V30,Reference!$B$52:$B$56,0),6-MATCH($W30,Reference!$B$60:$B$64,0)))</f>
        <v/>
      </c>
      <c r="Y30" s="59" t="str">
        <f aca="false">IF(OR($P30="",$X30=""),"",IF(MATCH($X30,Reference!$F$37:$F$40,0)&gt;MATCH($P30,Reference!$F$37:$F$40,0),"Improving",IF($X30=$P30,"Flat","Worsening")))</f>
        <v/>
      </c>
      <c r="Z30" s="66"/>
      <c r="AA30" s="68"/>
      <c r="AB30" s="69"/>
      <c r="AC30" s="70"/>
      <c r="AD30" s="70"/>
      <c r="AE30" s="70"/>
      <c r="AF30" s="59" t="str">
        <f aca="true">IF(OR($F30="",$AE30="",$AB30="Closed"),"",IF($AE30&lt;TODAY(),"Overdue",""))</f>
        <v/>
      </c>
      <c r="AG30" s="68"/>
      <c r="AH30" s="70"/>
      <c r="AI30" s="68"/>
    </row>
    <row r="31" customFormat="false" ht="33.75" hidden="false" customHeight="true" outlineLevel="0" collapsed="false">
      <c r="A31" s="54"/>
      <c r="B31" s="55" t="str">
        <f aca="false">IF($F31="","",ROW()-8)</f>
        <v/>
      </c>
      <c r="C31" s="56" t="str">
        <f aca="false">IF($F31="","","RSK-"&amp;TEXT(ROW()-8,"000"))</f>
        <v/>
      </c>
      <c r="D31" s="57"/>
      <c r="E31" s="58"/>
      <c r="F31" s="57"/>
      <c r="G31" s="57"/>
      <c r="H31" s="57"/>
      <c r="I31" s="57"/>
      <c r="J31" s="59" t="str">
        <f aca="false">IF(OR($H31="",$I31=""),"",INDEX(Reference!$C$68:$G$72,MATCH($H31,Reference!$B$52:$B$56,0),6-MATCH($I31,Reference!$B$60:$B$64,0)))</f>
        <v/>
      </c>
      <c r="K31" s="57"/>
      <c r="L31" s="57"/>
      <c r="M31" s="58"/>
      <c r="N31" s="57"/>
      <c r="O31" s="57"/>
      <c r="P31" s="59" t="str">
        <f aca="false">IF(OR($N31="",$O31=""),"",INDEX(Reference!$C$68:$G$72,MATCH($N31,Reference!$B$52:$B$56,0),6-MATCH($O31,Reference!$B$60:$B$64,0)))</f>
        <v/>
      </c>
      <c r="Q31" s="60" t="str">
        <f aca="false">IF(OR($N31="",$O31=""),"",INDEX(Reference!$F$52:$F$56,MATCH($N31,Reference!$B$52:$B$56,0))*INDEX(Reference!$F$60:$F$64,MATCH($O31,Reference!$B$60:$B$64,0)))</f>
        <v/>
      </c>
      <c r="R31" s="61" t="str">
        <f aca="false">IF(OR($N31="",$O31=""),"",ROUND(INDEX(Reference!$F$52:$F$56,MATCH($N31,Reference!$B$52:$B$56,0))*INDEX(Reference!$H$60:$H$64,MATCH($O31,Reference!$B$60:$B$64,0)),0))</f>
        <v/>
      </c>
      <c r="S31" s="57"/>
      <c r="T31" s="55" t="str">
        <f aca="false">IF($F31="","",COUNTIF('Treatment Actions'!$B$9:$B$208,$C31))</f>
        <v/>
      </c>
      <c r="U31" s="55" t="str">
        <f aca="false">IF($F31="","",COUNTIFS('Treatment Actions'!$B$9:$B$208,$C31,'Treatment Actions'!$F$9:$F$208,"Complete"))</f>
        <v/>
      </c>
      <c r="V31" s="57"/>
      <c r="W31" s="57"/>
      <c r="X31" s="59" t="str">
        <f aca="false">IF(OR($V31="",$W31=""),"",INDEX(Reference!$C$68:$G$72,MATCH($V31,Reference!$B$52:$B$56,0),6-MATCH($W31,Reference!$B$60:$B$64,0)))</f>
        <v/>
      </c>
      <c r="Y31" s="59" t="str">
        <f aca="false">IF(OR($P31="",$X31=""),"",IF(MATCH($X31,Reference!$F$37:$F$40,0)&gt;MATCH($P31,Reference!$F$37:$F$40,0),"Improving",IF($X31=$P31,"Flat","Worsening")))</f>
        <v/>
      </c>
      <c r="Z31" s="57"/>
      <c r="AA31" s="62"/>
      <c r="AB31" s="63"/>
      <c r="AC31" s="64"/>
      <c r="AD31" s="64"/>
      <c r="AE31" s="64"/>
      <c r="AF31" s="59" t="str">
        <f aca="true">IF(OR($F31="",$AE31="",$AB31="Closed"),"",IF($AE31&lt;TODAY(),"Overdue",""))</f>
        <v/>
      </c>
      <c r="AG31" s="62"/>
      <c r="AH31" s="64"/>
      <c r="AI31" s="62"/>
    </row>
    <row r="32" customFormat="false" ht="33.75" hidden="false" customHeight="true" outlineLevel="0" collapsed="false">
      <c r="A32" s="54"/>
      <c r="B32" s="55" t="str">
        <f aca="false">IF($F32="","",ROW()-8)</f>
        <v/>
      </c>
      <c r="C32" s="56" t="str">
        <f aca="false">IF($F32="","","RSK-"&amp;TEXT(ROW()-8,"000"))</f>
        <v/>
      </c>
      <c r="D32" s="66"/>
      <c r="E32" s="67"/>
      <c r="F32" s="66"/>
      <c r="G32" s="66"/>
      <c r="H32" s="66"/>
      <c r="I32" s="66"/>
      <c r="J32" s="59" t="str">
        <f aca="false">IF(OR($H32="",$I32=""),"",INDEX(Reference!$C$68:$G$72,MATCH($H32,Reference!$B$52:$B$56,0),6-MATCH($I32,Reference!$B$60:$B$64,0)))</f>
        <v/>
      </c>
      <c r="K32" s="66"/>
      <c r="L32" s="66"/>
      <c r="M32" s="67"/>
      <c r="N32" s="66"/>
      <c r="O32" s="66"/>
      <c r="P32" s="59" t="str">
        <f aca="false">IF(OR($N32="",$O32=""),"",INDEX(Reference!$C$68:$G$72,MATCH($N32,Reference!$B$52:$B$56,0),6-MATCH($O32,Reference!$B$60:$B$64,0)))</f>
        <v/>
      </c>
      <c r="Q32" s="60" t="str">
        <f aca="false">IF(OR($N32="",$O32=""),"",INDEX(Reference!$F$52:$F$56,MATCH($N32,Reference!$B$52:$B$56,0))*INDEX(Reference!$F$60:$F$64,MATCH($O32,Reference!$B$60:$B$64,0)))</f>
        <v/>
      </c>
      <c r="R32" s="61" t="str">
        <f aca="false">IF(OR($N32="",$O32=""),"",ROUND(INDEX(Reference!$F$52:$F$56,MATCH($N32,Reference!$B$52:$B$56,0))*INDEX(Reference!$H$60:$H$64,MATCH($O32,Reference!$B$60:$B$64,0)),0))</f>
        <v/>
      </c>
      <c r="S32" s="66"/>
      <c r="T32" s="55" t="str">
        <f aca="false">IF($F32="","",COUNTIF('Treatment Actions'!$B$9:$B$208,$C32))</f>
        <v/>
      </c>
      <c r="U32" s="55" t="str">
        <f aca="false">IF($F32="","",COUNTIFS('Treatment Actions'!$B$9:$B$208,$C32,'Treatment Actions'!$F$9:$F$208,"Complete"))</f>
        <v/>
      </c>
      <c r="V32" s="66"/>
      <c r="W32" s="66"/>
      <c r="X32" s="59" t="str">
        <f aca="false">IF(OR($V32="",$W32=""),"",INDEX(Reference!$C$68:$G$72,MATCH($V32,Reference!$B$52:$B$56,0),6-MATCH($W32,Reference!$B$60:$B$64,0)))</f>
        <v/>
      </c>
      <c r="Y32" s="59" t="str">
        <f aca="false">IF(OR($P32="",$X32=""),"",IF(MATCH($X32,Reference!$F$37:$F$40,0)&gt;MATCH($P32,Reference!$F$37:$F$40,0),"Improving",IF($X32=$P32,"Flat","Worsening")))</f>
        <v/>
      </c>
      <c r="Z32" s="66"/>
      <c r="AA32" s="68"/>
      <c r="AB32" s="69"/>
      <c r="AC32" s="70"/>
      <c r="AD32" s="70"/>
      <c r="AE32" s="70"/>
      <c r="AF32" s="59" t="str">
        <f aca="true">IF(OR($F32="",$AE32="",$AB32="Closed"),"",IF($AE32&lt;TODAY(),"Overdue",""))</f>
        <v/>
      </c>
      <c r="AG32" s="68"/>
      <c r="AH32" s="70"/>
      <c r="AI32" s="68"/>
    </row>
    <row r="33" customFormat="false" ht="33.75" hidden="false" customHeight="true" outlineLevel="0" collapsed="false">
      <c r="A33" s="54"/>
      <c r="B33" s="55" t="str">
        <f aca="false">IF($F33="","",ROW()-8)</f>
        <v/>
      </c>
      <c r="C33" s="56" t="str">
        <f aca="false">IF($F33="","","RSK-"&amp;TEXT(ROW()-8,"000"))</f>
        <v/>
      </c>
      <c r="D33" s="57"/>
      <c r="E33" s="58"/>
      <c r="F33" s="57"/>
      <c r="G33" s="57"/>
      <c r="H33" s="57"/>
      <c r="I33" s="57"/>
      <c r="J33" s="59" t="str">
        <f aca="false">IF(OR($H33="",$I33=""),"",INDEX(Reference!$C$68:$G$72,MATCH($H33,Reference!$B$52:$B$56,0),6-MATCH($I33,Reference!$B$60:$B$64,0)))</f>
        <v/>
      </c>
      <c r="K33" s="57"/>
      <c r="L33" s="57"/>
      <c r="M33" s="58"/>
      <c r="N33" s="57"/>
      <c r="O33" s="57"/>
      <c r="P33" s="59" t="str">
        <f aca="false">IF(OR($N33="",$O33=""),"",INDEX(Reference!$C$68:$G$72,MATCH($N33,Reference!$B$52:$B$56,0),6-MATCH($O33,Reference!$B$60:$B$64,0)))</f>
        <v/>
      </c>
      <c r="Q33" s="60" t="str">
        <f aca="false">IF(OR($N33="",$O33=""),"",INDEX(Reference!$F$52:$F$56,MATCH($N33,Reference!$B$52:$B$56,0))*INDEX(Reference!$F$60:$F$64,MATCH($O33,Reference!$B$60:$B$64,0)))</f>
        <v/>
      </c>
      <c r="R33" s="61" t="str">
        <f aca="false">IF(OR($N33="",$O33=""),"",ROUND(INDEX(Reference!$F$52:$F$56,MATCH($N33,Reference!$B$52:$B$56,0))*INDEX(Reference!$H$60:$H$64,MATCH($O33,Reference!$B$60:$B$64,0)),0))</f>
        <v/>
      </c>
      <c r="S33" s="57"/>
      <c r="T33" s="55" t="str">
        <f aca="false">IF($F33="","",COUNTIF('Treatment Actions'!$B$9:$B$208,$C33))</f>
        <v/>
      </c>
      <c r="U33" s="55" t="str">
        <f aca="false">IF($F33="","",COUNTIFS('Treatment Actions'!$B$9:$B$208,$C33,'Treatment Actions'!$F$9:$F$208,"Complete"))</f>
        <v/>
      </c>
      <c r="V33" s="57"/>
      <c r="W33" s="57"/>
      <c r="X33" s="59" t="str">
        <f aca="false">IF(OR($V33="",$W33=""),"",INDEX(Reference!$C$68:$G$72,MATCH($V33,Reference!$B$52:$B$56,0),6-MATCH($W33,Reference!$B$60:$B$64,0)))</f>
        <v/>
      </c>
      <c r="Y33" s="59" t="str">
        <f aca="false">IF(OR($P33="",$X33=""),"",IF(MATCH($X33,Reference!$F$37:$F$40,0)&gt;MATCH($P33,Reference!$F$37:$F$40,0),"Improving",IF($X33=$P33,"Flat","Worsening")))</f>
        <v/>
      </c>
      <c r="Z33" s="57"/>
      <c r="AA33" s="62"/>
      <c r="AB33" s="63"/>
      <c r="AC33" s="64"/>
      <c r="AD33" s="64"/>
      <c r="AE33" s="64"/>
      <c r="AF33" s="59" t="str">
        <f aca="true">IF(OR($F33="",$AE33="",$AB33="Closed"),"",IF($AE33&lt;TODAY(),"Overdue",""))</f>
        <v/>
      </c>
      <c r="AG33" s="62"/>
      <c r="AH33" s="64"/>
      <c r="AI33" s="62"/>
    </row>
    <row r="34" customFormat="false" ht="33.75" hidden="false" customHeight="true" outlineLevel="0" collapsed="false">
      <c r="A34" s="54"/>
      <c r="B34" s="55" t="str">
        <f aca="false">IF($F34="","",ROW()-8)</f>
        <v/>
      </c>
      <c r="C34" s="56" t="str">
        <f aca="false">IF($F34="","","RSK-"&amp;TEXT(ROW()-8,"000"))</f>
        <v/>
      </c>
      <c r="D34" s="66"/>
      <c r="E34" s="67"/>
      <c r="F34" s="66"/>
      <c r="G34" s="66"/>
      <c r="H34" s="66"/>
      <c r="I34" s="66"/>
      <c r="J34" s="59" t="str">
        <f aca="false">IF(OR($H34="",$I34=""),"",INDEX(Reference!$C$68:$G$72,MATCH($H34,Reference!$B$52:$B$56,0),6-MATCH($I34,Reference!$B$60:$B$64,0)))</f>
        <v/>
      </c>
      <c r="K34" s="66"/>
      <c r="L34" s="66"/>
      <c r="M34" s="67"/>
      <c r="N34" s="66"/>
      <c r="O34" s="66"/>
      <c r="P34" s="59" t="str">
        <f aca="false">IF(OR($N34="",$O34=""),"",INDEX(Reference!$C$68:$G$72,MATCH($N34,Reference!$B$52:$B$56,0),6-MATCH($O34,Reference!$B$60:$B$64,0)))</f>
        <v/>
      </c>
      <c r="Q34" s="60" t="str">
        <f aca="false">IF(OR($N34="",$O34=""),"",INDEX(Reference!$F$52:$F$56,MATCH($N34,Reference!$B$52:$B$56,0))*INDEX(Reference!$F$60:$F$64,MATCH($O34,Reference!$B$60:$B$64,0)))</f>
        <v/>
      </c>
      <c r="R34" s="61" t="str">
        <f aca="false">IF(OR($N34="",$O34=""),"",ROUND(INDEX(Reference!$F$52:$F$56,MATCH($N34,Reference!$B$52:$B$56,0))*INDEX(Reference!$H$60:$H$64,MATCH($O34,Reference!$B$60:$B$64,0)),0))</f>
        <v/>
      </c>
      <c r="S34" s="66"/>
      <c r="T34" s="55" t="str">
        <f aca="false">IF($F34="","",COUNTIF('Treatment Actions'!$B$9:$B$208,$C34))</f>
        <v/>
      </c>
      <c r="U34" s="55" t="str">
        <f aca="false">IF($F34="","",COUNTIFS('Treatment Actions'!$B$9:$B$208,$C34,'Treatment Actions'!$F$9:$F$208,"Complete"))</f>
        <v/>
      </c>
      <c r="V34" s="66"/>
      <c r="W34" s="66"/>
      <c r="X34" s="59" t="str">
        <f aca="false">IF(OR($V34="",$W34=""),"",INDEX(Reference!$C$68:$G$72,MATCH($V34,Reference!$B$52:$B$56,0),6-MATCH($W34,Reference!$B$60:$B$64,0)))</f>
        <v/>
      </c>
      <c r="Y34" s="59" t="str">
        <f aca="false">IF(OR($P34="",$X34=""),"",IF(MATCH($X34,Reference!$F$37:$F$40,0)&gt;MATCH($P34,Reference!$F$37:$F$40,0),"Improving",IF($X34=$P34,"Flat","Worsening")))</f>
        <v/>
      </c>
      <c r="Z34" s="66"/>
      <c r="AA34" s="68"/>
      <c r="AB34" s="69"/>
      <c r="AC34" s="70"/>
      <c r="AD34" s="70"/>
      <c r="AE34" s="70"/>
      <c r="AF34" s="59" t="str">
        <f aca="true">IF(OR($F34="",$AE34="",$AB34="Closed"),"",IF($AE34&lt;TODAY(),"Overdue",""))</f>
        <v/>
      </c>
      <c r="AG34" s="68"/>
      <c r="AH34" s="70"/>
      <c r="AI34" s="68"/>
    </row>
    <row r="35" customFormat="false" ht="33.75" hidden="false" customHeight="true" outlineLevel="0" collapsed="false">
      <c r="A35" s="54"/>
      <c r="B35" s="55" t="str">
        <f aca="false">IF($F35="","",ROW()-8)</f>
        <v/>
      </c>
      <c r="C35" s="56" t="str">
        <f aca="false">IF($F35="","","RSK-"&amp;TEXT(ROW()-8,"000"))</f>
        <v/>
      </c>
      <c r="D35" s="57"/>
      <c r="E35" s="58"/>
      <c r="F35" s="57"/>
      <c r="G35" s="57"/>
      <c r="H35" s="57"/>
      <c r="I35" s="57"/>
      <c r="J35" s="59" t="str">
        <f aca="false">IF(OR($H35="",$I35=""),"",INDEX(Reference!$C$68:$G$72,MATCH($H35,Reference!$B$52:$B$56,0),6-MATCH($I35,Reference!$B$60:$B$64,0)))</f>
        <v/>
      </c>
      <c r="K35" s="57"/>
      <c r="L35" s="57"/>
      <c r="M35" s="58"/>
      <c r="N35" s="57"/>
      <c r="O35" s="57"/>
      <c r="P35" s="59" t="str">
        <f aca="false">IF(OR($N35="",$O35=""),"",INDEX(Reference!$C$68:$G$72,MATCH($N35,Reference!$B$52:$B$56,0),6-MATCH($O35,Reference!$B$60:$B$64,0)))</f>
        <v/>
      </c>
      <c r="Q35" s="60" t="str">
        <f aca="false">IF(OR($N35="",$O35=""),"",INDEX(Reference!$F$52:$F$56,MATCH($N35,Reference!$B$52:$B$56,0))*INDEX(Reference!$F$60:$F$64,MATCH($O35,Reference!$B$60:$B$64,0)))</f>
        <v/>
      </c>
      <c r="R35" s="61" t="str">
        <f aca="false">IF(OR($N35="",$O35=""),"",ROUND(INDEX(Reference!$F$52:$F$56,MATCH($N35,Reference!$B$52:$B$56,0))*INDEX(Reference!$H$60:$H$64,MATCH($O35,Reference!$B$60:$B$64,0)),0))</f>
        <v/>
      </c>
      <c r="S35" s="57"/>
      <c r="T35" s="55" t="str">
        <f aca="false">IF($F35="","",COUNTIF('Treatment Actions'!$B$9:$B$208,$C35))</f>
        <v/>
      </c>
      <c r="U35" s="55" t="str">
        <f aca="false">IF($F35="","",COUNTIFS('Treatment Actions'!$B$9:$B$208,$C35,'Treatment Actions'!$F$9:$F$208,"Complete"))</f>
        <v/>
      </c>
      <c r="V35" s="57"/>
      <c r="W35" s="57"/>
      <c r="X35" s="59" t="str">
        <f aca="false">IF(OR($V35="",$W35=""),"",INDEX(Reference!$C$68:$G$72,MATCH($V35,Reference!$B$52:$B$56,0),6-MATCH($W35,Reference!$B$60:$B$64,0)))</f>
        <v/>
      </c>
      <c r="Y35" s="59" t="str">
        <f aca="false">IF(OR($P35="",$X35=""),"",IF(MATCH($X35,Reference!$F$37:$F$40,0)&gt;MATCH($P35,Reference!$F$37:$F$40,0),"Improving",IF($X35=$P35,"Flat","Worsening")))</f>
        <v/>
      </c>
      <c r="Z35" s="57"/>
      <c r="AA35" s="62"/>
      <c r="AB35" s="63"/>
      <c r="AC35" s="64"/>
      <c r="AD35" s="64"/>
      <c r="AE35" s="64"/>
      <c r="AF35" s="59" t="str">
        <f aca="true">IF(OR($F35="",$AE35="",$AB35="Closed"),"",IF($AE35&lt;TODAY(),"Overdue",""))</f>
        <v/>
      </c>
      <c r="AG35" s="62"/>
      <c r="AH35" s="64"/>
      <c r="AI35" s="62"/>
    </row>
    <row r="36" customFormat="false" ht="33.75" hidden="false" customHeight="true" outlineLevel="0" collapsed="false">
      <c r="A36" s="54"/>
      <c r="B36" s="55" t="str">
        <f aca="false">IF($F36="","",ROW()-8)</f>
        <v/>
      </c>
      <c r="C36" s="56" t="str">
        <f aca="false">IF($F36="","","RSK-"&amp;TEXT(ROW()-8,"000"))</f>
        <v/>
      </c>
      <c r="D36" s="66"/>
      <c r="E36" s="67"/>
      <c r="F36" s="66"/>
      <c r="G36" s="66"/>
      <c r="H36" s="66"/>
      <c r="I36" s="66"/>
      <c r="J36" s="59" t="str">
        <f aca="false">IF(OR($H36="",$I36=""),"",INDEX(Reference!$C$68:$G$72,MATCH($H36,Reference!$B$52:$B$56,0),6-MATCH($I36,Reference!$B$60:$B$64,0)))</f>
        <v/>
      </c>
      <c r="K36" s="66"/>
      <c r="L36" s="66"/>
      <c r="M36" s="67"/>
      <c r="N36" s="66"/>
      <c r="O36" s="66"/>
      <c r="P36" s="59" t="str">
        <f aca="false">IF(OR($N36="",$O36=""),"",INDEX(Reference!$C$68:$G$72,MATCH($N36,Reference!$B$52:$B$56,0),6-MATCH($O36,Reference!$B$60:$B$64,0)))</f>
        <v/>
      </c>
      <c r="Q36" s="60" t="str">
        <f aca="false">IF(OR($N36="",$O36=""),"",INDEX(Reference!$F$52:$F$56,MATCH($N36,Reference!$B$52:$B$56,0))*INDEX(Reference!$F$60:$F$64,MATCH($O36,Reference!$B$60:$B$64,0)))</f>
        <v/>
      </c>
      <c r="R36" s="61" t="str">
        <f aca="false">IF(OR($N36="",$O36=""),"",ROUND(INDEX(Reference!$F$52:$F$56,MATCH($N36,Reference!$B$52:$B$56,0))*INDEX(Reference!$H$60:$H$64,MATCH($O36,Reference!$B$60:$B$64,0)),0))</f>
        <v/>
      </c>
      <c r="S36" s="66"/>
      <c r="T36" s="55" t="str">
        <f aca="false">IF($F36="","",COUNTIF('Treatment Actions'!$B$9:$B$208,$C36))</f>
        <v/>
      </c>
      <c r="U36" s="55" t="str">
        <f aca="false">IF($F36="","",COUNTIFS('Treatment Actions'!$B$9:$B$208,$C36,'Treatment Actions'!$F$9:$F$208,"Complete"))</f>
        <v/>
      </c>
      <c r="V36" s="66"/>
      <c r="W36" s="66"/>
      <c r="X36" s="59" t="str">
        <f aca="false">IF(OR($V36="",$W36=""),"",INDEX(Reference!$C$68:$G$72,MATCH($V36,Reference!$B$52:$B$56,0),6-MATCH($W36,Reference!$B$60:$B$64,0)))</f>
        <v/>
      </c>
      <c r="Y36" s="59" t="str">
        <f aca="false">IF(OR($P36="",$X36=""),"",IF(MATCH($X36,Reference!$F$37:$F$40,0)&gt;MATCH($P36,Reference!$F$37:$F$40,0),"Improving",IF($X36=$P36,"Flat","Worsening")))</f>
        <v/>
      </c>
      <c r="Z36" s="66"/>
      <c r="AA36" s="68"/>
      <c r="AB36" s="69"/>
      <c r="AC36" s="70"/>
      <c r="AD36" s="70"/>
      <c r="AE36" s="70"/>
      <c r="AF36" s="59" t="str">
        <f aca="true">IF(OR($F36="",$AE36="",$AB36="Closed"),"",IF($AE36&lt;TODAY(),"Overdue",""))</f>
        <v/>
      </c>
      <c r="AG36" s="68"/>
      <c r="AH36" s="70"/>
      <c r="AI36" s="68"/>
    </row>
    <row r="37" customFormat="false" ht="33.75" hidden="false" customHeight="true" outlineLevel="0" collapsed="false">
      <c r="A37" s="54"/>
      <c r="B37" s="55" t="str">
        <f aca="false">IF($F37="","",ROW()-8)</f>
        <v/>
      </c>
      <c r="C37" s="56" t="str">
        <f aca="false">IF($F37="","","RSK-"&amp;TEXT(ROW()-8,"000"))</f>
        <v/>
      </c>
      <c r="D37" s="57"/>
      <c r="E37" s="58"/>
      <c r="F37" s="57"/>
      <c r="G37" s="57"/>
      <c r="H37" s="57"/>
      <c r="I37" s="57"/>
      <c r="J37" s="59" t="str">
        <f aca="false">IF(OR($H37="",$I37=""),"",INDEX(Reference!$C$68:$G$72,MATCH($H37,Reference!$B$52:$B$56,0),6-MATCH($I37,Reference!$B$60:$B$64,0)))</f>
        <v/>
      </c>
      <c r="K37" s="57"/>
      <c r="L37" s="57"/>
      <c r="M37" s="58"/>
      <c r="N37" s="57"/>
      <c r="O37" s="57"/>
      <c r="P37" s="59" t="str">
        <f aca="false">IF(OR($N37="",$O37=""),"",INDEX(Reference!$C$68:$G$72,MATCH($N37,Reference!$B$52:$B$56,0),6-MATCH($O37,Reference!$B$60:$B$64,0)))</f>
        <v/>
      </c>
      <c r="Q37" s="60" t="str">
        <f aca="false">IF(OR($N37="",$O37=""),"",INDEX(Reference!$F$52:$F$56,MATCH($N37,Reference!$B$52:$B$56,0))*INDEX(Reference!$F$60:$F$64,MATCH($O37,Reference!$B$60:$B$64,0)))</f>
        <v/>
      </c>
      <c r="R37" s="61" t="str">
        <f aca="false">IF(OR($N37="",$O37=""),"",ROUND(INDEX(Reference!$F$52:$F$56,MATCH($N37,Reference!$B$52:$B$56,0))*INDEX(Reference!$H$60:$H$64,MATCH($O37,Reference!$B$60:$B$64,0)),0))</f>
        <v/>
      </c>
      <c r="S37" s="57"/>
      <c r="T37" s="55" t="str">
        <f aca="false">IF($F37="","",COUNTIF('Treatment Actions'!$B$9:$B$208,$C37))</f>
        <v/>
      </c>
      <c r="U37" s="55" t="str">
        <f aca="false">IF($F37="","",COUNTIFS('Treatment Actions'!$B$9:$B$208,$C37,'Treatment Actions'!$F$9:$F$208,"Complete"))</f>
        <v/>
      </c>
      <c r="V37" s="57"/>
      <c r="W37" s="57"/>
      <c r="X37" s="59" t="str">
        <f aca="false">IF(OR($V37="",$W37=""),"",INDEX(Reference!$C$68:$G$72,MATCH($V37,Reference!$B$52:$B$56,0),6-MATCH($W37,Reference!$B$60:$B$64,0)))</f>
        <v/>
      </c>
      <c r="Y37" s="59" t="str">
        <f aca="false">IF(OR($P37="",$X37=""),"",IF(MATCH($X37,Reference!$F$37:$F$40,0)&gt;MATCH($P37,Reference!$F$37:$F$40,0),"Improving",IF($X37=$P37,"Flat","Worsening")))</f>
        <v/>
      </c>
      <c r="Z37" s="57"/>
      <c r="AA37" s="62"/>
      <c r="AB37" s="63"/>
      <c r="AC37" s="64"/>
      <c r="AD37" s="64"/>
      <c r="AE37" s="64"/>
      <c r="AF37" s="59" t="str">
        <f aca="true">IF(OR($F37="",$AE37="",$AB37="Closed"),"",IF($AE37&lt;TODAY(),"Overdue",""))</f>
        <v/>
      </c>
      <c r="AG37" s="62"/>
      <c r="AH37" s="64"/>
      <c r="AI37" s="62"/>
    </row>
    <row r="38" customFormat="false" ht="33.75" hidden="false" customHeight="true" outlineLevel="0" collapsed="false">
      <c r="A38" s="54"/>
      <c r="B38" s="55" t="str">
        <f aca="false">IF($F38="","",ROW()-8)</f>
        <v/>
      </c>
      <c r="C38" s="56" t="str">
        <f aca="false">IF($F38="","","RSK-"&amp;TEXT(ROW()-8,"000"))</f>
        <v/>
      </c>
      <c r="D38" s="66"/>
      <c r="E38" s="67"/>
      <c r="F38" s="66"/>
      <c r="G38" s="66"/>
      <c r="H38" s="66"/>
      <c r="I38" s="66"/>
      <c r="J38" s="59" t="str">
        <f aca="false">IF(OR($H38="",$I38=""),"",INDEX(Reference!$C$68:$G$72,MATCH($H38,Reference!$B$52:$B$56,0),6-MATCH($I38,Reference!$B$60:$B$64,0)))</f>
        <v/>
      </c>
      <c r="K38" s="66"/>
      <c r="L38" s="66"/>
      <c r="M38" s="67"/>
      <c r="N38" s="66"/>
      <c r="O38" s="66"/>
      <c r="P38" s="59" t="str">
        <f aca="false">IF(OR($N38="",$O38=""),"",INDEX(Reference!$C$68:$G$72,MATCH($N38,Reference!$B$52:$B$56,0),6-MATCH($O38,Reference!$B$60:$B$64,0)))</f>
        <v/>
      </c>
      <c r="Q38" s="60" t="str">
        <f aca="false">IF(OR($N38="",$O38=""),"",INDEX(Reference!$F$52:$F$56,MATCH($N38,Reference!$B$52:$B$56,0))*INDEX(Reference!$F$60:$F$64,MATCH($O38,Reference!$B$60:$B$64,0)))</f>
        <v/>
      </c>
      <c r="R38" s="61" t="str">
        <f aca="false">IF(OR($N38="",$O38=""),"",ROUND(INDEX(Reference!$F$52:$F$56,MATCH($N38,Reference!$B$52:$B$56,0))*INDEX(Reference!$H$60:$H$64,MATCH($O38,Reference!$B$60:$B$64,0)),0))</f>
        <v/>
      </c>
      <c r="S38" s="66"/>
      <c r="T38" s="55" t="str">
        <f aca="false">IF($F38="","",COUNTIF('Treatment Actions'!$B$9:$B$208,$C38))</f>
        <v/>
      </c>
      <c r="U38" s="55" t="str">
        <f aca="false">IF($F38="","",COUNTIFS('Treatment Actions'!$B$9:$B$208,$C38,'Treatment Actions'!$F$9:$F$208,"Complete"))</f>
        <v/>
      </c>
      <c r="V38" s="66"/>
      <c r="W38" s="66"/>
      <c r="X38" s="59" t="str">
        <f aca="false">IF(OR($V38="",$W38=""),"",INDEX(Reference!$C$68:$G$72,MATCH($V38,Reference!$B$52:$B$56,0),6-MATCH($W38,Reference!$B$60:$B$64,0)))</f>
        <v/>
      </c>
      <c r="Y38" s="59" t="str">
        <f aca="false">IF(OR($P38="",$X38=""),"",IF(MATCH($X38,Reference!$F$37:$F$40,0)&gt;MATCH($P38,Reference!$F$37:$F$40,0),"Improving",IF($X38=$P38,"Flat","Worsening")))</f>
        <v/>
      </c>
      <c r="Z38" s="66"/>
      <c r="AA38" s="68"/>
      <c r="AB38" s="69"/>
      <c r="AC38" s="70"/>
      <c r="AD38" s="70"/>
      <c r="AE38" s="70"/>
      <c r="AF38" s="59" t="str">
        <f aca="true">IF(OR($F38="",$AE38="",$AB38="Closed"),"",IF($AE38&lt;TODAY(),"Overdue",""))</f>
        <v/>
      </c>
      <c r="AG38" s="68"/>
      <c r="AH38" s="70"/>
      <c r="AI38" s="68"/>
    </row>
    <row r="39" customFormat="false" ht="33.75" hidden="false" customHeight="true" outlineLevel="0" collapsed="false">
      <c r="A39" s="54"/>
      <c r="B39" s="55" t="str">
        <f aca="false">IF($F39="","",ROW()-8)</f>
        <v/>
      </c>
      <c r="C39" s="56" t="str">
        <f aca="false">IF($F39="","","RSK-"&amp;TEXT(ROW()-8,"000"))</f>
        <v/>
      </c>
      <c r="D39" s="57"/>
      <c r="E39" s="58"/>
      <c r="F39" s="57"/>
      <c r="G39" s="57"/>
      <c r="H39" s="57"/>
      <c r="I39" s="57"/>
      <c r="J39" s="59" t="str">
        <f aca="false">IF(OR($H39="",$I39=""),"",INDEX(Reference!$C$68:$G$72,MATCH($H39,Reference!$B$52:$B$56,0),6-MATCH($I39,Reference!$B$60:$B$64,0)))</f>
        <v/>
      </c>
      <c r="K39" s="57"/>
      <c r="L39" s="57"/>
      <c r="M39" s="58"/>
      <c r="N39" s="57"/>
      <c r="O39" s="57"/>
      <c r="P39" s="59" t="str">
        <f aca="false">IF(OR($N39="",$O39=""),"",INDEX(Reference!$C$68:$G$72,MATCH($N39,Reference!$B$52:$B$56,0),6-MATCH($O39,Reference!$B$60:$B$64,0)))</f>
        <v/>
      </c>
      <c r="Q39" s="60" t="str">
        <f aca="false">IF(OR($N39="",$O39=""),"",INDEX(Reference!$F$52:$F$56,MATCH($N39,Reference!$B$52:$B$56,0))*INDEX(Reference!$F$60:$F$64,MATCH($O39,Reference!$B$60:$B$64,0)))</f>
        <v/>
      </c>
      <c r="R39" s="61" t="str">
        <f aca="false">IF(OR($N39="",$O39=""),"",ROUND(INDEX(Reference!$F$52:$F$56,MATCH($N39,Reference!$B$52:$B$56,0))*INDEX(Reference!$H$60:$H$64,MATCH($O39,Reference!$B$60:$B$64,0)),0))</f>
        <v/>
      </c>
      <c r="S39" s="57"/>
      <c r="T39" s="55" t="str">
        <f aca="false">IF($F39="","",COUNTIF('Treatment Actions'!$B$9:$B$208,$C39))</f>
        <v/>
      </c>
      <c r="U39" s="55" t="str">
        <f aca="false">IF($F39="","",COUNTIFS('Treatment Actions'!$B$9:$B$208,$C39,'Treatment Actions'!$F$9:$F$208,"Complete"))</f>
        <v/>
      </c>
      <c r="V39" s="57"/>
      <c r="W39" s="57"/>
      <c r="X39" s="59" t="str">
        <f aca="false">IF(OR($V39="",$W39=""),"",INDEX(Reference!$C$68:$G$72,MATCH($V39,Reference!$B$52:$B$56,0),6-MATCH($W39,Reference!$B$60:$B$64,0)))</f>
        <v/>
      </c>
      <c r="Y39" s="59" t="str">
        <f aca="false">IF(OR($P39="",$X39=""),"",IF(MATCH($X39,Reference!$F$37:$F$40,0)&gt;MATCH($P39,Reference!$F$37:$F$40,0),"Improving",IF($X39=$P39,"Flat","Worsening")))</f>
        <v/>
      </c>
      <c r="Z39" s="57"/>
      <c r="AA39" s="62"/>
      <c r="AB39" s="63"/>
      <c r="AC39" s="64"/>
      <c r="AD39" s="64"/>
      <c r="AE39" s="64"/>
      <c r="AF39" s="59" t="str">
        <f aca="true">IF(OR($F39="",$AE39="",$AB39="Closed"),"",IF($AE39&lt;TODAY(),"Overdue",""))</f>
        <v/>
      </c>
      <c r="AG39" s="62"/>
      <c r="AH39" s="64"/>
      <c r="AI39" s="62"/>
    </row>
    <row r="40" customFormat="false" ht="33.75" hidden="false" customHeight="true" outlineLevel="0" collapsed="false">
      <c r="A40" s="54"/>
      <c r="B40" s="55" t="str">
        <f aca="false">IF($F40="","",ROW()-8)</f>
        <v/>
      </c>
      <c r="C40" s="56" t="str">
        <f aca="false">IF($F40="","","RSK-"&amp;TEXT(ROW()-8,"000"))</f>
        <v/>
      </c>
      <c r="D40" s="66"/>
      <c r="E40" s="67"/>
      <c r="F40" s="66"/>
      <c r="G40" s="66"/>
      <c r="H40" s="66"/>
      <c r="I40" s="66"/>
      <c r="J40" s="59" t="str">
        <f aca="false">IF(OR($H40="",$I40=""),"",INDEX(Reference!$C$68:$G$72,MATCH($H40,Reference!$B$52:$B$56,0),6-MATCH($I40,Reference!$B$60:$B$64,0)))</f>
        <v/>
      </c>
      <c r="K40" s="66"/>
      <c r="L40" s="66"/>
      <c r="M40" s="67"/>
      <c r="N40" s="66"/>
      <c r="O40" s="66"/>
      <c r="P40" s="59" t="str">
        <f aca="false">IF(OR($N40="",$O40=""),"",INDEX(Reference!$C$68:$G$72,MATCH($N40,Reference!$B$52:$B$56,0),6-MATCH($O40,Reference!$B$60:$B$64,0)))</f>
        <v/>
      </c>
      <c r="Q40" s="60" t="str">
        <f aca="false">IF(OR($N40="",$O40=""),"",INDEX(Reference!$F$52:$F$56,MATCH($N40,Reference!$B$52:$B$56,0))*INDEX(Reference!$F$60:$F$64,MATCH($O40,Reference!$B$60:$B$64,0)))</f>
        <v/>
      </c>
      <c r="R40" s="61" t="str">
        <f aca="false">IF(OR($N40="",$O40=""),"",ROUND(INDEX(Reference!$F$52:$F$56,MATCH($N40,Reference!$B$52:$B$56,0))*INDEX(Reference!$H$60:$H$64,MATCH($O40,Reference!$B$60:$B$64,0)),0))</f>
        <v/>
      </c>
      <c r="S40" s="66"/>
      <c r="T40" s="55" t="str">
        <f aca="false">IF($F40="","",COUNTIF('Treatment Actions'!$B$9:$B$208,$C40))</f>
        <v/>
      </c>
      <c r="U40" s="55" t="str">
        <f aca="false">IF($F40="","",COUNTIFS('Treatment Actions'!$B$9:$B$208,$C40,'Treatment Actions'!$F$9:$F$208,"Complete"))</f>
        <v/>
      </c>
      <c r="V40" s="66"/>
      <c r="W40" s="66"/>
      <c r="X40" s="59" t="str">
        <f aca="false">IF(OR($V40="",$W40=""),"",INDEX(Reference!$C$68:$G$72,MATCH($V40,Reference!$B$52:$B$56,0),6-MATCH($W40,Reference!$B$60:$B$64,0)))</f>
        <v/>
      </c>
      <c r="Y40" s="59" t="str">
        <f aca="false">IF(OR($P40="",$X40=""),"",IF(MATCH($X40,Reference!$F$37:$F$40,0)&gt;MATCH($P40,Reference!$F$37:$F$40,0),"Improving",IF($X40=$P40,"Flat","Worsening")))</f>
        <v/>
      </c>
      <c r="Z40" s="66"/>
      <c r="AA40" s="68"/>
      <c r="AB40" s="69"/>
      <c r="AC40" s="70"/>
      <c r="AD40" s="70"/>
      <c r="AE40" s="70"/>
      <c r="AF40" s="59" t="str">
        <f aca="true">IF(OR($F40="",$AE40="",$AB40="Closed"),"",IF($AE40&lt;TODAY(),"Overdue",""))</f>
        <v/>
      </c>
      <c r="AG40" s="68"/>
      <c r="AH40" s="70"/>
      <c r="AI40" s="68"/>
    </row>
    <row r="41" customFormat="false" ht="33.75" hidden="false" customHeight="true" outlineLevel="0" collapsed="false">
      <c r="A41" s="54"/>
      <c r="B41" s="55" t="str">
        <f aca="false">IF($F41="","",ROW()-8)</f>
        <v/>
      </c>
      <c r="C41" s="56" t="str">
        <f aca="false">IF($F41="","","RSK-"&amp;TEXT(ROW()-8,"000"))</f>
        <v/>
      </c>
      <c r="D41" s="57"/>
      <c r="E41" s="58"/>
      <c r="F41" s="57"/>
      <c r="G41" s="57"/>
      <c r="H41" s="57"/>
      <c r="I41" s="57"/>
      <c r="J41" s="59" t="str">
        <f aca="false">IF(OR($H41="",$I41=""),"",INDEX(Reference!$C$68:$G$72,MATCH($H41,Reference!$B$52:$B$56,0),6-MATCH($I41,Reference!$B$60:$B$64,0)))</f>
        <v/>
      </c>
      <c r="K41" s="57"/>
      <c r="L41" s="57"/>
      <c r="M41" s="58"/>
      <c r="N41" s="57"/>
      <c r="O41" s="57"/>
      <c r="P41" s="59" t="str">
        <f aca="false">IF(OR($N41="",$O41=""),"",INDEX(Reference!$C$68:$G$72,MATCH($N41,Reference!$B$52:$B$56,0),6-MATCH($O41,Reference!$B$60:$B$64,0)))</f>
        <v/>
      </c>
      <c r="Q41" s="60" t="str">
        <f aca="false">IF(OR($N41="",$O41=""),"",INDEX(Reference!$F$52:$F$56,MATCH($N41,Reference!$B$52:$B$56,0))*INDEX(Reference!$F$60:$F$64,MATCH($O41,Reference!$B$60:$B$64,0)))</f>
        <v/>
      </c>
      <c r="R41" s="61" t="str">
        <f aca="false">IF(OR($N41="",$O41=""),"",ROUND(INDEX(Reference!$F$52:$F$56,MATCH($N41,Reference!$B$52:$B$56,0))*INDEX(Reference!$H$60:$H$64,MATCH($O41,Reference!$B$60:$B$64,0)),0))</f>
        <v/>
      </c>
      <c r="S41" s="57"/>
      <c r="T41" s="55" t="str">
        <f aca="false">IF($F41="","",COUNTIF('Treatment Actions'!$B$9:$B$208,$C41))</f>
        <v/>
      </c>
      <c r="U41" s="55" t="str">
        <f aca="false">IF($F41="","",COUNTIFS('Treatment Actions'!$B$9:$B$208,$C41,'Treatment Actions'!$F$9:$F$208,"Complete"))</f>
        <v/>
      </c>
      <c r="V41" s="57"/>
      <c r="W41" s="57"/>
      <c r="X41" s="59" t="str">
        <f aca="false">IF(OR($V41="",$W41=""),"",INDEX(Reference!$C$68:$G$72,MATCH($V41,Reference!$B$52:$B$56,0),6-MATCH($W41,Reference!$B$60:$B$64,0)))</f>
        <v/>
      </c>
      <c r="Y41" s="59" t="str">
        <f aca="false">IF(OR($P41="",$X41=""),"",IF(MATCH($X41,Reference!$F$37:$F$40,0)&gt;MATCH($P41,Reference!$F$37:$F$40,0),"Improving",IF($X41=$P41,"Flat","Worsening")))</f>
        <v/>
      </c>
      <c r="Z41" s="57"/>
      <c r="AA41" s="62"/>
      <c r="AB41" s="63"/>
      <c r="AC41" s="64"/>
      <c r="AD41" s="64"/>
      <c r="AE41" s="64"/>
      <c r="AF41" s="59" t="str">
        <f aca="true">IF(OR($F41="",$AE41="",$AB41="Closed"),"",IF($AE41&lt;TODAY(),"Overdue",""))</f>
        <v/>
      </c>
      <c r="AG41" s="62"/>
      <c r="AH41" s="64"/>
      <c r="AI41" s="62"/>
    </row>
    <row r="42" customFormat="false" ht="33.75" hidden="false" customHeight="true" outlineLevel="0" collapsed="false">
      <c r="A42" s="54"/>
      <c r="B42" s="55" t="str">
        <f aca="false">IF($F42="","",ROW()-8)</f>
        <v/>
      </c>
      <c r="C42" s="56" t="str">
        <f aca="false">IF($F42="","","RSK-"&amp;TEXT(ROW()-8,"000"))</f>
        <v/>
      </c>
      <c r="D42" s="66"/>
      <c r="E42" s="67"/>
      <c r="F42" s="66"/>
      <c r="G42" s="66"/>
      <c r="H42" s="66"/>
      <c r="I42" s="66"/>
      <c r="J42" s="59" t="str">
        <f aca="false">IF(OR($H42="",$I42=""),"",INDEX(Reference!$C$68:$G$72,MATCH($H42,Reference!$B$52:$B$56,0),6-MATCH($I42,Reference!$B$60:$B$64,0)))</f>
        <v/>
      </c>
      <c r="K42" s="66"/>
      <c r="L42" s="66"/>
      <c r="M42" s="67"/>
      <c r="N42" s="66"/>
      <c r="O42" s="66"/>
      <c r="P42" s="59" t="str">
        <f aca="false">IF(OR($N42="",$O42=""),"",INDEX(Reference!$C$68:$G$72,MATCH($N42,Reference!$B$52:$B$56,0),6-MATCH($O42,Reference!$B$60:$B$64,0)))</f>
        <v/>
      </c>
      <c r="Q42" s="60" t="str">
        <f aca="false">IF(OR($N42="",$O42=""),"",INDEX(Reference!$F$52:$F$56,MATCH($N42,Reference!$B$52:$B$56,0))*INDEX(Reference!$F$60:$F$64,MATCH($O42,Reference!$B$60:$B$64,0)))</f>
        <v/>
      </c>
      <c r="R42" s="61" t="str">
        <f aca="false">IF(OR($N42="",$O42=""),"",ROUND(INDEX(Reference!$F$52:$F$56,MATCH($N42,Reference!$B$52:$B$56,0))*INDEX(Reference!$H$60:$H$64,MATCH($O42,Reference!$B$60:$B$64,0)),0))</f>
        <v/>
      </c>
      <c r="S42" s="66"/>
      <c r="T42" s="55" t="str">
        <f aca="false">IF($F42="","",COUNTIF('Treatment Actions'!$B$9:$B$208,$C42))</f>
        <v/>
      </c>
      <c r="U42" s="55" t="str">
        <f aca="false">IF($F42="","",COUNTIFS('Treatment Actions'!$B$9:$B$208,$C42,'Treatment Actions'!$F$9:$F$208,"Complete"))</f>
        <v/>
      </c>
      <c r="V42" s="66"/>
      <c r="W42" s="66"/>
      <c r="X42" s="59" t="str">
        <f aca="false">IF(OR($V42="",$W42=""),"",INDEX(Reference!$C$68:$G$72,MATCH($V42,Reference!$B$52:$B$56,0),6-MATCH($W42,Reference!$B$60:$B$64,0)))</f>
        <v/>
      </c>
      <c r="Y42" s="59" t="str">
        <f aca="false">IF(OR($P42="",$X42=""),"",IF(MATCH($X42,Reference!$F$37:$F$40,0)&gt;MATCH($P42,Reference!$F$37:$F$40,0),"Improving",IF($X42=$P42,"Flat","Worsening")))</f>
        <v/>
      </c>
      <c r="Z42" s="66"/>
      <c r="AA42" s="68"/>
      <c r="AB42" s="69"/>
      <c r="AC42" s="70"/>
      <c r="AD42" s="70"/>
      <c r="AE42" s="70"/>
      <c r="AF42" s="59" t="str">
        <f aca="true">IF(OR($F42="",$AE42="",$AB42="Closed"),"",IF($AE42&lt;TODAY(),"Overdue",""))</f>
        <v/>
      </c>
      <c r="AG42" s="68"/>
      <c r="AH42" s="70"/>
      <c r="AI42" s="68"/>
    </row>
    <row r="43" customFormat="false" ht="33.75" hidden="false" customHeight="true" outlineLevel="0" collapsed="false">
      <c r="A43" s="54"/>
      <c r="B43" s="55" t="str">
        <f aca="false">IF($F43="","",ROW()-8)</f>
        <v/>
      </c>
      <c r="C43" s="56" t="str">
        <f aca="false">IF($F43="","","RSK-"&amp;TEXT(ROW()-8,"000"))</f>
        <v/>
      </c>
      <c r="D43" s="57"/>
      <c r="E43" s="58"/>
      <c r="F43" s="57"/>
      <c r="G43" s="57"/>
      <c r="H43" s="57"/>
      <c r="I43" s="57"/>
      <c r="J43" s="59" t="str">
        <f aca="false">IF(OR($H43="",$I43=""),"",INDEX(Reference!$C$68:$G$72,MATCH($H43,Reference!$B$52:$B$56,0),6-MATCH($I43,Reference!$B$60:$B$64,0)))</f>
        <v/>
      </c>
      <c r="K43" s="57"/>
      <c r="L43" s="57"/>
      <c r="M43" s="58"/>
      <c r="N43" s="57"/>
      <c r="O43" s="57"/>
      <c r="P43" s="59" t="str">
        <f aca="false">IF(OR($N43="",$O43=""),"",INDEX(Reference!$C$68:$G$72,MATCH($N43,Reference!$B$52:$B$56,0),6-MATCH($O43,Reference!$B$60:$B$64,0)))</f>
        <v/>
      </c>
      <c r="Q43" s="60" t="str">
        <f aca="false">IF(OR($N43="",$O43=""),"",INDEX(Reference!$F$52:$F$56,MATCH($N43,Reference!$B$52:$B$56,0))*INDEX(Reference!$F$60:$F$64,MATCH($O43,Reference!$B$60:$B$64,0)))</f>
        <v/>
      </c>
      <c r="R43" s="61" t="str">
        <f aca="false">IF(OR($N43="",$O43=""),"",ROUND(INDEX(Reference!$F$52:$F$56,MATCH($N43,Reference!$B$52:$B$56,0))*INDEX(Reference!$H$60:$H$64,MATCH($O43,Reference!$B$60:$B$64,0)),0))</f>
        <v/>
      </c>
      <c r="S43" s="57"/>
      <c r="T43" s="55" t="str">
        <f aca="false">IF($F43="","",COUNTIF('Treatment Actions'!$B$9:$B$208,$C43))</f>
        <v/>
      </c>
      <c r="U43" s="55" t="str">
        <f aca="false">IF($F43="","",COUNTIFS('Treatment Actions'!$B$9:$B$208,$C43,'Treatment Actions'!$F$9:$F$208,"Complete"))</f>
        <v/>
      </c>
      <c r="V43" s="57"/>
      <c r="W43" s="57"/>
      <c r="X43" s="59" t="str">
        <f aca="false">IF(OR($V43="",$W43=""),"",INDEX(Reference!$C$68:$G$72,MATCH($V43,Reference!$B$52:$B$56,0),6-MATCH($W43,Reference!$B$60:$B$64,0)))</f>
        <v/>
      </c>
      <c r="Y43" s="59" t="str">
        <f aca="false">IF(OR($P43="",$X43=""),"",IF(MATCH($X43,Reference!$F$37:$F$40,0)&gt;MATCH($P43,Reference!$F$37:$F$40,0),"Improving",IF($X43=$P43,"Flat","Worsening")))</f>
        <v/>
      </c>
      <c r="Z43" s="57"/>
      <c r="AA43" s="62"/>
      <c r="AB43" s="63"/>
      <c r="AC43" s="64"/>
      <c r="AD43" s="64"/>
      <c r="AE43" s="64"/>
      <c r="AF43" s="59" t="str">
        <f aca="true">IF(OR($F43="",$AE43="",$AB43="Closed"),"",IF($AE43&lt;TODAY(),"Overdue",""))</f>
        <v/>
      </c>
      <c r="AG43" s="62"/>
      <c r="AH43" s="64"/>
      <c r="AI43" s="62"/>
    </row>
    <row r="44" customFormat="false" ht="33.75" hidden="false" customHeight="true" outlineLevel="0" collapsed="false">
      <c r="A44" s="54"/>
      <c r="B44" s="55" t="str">
        <f aca="false">IF($F44="","",ROW()-8)</f>
        <v/>
      </c>
      <c r="C44" s="56" t="str">
        <f aca="false">IF($F44="","","RSK-"&amp;TEXT(ROW()-8,"000"))</f>
        <v/>
      </c>
      <c r="D44" s="66"/>
      <c r="E44" s="67"/>
      <c r="F44" s="66"/>
      <c r="G44" s="66"/>
      <c r="H44" s="66"/>
      <c r="I44" s="66"/>
      <c r="J44" s="59" t="str">
        <f aca="false">IF(OR($H44="",$I44=""),"",INDEX(Reference!$C$68:$G$72,MATCH($H44,Reference!$B$52:$B$56,0),6-MATCH($I44,Reference!$B$60:$B$64,0)))</f>
        <v/>
      </c>
      <c r="K44" s="66"/>
      <c r="L44" s="66"/>
      <c r="M44" s="67"/>
      <c r="N44" s="66"/>
      <c r="O44" s="66"/>
      <c r="P44" s="59" t="str">
        <f aca="false">IF(OR($N44="",$O44=""),"",INDEX(Reference!$C$68:$G$72,MATCH($N44,Reference!$B$52:$B$56,0),6-MATCH($O44,Reference!$B$60:$B$64,0)))</f>
        <v/>
      </c>
      <c r="Q44" s="60" t="str">
        <f aca="false">IF(OR($N44="",$O44=""),"",INDEX(Reference!$F$52:$F$56,MATCH($N44,Reference!$B$52:$B$56,0))*INDEX(Reference!$F$60:$F$64,MATCH($O44,Reference!$B$60:$B$64,0)))</f>
        <v/>
      </c>
      <c r="R44" s="61" t="str">
        <f aca="false">IF(OR($N44="",$O44=""),"",ROUND(INDEX(Reference!$F$52:$F$56,MATCH($N44,Reference!$B$52:$B$56,0))*INDEX(Reference!$H$60:$H$64,MATCH($O44,Reference!$B$60:$B$64,0)),0))</f>
        <v/>
      </c>
      <c r="S44" s="66"/>
      <c r="T44" s="55" t="str">
        <f aca="false">IF($F44="","",COUNTIF('Treatment Actions'!$B$9:$B$208,$C44))</f>
        <v/>
      </c>
      <c r="U44" s="55" t="str">
        <f aca="false">IF($F44="","",COUNTIFS('Treatment Actions'!$B$9:$B$208,$C44,'Treatment Actions'!$F$9:$F$208,"Complete"))</f>
        <v/>
      </c>
      <c r="V44" s="66"/>
      <c r="W44" s="66"/>
      <c r="X44" s="59" t="str">
        <f aca="false">IF(OR($V44="",$W44=""),"",INDEX(Reference!$C$68:$G$72,MATCH($V44,Reference!$B$52:$B$56,0),6-MATCH($W44,Reference!$B$60:$B$64,0)))</f>
        <v/>
      </c>
      <c r="Y44" s="59" t="str">
        <f aca="false">IF(OR($P44="",$X44=""),"",IF(MATCH($X44,Reference!$F$37:$F$40,0)&gt;MATCH($P44,Reference!$F$37:$F$40,0),"Improving",IF($X44=$P44,"Flat","Worsening")))</f>
        <v/>
      </c>
      <c r="Z44" s="66"/>
      <c r="AA44" s="68"/>
      <c r="AB44" s="69"/>
      <c r="AC44" s="70"/>
      <c r="AD44" s="70"/>
      <c r="AE44" s="70"/>
      <c r="AF44" s="59" t="str">
        <f aca="true">IF(OR($F44="",$AE44="",$AB44="Closed"),"",IF($AE44&lt;TODAY(),"Overdue",""))</f>
        <v/>
      </c>
      <c r="AG44" s="68"/>
      <c r="AH44" s="70"/>
      <c r="AI44" s="68"/>
    </row>
    <row r="45" customFormat="false" ht="33.75" hidden="false" customHeight="true" outlineLevel="0" collapsed="false">
      <c r="A45" s="54"/>
      <c r="B45" s="55" t="str">
        <f aca="false">IF($F45="","",ROW()-8)</f>
        <v/>
      </c>
      <c r="C45" s="56" t="str">
        <f aca="false">IF($F45="","","RSK-"&amp;TEXT(ROW()-8,"000"))</f>
        <v/>
      </c>
      <c r="D45" s="57"/>
      <c r="E45" s="58"/>
      <c r="F45" s="57"/>
      <c r="G45" s="57"/>
      <c r="H45" s="57"/>
      <c r="I45" s="57"/>
      <c r="J45" s="59" t="str">
        <f aca="false">IF(OR($H45="",$I45=""),"",INDEX(Reference!$C$68:$G$72,MATCH($H45,Reference!$B$52:$B$56,0),6-MATCH($I45,Reference!$B$60:$B$64,0)))</f>
        <v/>
      </c>
      <c r="K45" s="57"/>
      <c r="L45" s="57"/>
      <c r="M45" s="58"/>
      <c r="N45" s="57"/>
      <c r="O45" s="57"/>
      <c r="P45" s="59" t="str">
        <f aca="false">IF(OR($N45="",$O45=""),"",INDEX(Reference!$C$68:$G$72,MATCH($N45,Reference!$B$52:$B$56,0),6-MATCH($O45,Reference!$B$60:$B$64,0)))</f>
        <v/>
      </c>
      <c r="Q45" s="60" t="str">
        <f aca="false">IF(OR($N45="",$O45=""),"",INDEX(Reference!$F$52:$F$56,MATCH($N45,Reference!$B$52:$B$56,0))*INDEX(Reference!$F$60:$F$64,MATCH($O45,Reference!$B$60:$B$64,0)))</f>
        <v/>
      </c>
      <c r="R45" s="61" t="str">
        <f aca="false">IF(OR($N45="",$O45=""),"",ROUND(INDEX(Reference!$F$52:$F$56,MATCH($N45,Reference!$B$52:$B$56,0))*INDEX(Reference!$H$60:$H$64,MATCH($O45,Reference!$B$60:$B$64,0)),0))</f>
        <v/>
      </c>
      <c r="S45" s="57"/>
      <c r="T45" s="55" t="str">
        <f aca="false">IF($F45="","",COUNTIF('Treatment Actions'!$B$9:$B$208,$C45))</f>
        <v/>
      </c>
      <c r="U45" s="55" t="str">
        <f aca="false">IF($F45="","",COUNTIFS('Treatment Actions'!$B$9:$B$208,$C45,'Treatment Actions'!$F$9:$F$208,"Complete"))</f>
        <v/>
      </c>
      <c r="V45" s="57"/>
      <c r="W45" s="57"/>
      <c r="X45" s="59" t="str">
        <f aca="false">IF(OR($V45="",$W45=""),"",INDEX(Reference!$C$68:$G$72,MATCH($V45,Reference!$B$52:$B$56,0),6-MATCH($W45,Reference!$B$60:$B$64,0)))</f>
        <v/>
      </c>
      <c r="Y45" s="59" t="str">
        <f aca="false">IF(OR($P45="",$X45=""),"",IF(MATCH($X45,Reference!$F$37:$F$40,0)&gt;MATCH($P45,Reference!$F$37:$F$40,0),"Improving",IF($X45=$P45,"Flat","Worsening")))</f>
        <v/>
      </c>
      <c r="Z45" s="57"/>
      <c r="AA45" s="62"/>
      <c r="AB45" s="63"/>
      <c r="AC45" s="64"/>
      <c r="AD45" s="64"/>
      <c r="AE45" s="64"/>
      <c r="AF45" s="59" t="str">
        <f aca="true">IF(OR($F45="",$AE45="",$AB45="Closed"),"",IF($AE45&lt;TODAY(),"Overdue",""))</f>
        <v/>
      </c>
      <c r="AG45" s="62"/>
      <c r="AH45" s="64"/>
      <c r="AI45" s="62"/>
    </row>
    <row r="46" customFormat="false" ht="33.75" hidden="false" customHeight="true" outlineLevel="0" collapsed="false">
      <c r="A46" s="54"/>
      <c r="B46" s="55" t="str">
        <f aca="false">IF($F46="","",ROW()-8)</f>
        <v/>
      </c>
      <c r="C46" s="56" t="str">
        <f aca="false">IF($F46="","","RSK-"&amp;TEXT(ROW()-8,"000"))</f>
        <v/>
      </c>
      <c r="D46" s="66"/>
      <c r="E46" s="67"/>
      <c r="F46" s="66"/>
      <c r="G46" s="66"/>
      <c r="H46" s="66"/>
      <c r="I46" s="66"/>
      <c r="J46" s="59" t="str">
        <f aca="false">IF(OR($H46="",$I46=""),"",INDEX(Reference!$C$68:$G$72,MATCH($H46,Reference!$B$52:$B$56,0),6-MATCH($I46,Reference!$B$60:$B$64,0)))</f>
        <v/>
      </c>
      <c r="K46" s="66"/>
      <c r="L46" s="66"/>
      <c r="M46" s="67"/>
      <c r="N46" s="66"/>
      <c r="O46" s="66"/>
      <c r="P46" s="59" t="str">
        <f aca="false">IF(OR($N46="",$O46=""),"",INDEX(Reference!$C$68:$G$72,MATCH($N46,Reference!$B$52:$B$56,0),6-MATCH($O46,Reference!$B$60:$B$64,0)))</f>
        <v/>
      </c>
      <c r="Q46" s="60" t="str">
        <f aca="false">IF(OR($N46="",$O46=""),"",INDEX(Reference!$F$52:$F$56,MATCH($N46,Reference!$B$52:$B$56,0))*INDEX(Reference!$F$60:$F$64,MATCH($O46,Reference!$B$60:$B$64,0)))</f>
        <v/>
      </c>
      <c r="R46" s="61" t="str">
        <f aca="false">IF(OR($N46="",$O46=""),"",ROUND(INDEX(Reference!$F$52:$F$56,MATCH($N46,Reference!$B$52:$B$56,0))*INDEX(Reference!$H$60:$H$64,MATCH($O46,Reference!$B$60:$B$64,0)),0))</f>
        <v/>
      </c>
      <c r="S46" s="66"/>
      <c r="T46" s="55" t="str">
        <f aca="false">IF($F46="","",COUNTIF('Treatment Actions'!$B$9:$B$208,$C46))</f>
        <v/>
      </c>
      <c r="U46" s="55" t="str">
        <f aca="false">IF($F46="","",COUNTIFS('Treatment Actions'!$B$9:$B$208,$C46,'Treatment Actions'!$F$9:$F$208,"Complete"))</f>
        <v/>
      </c>
      <c r="V46" s="66"/>
      <c r="W46" s="66"/>
      <c r="X46" s="59" t="str">
        <f aca="false">IF(OR($V46="",$W46=""),"",INDEX(Reference!$C$68:$G$72,MATCH($V46,Reference!$B$52:$B$56,0),6-MATCH($W46,Reference!$B$60:$B$64,0)))</f>
        <v/>
      </c>
      <c r="Y46" s="59" t="str">
        <f aca="false">IF(OR($P46="",$X46=""),"",IF(MATCH($X46,Reference!$F$37:$F$40,0)&gt;MATCH($P46,Reference!$F$37:$F$40,0),"Improving",IF($X46=$P46,"Flat","Worsening")))</f>
        <v/>
      </c>
      <c r="Z46" s="66"/>
      <c r="AA46" s="68"/>
      <c r="AB46" s="69"/>
      <c r="AC46" s="70"/>
      <c r="AD46" s="70"/>
      <c r="AE46" s="70"/>
      <c r="AF46" s="59" t="str">
        <f aca="true">IF(OR($F46="",$AE46="",$AB46="Closed"),"",IF($AE46&lt;TODAY(),"Overdue",""))</f>
        <v/>
      </c>
      <c r="AG46" s="68"/>
      <c r="AH46" s="70"/>
      <c r="AI46" s="68"/>
    </row>
    <row r="47" customFormat="false" ht="33.75" hidden="false" customHeight="true" outlineLevel="0" collapsed="false">
      <c r="A47" s="54"/>
      <c r="B47" s="55" t="str">
        <f aca="false">IF($F47="","",ROW()-8)</f>
        <v/>
      </c>
      <c r="C47" s="56" t="str">
        <f aca="false">IF($F47="","","RSK-"&amp;TEXT(ROW()-8,"000"))</f>
        <v/>
      </c>
      <c r="D47" s="57"/>
      <c r="E47" s="58"/>
      <c r="F47" s="57"/>
      <c r="G47" s="57"/>
      <c r="H47" s="57"/>
      <c r="I47" s="57"/>
      <c r="J47" s="59" t="str">
        <f aca="false">IF(OR($H47="",$I47=""),"",INDEX(Reference!$C$68:$G$72,MATCH($H47,Reference!$B$52:$B$56,0),6-MATCH($I47,Reference!$B$60:$B$64,0)))</f>
        <v/>
      </c>
      <c r="K47" s="57"/>
      <c r="L47" s="57"/>
      <c r="M47" s="58"/>
      <c r="N47" s="57"/>
      <c r="O47" s="57"/>
      <c r="P47" s="59" t="str">
        <f aca="false">IF(OR($N47="",$O47=""),"",INDEX(Reference!$C$68:$G$72,MATCH($N47,Reference!$B$52:$B$56,0),6-MATCH($O47,Reference!$B$60:$B$64,0)))</f>
        <v/>
      </c>
      <c r="Q47" s="60" t="str">
        <f aca="false">IF(OR($N47="",$O47=""),"",INDEX(Reference!$F$52:$F$56,MATCH($N47,Reference!$B$52:$B$56,0))*INDEX(Reference!$F$60:$F$64,MATCH($O47,Reference!$B$60:$B$64,0)))</f>
        <v/>
      </c>
      <c r="R47" s="61" t="str">
        <f aca="false">IF(OR($N47="",$O47=""),"",ROUND(INDEX(Reference!$F$52:$F$56,MATCH($N47,Reference!$B$52:$B$56,0))*INDEX(Reference!$H$60:$H$64,MATCH($O47,Reference!$B$60:$B$64,0)),0))</f>
        <v/>
      </c>
      <c r="S47" s="57"/>
      <c r="T47" s="55" t="str">
        <f aca="false">IF($F47="","",COUNTIF('Treatment Actions'!$B$9:$B$208,$C47))</f>
        <v/>
      </c>
      <c r="U47" s="55" t="str">
        <f aca="false">IF($F47="","",COUNTIFS('Treatment Actions'!$B$9:$B$208,$C47,'Treatment Actions'!$F$9:$F$208,"Complete"))</f>
        <v/>
      </c>
      <c r="V47" s="57"/>
      <c r="W47" s="57"/>
      <c r="X47" s="59" t="str">
        <f aca="false">IF(OR($V47="",$W47=""),"",INDEX(Reference!$C$68:$G$72,MATCH($V47,Reference!$B$52:$B$56,0),6-MATCH($W47,Reference!$B$60:$B$64,0)))</f>
        <v/>
      </c>
      <c r="Y47" s="59" t="str">
        <f aca="false">IF(OR($P47="",$X47=""),"",IF(MATCH($X47,Reference!$F$37:$F$40,0)&gt;MATCH($P47,Reference!$F$37:$F$40,0),"Improving",IF($X47=$P47,"Flat","Worsening")))</f>
        <v/>
      </c>
      <c r="Z47" s="57"/>
      <c r="AA47" s="62"/>
      <c r="AB47" s="63"/>
      <c r="AC47" s="64"/>
      <c r="AD47" s="64"/>
      <c r="AE47" s="64"/>
      <c r="AF47" s="59" t="str">
        <f aca="true">IF(OR($F47="",$AE47="",$AB47="Closed"),"",IF($AE47&lt;TODAY(),"Overdue",""))</f>
        <v/>
      </c>
      <c r="AG47" s="62"/>
      <c r="AH47" s="64"/>
      <c r="AI47" s="62"/>
    </row>
    <row r="48" customFormat="false" ht="33.75" hidden="false" customHeight="true" outlineLevel="0" collapsed="false">
      <c r="A48" s="54"/>
      <c r="B48" s="55" t="str">
        <f aca="false">IF($F48="","",ROW()-8)</f>
        <v/>
      </c>
      <c r="C48" s="56" t="str">
        <f aca="false">IF($F48="","","RSK-"&amp;TEXT(ROW()-8,"000"))</f>
        <v/>
      </c>
      <c r="D48" s="66"/>
      <c r="E48" s="67"/>
      <c r="F48" s="66"/>
      <c r="G48" s="66"/>
      <c r="H48" s="66"/>
      <c r="I48" s="66"/>
      <c r="J48" s="59" t="str">
        <f aca="false">IF(OR($H48="",$I48=""),"",INDEX(Reference!$C$68:$G$72,MATCH($H48,Reference!$B$52:$B$56,0),6-MATCH($I48,Reference!$B$60:$B$64,0)))</f>
        <v/>
      </c>
      <c r="K48" s="66"/>
      <c r="L48" s="66"/>
      <c r="M48" s="67"/>
      <c r="N48" s="66"/>
      <c r="O48" s="66"/>
      <c r="P48" s="59" t="str">
        <f aca="false">IF(OR($N48="",$O48=""),"",INDEX(Reference!$C$68:$G$72,MATCH($N48,Reference!$B$52:$B$56,0),6-MATCH($O48,Reference!$B$60:$B$64,0)))</f>
        <v/>
      </c>
      <c r="Q48" s="60" t="str">
        <f aca="false">IF(OR($N48="",$O48=""),"",INDEX(Reference!$F$52:$F$56,MATCH($N48,Reference!$B$52:$B$56,0))*INDEX(Reference!$F$60:$F$64,MATCH($O48,Reference!$B$60:$B$64,0)))</f>
        <v/>
      </c>
      <c r="R48" s="61" t="str">
        <f aca="false">IF(OR($N48="",$O48=""),"",ROUND(INDEX(Reference!$F$52:$F$56,MATCH($N48,Reference!$B$52:$B$56,0))*INDEX(Reference!$H$60:$H$64,MATCH($O48,Reference!$B$60:$B$64,0)),0))</f>
        <v/>
      </c>
      <c r="S48" s="66"/>
      <c r="T48" s="55" t="str">
        <f aca="false">IF($F48="","",COUNTIF('Treatment Actions'!$B$9:$B$208,$C48))</f>
        <v/>
      </c>
      <c r="U48" s="55" t="str">
        <f aca="false">IF($F48="","",COUNTIFS('Treatment Actions'!$B$9:$B$208,$C48,'Treatment Actions'!$F$9:$F$208,"Complete"))</f>
        <v/>
      </c>
      <c r="V48" s="66"/>
      <c r="W48" s="66"/>
      <c r="X48" s="59" t="str">
        <f aca="false">IF(OR($V48="",$W48=""),"",INDEX(Reference!$C$68:$G$72,MATCH($V48,Reference!$B$52:$B$56,0),6-MATCH($W48,Reference!$B$60:$B$64,0)))</f>
        <v/>
      </c>
      <c r="Y48" s="59" t="str">
        <f aca="false">IF(OR($P48="",$X48=""),"",IF(MATCH($X48,Reference!$F$37:$F$40,0)&gt;MATCH($P48,Reference!$F$37:$F$40,0),"Improving",IF($X48=$P48,"Flat","Worsening")))</f>
        <v/>
      </c>
      <c r="Z48" s="66"/>
      <c r="AA48" s="68"/>
      <c r="AB48" s="69"/>
      <c r="AC48" s="70"/>
      <c r="AD48" s="70"/>
      <c r="AE48" s="70"/>
      <c r="AF48" s="59" t="str">
        <f aca="true">IF(OR($F48="",$AE48="",$AB48="Closed"),"",IF($AE48&lt;TODAY(),"Overdue",""))</f>
        <v/>
      </c>
      <c r="AG48" s="68"/>
      <c r="AH48" s="70"/>
      <c r="AI48" s="68"/>
    </row>
    <row r="49" customFormat="false" ht="33.75" hidden="false" customHeight="true" outlineLevel="0" collapsed="false">
      <c r="A49" s="54"/>
      <c r="B49" s="55" t="str">
        <f aca="false">IF($F49="","",ROW()-8)</f>
        <v/>
      </c>
      <c r="C49" s="56" t="str">
        <f aca="false">IF($F49="","","RSK-"&amp;TEXT(ROW()-8,"000"))</f>
        <v/>
      </c>
      <c r="D49" s="57"/>
      <c r="E49" s="58"/>
      <c r="F49" s="57"/>
      <c r="G49" s="57"/>
      <c r="H49" s="57"/>
      <c r="I49" s="57"/>
      <c r="J49" s="59" t="str">
        <f aca="false">IF(OR($H49="",$I49=""),"",INDEX(Reference!$C$68:$G$72,MATCH($H49,Reference!$B$52:$B$56,0),6-MATCH($I49,Reference!$B$60:$B$64,0)))</f>
        <v/>
      </c>
      <c r="K49" s="57"/>
      <c r="L49" s="57"/>
      <c r="M49" s="58"/>
      <c r="N49" s="57"/>
      <c r="O49" s="57"/>
      <c r="P49" s="59" t="str">
        <f aca="false">IF(OR($N49="",$O49=""),"",INDEX(Reference!$C$68:$G$72,MATCH($N49,Reference!$B$52:$B$56,0),6-MATCH($O49,Reference!$B$60:$B$64,0)))</f>
        <v/>
      </c>
      <c r="Q49" s="60" t="str">
        <f aca="false">IF(OR($N49="",$O49=""),"",INDEX(Reference!$F$52:$F$56,MATCH($N49,Reference!$B$52:$B$56,0))*INDEX(Reference!$F$60:$F$64,MATCH($O49,Reference!$B$60:$B$64,0)))</f>
        <v/>
      </c>
      <c r="R49" s="61" t="str">
        <f aca="false">IF(OR($N49="",$O49=""),"",ROUND(INDEX(Reference!$F$52:$F$56,MATCH($N49,Reference!$B$52:$B$56,0))*INDEX(Reference!$H$60:$H$64,MATCH($O49,Reference!$B$60:$B$64,0)),0))</f>
        <v/>
      </c>
      <c r="S49" s="57"/>
      <c r="T49" s="55" t="str">
        <f aca="false">IF($F49="","",COUNTIF('Treatment Actions'!$B$9:$B$208,$C49))</f>
        <v/>
      </c>
      <c r="U49" s="55" t="str">
        <f aca="false">IF($F49="","",COUNTIFS('Treatment Actions'!$B$9:$B$208,$C49,'Treatment Actions'!$F$9:$F$208,"Complete"))</f>
        <v/>
      </c>
      <c r="V49" s="57"/>
      <c r="W49" s="57"/>
      <c r="X49" s="59" t="str">
        <f aca="false">IF(OR($V49="",$W49=""),"",INDEX(Reference!$C$68:$G$72,MATCH($V49,Reference!$B$52:$B$56,0),6-MATCH($W49,Reference!$B$60:$B$64,0)))</f>
        <v/>
      </c>
      <c r="Y49" s="59" t="str">
        <f aca="false">IF(OR($P49="",$X49=""),"",IF(MATCH($X49,Reference!$F$37:$F$40,0)&gt;MATCH($P49,Reference!$F$37:$F$40,0),"Improving",IF($X49=$P49,"Flat","Worsening")))</f>
        <v/>
      </c>
      <c r="Z49" s="57"/>
      <c r="AA49" s="62"/>
      <c r="AB49" s="63"/>
      <c r="AC49" s="64"/>
      <c r="AD49" s="64"/>
      <c r="AE49" s="64"/>
      <c r="AF49" s="59" t="str">
        <f aca="true">IF(OR($F49="",$AE49="",$AB49="Closed"),"",IF($AE49&lt;TODAY(),"Overdue",""))</f>
        <v/>
      </c>
      <c r="AG49" s="62"/>
      <c r="AH49" s="64"/>
      <c r="AI49" s="62"/>
    </row>
    <row r="50" customFormat="false" ht="33.75" hidden="false" customHeight="true" outlineLevel="0" collapsed="false">
      <c r="A50" s="54"/>
      <c r="B50" s="55" t="str">
        <f aca="false">IF($F50="","",ROW()-8)</f>
        <v/>
      </c>
      <c r="C50" s="56" t="str">
        <f aca="false">IF($F50="","","RSK-"&amp;TEXT(ROW()-8,"000"))</f>
        <v/>
      </c>
      <c r="D50" s="66"/>
      <c r="E50" s="67"/>
      <c r="F50" s="66"/>
      <c r="G50" s="66"/>
      <c r="H50" s="66"/>
      <c r="I50" s="66"/>
      <c r="J50" s="59" t="str">
        <f aca="false">IF(OR($H50="",$I50=""),"",INDEX(Reference!$C$68:$G$72,MATCH($H50,Reference!$B$52:$B$56,0),6-MATCH($I50,Reference!$B$60:$B$64,0)))</f>
        <v/>
      </c>
      <c r="K50" s="66"/>
      <c r="L50" s="66"/>
      <c r="M50" s="67"/>
      <c r="N50" s="66"/>
      <c r="O50" s="66"/>
      <c r="P50" s="59" t="str">
        <f aca="false">IF(OR($N50="",$O50=""),"",INDEX(Reference!$C$68:$G$72,MATCH($N50,Reference!$B$52:$B$56,0),6-MATCH($O50,Reference!$B$60:$B$64,0)))</f>
        <v/>
      </c>
      <c r="Q50" s="60" t="str">
        <f aca="false">IF(OR($N50="",$O50=""),"",INDEX(Reference!$F$52:$F$56,MATCH($N50,Reference!$B$52:$B$56,0))*INDEX(Reference!$F$60:$F$64,MATCH($O50,Reference!$B$60:$B$64,0)))</f>
        <v/>
      </c>
      <c r="R50" s="61" t="str">
        <f aca="false">IF(OR($N50="",$O50=""),"",ROUND(INDEX(Reference!$F$52:$F$56,MATCH($N50,Reference!$B$52:$B$56,0))*INDEX(Reference!$H$60:$H$64,MATCH($O50,Reference!$B$60:$B$64,0)),0))</f>
        <v/>
      </c>
      <c r="S50" s="66"/>
      <c r="T50" s="55" t="str">
        <f aca="false">IF($F50="","",COUNTIF('Treatment Actions'!$B$9:$B$208,$C50))</f>
        <v/>
      </c>
      <c r="U50" s="55" t="str">
        <f aca="false">IF($F50="","",COUNTIFS('Treatment Actions'!$B$9:$B$208,$C50,'Treatment Actions'!$F$9:$F$208,"Complete"))</f>
        <v/>
      </c>
      <c r="V50" s="66"/>
      <c r="W50" s="66"/>
      <c r="X50" s="59" t="str">
        <f aca="false">IF(OR($V50="",$W50=""),"",INDEX(Reference!$C$68:$G$72,MATCH($V50,Reference!$B$52:$B$56,0),6-MATCH($W50,Reference!$B$60:$B$64,0)))</f>
        <v/>
      </c>
      <c r="Y50" s="59" t="str">
        <f aca="false">IF(OR($P50="",$X50=""),"",IF(MATCH($X50,Reference!$F$37:$F$40,0)&gt;MATCH($P50,Reference!$F$37:$F$40,0),"Improving",IF($X50=$P50,"Flat","Worsening")))</f>
        <v/>
      </c>
      <c r="Z50" s="66"/>
      <c r="AA50" s="68"/>
      <c r="AB50" s="69"/>
      <c r="AC50" s="70"/>
      <c r="AD50" s="70"/>
      <c r="AE50" s="70"/>
      <c r="AF50" s="59" t="str">
        <f aca="true">IF(OR($F50="",$AE50="",$AB50="Closed"),"",IF($AE50&lt;TODAY(),"Overdue",""))</f>
        <v/>
      </c>
      <c r="AG50" s="68"/>
      <c r="AH50" s="70"/>
      <c r="AI50" s="68"/>
    </row>
    <row r="51" customFormat="false" ht="33.75" hidden="false" customHeight="true" outlineLevel="0" collapsed="false">
      <c r="A51" s="54"/>
      <c r="B51" s="55" t="str">
        <f aca="false">IF($F51="","",ROW()-8)</f>
        <v/>
      </c>
      <c r="C51" s="56" t="str">
        <f aca="false">IF($F51="","","RSK-"&amp;TEXT(ROW()-8,"000"))</f>
        <v/>
      </c>
      <c r="D51" s="57"/>
      <c r="E51" s="58"/>
      <c r="F51" s="57"/>
      <c r="G51" s="57"/>
      <c r="H51" s="57"/>
      <c r="I51" s="57"/>
      <c r="J51" s="59" t="str">
        <f aca="false">IF(OR($H51="",$I51=""),"",INDEX(Reference!$C$68:$G$72,MATCH($H51,Reference!$B$52:$B$56,0),6-MATCH($I51,Reference!$B$60:$B$64,0)))</f>
        <v/>
      </c>
      <c r="K51" s="57"/>
      <c r="L51" s="57"/>
      <c r="M51" s="58"/>
      <c r="N51" s="57"/>
      <c r="O51" s="57"/>
      <c r="P51" s="59" t="str">
        <f aca="false">IF(OR($N51="",$O51=""),"",INDEX(Reference!$C$68:$G$72,MATCH($N51,Reference!$B$52:$B$56,0),6-MATCH($O51,Reference!$B$60:$B$64,0)))</f>
        <v/>
      </c>
      <c r="Q51" s="60" t="str">
        <f aca="false">IF(OR($N51="",$O51=""),"",INDEX(Reference!$F$52:$F$56,MATCH($N51,Reference!$B$52:$B$56,0))*INDEX(Reference!$F$60:$F$64,MATCH($O51,Reference!$B$60:$B$64,0)))</f>
        <v/>
      </c>
      <c r="R51" s="61" t="str">
        <f aca="false">IF(OR($N51="",$O51=""),"",ROUND(INDEX(Reference!$F$52:$F$56,MATCH($N51,Reference!$B$52:$B$56,0))*INDEX(Reference!$H$60:$H$64,MATCH($O51,Reference!$B$60:$B$64,0)),0))</f>
        <v/>
      </c>
      <c r="S51" s="57"/>
      <c r="T51" s="55" t="str">
        <f aca="false">IF($F51="","",COUNTIF('Treatment Actions'!$B$9:$B$208,$C51))</f>
        <v/>
      </c>
      <c r="U51" s="55" t="str">
        <f aca="false">IF($F51="","",COUNTIFS('Treatment Actions'!$B$9:$B$208,$C51,'Treatment Actions'!$F$9:$F$208,"Complete"))</f>
        <v/>
      </c>
      <c r="V51" s="57"/>
      <c r="W51" s="57"/>
      <c r="X51" s="59" t="str">
        <f aca="false">IF(OR($V51="",$W51=""),"",INDEX(Reference!$C$68:$G$72,MATCH($V51,Reference!$B$52:$B$56,0),6-MATCH($W51,Reference!$B$60:$B$64,0)))</f>
        <v/>
      </c>
      <c r="Y51" s="59" t="str">
        <f aca="false">IF(OR($P51="",$X51=""),"",IF(MATCH($X51,Reference!$F$37:$F$40,0)&gt;MATCH($P51,Reference!$F$37:$F$40,0),"Improving",IF($X51=$P51,"Flat","Worsening")))</f>
        <v/>
      </c>
      <c r="Z51" s="57"/>
      <c r="AA51" s="62"/>
      <c r="AB51" s="63"/>
      <c r="AC51" s="64"/>
      <c r="AD51" s="64"/>
      <c r="AE51" s="64"/>
      <c r="AF51" s="59" t="str">
        <f aca="true">IF(OR($F51="",$AE51="",$AB51="Closed"),"",IF($AE51&lt;TODAY(),"Overdue",""))</f>
        <v/>
      </c>
      <c r="AG51" s="62"/>
      <c r="AH51" s="64"/>
      <c r="AI51" s="62"/>
    </row>
    <row r="52" customFormat="false" ht="33.75" hidden="false" customHeight="true" outlineLevel="0" collapsed="false">
      <c r="A52" s="54"/>
      <c r="B52" s="55" t="str">
        <f aca="false">IF($F52="","",ROW()-8)</f>
        <v/>
      </c>
      <c r="C52" s="56" t="str">
        <f aca="false">IF($F52="","","RSK-"&amp;TEXT(ROW()-8,"000"))</f>
        <v/>
      </c>
      <c r="D52" s="66"/>
      <c r="E52" s="67"/>
      <c r="F52" s="66"/>
      <c r="G52" s="66"/>
      <c r="H52" s="66"/>
      <c r="I52" s="66"/>
      <c r="J52" s="59" t="str">
        <f aca="false">IF(OR($H52="",$I52=""),"",INDEX(Reference!$C$68:$G$72,MATCH($H52,Reference!$B$52:$B$56,0),6-MATCH($I52,Reference!$B$60:$B$64,0)))</f>
        <v/>
      </c>
      <c r="K52" s="66"/>
      <c r="L52" s="66"/>
      <c r="M52" s="67"/>
      <c r="N52" s="66"/>
      <c r="O52" s="66"/>
      <c r="P52" s="59" t="str">
        <f aca="false">IF(OR($N52="",$O52=""),"",INDEX(Reference!$C$68:$G$72,MATCH($N52,Reference!$B$52:$B$56,0),6-MATCH($O52,Reference!$B$60:$B$64,0)))</f>
        <v/>
      </c>
      <c r="Q52" s="60" t="str">
        <f aca="false">IF(OR($N52="",$O52=""),"",INDEX(Reference!$F$52:$F$56,MATCH($N52,Reference!$B$52:$B$56,0))*INDEX(Reference!$F$60:$F$64,MATCH($O52,Reference!$B$60:$B$64,0)))</f>
        <v/>
      </c>
      <c r="R52" s="61" t="str">
        <f aca="false">IF(OR($N52="",$O52=""),"",ROUND(INDEX(Reference!$F$52:$F$56,MATCH($N52,Reference!$B$52:$B$56,0))*INDEX(Reference!$H$60:$H$64,MATCH($O52,Reference!$B$60:$B$64,0)),0))</f>
        <v/>
      </c>
      <c r="S52" s="66"/>
      <c r="T52" s="55" t="str">
        <f aca="false">IF($F52="","",COUNTIF('Treatment Actions'!$B$9:$B$208,$C52))</f>
        <v/>
      </c>
      <c r="U52" s="55" t="str">
        <f aca="false">IF($F52="","",COUNTIFS('Treatment Actions'!$B$9:$B$208,$C52,'Treatment Actions'!$F$9:$F$208,"Complete"))</f>
        <v/>
      </c>
      <c r="V52" s="66"/>
      <c r="W52" s="66"/>
      <c r="X52" s="59" t="str">
        <f aca="false">IF(OR($V52="",$W52=""),"",INDEX(Reference!$C$68:$G$72,MATCH($V52,Reference!$B$52:$B$56,0),6-MATCH($W52,Reference!$B$60:$B$64,0)))</f>
        <v/>
      </c>
      <c r="Y52" s="59" t="str">
        <f aca="false">IF(OR($P52="",$X52=""),"",IF(MATCH($X52,Reference!$F$37:$F$40,0)&gt;MATCH($P52,Reference!$F$37:$F$40,0),"Improving",IF($X52=$P52,"Flat","Worsening")))</f>
        <v/>
      </c>
      <c r="Z52" s="66"/>
      <c r="AA52" s="68"/>
      <c r="AB52" s="69"/>
      <c r="AC52" s="70"/>
      <c r="AD52" s="70"/>
      <c r="AE52" s="70"/>
      <c r="AF52" s="59" t="str">
        <f aca="true">IF(OR($F52="",$AE52="",$AB52="Closed"),"",IF($AE52&lt;TODAY(),"Overdue",""))</f>
        <v/>
      </c>
      <c r="AG52" s="68"/>
      <c r="AH52" s="70"/>
      <c r="AI52" s="68"/>
    </row>
    <row r="53" customFormat="false" ht="33.75" hidden="false" customHeight="true" outlineLevel="0" collapsed="false">
      <c r="A53" s="54"/>
      <c r="B53" s="55" t="str">
        <f aca="false">IF($F53="","",ROW()-8)</f>
        <v/>
      </c>
      <c r="C53" s="56" t="str">
        <f aca="false">IF($F53="","","RSK-"&amp;TEXT(ROW()-8,"000"))</f>
        <v/>
      </c>
      <c r="D53" s="57"/>
      <c r="E53" s="58"/>
      <c r="F53" s="57"/>
      <c r="G53" s="57"/>
      <c r="H53" s="57"/>
      <c r="I53" s="57"/>
      <c r="J53" s="59" t="str">
        <f aca="false">IF(OR($H53="",$I53=""),"",INDEX(Reference!$C$68:$G$72,MATCH($H53,Reference!$B$52:$B$56,0),6-MATCH($I53,Reference!$B$60:$B$64,0)))</f>
        <v/>
      </c>
      <c r="K53" s="57"/>
      <c r="L53" s="57"/>
      <c r="M53" s="58"/>
      <c r="N53" s="57"/>
      <c r="O53" s="57"/>
      <c r="P53" s="59" t="str">
        <f aca="false">IF(OR($N53="",$O53=""),"",INDEX(Reference!$C$68:$G$72,MATCH($N53,Reference!$B$52:$B$56,0),6-MATCH($O53,Reference!$B$60:$B$64,0)))</f>
        <v/>
      </c>
      <c r="Q53" s="60" t="str">
        <f aca="false">IF(OR($N53="",$O53=""),"",INDEX(Reference!$F$52:$F$56,MATCH($N53,Reference!$B$52:$B$56,0))*INDEX(Reference!$F$60:$F$64,MATCH($O53,Reference!$B$60:$B$64,0)))</f>
        <v/>
      </c>
      <c r="R53" s="61" t="str">
        <f aca="false">IF(OR($N53="",$O53=""),"",ROUND(INDEX(Reference!$F$52:$F$56,MATCH($N53,Reference!$B$52:$B$56,0))*INDEX(Reference!$H$60:$H$64,MATCH($O53,Reference!$B$60:$B$64,0)),0))</f>
        <v/>
      </c>
      <c r="S53" s="57"/>
      <c r="T53" s="55" t="str">
        <f aca="false">IF($F53="","",COUNTIF('Treatment Actions'!$B$9:$B$208,$C53))</f>
        <v/>
      </c>
      <c r="U53" s="55" t="str">
        <f aca="false">IF($F53="","",COUNTIFS('Treatment Actions'!$B$9:$B$208,$C53,'Treatment Actions'!$F$9:$F$208,"Complete"))</f>
        <v/>
      </c>
      <c r="V53" s="57"/>
      <c r="W53" s="57"/>
      <c r="X53" s="59" t="str">
        <f aca="false">IF(OR($V53="",$W53=""),"",INDEX(Reference!$C$68:$G$72,MATCH($V53,Reference!$B$52:$B$56,0),6-MATCH($W53,Reference!$B$60:$B$64,0)))</f>
        <v/>
      </c>
      <c r="Y53" s="59" t="str">
        <f aca="false">IF(OR($P53="",$X53=""),"",IF(MATCH($X53,Reference!$F$37:$F$40,0)&gt;MATCH($P53,Reference!$F$37:$F$40,0),"Improving",IF($X53=$P53,"Flat","Worsening")))</f>
        <v/>
      </c>
      <c r="Z53" s="57"/>
      <c r="AA53" s="62"/>
      <c r="AB53" s="63"/>
      <c r="AC53" s="64"/>
      <c r="AD53" s="64"/>
      <c r="AE53" s="64"/>
      <c r="AF53" s="59" t="str">
        <f aca="true">IF(OR($F53="",$AE53="",$AB53="Closed"),"",IF($AE53&lt;TODAY(),"Overdue",""))</f>
        <v/>
      </c>
      <c r="AG53" s="62"/>
      <c r="AH53" s="64"/>
      <c r="AI53" s="62"/>
    </row>
    <row r="54" customFormat="false" ht="33.75" hidden="false" customHeight="true" outlineLevel="0" collapsed="false">
      <c r="A54" s="54"/>
      <c r="B54" s="55" t="str">
        <f aca="false">IF($F54="","",ROW()-8)</f>
        <v/>
      </c>
      <c r="C54" s="56" t="str">
        <f aca="false">IF($F54="","","RSK-"&amp;TEXT(ROW()-8,"000"))</f>
        <v/>
      </c>
      <c r="D54" s="66"/>
      <c r="E54" s="67"/>
      <c r="F54" s="66"/>
      <c r="G54" s="66"/>
      <c r="H54" s="66"/>
      <c r="I54" s="66"/>
      <c r="J54" s="59" t="str">
        <f aca="false">IF(OR($H54="",$I54=""),"",INDEX(Reference!$C$68:$G$72,MATCH($H54,Reference!$B$52:$B$56,0),6-MATCH($I54,Reference!$B$60:$B$64,0)))</f>
        <v/>
      </c>
      <c r="K54" s="66"/>
      <c r="L54" s="66"/>
      <c r="M54" s="67"/>
      <c r="N54" s="66"/>
      <c r="O54" s="66"/>
      <c r="P54" s="59" t="str">
        <f aca="false">IF(OR($N54="",$O54=""),"",INDEX(Reference!$C$68:$G$72,MATCH($N54,Reference!$B$52:$B$56,0),6-MATCH($O54,Reference!$B$60:$B$64,0)))</f>
        <v/>
      </c>
      <c r="Q54" s="60" t="str">
        <f aca="false">IF(OR($N54="",$O54=""),"",INDEX(Reference!$F$52:$F$56,MATCH($N54,Reference!$B$52:$B$56,0))*INDEX(Reference!$F$60:$F$64,MATCH($O54,Reference!$B$60:$B$64,0)))</f>
        <v/>
      </c>
      <c r="R54" s="61" t="str">
        <f aca="false">IF(OR($N54="",$O54=""),"",ROUND(INDEX(Reference!$F$52:$F$56,MATCH($N54,Reference!$B$52:$B$56,0))*INDEX(Reference!$H$60:$H$64,MATCH($O54,Reference!$B$60:$B$64,0)),0))</f>
        <v/>
      </c>
      <c r="S54" s="66"/>
      <c r="T54" s="55" t="str">
        <f aca="false">IF($F54="","",COUNTIF('Treatment Actions'!$B$9:$B$208,$C54))</f>
        <v/>
      </c>
      <c r="U54" s="55" t="str">
        <f aca="false">IF($F54="","",COUNTIFS('Treatment Actions'!$B$9:$B$208,$C54,'Treatment Actions'!$F$9:$F$208,"Complete"))</f>
        <v/>
      </c>
      <c r="V54" s="66"/>
      <c r="W54" s="66"/>
      <c r="X54" s="59" t="str">
        <f aca="false">IF(OR($V54="",$W54=""),"",INDEX(Reference!$C$68:$G$72,MATCH($V54,Reference!$B$52:$B$56,0),6-MATCH($W54,Reference!$B$60:$B$64,0)))</f>
        <v/>
      </c>
      <c r="Y54" s="59" t="str">
        <f aca="false">IF(OR($P54="",$X54=""),"",IF(MATCH($X54,Reference!$F$37:$F$40,0)&gt;MATCH($P54,Reference!$F$37:$F$40,0),"Improving",IF($X54=$P54,"Flat","Worsening")))</f>
        <v/>
      </c>
      <c r="Z54" s="66"/>
      <c r="AA54" s="68"/>
      <c r="AB54" s="69"/>
      <c r="AC54" s="70"/>
      <c r="AD54" s="70"/>
      <c r="AE54" s="70"/>
      <c r="AF54" s="59" t="str">
        <f aca="true">IF(OR($F54="",$AE54="",$AB54="Closed"),"",IF($AE54&lt;TODAY(),"Overdue",""))</f>
        <v/>
      </c>
      <c r="AG54" s="68"/>
      <c r="AH54" s="70"/>
      <c r="AI54" s="68"/>
    </row>
    <row r="55" customFormat="false" ht="33.75" hidden="false" customHeight="true" outlineLevel="0" collapsed="false">
      <c r="A55" s="54"/>
      <c r="B55" s="55" t="str">
        <f aca="false">IF($F55="","",ROW()-8)</f>
        <v/>
      </c>
      <c r="C55" s="56" t="str">
        <f aca="false">IF($F55="","","RSK-"&amp;TEXT(ROW()-8,"000"))</f>
        <v/>
      </c>
      <c r="D55" s="57"/>
      <c r="E55" s="58"/>
      <c r="F55" s="57"/>
      <c r="G55" s="57"/>
      <c r="H55" s="57"/>
      <c r="I55" s="57"/>
      <c r="J55" s="59" t="str">
        <f aca="false">IF(OR($H55="",$I55=""),"",INDEX(Reference!$C$68:$G$72,MATCH($H55,Reference!$B$52:$B$56,0),6-MATCH($I55,Reference!$B$60:$B$64,0)))</f>
        <v/>
      </c>
      <c r="K55" s="57"/>
      <c r="L55" s="57"/>
      <c r="M55" s="58"/>
      <c r="N55" s="57"/>
      <c r="O55" s="57"/>
      <c r="P55" s="59" t="str">
        <f aca="false">IF(OR($N55="",$O55=""),"",INDEX(Reference!$C$68:$G$72,MATCH($N55,Reference!$B$52:$B$56,0),6-MATCH($O55,Reference!$B$60:$B$64,0)))</f>
        <v/>
      </c>
      <c r="Q55" s="60" t="str">
        <f aca="false">IF(OR($N55="",$O55=""),"",INDEX(Reference!$F$52:$F$56,MATCH($N55,Reference!$B$52:$B$56,0))*INDEX(Reference!$F$60:$F$64,MATCH($O55,Reference!$B$60:$B$64,0)))</f>
        <v/>
      </c>
      <c r="R55" s="61" t="str">
        <f aca="false">IF(OR($N55="",$O55=""),"",ROUND(INDEX(Reference!$F$52:$F$56,MATCH($N55,Reference!$B$52:$B$56,0))*INDEX(Reference!$H$60:$H$64,MATCH($O55,Reference!$B$60:$B$64,0)),0))</f>
        <v/>
      </c>
      <c r="S55" s="57"/>
      <c r="T55" s="55" t="str">
        <f aca="false">IF($F55="","",COUNTIF('Treatment Actions'!$B$9:$B$208,$C55))</f>
        <v/>
      </c>
      <c r="U55" s="55" t="str">
        <f aca="false">IF($F55="","",COUNTIFS('Treatment Actions'!$B$9:$B$208,$C55,'Treatment Actions'!$F$9:$F$208,"Complete"))</f>
        <v/>
      </c>
      <c r="V55" s="57"/>
      <c r="W55" s="57"/>
      <c r="X55" s="59" t="str">
        <f aca="false">IF(OR($V55="",$W55=""),"",INDEX(Reference!$C$68:$G$72,MATCH($V55,Reference!$B$52:$B$56,0),6-MATCH($W55,Reference!$B$60:$B$64,0)))</f>
        <v/>
      </c>
      <c r="Y55" s="59" t="str">
        <f aca="false">IF(OR($P55="",$X55=""),"",IF(MATCH($X55,Reference!$F$37:$F$40,0)&gt;MATCH($P55,Reference!$F$37:$F$40,0),"Improving",IF($X55=$P55,"Flat","Worsening")))</f>
        <v/>
      </c>
      <c r="Z55" s="57"/>
      <c r="AA55" s="62"/>
      <c r="AB55" s="63"/>
      <c r="AC55" s="64"/>
      <c r="AD55" s="64"/>
      <c r="AE55" s="64"/>
      <c r="AF55" s="59" t="str">
        <f aca="true">IF(OR($F55="",$AE55="",$AB55="Closed"),"",IF($AE55&lt;TODAY(),"Overdue",""))</f>
        <v/>
      </c>
      <c r="AG55" s="62"/>
      <c r="AH55" s="64"/>
      <c r="AI55" s="62"/>
    </row>
    <row r="56" customFormat="false" ht="33.75" hidden="false" customHeight="true" outlineLevel="0" collapsed="false">
      <c r="A56" s="54"/>
      <c r="B56" s="55" t="str">
        <f aca="false">IF($F56="","",ROW()-8)</f>
        <v/>
      </c>
      <c r="C56" s="56" t="str">
        <f aca="false">IF($F56="","","RSK-"&amp;TEXT(ROW()-8,"000"))</f>
        <v/>
      </c>
      <c r="D56" s="66"/>
      <c r="E56" s="67"/>
      <c r="F56" s="66"/>
      <c r="G56" s="66"/>
      <c r="H56" s="66"/>
      <c r="I56" s="66"/>
      <c r="J56" s="59" t="str">
        <f aca="false">IF(OR($H56="",$I56=""),"",INDEX(Reference!$C$68:$G$72,MATCH($H56,Reference!$B$52:$B$56,0),6-MATCH($I56,Reference!$B$60:$B$64,0)))</f>
        <v/>
      </c>
      <c r="K56" s="66"/>
      <c r="L56" s="66"/>
      <c r="M56" s="67"/>
      <c r="N56" s="66"/>
      <c r="O56" s="66"/>
      <c r="P56" s="59" t="str">
        <f aca="false">IF(OR($N56="",$O56=""),"",INDEX(Reference!$C$68:$G$72,MATCH($N56,Reference!$B$52:$B$56,0),6-MATCH($O56,Reference!$B$60:$B$64,0)))</f>
        <v/>
      </c>
      <c r="Q56" s="60" t="str">
        <f aca="false">IF(OR($N56="",$O56=""),"",INDEX(Reference!$F$52:$F$56,MATCH($N56,Reference!$B$52:$B$56,0))*INDEX(Reference!$F$60:$F$64,MATCH($O56,Reference!$B$60:$B$64,0)))</f>
        <v/>
      </c>
      <c r="R56" s="61" t="str">
        <f aca="false">IF(OR($N56="",$O56=""),"",ROUND(INDEX(Reference!$F$52:$F$56,MATCH($N56,Reference!$B$52:$B$56,0))*INDEX(Reference!$H$60:$H$64,MATCH($O56,Reference!$B$60:$B$64,0)),0))</f>
        <v/>
      </c>
      <c r="S56" s="66"/>
      <c r="T56" s="55" t="str">
        <f aca="false">IF($F56="","",COUNTIF('Treatment Actions'!$B$9:$B$208,$C56))</f>
        <v/>
      </c>
      <c r="U56" s="55" t="str">
        <f aca="false">IF($F56="","",COUNTIFS('Treatment Actions'!$B$9:$B$208,$C56,'Treatment Actions'!$F$9:$F$208,"Complete"))</f>
        <v/>
      </c>
      <c r="V56" s="66"/>
      <c r="W56" s="66"/>
      <c r="X56" s="59" t="str">
        <f aca="false">IF(OR($V56="",$W56=""),"",INDEX(Reference!$C$68:$G$72,MATCH($V56,Reference!$B$52:$B$56,0),6-MATCH($W56,Reference!$B$60:$B$64,0)))</f>
        <v/>
      </c>
      <c r="Y56" s="59" t="str">
        <f aca="false">IF(OR($P56="",$X56=""),"",IF(MATCH($X56,Reference!$F$37:$F$40,0)&gt;MATCH($P56,Reference!$F$37:$F$40,0),"Improving",IF($X56=$P56,"Flat","Worsening")))</f>
        <v/>
      </c>
      <c r="Z56" s="66"/>
      <c r="AA56" s="68"/>
      <c r="AB56" s="69"/>
      <c r="AC56" s="70"/>
      <c r="AD56" s="70"/>
      <c r="AE56" s="70"/>
      <c r="AF56" s="59" t="str">
        <f aca="true">IF(OR($F56="",$AE56="",$AB56="Closed"),"",IF($AE56&lt;TODAY(),"Overdue",""))</f>
        <v/>
      </c>
      <c r="AG56" s="68"/>
      <c r="AH56" s="70"/>
      <c r="AI56" s="68"/>
    </row>
    <row r="57" customFormat="false" ht="33.75" hidden="false" customHeight="true" outlineLevel="0" collapsed="false">
      <c r="A57" s="54"/>
      <c r="B57" s="55" t="str">
        <f aca="false">IF($F57="","",ROW()-8)</f>
        <v/>
      </c>
      <c r="C57" s="56" t="str">
        <f aca="false">IF($F57="","","RSK-"&amp;TEXT(ROW()-8,"000"))</f>
        <v/>
      </c>
      <c r="D57" s="57"/>
      <c r="E57" s="58"/>
      <c r="F57" s="57"/>
      <c r="G57" s="57"/>
      <c r="H57" s="57"/>
      <c r="I57" s="57"/>
      <c r="J57" s="59" t="str">
        <f aca="false">IF(OR($H57="",$I57=""),"",INDEX(Reference!$C$68:$G$72,MATCH($H57,Reference!$B$52:$B$56,0),6-MATCH($I57,Reference!$B$60:$B$64,0)))</f>
        <v/>
      </c>
      <c r="K57" s="57"/>
      <c r="L57" s="57"/>
      <c r="M57" s="58"/>
      <c r="N57" s="57"/>
      <c r="O57" s="57"/>
      <c r="P57" s="59" t="str">
        <f aca="false">IF(OR($N57="",$O57=""),"",INDEX(Reference!$C$68:$G$72,MATCH($N57,Reference!$B$52:$B$56,0),6-MATCH($O57,Reference!$B$60:$B$64,0)))</f>
        <v/>
      </c>
      <c r="Q57" s="60" t="str">
        <f aca="false">IF(OR($N57="",$O57=""),"",INDEX(Reference!$F$52:$F$56,MATCH($N57,Reference!$B$52:$B$56,0))*INDEX(Reference!$F$60:$F$64,MATCH($O57,Reference!$B$60:$B$64,0)))</f>
        <v/>
      </c>
      <c r="R57" s="61" t="str">
        <f aca="false">IF(OR($N57="",$O57=""),"",ROUND(INDEX(Reference!$F$52:$F$56,MATCH($N57,Reference!$B$52:$B$56,0))*INDEX(Reference!$H$60:$H$64,MATCH($O57,Reference!$B$60:$B$64,0)),0))</f>
        <v/>
      </c>
      <c r="S57" s="57"/>
      <c r="T57" s="55" t="str">
        <f aca="false">IF($F57="","",COUNTIF('Treatment Actions'!$B$9:$B$208,$C57))</f>
        <v/>
      </c>
      <c r="U57" s="55" t="str">
        <f aca="false">IF($F57="","",COUNTIFS('Treatment Actions'!$B$9:$B$208,$C57,'Treatment Actions'!$F$9:$F$208,"Complete"))</f>
        <v/>
      </c>
      <c r="V57" s="57"/>
      <c r="W57" s="57"/>
      <c r="X57" s="59" t="str">
        <f aca="false">IF(OR($V57="",$W57=""),"",INDEX(Reference!$C$68:$G$72,MATCH($V57,Reference!$B$52:$B$56,0),6-MATCH($W57,Reference!$B$60:$B$64,0)))</f>
        <v/>
      </c>
      <c r="Y57" s="59" t="str">
        <f aca="false">IF(OR($P57="",$X57=""),"",IF(MATCH($X57,Reference!$F$37:$F$40,0)&gt;MATCH($P57,Reference!$F$37:$F$40,0),"Improving",IF($X57=$P57,"Flat","Worsening")))</f>
        <v/>
      </c>
      <c r="Z57" s="57"/>
      <c r="AA57" s="62"/>
      <c r="AB57" s="63"/>
      <c r="AC57" s="64"/>
      <c r="AD57" s="64"/>
      <c r="AE57" s="64"/>
      <c r="AF57" s="59" t="str">
        <f aca="true">IF(OR($F57="",$AE57="",$AB57="Closed"),"",IF($AE57&lt;TODAY(),"Overdue",""))</f>
        <v/>
      </c>
      <c r="AG57" s="62"/>
      <c r="AH57" s="64"/>
      <c r="AI57" s="62"/>
    </row>
    <row r="58" customFormat="false" ht="33.75" hidden="false" customHeight="true" outlineLevel="0" collapsed="false">
      <c r="A58" s="54"/>
      <c r="B58" s="55" t="str">
        <f aca="false">IF($F58="","",ROW()-8)</f>
        <v/>
      </c>
      <c r="C58" s="56" t="str">
        <f aca="false">IF($F58="","","RSK-"&amp;TEXT(ROW()-8,"000"))</f>
        <v/>
      </c>
      <c r="D58" s="66"/>
      <c r="E58" s="67"/>
      <c r="F58" s="66"/>
      <c r="G58" s="66"/>
      <c r="H58" s="66"/>
      <c r="I58" s="66"/>
      <c r="J58" s="59" t="str">
        <f aca="false">IF(OR($H58="",$I58=""),"",INDEX(Reference!$C$68:$G$72,MATCH($H58,Reference!$B$52:$B$56,0),6-MATCH($I58,Reference!$B$60:$B$64,0)))</f>
        <v/>
      </c>
      <c r="K58" s="66"/>
      <c r="L58" s="66"/>
      <c r="M58" s="67"/>
      <c r="N58" s="66"/>
      <c r="O58" s="66"/>
      <c r="P58" s="59" t="str">
        <f aca="false">IF(OR($N58="",$O58=""),"",INDEX(Reference!$C$68:$G$72,MATCH($N58,Reference!$B$52:$B$56,0),6-MATCH($O58,Reference!$B$60:$B$64,0)))</f>
        <v/>
      </c>
      <c r="Q58" s="60" t="str">
        <f aca="false">IF(OR($N58="",$O58=""),"",INDEX(Reference!$F$52:$F$56,MATCH($N58,Reference!$B$52:$B$56,0))*INDEX(Reference!$F$60:$F$64,MATCH($O58,Reference!$B$60:$B$64,0)))</f>
        <v/>
      </c>
      <c r="R58" s="61" t="str">
        <f aca="false">IF(OR($N58="",$O58=""),"",ROUND(INDEX(Reference!$F$52:$F$56,MATCH($N58,Reference!$B$52:$B$56,0))*INDEX(Reference!$H$60:$H$64,MATCH($O58,Reference!$B$60:$B$64,0)),0))</f>
        <v/>
      </c>
      <c r="S58" s="66"/>
      <c r="T58" s="55" t="str">
        <f aca="false">IF($F58="","",COUNTIF('Treatment Actions'!$B$9:$B$208,$C58))</f>
        <v/>
      </c>
      <c r="U58" s="55" t="str">
        <f aca="false">IF($F58="","",COUNTIFS('Treatment Actions'!$B$9:$B$208,$C58,'Treatment Actions'!$F$9:$F$208,"Complete"))</f>
        <v/>
      </c>
      <c r="V58" s="66"/>
      <c r="W58" s="66"/>
      <c r="X58" s="59" t="str">
        <f aca="false">IF(OR($V58="",$W58=""),"",INDEX(Reference!$C$68:$G$72,MATCH($V58,Reference!$B$52:$B$56,0),6-MATCH($W58,Reference!$B$60:$B$64,0)))</f>
        <v/>
      </c>
      <c r="Y58" s="59" t="str">
        <f aca="false">IF(OR($P58="",$X58=""),"",IF(MATCH($X58,Reference!$F$37:$F$40,0)&gt;MATCH($P58,Reference!$F$37:$F$40,0),"Improving",IF($X58=$P58,"Flat","Worsening")))</f>
        <v/>
      </c>
      <c r="Z58" s="66"/>
      <c r="AA58" s="68"/>
      <c r="AB58" s="69"/>
      <c r="AC58" s="70"/>
      <c r="AD58" s="70"/>
      <c r="AE58" s="70"/>
      <c r="AF58" s="59" t="str">
        <f aca="true">IF(OR($F58="",$AE58="",$AB58="Closed"),"",IF($AE58&lt;TODAY(),"Overdue",""))</f>
        <v/>
      </c>
      <c r="AG58" s="68"/>
      <c r="AH58" s="70"/>
      <c r="AI58" s="68"/>
    </row>
    <row r="59" customFormat="false" ht="33.75" hidden="false" customHeight="true" outlineLevel="0" collapsed="false">
      <c r="A59" s="54"/>
      <c r="B59" s="55" t="str">
        <f aca="false">IF($F59="","",ROW()-8)</f>
        <v/>
      </c>
      <c r="C59" s="56" t="str">
        <f aca="false">IF($F59="","","RSK-"&amp;TEXT(ROW()-8,"000"))</f>
        <v/>
      </c>
      <c r="D59" s="57"/>
      <c r="E59" s="58"/>
      <c r="F59" s="57"/>
      <c r="G59" s="57"/>
      <c r="H59" s="57"/>
      <c r="I59" s="57"/>
      <c r="J59" s="59" t="str">
        <f aca="false">IF(OR($H59="",$I59=""),"",INDEX(Reference!$C$68:$G$72,MATCH($H59,Reference!$B$52:$B$56,0),6-MATCH($I59,Reference!$B$60:$B$64,0)))</f>
        <v/>
      </c>
      <c r="K59" s="57"/>
      <c r="L59" s="57"/>
      <c r="M59" s="58"/>
      <c r="N59" s="57"/>
      <c r="O59" s="57"/>
      <c r="P59" s="59" t="str">
        <f aca="false">IF(OR($N59="",$O59=""),"",INDEX(Reference!$C$68:$G$72,MATCH($N59,Reference!$B$52:$B$56,0),6-MATCH($O59,Reference!$B$60:$B$64,0)))</f>
        <v/>
      </c>
      <c r="Q59" s="60" t="str">
        <f aca="false">IF(OR($N59="",$O59=""),"",INDEX(Reference!$F$52:$F$56,MATCH($N59,Reference!$B$52:$B$56,0))*INDEX(Reference!$F$60:$F$64,MATCH($O59,Reference!$B$60:$B$64,0)))</f>
        <v/>
      </c>
      <c r="R59" s="61" t="str">
        <f aca="false">IF(OR($N59="",$O59=""),"",ROUND(INDEX(Reference!$F$52:$F$56,MATCH($N59,Reference!$B$52:$B$56,0))*INDEX(Reference!$H$60:$H$64,MATCH($O59,Reference!$B$60:$B$64,0)),0))</f>
        <v/>
      </c>
      <c r="S59" s="57"/>
      <c r="T59" s="55" t="str">
        <f aca="false">IF($F59="","",COUNTIF('Treatment Actions'!$B$9:$B$208,$C59))</f>
        <v/>
      </c>
      <c r="U59" s="55" t="str">
        <f aca="false">IF($F59="","",COUNTIFS('Treatment Actions'!$B$9:$B$208,$C59,'Treatment Actions'!$F$9:$F$208,"Complete"))</f>
        <v/>
      </c>
      <c r="V59" s="57"/>
      <c r="W59" s="57"/>
      <c r="X59" s="59" t="str">
        <f aca="false">IF(OR($V59="",$W59=""),"",INDEX(Reference!$C$68:$G$72,MATCH($V59,Reference!$B$52:$B$56,0),6-MATCH($W59,Reference!$B$60:$B$64,0)))</f>
        <v/>
      </c>
      <c r="Y59" s="59" t="str">
        <f aca="false">IF(OR($P59="",$X59=""),"",IF(MATCH($X59,Reference!$F$37:$F$40,0)&gt;MATCH($P59,Reference!$F$37:$F$40,0),"Improving",IF($X59=$P59,"Flat","Worsening")))</f>
        <v/>
      </c>
      <c r="Z59" s="57"/>
      <c r="AA59" s="62"/>
      <c r="AB59" s="63"/>
      <c r="AC59" s="64"/>
      <c r="AD59" s="64"/>
      <c r="AE59" s="64"/>
      <c r="AF59" s="59" t="str">
        <f aca="true">IF(OR($F59="",$AE59="",$AB59="Closed"),"",IF($AE59&lt;TODAY(),"Overdue",""))</f>
        <v/>
      </c>
      <c r="AG59" s="62"/>
      <c r="AH59" s="64"/>
      <c r="AI59" s="62"/>
    </row>
    <row r="60" customFormat="false" ht="33.75" hidden="false" customHeight="true" outlineLevel="0" collapsed="false">
      <c r="A60" s="54"/>
      <c r="B60" s="55" t="str">
        <f aca="false">IF($F60="","",ROW()-8)</f>
        <v/>
      </c>
      <c r="C60" s="56" t="str">
        <f aca="false">IF($F60="","","RSK-"&amp;TEXT(ROW()-8,"000"))</f>
        <v/>
      </c>
      <c r="D60" s="66"/>
      <c r="E60" s="67"/>
      <c r="F60" s="66"/>
      <c r="G60" s="66"/>
      <c r="H60" s="66"/>
      <c r="I60" s="66"/>
      <c r="J60" s="59" t="str">
        <f aca="false">IF(OR($H60="",$I60=""),"",INDEX(Reference!$C$68:$G$72,MATCH($H60,Reference!$B$52:$B$56,0),6-MATCH($I60,Reference!$B$60:$B$64,0)))</f>
        <v/>
      </c>
      <c r="K60" s="66"/>
      <c r="L60" s="66"/>
      <c r="M60" s="67"/>
      <c r="N60" s="66"/>
      <c r="O60" s="66"/>
      <c r="P60" s="59" t="str">
        <f aca="false">IF(OR($N60="",$O60=""),"",INDEX(Reference!$C$68:$G$72,MATCH($N60,Reference!$B$52:$B$56,0),6-MATCH($O60,Reference!$B$60:$B$64,0)))</f>
        <v/>
      </c>
      <c r="Q60" s="60" t="str">
        <f aca="false">IF(OR($N60="",$O60=""),"",INDEX(Reference!$F$52:$F$56,MATCH($N60,Reference!$B$52:$B$56,0))*INDEX(Reference!$F$60:$F$64,MATCH($O60,Reference!$B$60:$B$64,0)))</f>
        <v/>
      </c>
      <c r="R60" s="61" t="str">
        <f aca="false">IF(OR($N60="",$O60=""),"",ROUND(INDEX(Reference!$F$52:$F$56,MATCH($N60,Reference!$B$52:$B$56,0))*INDEX(Reference!$H$60:$H$64,MATCH($O60,Reference!$B$60:$B$64,0)),0))</f>
        <v/>
      </c>
      <c r="S60" s="66"/>
      <c r="T60" s="55" t="str">
        <f aca="false">IF($F60="","",COUNTIF('Treatment Actions'!$B$9:$B$208,$C60))</f>
        <v/>
      </c>
      <c r="U60" s="55" t="str">
        <f aca="false">IF($F60="","",COUNTIFS('Treatment Actions'!$B$9:$B$208,$C60,'Treatment Actions'!$F$9:$F$208,"Complete"))</f>
        <v/>
      </c>
      <c r="V60" s="66"/>
      <c r="W60" s="66"/>
      <c r="X60" s="59" t="str">
        <f aca="false">IF(OR($V60="",$W60=""),"",INDEX(Reference!$C$68:$G$72,MATCH($V60,Reference!$B$52:$B$56,0),6-MATCH($W60,Reference!$B$60:$B$64,0)))</f>
        <v/>
      </c>
      <c r="Y60" s="59" t="str">
        <f aca="false">IF(OR($P60="",$X60=""),"",IF(MATCH($X60,Reference!$F$37:$F$40,0)&gt;MATCH($P60,Reference!$F$37:$F$40,0),"Improving",IF($X60=$P60,"Flat","Worsening")))</f>
        <v/>
      </c>
      <c r="Z60" s="66"/>
      <c r="AA60" s="68"/>
      <c r="AB60" s="69"/>
      <c r="AC60" s="70"/>
      <c r="AD60" s="70"/>
      <c r="AE60" s="70"/>
      <c r="AF60" s="59" t="str">
        <f aca="true">IF(OR($F60="",$AE60="",$AB60="Closed"),"",IF($AE60&lt;TODAY(),"Overdue",""))</f>
        <v/>
      </c>
      <c r="AG60" s="68"/>
      <c r="AH60" s="70"/>
      <c r="AI60" s="68"/>
    </row>
    <row r="61" customFormat="false" ht="33.75" hidden="false" customHeight="true" outlineLevel="0" collapsed="false">
      <c r="A61" s="54"/>
      <c r="B61" s="55" t="str">
        <f aca="false">IF($F61="","",ROW()-8)</f>
        <v/>
      </c>
      <c r="C61" s="56" t="str">
        <f aca="false">IF($F61="","","RSK-"&amp;TEXT(ROW()-8,"000"))</f>
        <v/>
      </c>
      <c r="D61" s="57"/>
      <c r="E61" s="58"/>
      <c r="F61" s="57"/>
      <c r="G61" s="57"/>
      <c r="H61" s="57"/>
      <c r="I61" s="57"/>
      <c r="J61" s="59" t="str">
        <f aca="false">IF(OR($H61="",$I61=""),"",INDEX(Reference!$C$68:$G$72,MATCH($H61,Reference!$B$52:$B$56,0),6-MATCH($I61,Reference!$B$60:$B$64,0)))</f>
        <v/>
      </c>
      <c r="K61" s="57"/>
      <c r="L61" s="57"/>
      <c r="M61" s="58"/>
      <c r="N61" s="57"/>
      <c r="O61" s="57"/>
      <c r="P61" s="59" t="str">
        <f aca="false">IF(OR($N61="",$O61=""),"",INDEX(Reference!$C$68:$G$72,MATCH($N61,Reference!$B$52:$B$56,0),6-MATCH($O61,Reference!$B$60:$B$64,0)))</f>
        <v/>
      </c>
      <c r="Q61" s="60" t="str">
        <f aca="false">IF(OR($N61="",$O61=""),"",INDEX(Reference!$F$52:$F$56,MATCH($N61,Reference!$B$52:$B$56,0))*INDEX(Reference!$F$60:$F$64,MATCH($O61,Reference!$B$60:$B$64,0)))</f>
        <v/>
      </c>
      <c r="R61" s="61" t="str">
        <f aca="false">IF(OR($N61="",$O61=""),"",ROUND(INDEX(Reference!$F$52:$F$56,MATCH($N61,Reference!$B$52:$B$56,0))*INDEX(Reference!$H$60:$H$64,MATCH($O61,Reference!$B$60:$B$64,0)),0))</f>
        <v/>
      </c>
      <c r="S61" s="57"/>
      <c r="T61" s="55" t="str">
        <f aca="false">IF($F61="","",COUNTIF('Treatment Actions'!$B$9:$B$208,$C61))</f>
        <v/>
      </c>
      <c r="U61" s="55" t="str">
        <f aca="false">IF($F61="","",COUNTIFS('Treatment Actions'!$B$9:$B$208,$C61,'Treatment Actions'!$F$9:$F$208,"Complete"))</f>
        <v/>
      </c>
      <c r="V61" s="57"/>
      <c r="W61" s="57"/>
      <c r="X61" s="59" t="str">
        <f aca="false">IF(OR($V61="",$W61=""),"",INDEX(Reference!$C$68:$G$72,MATCH($V61,Reference!$B$52:$B$56,0),6-MATCH($W61,Reference!$B$60:$B$64,0)))</f>
        <v/>
      </c>
      <c r="Y61" s="59" t="str">
        <f aca="false">IF(OR($P61="",$X61=""),"",IF(MATCH($X61,Reference!$F$37:$F$40,0)&gt;MATCH($P61,Reference!$F$37:$F$40,0),"Improving",IF($X61=$P61,"Flat","Worsening")))</f>
        <v/>
      </c>
      <c r="Z61" s="57"/>
      <c r="AA61" s="62"/>
      <c r="AB61" s="63"/>
      <c r="AC61" s="64"/>
      <c r="AD61" s="64"/>
      <c r="AE61" s="64"/>
      <c r="AF61" s="59" t="str">
        <f aca="true">IF(OR($F61="",$AE61="",$AB61="Closed"),"",IF($AE61&lt;TODAY(),"Overdue",""))</f>
        <v/>
      </c>
      <c r="AG61" s="62"/>
      <c r="AH61" s="64"/>
      <c r="AI61" s="62"/>
    </row>
    <row r="62" customFormat="false" ht="33.75" hidden="false" customHeight="true" outlineLevel="0" collapsed="false">
      <c r="A62" s="54"/>
      <c r="B62" s="55" t="str">
        <f aca="false">IF($F62="","",ROW()-8)</f>
        <v/>
      </c>
      <c r="C62" s="56" t="str">
        <f aca="false">IF($F62="","","RSK-"&amp;TEXT(ROW()-8,"000"))</f>
        <v/>
      </c>
      <c r="D62" s="66"/>
      <c r="E62" s="67"/>
      <c r="F62" s="66"/>
      <c r="G62" s="66"/>
      <c r="H62" s="66"/>
      <c r="I62" s="66"/>
      <c r="J62" s="59" t="str">
        <f aca="false">IF(OR($H62="",$I62=""),"",INDEX(Reference!$C$68:$G$72,MATCH($H62,Reference!$B$52:$B$56,0),6-MATCH($I62,Reference!$B$60:$B$64,0)))</f>
        <v/>
      </c>
      <c r="K62" s="66"/>
      <c r="L62" s="66"/>
      <c r="M62" s="67"/>
      <c r="N62" s="66"/>
      <c r="O62" s="66"/>
      <c r="P62" s="59" t="str">
        <f aca="false">IF(OR($N62="",$O62=""),"",INDEX(Reference!$C$68:$G$72,MATCH($N62,Reference!$B$52:$B$56,0),6-MATCH($O62,Reference!$B$60:$B$64,0)))</f>
        <v/>
      </c>
      <c r="Q62" s="60" t="str">
        <f aca="false">IF(OR($N62="",$O62=""),"",INDEX(Reference!$F$52:$F$56,MATCH($N62,Reference!$B$52:$B$56,0))*INDEX(Reference!$F$60:$F$64,MATCH($O62,Reference!$B$60:$B$64,0)))</f>
        <v/>
      </c>
      <c r="R62" s="61" t="str">
        <f aca="false">IF(OR($N62="",$O62=""),"",ROUND(INDEX(Reference!$F$52:$F$56,MATCH($N62,Reference!$B$52:$B$56,0))*INDEX(Reference!$H$60:$H$64,MATCH($O62,Reference!$B$60:$B$64,0)),0))</f>
        <v/>
      </c>
      <c r="S62" s="66"/>
      <c r="T62" s="55" t="str">
        <f aca="false">IF($F62="","",COUNTIF('Treatment Actions'!$B$9:$B$208,$C62))</f>
        <v/>
      </c>
      <c r="U62" s="55" t="str">
        <f aca="false">IF($F62="","",COUNTIFS('Treatment Actions'!$B$9:$B$208,$C62,'Treatment Actions'!$F$9:$F$208,"Complete"))</f>
        <v/>
      </c>
      <c r="V62" s="66"/>
      <c r="W62" s="66"/>
      <c r="X62" s="59" t="str">
        <f aca="false">IF(OR($V62="",$W62=""),"",INDEX(Reference!$C$68:$G$72,MATCH($V62,Reference!$B$52:$B$56,0),6-MATCH($W62,Reference!$B$60:$B$64,0)))</f>
        <v/>
      </c>
      <c r="Y62" s="59" t="str">
        <f aca="false">IF(OR($P62="",$X62=""),"",IF(MATCH($X62,Reference!$F$37:$F$40,0)&gt;MATCH($P62,Reference!$F$37:$F$40,0),"Improving",IF($X62=$P62,"Flat","Worsening")))</f>
        <v/>
      </c>
      <c r="Z62" s="66"/>
      <c r="AA62" s="68"/>
      <c r="AB62" s="69"/>
      <c r="AC62" s="70"/>
      <c r="AD62" s="70"/>
      <c r="AE62" s="70"/>
      <c r="AF62" s="59" t="str">
        <f aca="true">IF(OR($F62="",$AE62="",$AB62="Closed"),"",IF($AE62&lt;TODAY(),"Overdue",""))</f>
        <v/>
      </c>
      <c r="AG62" s="68"/>
      <c r="AH62" s="70"/>
      <c r="AI62" s="68"/>
    </row>
    <row r="63" customFormat="false" ht="33.75" hidden="false" customHeight="true" outlineLevel="0" collapsed="false">
      <c r="A63" s="54"/>
      <c r="B63" s="55" t="str">
        <f aca="false">IF($F63="","",ROW()-8)</f>
        <v/>
      </c>
      <c r="C63" s="56" t="str">
        <f aca="false">IF($F63="","","RSK-"&amp;TEXT(ROW()-8,"000"))</f>
        <v/>
      </c>
      <c r="D63" s="57"/>
      <c r="E63" s="58"/>
      <c r="F63" s="57"/>
      <c r="G63" s="57"/>
      <c r="H63" s="57"/>
      <c r="I63" s="57"/>
      <c r="J63" s="59" t="str">
        <f aca="false">IF(OR($H63="",$I63=""),"",INDEX(Reference!$C$68:$G$72,MATCH($H63,Reference!$B$52:$B$56,0),6-MATCH($I63,Reference!$B$60:$B$64,0)))</f>
        <v/>
      </c>
      <c r="K63" s="57"/>
      <c r="L63" s="57"/>
      <c r="M63" s="58"/>
      <c r="N63" s="57"/>
      <c r="O63" s="57"/>
      <c r="P63" s="59" t="str">
        <f aca="false">IF(OR($N63="",$O63=""),"",INDEX(Reference!$C$68:$G$72,MATCH($N63,Reference!$B$52:$B$56,0),6-MATCH($O63,Reference!$B$60:$B$64,0)))</f>
        <v/>
      </c>
      <c r="Q63" s="60" t="str">
        <f aca="false">IF(OR($N63="",$O63=""),"",INDEX(Reference!$F$52:$F$56,MATCH($N63,Reference!$B$52:$B$56,0))*INDEX(Reference!$F$60:$F$64,MATCH($O63,Reference!$B$60:$B$64,0)))</f>
        <v/>
      </c>
      <c r="R63" s="61" t="str">
        <f aca="false">IF(OR($N63="",$O63=""),"",ROUND(INDEX(Reference!$F$52:$F$56,MATCH($N63,Reference!$B$52:$B$56,0))*INDEX(Reference!$H$60:$H$64,MATCH($O63,Reference!$B$60:$B$64,0)),0))</f>
        <v/>
      </c>
      <c r="S63" s="57"/>
      <c r="T63" s="55" t="str">
        <f aca="false">IF($F63="","",COUNTIF('Treatment Actions'!$B$9:$B$208,$C63))</f>
        <v/>
      </c>
      <c r="U63" s="55" t="str">
        <f aca="false">IF($F63="","",COUNTIFS('Treatment Actions'!$B$9:$B$208,$C63,'Treatment Actions'!$F$9:$F$208,"Complete"))</f>
        <v/>
      </c>
      <c r="V63" s="57"/>
      <c r="W63" s="57"/>
      <c r="X63" s="59" t="str">
        <f aca="false">IF(OR($V63="",$W63=""),"",INDEX(Reference!$C$68:$G$72,MATCH($V63,Reference!$B$52:$B$56,0),6-MATCH($W63,Reference!$B$60:$B$64,0)))</f>
        <v/>
      </c>
      <c r="Y63" s="59" t="str">
        <f aca="false">IF(OR($P63="",$X63=""),"",IF(MATCH($X63,Reference!$F$37:$F$40,0)&gt;MATCH($P63,Reference!$F$37:$F$40,0),"Improving",IF($X63=$P63,"Flat","Worsening")))</f>
        <v/>
      </c>
      <c r="Z63" s="57"/>
      <c r="AA63" s="62"/>
      <c r="AB63" s="63"/>
      <c r="AC63" s="64"/>
      <c r="AD63" s="64"/>
      <c r="AE63" s="64"/>
      <c r="AF63" s="59" t="str">
        <f aca="true">IF(OR($F63="",$AE63="",$AB63="Closed"),"",IF($AE63&lt;TODAY(),"Overdue",""))</f>
        <v/>
      </c>
      <c r="AG63" s="62"/>
      <c r="AH63" s="64"/>
      <c r="AI63" s="62"/>
    </row>
    <row r="64" customFormat="false" ht="33.75" hidden="false" customHeight="true" outlineLevel="0" collapsed="false">
      <c r="A64" s="54"/>
      <c r="B64" s="55" t="str">
        <f aca="false">IF($F64="","",ROW()-8)</f>
        <v/>
      </c>
      <c r="C64" s="56" t="str">
        <f aca="false">IF($F64="","","RSK-"&amp;TEXT(ROW()-8,"000"))</f>
        <v/>
      </c>
      <c r="D64" s="66"/>
      <c r="E64" s="67"/>
      <c r="F64" s="66"/>
      <c r="G64" s="66"/>
      <c r="H64" s="66"/>
      <c r="I64" s="66"/>
      <c r="J64" s="59" t="str">
        <f aca="false">IF(OR($H64="",$I64=""),"",INDEX(Reference!$C$68:$G$72,MATCH($H64,Reference!$B$52:$B$56,0),6-MATCH($I64,Reference!$B$60:$B$64,0)))</f>
        <v/>
      </c>
      <c r="K64" s="66"/>
      <c r="L64" s="66"/>
      <c r="M64" s="67"/>
      <c r="N64" s="66"/>
      <c r="O64" s="66"/>
      <c r="P64" s="59" t="str">
        <f aca="false">IF(OR($N64="",$O64=""),"",INDEX(Reference!$C$68:$G$72,MATCH($N64,Reference!$B$52:$B$56,0),6-MATCH($O64,Reference!$B$60:$B$64,0)))</f>
        <v/>
      </c>
      <c r="Q64" s="60" t="str">
        <f aca="false">IF(OR($N64="",$O64=""),"",INDEX(Reference!$F$52:$F$56,MATCH($N64,Reference!$B$52:$B$56,0))*INDEX(Reference!$F$60:$F$64,MATCH($O64,Reference!$B$60:$B$64,0)))</f>
        <v/>
      </c>
      <c r="R64" s="61" t="str">
        <f aca="false">IF(OR($N64="",$O64=""),"",ROUND(INDEX(Reference!$F$52:$F$56,MATCH($N64,Reference!$B$52:$B$56,0))*INDEX(Reference!$H$60:$H$64,MATCH($O64,Reference!$B$60:$B$64,0)),0))</f>
        <v/>
      </c>
      <c r="S64" s="66"/>
      <c r="T64" s="55" t="str">
        <f aca="false">IF($F64="","",COUNTIF('Treatment Actions'!$B$9:$B$208,$C64))</f>
        <v/>
      </c>
      <c r="U64" s="55" t="str">
        <f aca="false">IF($F64="","",COUNTIFS('Treatment Actions'!$B$9:$B$208,$C64,'Treatment Actions'!$F$9:$F$208,"Complete"))</f>
        <v/>
      </c>
      <c r="V64" s="66"/>
      <c r="W64" s="66"/>
      <c r="X64" s="59" t="str">
        <f aca="false">IF(OR($V64="",$W64=""),"",INDEX(Reference!$C$68:$G$72,MATCH($V64,Reference!$B$52:$B$56,0),6-MATCH($W64,Reference!$B$60:$B$64,0)))</f>
        <v/>
      </c>
      <c r="Y64" s="59" t="str">
        <f aca="false">IF(OR($P64="",$X64=""),"",IF(MATCH($X64,Reference!$F$37:$F$40,0)&gt;MATCH($P64,Reference!$F$37:$F$40,0),"Improving",IF($X64=$P64,"Flat","Worsening")))</f>
        <v/>
      </c>
      <c r="Z64" s="66"/>
      <c r="AA64" s="68"/>
      <c r="AB64" s="69"/>
      <c r="AC64" s="70"/>
      <c r="AD64" s="70"/>
      <c r="AE64" s="70"/>
      <c r="AF64" s="59" t="str">
        <f aca="true">IF(OR($F64="",$AE64="",$AB64="Closed"),"",IF($AE64&lt;TODAY(),"Overdue",""))</f>
        <v/>
      </c>
      <c r="AG64" s="68"/>
      <c r="AH64" s="70"/>
      <c r="AI64" s="68"/>
    </row>
    <row r="65" customFormat="false" ht="33.75" hidden="false" customHeight="true" outlineLevel="0" collapsed="false">
      <c r="A65" s="54"/>
      <c r="B65" s="55" t="str">
        <f aca="false">IF($F65="","",ROW()-8)</f>
        <v/>
      </c>
      <c r="C65" s="56" t="str">
        <f aca="false">IF($F65="","","RSK-"&amp;TEXT(ROW()-8,"000"))</f>
        <v/>
      </c>
      <c r="D65" s="57"/>
      <c r="E65" s="58"/>
      <c r="F65" s="57"/>
      <c r="G65" s="57"/>
      <c r="H65" s="57"/>
      <c r="I65" s="57"/>
      <c r="J65" s="59" t="str">
        <f aca="false">IF(OR($H65="",$I65=""),"",INDEX(Reference!$C$68:$G$72,MATCH($H65,Reference!$B$52:$B$56,0),6-MATCH($I65,Reference!$B$60:$B$64,0)))</f>
        <v/>
      </c>
      <c r="K65" s="57"/>
      <c r="L65" s="57"/>
      <c r="M65" s="58"/>
      <c r="N65" s="57"/>
      <c r="O65" s="57"/>
      <c r="P65" s="59" t="str">
        <f aca="false">IF(OR($N65="",$O65=""),"",INDEX(Reference!$C$68:$G$72,MATCH($N65,Reference!$B$52:$B$56,0),6-MATCH($O65,Reference!$B$60:$B$64,0)))</f>
        <v/>
      </c>
      <c r="Q65" s="60" t="str">
        <f aca="false">IF(OR($N65="",$O65=""),"",INDEX(Reference!$F$52:$F$56,MATCH($N65,Reference!$B$52:$B$56,0))*INDEX(Reference!$F$60:$F$64,MATCH($O65,Reference!$B$60:$B$64,0)))</f>
        <v/>
      </c>
      <c r="R65" s="61" t="str">
        <f aca="false">IF(OR($N65="",$O65=""),"",ROUND(INDEX(Reference!$F$52:$F$56,MATCH($N65,Reference!$B$52:$B$56,0))*INDEX(Reference!$H$60:$H$64,MATCH($O65,Reference!$B$60:$B$64,0)),0))</f>
        <v/>
      </c>
      <c r="S65" s="57"/>
      <c r="T65" s="55" t="str">
        <f aca="false">IF($F65="","",COUNTIF('Treatment Actions'!$B$9:$B$208,$C65))</f>
        <v/>
      </c>
      <c r="U65" s="55" t="str">
        <f aca="false">IF($F65="","",COUNTIFS('Treatment Actions'!$B$9:$B$208,$C65,'Treatment Actions'!$F$9:$F$208,"Complete"))</f>
        <v/>
      </c>
      <c r="V65" s="57"/>
      <c r="W65" s="57"/>
      <c r="X65" s="59" t="str">
        <f aca="false">IF(OR($V65="",$W65=""),"",INDEX(Reference!$C$68:$G$72,MATCH($V65,Reference!$B$52:$B$56,0),6-MATCH($W65,Reference!$B$60:$B$64,0)))</f>
        <v/>
      </c>
      <c r="Y65" s="59" t="str">
        <f aca="false">IF(OR($P65="",$X65=""),"",IF(MATCH($X65,Reference!$F$37:$F$40,0)&gt;MATCH($P65,Reference!$F$37:$F$40,0),"Improving",IF($X65=$P65,"Flat","Worsening")))</f>
        <v/>
      </c>
      <c r="Z65" s="57"/>
      <c r="AA65" s="62"/>
      <c r="AB65" s="63"/>
      <c r="AC65" s="64"/>
      <c r="AD65" s="64"/>
      <c r="AE65" s="64"/>
      <c r="AF65" s="59" t="str">
        <f aca="true">IF(OR($F65="",$AE65="",$AB65="Closed"),"",IF($AE65&lt;TODAY(),"Overdue",""))</f>
        <v/>
      </c>
      <c r="AG65" s="62"/>
      <c r="AH65" s="64"/>
      <c r="AI65" s="62"/>
    </row>
    <row r="66" customFormat="false" ht="33.75" hidden="false" customHeight="true" outlineLevel="0" collapsed="false">
      <c r="A66" s="54"/>
      <c r="B66" s="55" t="str">
        <f aca="false">IF($F66="","",ROW()-8)</f>
        <v/>
      </c>
      <c r="C66" s="56" t="str">
        <f aca="false">IF($F66="","","RSK-"&amp;TEXT(ROW()-8,"000"))</f>
        <v/>
      </c>
      <c r="D66" s="66"/>
      <c r="E66" s="67"/>
      <c r="F66" s="66"/>
      <c r="G66" s="66"/>
      <c r="H66" s="66"/>
      <c r="I66" s="66"/>
      <c r="J66" s="59" t="str">
        <f aca="false">IF(OR($H66="",$I66=""),"",INDEX(Reference!$C$68:$G$72,MATCH($H66,Reference!$B$52:$B$56,0),6-MATCH($I66,Reference!$B$60:$B$64,0)))</f>
        <v/>
      </c>
      <c r="K66" s="66"/>
      <c r="L66" s="66"/>
      <c r="M66" s="67"/>
      <c r="N66" s="66"/>
      <c r="O66" s="66"/>
      <c r="P66" s="59" t="str">
        <f aca="false">IF(OR($N66="",$O66=""),"",INDEX(Reference!$C$68:$G$72,MATCH($N66,Reference!$B$52:$B$56,0),6-MATCH($O66,Reference!$B$60:$B$64,0)))</f>
        <v/>
      </c>
      <c r="Q66" s="60" t="str">
        <f aca="false">IF(OR($N66="",$O66=""),"",INDEX(Reference!$F$52:$F$56,MATCH($N66,Reference!$B$52:$B$56,0))*INDEX(Reference!$F$60:$F$64,MATCH($O66,Reference!$B$60:$B$64,0)))</f>
        <v/>
      </c>
      <c r="R66" s="61" t="str">
        <f aca="false">IF(OR($N66="",$O66=""),"",ROUND(INDEX(Reference!$F$52:$F$56,MATCH($N66,Reference!$B$52:$B$56,0))*INDEX(Reference!$H$60:$H$64,MATCH($O66,Reference!$B$60:$B$64,0)),0))</f>
        <v/>
      </c>
      <c r="S66" s="66"/>
      <c r="T66" s="55" t="str">
        <f aca="false">IF($F66="","",COUNTIF('Treatment Actions'!$B$9:$B$208,$C66))</f>
        <v/>
      </c>
      <c r="U66" s="55" t="str">
        <f aca="false">IF($F66="","",COUNTIFS('Treatment Actions'!$B$9:$B$208,$C66,'Treatment Actions'!$F$9:$F$208,"Complete"))</f>
        <v/>
      </c>
      <c r="V66" s="66"/>
      <c r="W66" s="66"/>
      <c r="X66" s="59" t="str">
        <f aca="false">IF(OR($V66="",$W66=""),"",INDEX(Reference!$C$68:$G$72,MATCH($V66,Reference!$B$52:$B$56,0),6-MATCH($W66,Reference!$B$60:$B$64,0)))</f>
        <v/>
      </c>
      <c r="Y66" s="59" t="str">
        <f aca="false">IF(OR($P66="",$X66=""),"",IF(MATCH($X66,Reference!$F$37:$F$40,0)&gt;MATCH($P66,Reference!$F$37:$F$40,0),"Improving",IF($X66=$P66,"Flat","Worsening")))</f>
        <v/>
      </c>
      <c r="Z66" s="66"/>
      <c r="AA66" s="68"/>
      <c r="AB66" s="69"/>
      <c r="AC66" s="70"/>
      <c r="AD66" s="70"/>
      <c r="AE66" s="70"/>
      <c r="AF66" s="59" t="str">
        <f aca="true">IF(OR($F66="",$AE66="",$AB66="Closed"),"",IF($AE66&lt;TODAY(),"Overdue",""))</f>
        <v/>
      </c>
      <c r="AG66" s="68"/>
      <c r="AH66" s="70"/>
      <c r="AI66" s="68"/>
    </row>
    <row r="67" customFormat="false" ht="33.75" hidden="false" customHeight="true" outlineLevel="0" collapsed="false">
      <c r="A67" s="54"/>
      <c r="B67" s="55" t="str">
        <f aca="false">IF($F67="","",ROW()-8)</f>
        <v/>
      </c>
      <c r="C67" s="56" t="str">
        <f aca="false">IF($F67="","","RSK-"&amp;TEXT(ROW()-8,"000"))</f>
        <v/>
      </c>
      <c r="D67" s="57"/>
      <c r="E67" s="58"/>
      <c r="F67" s="57"/>
      <c r="G67" s="57"/>
      <c r="H67" s="57"/>
      <c r="I67" s="57"/>
      <c r="J67" s="59" t="str">
        <f aca="false">IF(OR($H67="",$I67=""),"",INDEX(Reference!$C$68:$G$72,MATCH($H67,Reference!$B$52:$B$56,0),6-MATCH($I67,Reference!$B$60:$B$64,0)))</f>
        <v/>
      </c>
      <c r="K67" s="57"/>
      <c r="L67" s="57"/>
      <c r="M67" s="58"/>
      <c r="N67" s="57"/>
      <c r="O67" s="57"/>
      <c r="P67" s="59" t="str">
        <f aca="false">IF(OR($N67="",$O67=""),"",INDEX(Reference!$C$68:$G$72,MATCH($N67,Reference!$B$52:$B$56,0),6-MATCH($O67,Reference!$B$60:$B$64,0)))</f>
        <v/>
      </c>
      <c r="Q67" s="60" t="str">
        <f aca="false">IF(OR($N67="",$O67=""),"",INDEX(Reference!$F$52:$F$56,MATCH($N67,Reference!$B$52:$B$56,0))*INDEX(Reference!$F$60:$F$64,MATCH($O67,Reference!$B$60:$B$64,0)))</f>
        <v/>
      </c>
      <c r="R67" s="61" t="str">
        <f aca="false">IF(OR($N67="",$O67=""),"",ROUND(INDEX(Reference!$F$52:$F$56,MATCH($N67,Reference!$B$52:$B$56,0))*INDEX(Reference!$H$60:$H$64,MATCH($O67,Reference!$B$60:$B$64,0)),0))</f>
        <v/>
      </c>
      <c r="S67" s="57"/>
      <c r="T67" s="55" t="str">
        <f aca="false">IF($F67="","",COUNTIF('Treatment Actions'!$B$9:$B$208,$C67))</f>
        <v/>
      </c>
      <c r="U67" s="55" t="str">
        <f aca="false">IF($F67="","",COUNTIFS('Treatment Actions'!$B$9:$B$208,$C67,'Treatment Actions'!$F$9:$F$208,"Complete"))</f>
        <v/>
      </c>
      <c r="V67" s="57"/>
      <c r="W67" s="57"/>
      <c r="X67" s="59" t="str">
        <f aca="false">IF(OR($V67="",$W67=""),"",INDEX(Reference!$C$68:$G$72,MATCH($V67,Reference!$B$52:$B$56,0),6-MATCH($W67,Reference!$B$60:$B$64,0)))</f>
        <v/>
      </c>
      <c r="Y67" s="59" t="str">
        <f aca="false">IF(OR($P67="",$X67=""),"",IF(MATCH($X67,Reference!$F$37:$F$40,0)&gt;MATCH($P67,Reference!$F$37:$F$40,0),"Improving",IF($X67=$P67,"Flat","Worsening")))</f>
        <v/>
      </c>
      <c r="Z67" s="57"/>
      <c r="AA67" s="62"/>
      <c r="AB67" s="63"/>
      <c r="AC67" s="64"/>
      <c r="AD67" s="64"/>
      <c r="AE67" s="64"/>
      <c r="AF67" s="59" t="str">
        <f aca="true">IF(OR($F67="",$AE67="",$AB67="Closed"),"",IF($AE67&lt;TODAY(),"Overdue",""))</f>
        <v/>
      </c>
      <c r="AG67" s="62"/>
      <c r="AH67" s="64"/>
      <c r="AI67" s="62"/>
    </row>
    <row r="68" customFormat="false" ht="33.75" hidden="false" customHeight="true" outlineLevel="0" collapsed="false">
      <c r="A68" s="54"/>
      <c r="B68" s="55" t="str">
        <f aca="false">IF($F68="","",ROW()-8)</f>
        <v/>
      </c>
      <c r="C68" s="56" t="str">
        <f aca="false">IF($F68="","","RSK-"&amp;TEXT(ROW()-8,"000"))</f>
        <v/>
      </c>
      <c r="D68" s="66"/>
      <c r="E68" s="67"/>
      <c r="F68" s="66"/>
      <c r="G68" s="66"/>
      <c r="H68" s="66"/>
      <c r="I68" s="66"/>
      <c r="J68" s="59" t="str">
        <f aca="false">IF(OR($H68="",$I68=""),"",INDEX(Reference!$C$68:$G$72,MATCH($H68,Reference!$B$52:$B$56,0),6-MATCH($I68,Reference!$B$60:$B$64,0)))</f>
        <v/>
      </c>
      <c r="K68" s="66"/>
      <c r="L68" s="66"/>
      <c r="M68" s="67"/>
      <c r="N68" s="66"/>
      <c r="O68" s="66"/>
      <c r="P68" s="59" t="str">
        <f aca="false">IF(OR($N68="",$O68=""),"",INDEX(Reference!$C$68:$G$72,MATCH($N68,Reference!$B$52:$B$56,0),6-MATCH($O68,Reference!$B$60:$B$64,0)))</f>
        <v/>
      </c>
      <c r="Q68" s="60" t="str">
        <f aca="false">IF(OR($N68="",$O68=""),"",INDEX(Reference!$F$52:$F$56,MATCH($N68,Reference!$B$52:$B$56,0))*INDEX(Reference!$F$60:$F$64,MATCH($O68,Reference!$B$60:$B$64,0)))</f>
        <v/>
      </c>
      <c r="R68" s="61" t="str">
        <f aca="false">IF(OR($N68="",$O68=""),"",ROUND(INDEX(Reference!$F$52:$F$56,MATCH($N68,Reference!$B$52:$B$56,0))*INDEX(Reference!$H$60:$H$64,MATCH($O68,Reference!$B$60:$B$64,0)),0))</f>
        <v/>
      </c>
      <c r="S68" s="66"/>
      <c r="T68" s="55" t="str">
        <f aca="false">IF($F68="","",COUNTIF('Treatment Actions'!$B$9:$B$208,$C68))</f>
        <v/>
      </c>
      <c r="U68" s="55" t="str">
        <f aca="false">IF($F68="","",COUNTIFS('Treatment Actions'!$B$9:$B$208,$C68,'Treatment Actions'!$F$9:$F$208,"Complete"))</f>
        <v/>
      </c>
      <c r="V68" s="66"/>
      <c r="W68" s="66"/>
      <c r="X68" s="59" t="str">
        <f aca="false">IF(OR($V68="",$W68=""),"",INDEX(Reference!$C$68:$G$72,MATCH($V68,Reference!$B$52:$B$56,0),6-MATCH($W68,Reference!$B$60:$B$64,0)))</f>
        <v/>
      </c>
      <c r="Y68" s="59" t="str">
        <f aca="false">IF(OR($P68="",$X68=""),"",IF(MATCH($X68,Reference!$F$37:$F$40,0)&gt;MATCH($P68,Reference!$F$37:$F$40,0),"Improving",IF($X68=$P68,"Flat","Worsening")))</f>
        <v/>
      </c>
      <c r="Z68" s="66"/>
      <c r="AA68" s="68"/>
      <c r="AB68" s="69"/>
      <c r="AC68" s="70"/>
      <c r="AD68" s="70"/>
      <c r="AE68" s="70"/>
      <c r="AF68" s="59" t="str">
        <f aca="true">IF(OR($F68="",$AE68="",$AB68="Closed"),"",IF($AE68&lt;TODAY(),"Overdue",""))</f>
        <v/>
      </c>
      <c r="AG68" s="68"/>
      <c r="AH68" s="70"/>
      <c r="AI68" s="68"/>
    </row>
    <row r="69" customFormat="false" ht="33.75" hidden="false" customHeight="true" outlineLevel="0" collapsed="false">
      <c r="A69" s="54"/>
      <c r="B69" s="55" t="str">
        <f aca="false">IF($F69="","",ROW()-8)</f>
        <v/>
      </c>
      <c r="C69" s="56" t="str">
        <f aca="false">IF($F69="","","RSK-"&amp;TEXT(ROW()-8,"000"))</f>
        <v/>
      </c>
      <c r="D69" s="57"/>
      <c r="E69" s="58"/>
      <c r="F69" s="57"/>
      <c r="G69" s="57"/>
      <c r="H69" s="57"/>
      <c r="I69" s="57"/>
      <c r="J69" s="59" t="str">
        <f aca="false">IF(OR($H69="",$I69=""),"",INDEX(Reference!$C$68:$G$72,MATCH($H69,Reference!$B$52:$B$56,0),6-MATCH($I69,Reference!$B$60:$B$64,0)))</f>
        <v/>
      </c>
      <c r="K69" s="57"/>
      <c r="L69" s="57"/>
      <c r="M69" s="58"/>
      <c r="N69" s="57"/>
      <c r="O69" s="57"/>
      <c r="P69" s="59" t="str">
        <f aca="false">IF(OR($N69="",$O69=""),"",INDEX(Reference!$C$68:$G$72,MATCH($N69,Reference!$B$52:$B$56,0),6-MATCH($O69,Reference!$B$60:$B$64,0)))</f>
        <v/>
      </c>
      <c r="Q69" s="60" t="str">
        <f aca="false">IF(OR($N69="",$O69=""),"",INDEX(Reference!$F$52:$F$56,MATCH($N69,Reference!$B$52:$B$56,0))*INDEX(Reference!$F$60:$F$64,MATCH($O69,Reference!$B$60:$B$64,0)))</f>
        <v/>
      </c>
      <c r="R69" s="61" t="str">
        <f aca="false">IF(OR($N69="",$O69=""),"",ROUND(INDEX(Reference!$F$52:$F$56,MATCH($N69,Reference!$B$52:$B$56,0))*INDEX(Reference!$H$60:$H$64,MATCH($O69,Reference!$B$60:$B$64,0)),0))</f>
        <v/>
      </c>
      <c r="S69" s="57"/>
      <c r="T69" s="55" t="str">
        <f aca="false">IF($F69="","",COUNTIF('Treatment Actions'!$B$9:$B$208,$C69))</f>
        <v/>
      </c>
      <c r="U69" s="55" t="str">
        <f aca="false">IF($F69="","",COUNTIFS('Treatment Actions'!$B$9:$B$208,$C69,'Treatment Actions'!$F$9:$F$208,"Complete"))</f>
        <v/>
      </c>
      <c r="V69" s="57"/>
      <c r="W69" s="57"/>
      <c r="X69" s="59" t="str">
        <f aca="false">IF(OR($V69="",$W69=""),"",INDEX(Reference!$C$68:$G$72,MATCH($V69,Reference!$B$52:$B$56,0),6-MATCH($W69,Reference!$B$60:$B$64,0)))</f>
        <v/>
      </c>
      <c r="Y69" s="59" t="str">
        <f aca="false">IF(OR($P69="",$X69=""),"",IF(MATCH($X69,Reference!$F$37:$F$40,0)&gt;MATCH($P69,Reference!$F$37:$F$40,0),"Improving",IF($X69=$P69,"Flat","Worsening")))</f>
        <v/>
      </c>
      <c r="Z69" s="57"/>
      <c r="AA69" s="62"/>
      <c r="AB69" s="63"/>
      <c r="AC69" s="64"/>
      <c r="AD69" s="64"/>
      <c r="AE69" s="64"/>
      <c r="AF69" s="59" t="str">
        <f aca="true">IF(OR($F69="",$AE69="",$AB69="Closed"),"",IF($AE69&lt;TODAY(),"Overdue",""))</f>
        <v/>
      </c>
      <c r="AG69" s="62"/>
      <c r="AH69" s="64"/>
      <c r="AI69" s="62"/>
    </row>
    <row r="70" customFormat="false" ht="33.75" hidden="false" customHeight="true" outlineLevel="0" collapsed="false">
      <c r="A70" s="54"/>
      <c r="B70" s="55" t="str">
        <f aca="false">IF($F70="","",ROW()-8)</f>
        <v/>
      </c>
      <c r="C70" s="56" t="str">
        <f aca="false">IF($F70="","","RSK-"&amp;TEXT(ROW()-8,"000"))</f>
        <v/>
      </c>
      <c r="D70" s="66"/>
      <c r="E70" s="67"/>
      <c r="F70" s="66"/>
      <c r="G70" s="66"/>
      <c r="H70" s="66"/>
      <c r="I70" s="66"/>
      <c r="J70" s="59" t="str">
        <f aca="false">IF(OR($H70="",$I70=""),"",INDEX(Reference!$C$68:$G$72,MATCH($H70,Reference!$B$52:$B$56,0),6-MATCH($I70,Reference!$B$60:$B$64,0)))</f>
        <v/>
      </c>
      <c r="K70" s="66"/>
      <c r="L70" s="66"/>
      <c r="M70" s="67"/>
      <c r="N70" s="66"/>
      <c r="O70" s="66"/>
      <c r="P70" s="59" t="str">
        <f aca="false">IF(OR($N70="",$O70=""),"",INDEX(Reference!$C$68:$G$72,MATCH($N70,Reference!$B$52:$B$56,0),6-MATCH($O70,Reference!$B$60:$B$64,0)))</f>
        <v/>
      </c>
      <c r="Q70" s="60" t="str">
        <f aca="false">IF(OR($N70="",$O70=""),"",INDEX(Reference!$F$52:$F$56,MATCH($N70,Reference!$B$52:$B$56,0))*INDEX(Reference!$F$60:$F$64,MATCH($O70,Reference!$B$60:$B$64,0)))</f>
        <v/>
      </c>
      <c r="R70" s="61" t="str">
        <f aca="false">IF(OR($N70="",$O70=""),"",ROUND(INDEX(Reference!$F$52:$F$56,MATCH($N70,Reference!$B$52:$B$56,0))*INDEX(Reference!$H$60:$H$64,MATCH($O70,Reference!$B$60:$B$64,0)),0))</f>
        <v/>
      </c>
      <c r="S70" s="66"/>
      <c r="T70" s="55" t="str">
        <f aca="false">IF($F70="","",COUNTIF('Treatment Actions'!$B$9:$B$208,$C70))</f>
        <v/>
      </c>
      <c r="U70" s="55" t="str">
        <f aca="false">IF($F70="","",COUNTIFS('Treatment Actions'!$B$9:$B$208,$C70,'Treatment Actions'!$F$9:$F$208,"Complete"))</f>
        <v/>
      </c>
      <c r="V70" s="66"/>
      <c r="W70" s="66"/>
      <c r="X70" s="59" t="str">
        <f aca="false">IF(OR($V70="",$W70=""),"",INDEX(Reference!$C$68:$G$72,MATCH($V70,Reference!$B$52:$B$56,0),6-MATCH($W70,Reference!$B$60:$B$64,0)))</f>
        <v/>
      </c>
      <c r="Y70" s="59" t="str">
        <f aca="false">IF(OR($P70="",$X70=""),"",IF(MATCH($X70,Reference!$F$37:$F$40,0)&gt;MATCH($P70,Reference!$F$37:$F$40,0),"Improving",IF($X70=$P70,"Flat","Worsening")))</f>
        <v/>
      </c>
      <c r="Z70" s="66"/>
      <c r="AA70" s="68"/>
      <c r="AB70" s="69"/>
      <c r="AC70" s="70"/>
      <c r="AD70" s="70"/>
      <c r="AE70" s="70"/>
      <c r="AF70" s="59" t="str">
        <f aca="true">IF(OR($F70="",$AE70="",$AB70="Closed"),"",IF($AE70&lt;TODAY(),"Overdue",""))</f>
        <v/>
      </c>
      <c r="AG70" s="68"/>
      <c r="AH70" s="70"/>
      <c r="AI70" s="68"/>
    </row>
    <row r="71" customFormat="false" ht="33.75" hidden="false" customHeight="true" outlineLevel="0" collapsed="false">
      <c r="A71" s="54"/>
      <c r="B71" s="55" t="str">
        <f aca="false">IF($F71="","",ROW()-8)</f>
        <v/>
      </c>
      <c r="C71" s="56" t="str">
        <f aca="false">IF($F71="","","RSK-"&amp;TEXT(ROW()-8,"000"))</f>
        <v/>
      </c>
      <c r="D71" s="57"/>
      <c r="E71" s="58"/>
      <c r="F71" s="57"/>
      <c r="G71" s="57"/>
      <c r="H71" s="57"/>
      <c r="I71" s="57"/>
      <c r="J71" s="59" t="str">
        <f aca="false">IF(OR($H71="",$I71=""),"",INDEX(Reference!$C$68:$G$72,MATCH($H71,Reference!$B$52:$B$56,0),6-MATCH($I71,Reference!$B$60:$B$64,0)))</f>
        <v/>
      </c>
      <c r="K71" s="57"/>
      <c r="L71" s="57"/>
      <c r="M71" s="58"/>
      <c r="N71" s="57"/>
      <c r="O71" s="57"/>
      <c r="P71" s="59" t="str">
        <f aca="false">IF(OR($N71="",$O71=""),"",INDEX(Reference!$C$68:$G$72,MATCH($N71,Reference!$B$52:$B$56,0),6-MATCH($O71,Reference!$B$60:$B$64,0)))</f>
        <v/>
      </c>
      <c r="Q71" s="60" t="str">
        <f aca="false">IF(OR($N71="",$O71=""),"",INDEX(Reference!$F$52:$F$56,MATCH($N71,Reference!$B$52:$B$56,0))*INDEX(Reference!$F$60:$F$64,MATCH($O71,Reference!$B$60:$B$64,0)))</f>
        <v/>
      </c>
      <c r="R71" s="61" t="str">
        <f aca="false">IF(OR($N71="",$O71=""),"",ROUND(INDEX(Reference!$F$52:$F$56,MATCH($N71,Reference!$B$52:$B$56,0))*INDEX(Reference!$H$60:$H$64,MATCH($O71,Reference!$B$60:$B$64,0)),0))</f>
        <v/>
      </c>
      <c r="S71" s="57"/>
      <c r="T71" s="55" t="str">
        <f aca="false">IF($F71="","",COUNTIF('Treatment Actions'!$B$9:$B$208,$C71))</f>
        <v/>
      </c>
      <c r="U71" s="55" t="str">
        <f aca="false">IF($F71="","",COUNTIFS('Treatment Actions'!$B$9:$B$208,$C71,'Treatment Actions'!$F$9:$F$208,"Complete"))</f>
        <v/>
      </c>
      <c r="V71" s="57"/>
      <c r="W71" s="57"/>
      <c r="X71" s="59" t="str">
        <f aca="false">IF(OR($V71="",$W71=""),"",INDEX(Reference!$C$68:$G$72,MATCH($V71,Reference!$B$52:$B$56,0),6-MATCH($W71,Reference!$B$60:$B$64,0)))</f>
        <v/>
      </c>
      <c r="Y71" s="59" t="str">
        <f aca="false">IF(OR($P71="",$X71=""),"",IF(MATCH($X71,Reference!$F$37:$F$40,0)&gt;MATCH($P71,Reference!$F$37:$F$40,0),"Improving",IF($X71=$P71,"Flat","Worsening")))</f>
        <v/>
      </c>
      <c r="Z71" s="57"/>
      <c r="AA71" s="62"/>
      <c r="AB71" s="63"/>
      <c r="AC71" s="64"/>
      <c r="AD71" s="64"/>
      <c r="AE71" s="64"/>
      <c r="AF71" s="59" t="str">
        <f aca="true">IF(OR($F71="",$AE71="",$AB71="Closed"),"",IF($AE71&lt;TODAY(),"Overdue",""))</f>
        <v/>
      </c>
      <c r="AG71" s="62"/>
      <c r="AH71" s="64"/>
      <c r="AI71" s="62"/>
    </row>
    <row r="72" customFormat="false" ht="33.75" hidden="false" customHeight="true" outlineLevel="0" collapsed="false">
      <c r="A72" s="54"/>
      <c r="B72" s="55" t="str">
        <f aca="false">IF($F72="","",ROW()-8)</f>
        <v/>
      </c>
      <c r="C72" s="56" t="str">
        <f aca="false">IF($F72="","","RSK-"&amp;TEXT(ROW()-8,"000"))</f>
        <v/>
      </c>
      <c r="D72" s="66"/>
      <c r="E72" s="67"/>
      <c r="F72" s="66"/>
      <c r="G72" s="66"/>
      <c r="H72" s="66"/>
      <c r="I72" s="66"/>
      <c r="J72" s="59" t="str">
        <f aca="false">IF(OR($H72="",$I72=""),"",INDEX(Reference!$C$68:$G$72,MATCH($H72,Reference!$B$52:$B$56,0),6-MATCH($I72,Reference!$B$60:$B$64,0)))</f>
        <v/>
      </c>
      <c r="K72" s="66"/>
      <c r="L72" s="66"/>
      <c r="M72" s="67"/>
      <c r="N72" s="66"/>
      <c r="O72" s="66"/>
      <c r="P72" s="59" t="str">
        <f aca="false">IF(OR($N72="",$O72=""),"",INDEX(Reference!$C$68:$G$72,MATCH($N72,Reference!$B$52:$B$56,0),6-MATCH($O72,Reference!$B$60:$B$64,0)))</f>
        <v/>
      </c>
      <c r="Q72" s="60" t="str">
        <f aca="false">IF(OR($N72="",$O72=""),"",INDEX(Reference!$F$52:$F$56,MATCH($N72,Reference!$B$52:$B$56,0))*INDEX(Reference!$F$60:$F$64,MATCH($O72,Reference!$B$60:$B$64,0)))</f>
        <v/>
      </c>
      <c r="R72" s="61" t="str">
        <f aca="false">IF(OR($N72="",$O72=""),"",ROUND(INDEX(Reference!$F$52:$F$56,MATCH($N72,Reference!$B$52:$B$56,0))*INDEX(Reference!$H$60:$H$64,MATCH($O72,Reference!$B$60:$B$64,0)),0))</f>
        <v/>
      </c>
      <c r="S72" s="66"/>
      <c r="T72" s="55" t="str">
        <f aca="false">IF($F72="","",COUNTIF('Treatment Actions'!$B$9:$B$208,$C72))</f>
        <v/>
      </c>
      <c r="U72" s="55" t="str">
        <f aca="false">IF($F72="","",COUNTIFS('Treatment Actions'!$B$9:$B$208,$C72,'Treatment Actions'!$F$9:$F$208,"Complete"))</f>
        <v/>
      </c>
      <c r="V72" s="66"/>
      <c r="W72" s="66"/>
      <c r="X72" s="59" t="str">
        <f aca="false">IF(OR($V72="",$W72=""),"",INDEX(Reference!$C$68:$G$72,MATCH($V72,Reference!$B$52:$B$56,0),6-MATCH($W72,Reference!$B$60:$B$64,0)))</f>
        <v/>
      </c>
      <c r="Y72" s="59" t="str">
        <f aca="false">IF(OR($P72="",$X72=""),"",IF(MATCH($X72,Reference!$F$37:$F$40,0)&gt;MATCH($P72,Reference!$F$37:$F$40,0),"Improving",IF($X72=$P72,"Flat","Worsening")))</f>
        <v/>
      </c>
      <c r="Z72" s="66"/>
      <c r="AA72" s="68"/>
      <c r="AB72" s="69"/>
      <c r="AC72" s="70"/>
      <c r="AD72" s="70"/>
      <c r="AE72" s="70"/>
      <c r="AF72" s="59" t="str">
        <f aca="true">IF(OR($F72="",$AE72="",$AB72="Closed"),"",IF($AE72&lt;TODAY(),"Overdue",""))</f>
        <v/>
      </c>
      <c r="AG72" s="68"/>
      <c r="AH72" s="70"/>
      <c r="AI72" s="68"/>
    </row>
    <row r="73" customFormat="false" ht="33.75" hidden="false" customHeight="true" outlineLevel="0" collapsed="false">
      <c r="A73" s="54"/>
      <c r="B73" s="55" t="str">
        <f aca="false">IF($F73="","",ROW()-8)</f>
        <v/>
      </c>
      <c r="C73" s="56" t="str">
        <f aca="false">IF($F73="","","RSK-"&amp;TEXT(ROW()-8,"000"))</f>
        <v/>
      </c>
      <c r="D73" s="57"/>
      <c r="E73" s="58"/>
      <c r="F73" s="57"/>
      <c r="G73" s="57"/>
      <c r="H73" s="57"/>
      <c r="I73" s="57"/>
      <c r="J73" s="59" t="str">
        <f aca="false">IF(OR($H73="",$I73=""),"",INDEX(Reference!$C$68:$G$72,MATCH($H73,Reference!$B$52:$B$56,0),6-MATCH($I73,Reference!$B$60:$B$64,0)))</f>
        <v/>
      </c>
      <c r="K73" s="57"/>
      <c r="L73" s="57"/>
      <c r="M73" s="58"/>
      <c r="N73" s="57"/>
      <c r="O73" s="57"/>
      <c r="P73" s="59" t="str">
        <f aca="false">IF(OR($N73="",$O73=""),"",INDEX(Reference!$C$68:$G$72,MATCH($N73,Reference!$B$52:$B$56,0),6-MATCH($O73,Reference!$B$60:$B$64,0)))</f>
        <v/>
      </c>
      <c r="Q73" s="60" t="str">
        <f aca="false">IF(OR($N73="",$O73=""),"",INDEX(Reference!$F$52:$F$56,MATCH($N73,Reference!$B$52:$B$56,0))*INDEX(Reference!$F$60:$F$64,MATCH($O73,Reference!$B$60:$B$64,0)))</f>
        <v/>
      </c>
      <c r="R73" s="61" t="str">
        <f aca="false">IF(OR($N73="",$O73=""),"",ROUND(INDEX(Reference!$F$52:$F$56,MATCH($N73,Reference!$B$52:$B$56,0))*INDEX(Reference!$H$60:$H$64,MATCH($O73,Reference!$B$60:$B$64,0)),0))</f>
        <v/>
      </c>
      <c r="S73" s="57"/>
      <c r="T73" s="55" t="str">
        <f aca="false">IF($F73="","",COUNTIF('Treatment Actions'!$B$9:$B$208,$C73))</f>
        <v/>
      </c>
      <c r="U73" s="55" t="str">
        <f aca="false">IF($F73="","",COUNTIFS('Treatment Actions'!$B$9:$B$208,$C73,'Treatment Actions'!$F$9:$F$208,"Complete"))</f>
        <v/>
      </c>
      <c r="V73" s="57"/>
      <c r="W73" s="57"/>
      <c r="X73" s="59" t="str">
        <f aca="false">IF(OR($V73="",$W73=""),"",INDEX(Reference!$C$68:$G$72,MATCH($V73,Reference!$B$52:$B$56,0),6-MATCH($W73,Reference!$B$60:$B$64,0)))</f>
        <v/>
      </c>
      <c r="Y73" s="59" t="str">
        <f aca="false">IF(OR($P73="",$X73=""),"",IF(MATCH($X73,Reference!$F$37:$F$40,0)&gt;MATCH($P73,Reference!$F$37:$F$40,0),"Improving",IF($X73=$P73,"Flat","Worsening")))</f>
        <v/>
      </c>
      <c r="Z73" s="57"/>
      <c r="AA73" s="62"/>
      <c r="AB73" s="63"/>
      <c r="AC73" s="64"/>
      <c r="AD73" s="64"/>
      <c r="AE73" s="64"/>
      <c r="AF73" s="59" t="str">
        <f aca="true">IF(OR($F73="",$AE73="",$AB73="Closed"),"",IF($AE73&lt;TODAY(),"Overdue",""))</f>
        <v/>
      </c>
      <c r="AG73" s="62"/>
      <c r="AH73" s="64"/>
      <c r="AI73" s="62"/>
    </row>
    <row r="74" customFormat="false" ht="33.75" hidden="false" customHeight="true" outlineLevel="0" collapsed="false">
      <c r="A74" s="54"/>
      <c r="B74" s="55" t="str">
        <f aca="false">IF($F74="","",ROW()-8)</f>
        <v/>
      </c>
      <c r="C74" s="56" t="str">
        <f aca="false">IF($F74="","","RSK-"&amp;TEXT(ROW()-8,"000"))</f>
        <v/>
      </c>
      <c r="D74" s="66"/>
      <c r="E74" s="67"/>
      <c r="F74" s="66"/>
      <c r="G74" s="66"/>
      <c r="H74" s="66"/>
      <c r="I74" s="66"/>
      <c r="J74" s="59" t="str">
        <f aca="false">IF(OR($H74="",$I74=""),"",INDEX(Reference!$C$68:$G$72,MATCH($H74,Reference!$B$52:$B$56,0),6-MATCH($I74,Reference!$B$60:$B$64,0)))</f>
        <v/>
      </c>
      <c r="K74" s="66"/>
      <c r="L74" s="66"/>
      <c r="M74" s="67"/>
      <c r="N74" s="66"/>
      <c r="O74" s="66"/>
      <c r="P74" s="59" t="str">
        <f aca="false">IF(OR($N74="",$O74=""),"",INDEX(Reference!$C$68:$G$72,MATCH($N74,Reference!$B$52:$B$56,0),6-MATCH($O74,Reference!$B$60:$B$64,0)))</f>
        <v/>
      </c>
      <c r="Q74" s="60" t="str">
        <f aca="false">IF(OR($N74="",$O74=""),"",INDEX(Reference!$F$52:$F$56,MATCH($N74,Reference!$B$52:$B$56,0))*INDEX(Reference!$F$60:$F$64,MATCH($O74,Reference!$B$60:$B$64,0)))</f>
        <v/>
      </c>
      <c r="R74" s="61" t="str">
        <f aca="false">IF(OR($N74="",$O74=""),"",ROUND(INDEX(Reference!$F$52:$F$56,MATCH($N74,Reference!$B$52:$B$56,0))*INDEX(Reference!$H$60:$H$64,MATCH($O74,Reference!$B$60:$B$64,0)),0))</f>
        <v/>
      </c>
      <c r="S74" s="66"/>
      <c r="T74" s="55" t="str">
        <f aca="false">IF($F74="","",COUNTIF('Treatment Actions'!$B$9:$B$208,$C74))</f>
        <v/>
      </c>
      <c r="U74" s="55" t="str">
        <f aca="false">IF($F74="","",COUNTIFS('Treatment Actions'!$B$9:$B$208,$C74,'Treatment Actions'!$F$9:$F$208,"Complete"))</f>
        <v/>
      </c>
      <c r="V74" s="66"/>
      <c r="W74" s="66"/>
      <c r="X74" s="59" t="str">
        <f aca="false">IF(OR($V74="",$W74=""),"",INDEX(Reference!$C$68:$G$72,MATCH($V74,Reference!$B$52:$B$56,0),6-MATCH($W74,Reference!$B$60:$B$64,0)))</f>
        <v/>
      </c>
      <c r="Y74" s="59" t="str">
        <f aca="false">IF(OR($P74="",$X74=""),"",IF(MATCH($X74,Reference!$F$37:$F$40,0)&gt;MATCH($P74,Reference!$F$37:$F$40,0),"Improving",IF($X74=$P74,"Flat","Worsening")))</f>
        <v/>
      </c>
      <c r="Z74" s="66"/>
      <c r="AA74" s="68"/>
      <c r="AB74" s="69"/>
      <c r="AC74" s="70"/>
      <c r="AD74" s="70"/>
      <c r="AE74" s="70"/>
      <c r="AF74" s="59" t="str">
        <f aca="true">IF(OR($F74="",$AE74="",$AB74="Closed"),"",IF($AE74&lt;TODAY(),"Overdue",""))</f>
        <v/>
      </c>
      <c r="AG74" s="68"/>
      <c r="AH74" s="70"/>
      <c r="AI74" s="68"/>
    </row>
    <row r="75" customFormat="false" ht="33.75" hidden="false" customHeight="true" outlineLevel="0" collapsed="false">
      <c r="A75" s="54"/>
      <c r="B75" s="55" t="str">
        <f aca="false">IF($F75="","",ROW()-8)</f>
        <v/>
      </c>
      <c r="C75" s="56" t="str">
        <f aca="false">IF($F75="","","RSK-"&amp;TEXT(ROW()-8,"000"))</f>
        <v/>
      </c>
      <c r="D75" s="57"/>
      <c r="E75" s="58"/>
      <c r="F75" s="57"/>
      <c r="G75" s="57"/>
      <c r="H75" s="57"/>
      <c r="I75" s="57"/>
      <c r="J75" s="59" t="str">
        <f aca="false">IF(OR($H75="",$I75=""),"",INDEX(Reference!$C$68:$G$72,MATCH($H75,Reference!$B$52:$B$56,0),6-MATCH($I75,Reference!$B$60:$B$64,0)))</f>
        <v/>
      </c>
      <c r="K75" s="57"/>
      <c r="L75" s="57"/>
      <c r="M75" s="58"/>
      <c r="N75" s="57"/>
      <c r="O75" s="57"/>
      <c r="P75" s="59" t="str">
        <f aca="false">IF(OR($N75="",$O75=""),"",INDEX(Reference!$C$68:$G$72,MATCH($N75,Reference!$B$52:$B$56,0),6-MATCH($O75,Reference!$B$60:$B$64,0)))</f>
        <v/>
      </c>
      <c r="Q75" s="60" t="str">
        <f aca="false">IF(OR($N75="",$O75=""),"",INDEX(Reference!$F$52:$F$56,MATCH($N75,Reference!$B$52:$B$56,0))*INDEX(Reference!$F$60:$F$64,MATCH($O75,Reference!$B$60:$B$64,0)))</f>
        <v/>
      </c>
      <c r="R75" s="61" t="str">
        <f aca="false">IF(OR($N75="",$O75=""),"",ROUND(INDEX(Reference!$F$52:$F$56,MATCH($N75,Reference!$B$52:$B$56,0))*INDEX(Reference!$H$60:$H$64,MATCH($O75,Reference!$B$60:$B$64,0)),0))</f>
        <v/>
      </c>
      <c r="S75" s="57"/>
      <c r="T75" s="55" t="str">
        <f aca="false">IF($F75="","",COUNTIF('Treatment Actions'!$B$9:$B$208,$C75))</f>
        <v/>
      </c>
      <c r="U75" s="55" t="str">
        <f aca="false">IF($F75="","",COUNTIFS('Treatment Actions'!$B$9:$B$208,$C75,'Treatment Actions'!$F$9:$F$208,"Complete"))</f>
        <v/>
      </c>
      <c r="V75" s="57"/>
      <c r="W75" s="57"/>
      <c r="X75" s="59" t="str">
        <f aca="false">IF(OR($V75="",$W75=""),"",INDEX(Reference!$C$68:$G$72,MATCH($V75,Reference!$B$52:$B$56,0),6-MATCH($W75,Reference!$B$60:$B$64,0)))</f>
        <v/>
      </c>
      <c r="Y75" s="59" t="str">
        <f aca="false">IF(OR($P75="",$X75=""),"",IF(MATCH($X75,Reference!$F$37:$F$40,0)&gt;MATCH($P75,Reference!$F$37:$F$40,0),"Improving",IF($X75=$P75,"Flat","Worsening")))</f>
        <v/>
      </c>
      <c r="Z75" s="57"/>
      <c r="AA75" s="62"/>
      <c r="AB75" s="63"/>
      <c r="AC75" s="64"/>
      <c r="AD75" s="64"/>
      <c r="AE75" s="64"/>
      <c r="AF75" s="59" t="str">
        <f aca="true">IF(OR($F75="",$AE75="",$AB75="Closed"),"",IF($AE75&lt;TODAY(),"Overdue",""))</f>
        <v/>
      </c>
      <c r="AG75" s="62"/>
      <c r="AH75" s="64"/>
      <c r="AI75" s="62"/>
    </row>
    <row r="76" customFormat="false" ht="33.75" hidden="false" customHeight="true" outlineLevel="0" collapsed="false">
      <c r="A76" s="54"/>
      <c r="B76" s="55" t="str">
        <f aca="false">IF($F76="","",ROW()-8)</f>
        <v/>
      </c>
      <c r="C76" s="56" t="str">
        <f aca="false">IF($F76="","","RSK-"&amp;TEXT(ROW()-8,"000"))</f>
        <v/>
      </c>
      <c r="D76" s="66"/>
      <c r="E76" s="67"/>
      <c r="F76" s="66"/>
      <c r="G76" s="66"/>
      <c r="H76" s="66"/>
      <c r="I76" s="66"/>
      <c r="J76" s="59" t="str">
        <f aca="false">IF(OR($H76="",$I76=""),"",INDEX(Reference!$C$68:$G$72,MATCH($H76,Reference!$B$52:$B$56,0),6-MATCH($I76,Reference!$B$60:$B$64,0)))</f>
        <v/>
      </c>
      <c r="K76" s="66"/>
      <c r="L76" s="66"/>
      <c r="M76" s="67"/>
      <c r="N76" s="66"/>
      <c r="O76" s="66"/>
      <c r="P76" s="59" t="str">
        <f aca="false">IF(OR($N76="",$O76=""),"",INDEX(Reference!$C$68:$G$72,MATCH($N76,Reference!$B$52:$B$56,0),6-MATCH($O76,Reference!$B$60:$B$64,0)))</f>
        <v/>
      </c>
      <c r="Q76" s="60" t="str">
        <f aca="false">IF(OR($N76="",$O76=""),"",INDEX(Reference!$F$52:$F$56,MATCH($N76,Reference!$B$52:$B$56,0))*INDEX(Reference!$F$60:$F$64,MATCH($O76,Reference!$B$60:$B$64,0)))</f>
        <v/>
      </c>
      <c r="R76" s="61" t="str">
        <f aca="false">IF(OR($N76="",$O76=""),"",ROUND(INDEX(Reference!$F$52:$F$56,MATCH($N76,Reference!$B$52:$B$56,0))*INDEX(Reference!$H$60:$H$64,MATCH($O76,Reference!$B$60:$B$64,0)),0))</f>
        <v/>
      </c>
      <c r="S76" s="66"/>
      <c r="T76" s="55" t="str">
        <f aca="false">IF($F76="","",COUNTIF('Treatment Actions'!$B$9:$B$208,$C76))</f>
        <v/>
      </c>
      <c r="U76" s="55" t="str">
        <f aca="false">IF($F76="","",COUNTIFS('Treatment Actions'!$B$9:$B$208,$C76,'Treatment Actions'!$F$9:$F$208,"Complete"))</f>
        <v/>
      </c>
      <c r="V76" s="66"/>
      <c r="W76" s="66"/>
      <c r="X76" s="59" t="str">
        <f aca="false">IF(OR($V76="",$W76=""),"",INDEX(Reference!$C$68:$G$72,MATCH($V76,Reference!$B$52:$B$56,0),6-MATCH($W76,Reference!$B$60:$B$64,0)))</f>
        <v/>
      </c>
      <c r="Y76" s="59" t="str">
        <f aca="false">IF(OR($P76="",$X76=""),"",IF(MATCH($X76,Reference!$F$37:$F$40,0)&gt;MATCH($P76,Reference!$F$37:$F$40,0),"Improving",IF($X76=$P76,"Flat","Worsening")))</f>
        <v/>
      </c>
      <c r="Z76" s="66"/>
      <c r="AA76" s="68"/>
      <c r="AB76" s="69"/>
      <c r="AC76" s="70"/>
      <c r="AD76" s="70"/>
      <c r="AE76" s="70"/>
      <c r="AF76" s="59" t="str">
        <f aca="true">IF(OR($F76="",$AE76="",$AB76="Closed"),"",IF($AE76&lt;TODAY(),"Overdue",""))</f>
        <v/>
      </c>
      <c r="AG76" s="68"/>
      <c r="AH76" s="70"/>
      <c r="AI76" s="68"/>
    </row>
    <row r="77" customFormat="false" ht="33.75" hidden="false" customHeight="true" outlineLevel="0" collapsed="false">
      <c r="A77" s="54"/>
      <c r="B77" s="55" t="str">
        <f aca="false">IF($F77="","",ROW()-8)</f>
        <v/>
      </c>
      <c r="C77" s="56" t="str">
        <f aca="false">IF($F77="","","RSK-"&amp;TEXT(ROW()-8,"000"))</f>
        <v/>
      </c>
      <c r="D77" s="57"/>
      <c r="E77" s="58"/>
      <c r="F77" s="57"/>
      <c r="G77" s="57"/>
      <c r="H77" s="57"/>
      <c r="I77" s="57"/>
      <c r="J77" s="59" t="str">
        <f aca="false">IF(OR($H77="",$I77=""),"",INDEX(Reference!$C$68:$G$72,MATCH($H77,Reference!$B$52:$B$56,0),6-MATCH($I77,Reference!$B$60:$B$64,0)))</f>
        <v/>
      </c>
      <c r="K77" s="57"/>
      <c r="L77" s="57"/>
      <c r="M77" s="58"/>
      <c r="N77" s="57"/>
      <c r="O77" s="57"/>
      <c r="P77" s="59" t="str">
        <f aca="false">IF(OR($N77="",$O77=""),"",INDEX(Reference!$C$68:$G$72,MATCH($N77,Reference!$B$52:$B$56,0),6-MATCH($O77,Reference!$B$60:$B$64,0)))</f>
        <v/>
      </c>
      <c r="Q77" s="60" t="str">
        <f aca="false">IF(OR($N77="",$O77=""),"",INDEX(Reference!$F$52:$F$56,MATCH($N77,Reference!$B$52:$B$56,0))*INDEX(Reference!$F$60:$F$64,MATCH($O77,Reference!$B$60:$B$64,0)))</f>
        <v/>
      </c>
      <c r="R77" s="61" t="str">
        <f aca="false">IF(OR($N77="",$O77=""),"",ROUND(INDEX(Reference!$F$52:$F$56,MATCH($N77,Reference!$B$52:$B$56,0))*INDEX(Reference!$H$60:$H$64,MATCH($O77,Reference!$B$60:$B$64,0)),0))</f>
        <v/>
      </c>
      <c r="S77" s="57"/>
      <c r="T77" s="55" t="str">
        <f aca="false">IF($F77="","",COUNTIF('Treatment Actions'!$B$9:$B$208,$C77))</f>
        <v/>
      </c>
      <c r="U77" s="55" t="str">
        <f aca="false">IF($F77="","",COUNTIFS('Treatment Actions'!$B$9:$B$208,$C77,'Treatment Actions'!$F$9:$F$208,"Complete"))</f>
        <v/>
      </c>
      <c r="V77" s="57"/>
      <c r="W77" s="57"/>
      <c r="X77" s="59" t="str">
        <f aca="false">IF(OR($V77="",$W77=""),"",INDEX(Reference!$C$68:$G$72,MATCH($V77,Reference!$B$52:$B$56,0),6-MATCH($W77,Reference!$B$60:$B$64,0)))</f>
        <v/>
      </c>
      <c r="Y77" s="59" t="str">
        <f aca="false">IF(OR($P77="",$X77=""),"",IF(MATCH($X77,Reference!$F$37:$F$40,0)&gt;MATCH($P77,Reference!$F$37:$F$40,0),"Improving",IF($X77=$P77,"Flat","Worsening")))</f>
        <v/>
      </c>
      <c r="Z77" s="57"/>
      <c r="AA77" s="62"/>
      <c r="AB77" s="63"/>
      <c r="AC77" s="64"/>
      <c r="AD77" s="64"/>
      <c r="AE77" s="64"/>
      <c r="AF77" s="59" t="str">
        <f aca="true">IF(OR($F77="",$AE77="",$AB77="Closed"),"",IF($AE77&lt;TODAY(),"Overdue",""))</f>
        <v/>
      </c>
      <c r="AG77" s="62"/>
      <c r="AH77" s="64"/>
      <c r="AI77" s="62"/>
    </row>
    <row r="78" customFormat="false" ht="33.75" hidden="false" customHeight="true" outlineLevel="0" collapsed="false">
      <c r="A78" s="54"/>
      <c r="B78" s="55" t="str">
        <f aca="false">IF($F78="","",ROW()-8)</f>
        <v/>
      </c>
      <c r="C78" s="56" t="str">
        <f aca="false">IF($F78="","","RSK-"&amp;TEXT(ROW()-8,"000"))</f>
        <v/>
      </c>
      <c r="D78" s="66"/>
      <c r="E78" s="67"/>
      <c r="F78" s="66"/>
      <c r="G78" s="66"/>
      <c r="H78" s="66"/>
      <c r="I78" s="66"/>
      <c r="J78" s="59" t="str">
        <f aca="false">IF(OR($H78="",$I78=""),"",INDEX(Reference!$C$68:$G$72,MATCH($H78,Reference!$B$52:$B$56,0),6-MATCH($I78,Reference!$B$60:$B$64,0)))</f>
        <v/>
      </c>
      <c r="K78" s="66"/>
      <c r="L78" s="66"/>
      <c r="M78" s="67"/>
      <c r="N78" s="66"/>
      <c r="O78" s="66"/>
      <c r="P78" s="59" t="str">
        <f aca="false">IF(OR($N78="",$O78=""),"",INDEX(Reference!$C$68:$G$72,MATCH($N78,Reference!$B$52:$B$56,0),6-MATCH($O78,Reference!$B$60:$B$64,0)))</f>
        <v/>
      </c>
      <c r="Q78" s="60" t="str">
        <f aca="false">IF(OR($N78="",$O78=""),"",INDEX(Reference!$F$52:$F$56,MATCH($N78,Reference!$B$52:$B$56,0))*INDEX(Reference!$F$60:$F$64,MATCH($O78,Reference!$B$60:$B$64,0)))</f>
        <v/>
      </c>
      <c r="R78" s="61" t="str">
        <f aca="false">IF(OR($N78="",$O78=""),"",ROUND(INDEX(Reference!$F$52:$F$56,MATCH($N78,Reference!$B$52:$B$56,0))*INDEX(Reference!$H$60:$H$64,MATCH($O78,Reference!$B$60:$B$64,0)),0))</f>
        <v/>
      </c>
      <c r="S78" s="66"/>
      <c r="T78" s="55" t="str">
        <f aca="false">IF($F78="","",COUNTIF('Treatment Actions'!$B$9:$B$208,$C78))</f>
        <v/>
      </c>
      <c r="U78" s="55" t="str">
        <f aca="false">IF($F78="","",COUNTIFS('Treatment Actions'!$B$9:$B$208,$C78,'Treatment Actions'!$F$9:$F$208,"Complete"))</f>
        <v/>
      </c>
      <c r="V78" s="66"/>
      <c r="W78" s="66"/>
      <c r="X78" s="59" t="str">
        <f aca="false">IF(OR($V78="",$W78=""),"",INDEX(Reference!$C$68:$G$72,MATCH($V78,Reference!$B$52:$B$56,0),6-MATCH($W78,Reference!$B$60:$B$64,0)))</f>
        <v/>
      </c>
      <c r="Y78" s="59" t="str">
        <f aca="false">IF(OR($P78="",$X78=""),"",IF(MATCH($X78,Reference!$F$37:$F$40,0)&gt;MATCH($P78,Reference!$F$37:$F$40,0),"Improving",IF($X78=$P78,"Flat","Worsening")))</f>
        <v/>
      </c>
      <c r="Z78" s="66"/>
      <c r="AA78" s="68"/>
      <c r="AB78" s="69"/>
      <c r="AC78" s="70"/>
      <c r="AD78" s="70"/>
      <c r="AE78" s="70"/>
      <c r="AF78" s="59" t="str">
        <f aca="true">IF(OR($F78="",$AE78="",$AB78="Closed"),"",IF($AE78&lt;TODAY(),"Overdue",""))</f>
        <v/>
      </c>
      <c r="AG78" s="68"/>
      <c r="AH78" s="70"/>
      <c r="AI78" s="68"/>
    </row>
    <row r="79" customFormat="false" ht="33.75" hidden="false" customHeight="true" outlineLevel="0" collapsed="false">
      <c r="A79" s="54"/>
      <c r="B79" s="55" t="str">
        <f aca="false">IF($F79="","",ROW()-8)</f>
        <v/>
      </c>
      <c r="C79" s="56" t="str">
        <f aca="false">IF($F79="","","RSK-"&amp;TEXT(ROW()-8,"000"))</f>
        <v/>
      </c>
      <c r="D79" s="57"/>
      <c r="E79" s="58"/>
      <c r="F79" s="57"/>
      <c r="G79" s="57"/>
      <c r="H79" s="57"/>
      <c r="I79" s="57"/>
      <c r="J79" s="59" t="str">
        <f aca="false">IF(OR($H79="",$I79=""),"",INDEX(Reference!$C$68:$G$72,MATCH($H79,Reference!$B$52:$B$56,0),6-MATCH($I79,Reference!$B$60:$B$64,0)))</f>
        <v/>
      </c>
      <c r="K79" s="57"/>
      <c r="L79" s="57"/>
      <c r="M79" s="58"/>
      <c r="N79" s="57"/>
      <c r="O79" s="57"/>
      <c r="P79" s="59" t="str">
        <f aca="false">IF(OR($N79="",$O79=""),"",INDEX(Reference!$C$68:$G$72,MATCH($N79,Reference!$B$52:$B$56,0),6-MATCH($O79,Reference!$B$60:$B$64,0)))</f>
        <v/>
      </c>
      <c r="Q79" s="60" t="str">
        <f aca="false">IF(OR($N79="",$O79=""),"",INDEX(Reference!$F$52:$F$56,MATCH($N79,Reference!$B$52:$B$56,0))*INDEX(Reference!$F$60:$F$64,MATCH($O79,Reference!$B$60:$B$64,0)))</f>
        <v/>
      </c>
      <c r="R79" s="61" t="str">
        <f aca="false">IF(OR($N79="",$O79=""),"",ROUND(INDEX(Reference!$F$52:$F$56,MATCH($N79,Reference!$B$52:$B$56,0))*INDEX(Reference!$H$60:$H$64,MATCH($O79,Reference!$B$60:$B$64,0)),0))</f>
        <v/>
      </c>
      <c r="S79" s="57"/>
      <c r="T79" s="55" t="str">
        <f aca="false">IF($F79="","",COUNTIF('Treatment Actions'!$B$9:$B$208,$C79))</f>
        <v/>
      </c>
      <c r="U79" s="55" t="str">
        <f aca="false">IF($F79="","",COUNTIFS('Treatment Actions'!$B$9:$B$208,$C79,'Treatment Actions'!$F$9:$F$208,"Complete"))</f>
        <v/>
      </c>
      <c r="V79" s="57"/>
      <c r="W79" s="57"/>
      <c r="X79" s="59" t="str">
        <f aca="false">IF(OR($V79="",$W79=""),"",INDEX(Reference!$C$68:$G$72,MATCH($V79,Reference!$B$52:$B$56,0),6-MATCH($W79,Reference!$B$60:$B$64,0)))</f>
        <v/>
      </c>
      <c r="Y79" s="59" t="str">
        <f aca="false">IF(OR($P79="",$X79=""),"",IF(MATCH($X79,Reference!$F$37:$F$40,0)&gt;MATCH($P79,Reference!$F$37:$F$40,0),"Improving",IF($X79=$P79,"Flat","Worsening")))</f>
        <v/>
      </c>
      <c r="Z79" s="57"/>
      <c r="AA79" s="62"/>
      <c r="AB79" s="63"/>
      <c r="AC79" s="64"/>
      <c r="AD79" s="64"/>
      <c r="AE79" s="64"/>
      <c r="AF79" s="59" t="str">
        <f aca="true">IF(OR($F79="",$AE79="",$AB79="Closed"),"",IF($AE79&lt;TODAY(),"Overdue",""))</f>
        <v/>
      </c>
      <c r="AG79" s="62"/>
      <c r="AH79" s="64"/>
      <c r="AI79" s="62"/>
    </row>
    <row r="80" customFormat="false" ht="33.75" hidden="false" customHeight="true" outlineLevel="0" collapsed="false">
      <c r="A80" s="54"/>
      <c r="B80" s="55" t="str">
        <f aca="false">IF($F80="","",ROW()-8)</f>
        <v/>
      </c>
      <c r="C80" s="56" t="str">
        <f aca="false">IF($F80="","","RSK-"&amp;TEXT(ROW()-8,"000"))</f>
        <v/>
      </c>
      <c r="D80" s="66"/>
      <c r="E80" s="67"/>
      <c r="F80" s="66"/>
      <c r="G80" s="66"/>
      <c r="H80" s="66"/>
      <c r="I80" s="66"/>
      <c r="J80" s="59" t="str">
        <f aca="false">IF(OR($H80="",$I80=""),"",INDEX(Reference!$C$68:$G$72,MATCH($H80,Reference!$B$52:$B$56,0),6-MATCH($I80,Reference!$B$60:$B$64,0)))</f>
        <v/>
      </c>
      <c r="K80" s="66"/>
      <c r="L80" s="66"/>
      <c r="M80" s="67"/>
      <c r="N80" s="66"/>
      <c r="O80" s="66"/>
      <c r="P80" s="59" t="str">
        <f aca="false">IF(OR($N80="",$O80=""),"",INDEX(Reference!$C$68:$G$72,MATCH($N80,Reference!$B$52:$B$56,0),6-MATCH($O80,Reference!$B$60:$B$64,0)))</f>
        <v/>
      </c>
      <c r="Q80" s="60" t="str">
        <f aca="false">IF(OR($N80="",$O80=""),"",INDEX(Reference!$F$52:$F$56,MATCH($N80,Reference!$B$52:$B$56,0))*INDEX(Reference!$F$60:$F$64,MATCH($O80,Reference!$B$60:$B$64,0)))</f>
        <v/>
      </c>
      <c r="R80" s="61" t="str">
        <f aca="false">IF(OR($N80="",$O80=""),"",ROUND(INDEX(Reference!$F$52:$F$56,MATCH($N80,Reference!$B$52:$B$56,0))*INDEX(Reference!$H$60:$H$64,MATCH($O80,Reference!$B$60:$B$64,0)),0))</f>
        <v/>
      </c>
      <c r="S80" s="66"/>
      <c r="T80" s="55" t="str">
        <f aca="false">IF($F80="","",COUNTIF('Treatment Actions'!$B$9:$B$208,$C80))</f>
        <v/>
      </c>
      <c r="U80" s="55" t="str">
        <f aca="false">IF($F80="","",COUNTIFS('Treatment Actions'!$B$9:$B$208,$C80,'Treatment Actions'!$F$9:$F$208,"Complete"))</f>
        <v/>
      </c>
      <c r="V80" s="66"/>
      <c r="W80" s="66"/>
      <c r="X80" s="59" t="str">
        <f aca="false">IF(OR($V80="",$W80=""),"",INDEX(Reference!$C$68:$G$72,MATCH($V80,Reference!$B$52:$B$56,0),6-MATCH($W80,Reference!$B$60:$B$64,0)))</f>
        <v/>
      </c>
      <c r="Y80" s="59" t="str">
        <f aca="false">IF(OR($P80="",$X80=""),"",IF(MATCH($X80,Reference!$F$37:$F$40,0)&gt;MATCH($P80,Reference!$F$37:$F$40,0),"Improving",IF($X80=$P80,"Flat","Worsening")))</f>
        <v/>
      </c>
      <c r="Z80" s="66"/>
      <c r="AA80" s="68"/>
      <c r="AB80" s="69"/>
      <c r="AC80" s="70"/>
      <c r="AD80" s="70"/>
      <c r="AE80" s="70"/>
      <c r="AF80" s="59" t="str">
        <f aca="true">IF(OR($F80="",$AE80="",$AB80="Closed"),"",IF($AE80&lt;TODAY(),"Overdue",""))</f>
        <v/>
      </c>
      <c r="AG80" s="68"/>
      <c r="AH80" s="70"/>
      <c r="AI80" s="68"/>
    </row>
    <row r="81" customFormat="false" ht="33.75" hidden="false" customHeight="true" outlineLevel="0" collapsed="false">
      <c r="A81" s="54"/>
      <c r="B81" s="55" t="str">
        <f aca="false">IF($F81="","",ROW()-8)</f>
        <v/>
      </c>
      <c r="C81" s="56" t="str">
        <f aca="false">IF($F81="","","RSK-"&amp;TEXT(ROW()-8,"000"))</f>
        <v/>
      </c>
      <c r="D81" s="57"/>
      <c r="E81" s="58"/>
      <c r="F81" s="57"/>
      <c r="G81" s="57"/>
      <c r="H81" s="57"/>
      <c r="I81" s="57"/>
      <c r="J81" s="59" t="str">
        <f aca="false">IF(OR($H81="",$I81=""),"",INDEX(Reference!$C$68:$G$72,MATCH($H81,Reference!$B$52:$B$56,0),6-MATCH($I81,Reference!$B$60:$B$64,0)))</f>
        <v/>
      </c>
      <c r="K81" s="57"/>
      <c r="L81" s="57"/>
      <c r="M81" s="58"/>
      <c r="N81" s="57"/>
      <c r="O81" s="57"/>
      <c r="P81" s="59" t="str">
        <f aca="false">IF(OR($N81="",$O81=""),"",INDEX(Reference!$C$68:$G$72,MATCH($N81,Reference!$B$52:$B$56,0),6-MATCH($O81,Reference!$B$60:$B$64,0)))</f>
        <v/>
      </c>
      <c r="Q81" s="60" t="str">
        <f aca="false">IF(OR($N81="",$O81=""),"",INDEX(Reference!$F$52:$F$56,MATCH($N81,Reference!$B$52:$B$56,0))*INDEX(Reference!$F$60:$F$64,MATCH($O81,Reference!$B$60:$B$64,0)))</f>
        <v/>
      </c>
      <c r="R81" s="61" t="str">
        <f aca="false">IF(OR($N81="",$O81=""),"",ROUND(INDEX(Reference!$F$52:$F$56,MATCH($N81,Reference!$B$52:$B$56,0))*INDEX(Reference!$H$60:$H$64,MATCH($O81,Reference!$B$60:$B$64,0)),0))</f>
        <v/>
      </c>
      <c r="S81" s="57"/>
      <c r="T81" s="55" t="str">
        <f aca="false">IF($F81="","",COUNTIF('Treatment Actions'!$B$9:$B$208,$C81))</f>
        <v/>
      </c>
      <c r="U81" s="55" t="str">
        <f aca="false">IF($F81="","",COUNTIFS('Treatment Actions'!$B$9:$B$208,$C81,'Treatment Actions'!$F$9:$F$208,"Complete"))</f>
        <v/>
      </c>
      <c r="V81" s="57"/>
      <c r="W81" s="57"/>
      <c r="X81" s="59" t="str">
        <f aca="false">IF(OR($V81="",$W81=""),"",INDEX(Reference!$C$68:$G$72,MATCH($V81,Reference!$B$52:$B$56,0),6-MATCH($W81,Reference!$B$60:$B$64,0)))</f>
        <v/>
      </c>
      <c r="Y81" s="59" t="str">
        <f aca="false">IF(OR($P81="",$X81=""),"",IF(MATCH($X81,Reference!$F$37:$F$40,0)&gt;MATCH($P81,Reference!$F$37:$F$40,0),"Improving",IF($X81=$P81,"Flat","Worsening")))</f>
        <v/>
      </c>
      <c r="Z81" s="57"/>
      <c r="AA81" s="62"/>
      <c r="AB81" s="63"/>
      <c r="AC81" s="64"/>
      <c r="AD81" s="64"/>
      <c r="AE81" s="64"/>
      <c r="AF81" s="59" t="str">
        <f aca="true">IF(OR($F81="",$AE81="",$AB81="Closed"),"",IF($AE81&lt;TODAY(),"Overdue",""))</f>
        <v/>
      </c>
      <c r="AG81" s="62"/>
      <c r="AH81" s="64"/>
      <c r="AI81" s="62"/>
    </row>
    <row r="82" customFormat="false" ht="33.75" hidden="false" customHeight="true" outlineLevel="0" collapsed="false">
      <c r="A82" s="54"/>
      <c r="B82" s="55" t="str">
        <f aca="false">IF($F82="","",ROW()-8)</f>
        <v/>
      </c>
      <c r="C82" s="56" t="str">
        <f aca="false">IF($F82="","","RSK-"&amp;TEXT(ROW()-8,"000"))</f>
        <v/>
      </c>
      <c r="D82" s="66"/>
      <c r="E82" s="67"/>
      <c r="F82" s="66"/>
      <c r="G82" s="66"/>
      <c r="H82" s="66"/>
      <c r="I82" s="66"/>
      <c r="J82" s="59" t="str">
        <f aca="false">IF(OR($H82="",$I82=""),"",INDEX(Reference!$C$68:$G$72,MATCH($H82,Reference!$B$52:$B$56,0),6-MATCH($I82,Reference!$B$60:$B$64,0)))</f>
        <v/>
      </c>
      <c r="K82" s="66"/>
      <c r="L82" s="66"/>
      <c r="M82" s="67"/>
      <c r="N82" s="66"/>
      <c r="O82" s="66"/>
      <c r="P82" s="59" t="str">
        <f aca="false">IF(OR($N82="",$O82=""),"",INDEX(Reference!$C$68:$G$72,MATCH($N82,Reference!$B$52:$B$56,0),6-MATCH($O82,Reference!$B$60:$B$64,0)))</f>
        <v/>
      </c>
      <c r="Q82" s="60" t="str">
        <f aca="false">IF(OR($N82="",$O82=""),"",INDEX(Reference!$F$52:$F$56,MATCH($N82,Reference!$B$52:$B$56,0))*INDEX(Reference!$F$60:$F$64,MATCH($O82,Reference!$B$60:$B$64,0)))</f>
        <v/>
      </c>
      <c r="R82" s="61" t="str">
        <f aca="false">IF(OR($N82="",$O82=""),"",ROUND(INDEX(Reference!$F$52:$F$56,MATCH($N82,Reference!$B$52:$B$56,0))*INDEX(Reference!$H$60:$H$64,MATCH($O82,Reference!$B$60:$B$64,0)),0))</f>
        <v/>
      </c>
      <c r="S82" s="66"/>
      <c r="T82" s="55" t="str">
        <f aca="false">IF($F82="","",COUNTIF('Treatment Actions'!$B$9:$B$208,$C82))</f>
        <v/>
      </c>
      <c r="U82" s="55" t="str">
        <f aca="false">IF($F82="","",COUNTIFS('Treatment Actions'!$B$9:$B$208,$C82,'Treatment Actions'!$F$9:$F$208,"Complete"))</f>
        <v/>
      </c>
      <c r="V82" s="66"/>
      <c r="W82" s="66"/>
      <c r="X82" s="59" t="str">
        <f aca="false">IF(OR($V82="",$W82=""),"",INDEX(Reference!$C$68:$G$72,MATCH($V82,Reference!$B$52:$B$56,0),6-MATCH($W82,Reference!$B$60:$B$64,0)))</f>
        <v/>
      </c>
      <c r="Y82" s="59" t="str">
        <f aca="false">IF(OR($P82="",$X82=""),"",IF(MATCH($X82,Reference!$F$37:$F$40,0)&gt;MATCH($P82,Reference!$F$37:$F$40,0),"Improving",IF($X82=$P82,"Flat","Worsening")))</f>
        <v/>
      </c>
      <c r="Z82" s="66"/>
      <c r="AA82" s="68"/>
      <c r="AB82" s="69"/>
      <c r="AC82" s="70"/>
      <c r="AD82" s="70"/>
      <c r="AE82" s="70"/>
      <c r="AF82" s="59" t="str">
        <f aca="true">IF(OR($F82="",$AE82="",$AB82="Closed"),"",IF($AE82&lt;TODAY(),"Overdue",""))</f>
        <v/>
      </c>
      <c r="AG82" s="68"/>
      <c r="AH82" s="70"/>
      <c r="AI82" s="68"/>
    </row>
    <row r="83" customFormat="false" ht="33.75" hidden="false" customHeight="true" outlineLevel="0" collapsed="false">
      <c r="A83" s="54"/>
      <c r="B83" s="55" t="str">
        <f aca="false">IF($F83="","",ROW()-8)</f>
        <v/>
      </c>
      <c r="C83" s="56" t="str">
        <f aca="false">IF($F83="","","RSK-"&amp;TEXT(ROW()-8,"000"))</f>
        <v/>
      </c>
      <c r="D83" s="57"/>
      <c r="E83" s="58"/>
      <c r="F83" s="57"/>
      <c r="G83" s="57"/>
      <c r="H83" s="57"/>
      <c r="I83" s="57"/>
      <c r="J83" s="59" t="str">
        <f aca="false">IF(OR($H83="",$I83=""),"",INDEX(Reference!$C$68:$G$72,MATCH($H83,Reference!$B$52:$B$56,0),6-MATCH($I83,Reference!$B$60:$B$64,0)))</f>
        <v/>
      </c>
      <c r="K83" s="57"/>
      <c r="L83" s="57"/>
      <c r="M83" s="58"/>
      <c r="N83" s="57"/>
      <c r="O83" s="57"/>
      <c r="P83" s="59" t="str">
        <f aca="false">IF(OR($N83="",$O83=""),"",INDEX(Reference!$C$68:$G$72,MATCH($N83,Reference!$B$52:$B$56,0),6-MATCH($O83,Reference!$B$60:$B$64,0)))</f>
        <v/>
      </c>
      <c r="Q83" s="60" t="str">
        <f aca="false">IF(OR($N83="",$O83=""),"",INDEX(Reference!$F$52:$F$56,MATCH($N83,Reference!$B$52:$B$56,0))*INDEX(Reference!$F$60:$F$64,MATCH($O83,Reference!$B$60:$B$64,0)))</f>
        <v/>
      </c>
      <c r="R83" s="61" t="str">
        <f aca="false">IF(OR($N83="",$O83=""),"",ROUND(INDEX(Reference!$F$52:$F$56,MATCH($N83,Reference!$B$52:$B$56,0))*INDEX(Reference!$H$60:$H$64,MATCH($O83,Reference!$B$60:$B$64,0)),0))</f>
        <v/>
      </c>
      <c r="S83" s="57"/>
      <c r="T83" s="55" t="str">
        <f aca="false">IF($F83="","",COUNTIF('Treatment Actions'!$B$9:$B$208,$C83))</f>
        <v/>
      </c>
      <c r="U83" s="55" t="str">
        <f aca="false">IF($F83="","",COUNTIFS('Treatment Actions'!$B$9:$B$208,$C83,'Treatment Actions'!$F$9:$F$208,"Complete"))</f>
        <v/>
      </c>
      <c r="V83" s="57"/>
      <c r="W83" s="57"/>
      <c r="X83" s="59" t="str">
        <f aca="false">IF(OR($V83="",$W83=""),"",INDEX(Reference!$C$68:$G$72,MATCH($V83,Reference!$B$52:$B$56,0),6-MATCH($W83,Reference!$B$60:$B$64,0)))</f>
        <v/>
      </c>
      <c r="Y83" s="59" t="str">
        <f aca="false">IF(OR($P83="",$X83=""),"",IF(MATCH($X83,Reference!$F$37:$F$40,0)&gt;MATCH($P83,Reference!$F$37:$F$40,0),"Improving",IF($X83=$P83,"Flat","Worsening")))</f>
        <v/>
      </c>
      <c r="Z83" s="57"/>
      <c r="AA83" s="62"/>
      <c r="AB83" s="63"/>
      <c r="AC83" s="64"/>
      <c r="AD83" s="64"/>
      <c r="AE83" s="64"/>
      <c r="AF83" s="59" t="str">
        <f aca="true">IF(OR($F83="",$AE83="",$AB83="Closed"),"",IF($AE83&lt;TODAY(),"Overdue",""))</f>
        <v/>
      </c>
      <c r="AG83" s="62"/>
      <c r="AH83" s="64"/>
      <c r="AI83" s="62"/>
    </row>
    <row r="84" customFormat="false" ht="33.75" hidden="false" customHeight="true" outlineLevel="0" collapsed="false">
      <c r="A84" s="54"/>
      <c r="B84" s="55" t="str">
        <f aca="false">IF($F84="","",ROW()-8)</f>
        <v/>
      </c>
      <c r="C84" s="56" t="str">
        <f aca="false">IF($F84="","","RSK-"&amp;TEXT(ROW()-8,"000"))</f>
        <v/>
      </c>
      <c r="D84" s="66"/>
      <c r="E84" s="67"/>
      <c r="F84" s="66"/>
      <c r="G84" s="66"/>
      <c r="H84" s="66"/>
      <c r="I84" s="66"/>
      <c r="J84" s="59" t="str">
        <f aca="false">IF(OR($H84="",$I84=""),"",INDEX(Reference!$C$68:$G$72,MATCH($H84,Reference!$B$52:$B$56,0),6-MATCH($I84,Reference!$B$60:$B$64,0)))</f>
        <v/>
      </c>
      <c r="K84" s="66"/>
      <c r="L84" s="66"/>
      <c r="M84" s="67"/>
      <c r="N84" s="66"/>
      <c r="O84" s="66"/>
      <c r="P84" s="59" t="str">
        <f aca="false">IF(OR($N84="",$O84=""),"",INDEX(Reference!$C$68:$G$72,MATCH($N84,Reference!$B$52:$B$56,0),6-MATCH($O84,Reference!$B$60:$B$64,0)))</f>
        <v/>
      </c>
      <c r="Q84" s="60" t="str">
        <f aca="false">IF(OR($N84="",$O84=""),"",INDEX(Reference!$F$52:$F$56,MATCH($N84,Reference!$B$52:$B$56,0))*INDEX(Reference!$F$60:$F$64,MATCH($O84,Reference!$B$60:$B$64,0)))</f>
        <v/>
      </c>
      <c r="R84" s="61" t="str">
        <f aca="false">IF(OR($N84="",$O84=""),"",ROUND(INDEX(Reference!$F$52:$F$56,MATCH($N84,Reference!$B$52:$B$56,0))*INDEX(Reference!$H$60:$H$64,MATCH($O84,Reference!$B$60:$B$64,0)),0))</f>
        <v/>
      </c>
      <c r="S84" s="66"/>
      <c r="T84" s="55" t="str">
        <f aca="false">IF($F84="","",COUNTIF('Treatment Actions'!$B$9:$B$208,$C84))</f>
        <v/>
      </c>
      <c r="U84" s="55" t="str">
        <f aca="false">IF($F84="","",COUNTIFS('Treatment Actions'!$B$9:$B$208,$C84,'Treatment Actions'!$F$9:$F$208,"Complete"))</f>
        <v/>
      </c>
      <c r="V84" s="66"/>
      <c r="W84" s="66"/>
      <c r="X84" s="59" t="str">
        <f aca="false">IF(OR($V84="",$W84=""),"",INDEX(Reference!$C$68:$G$72,MATCH($V84,Reference!$B$52:$B$56,0),6-MATCH($W84,Reference!$B$60:$B$64,0)))</f>
        <v/>
      </c>
      <c r="Y84" s="59" t="str">
        <f aca="false">IF(OR($P84="",$X84=""),"",IF(MATCH($X84,Reference!$F$37:$F$40,0)&gt;MATCH($P84,Reference!$F$37:$F$40,0),"Improving",IF($X84=$P84,"Flat","Worsening")))</f>
        <v/>
      </c>
      <c r="Z84" s="66"/>
      <c r="AA84" s="68"/>
      <c r="AB84" s="69"/>
      <c r="AC84" s="70"/>
      <c r="AD84" s="70"/>
      <c r="AE84" s="70"/>
      <c r="AF84" s="59" t="str">
        <f aca="true">IF(OR($F84="",$AE84="",$AB84="Closed"),"",IF($AE84&lt;TODAY(),"Overdue",""))</f>
        <v/>
      </c>
      <c r="AG84" s="68"/>
      <c r="AH84" s="70"/>
      <c r="AI84" s="68"/>
    </row>
    <row r="85" customFormat="false" ht="33.75" hidden="false" customHeight="true" outlineLevel="0" collapsed="false">
      <c r="A85" s="54"/>
      <c r="B85" s="55" t="str">
        <f aca="false">IF($F85="","",ROW()-8)</f>
        <v/>
      </c>
      <c r="C85" s="56" t="str">
        <f aca="false">IF($F85="","","RSK-"&amp;TEXT(ROW()-8,"000"))</f>
        <v/>
      </c>
      <c r="D85" s="57"/>
      <c r="E85" s="58"/>
      <c r="F85" s="57"/>
      <c r="G85" s="57"/>
      <c r="H85" s="57"/>
      <c r="I85" s="57"/>
      <c r="J85" s="59" t="str">
        <f aca="false">IF(OR($H85="",$I85=""),"",INDEX(Reference!$C$68:$G$72,MATCH($H85,Reference!$B$52:$B$56,0),6-MATCH($I85,Reference!$B$60:$B$64,0)))</f>
        <v/>
      </c>
      <c r="K85" s="57"/>
      <c r="L85" s="57"/>
      <c r="M85" s="58"/>
      <c r="N85" s="57"/>
      <c r="O85" s="57"/>
      <c r="P85" s="59" t="str">
        <f aca="false">IF(OR($N85="",$O85=""),"",INDEX(Reference!$C$68:$G$72,MATCH($N85,Reference!$B$52:$B$56,0),6-MATCH($O85,Reference!$B$60:$B$64,0)))</f>
        <v/>
      </c>
      <c r="Q85" s="60" t="str">
        <f aca="false">IF(OR($N85="",$O85=""),"",INDEX(Reference!$F$52:$F$56,MATCH($N85,Reference!$B$52:$B$56,0))*INDEX(Reference!$F$60:$F$64,MATCH($O85,Reference!$B$60:$B$64,0)))</f>
        <v/>
      </c>
      <c r="R85" s="61" t="str">
        <f aca="false">IF(OR($N85="",$O85=""),"",ROUND(INDEX(Reference!$F$52:$F$56,MATCH($N85,Reference!$B$52:$B$56,0))*INDEX(Reference!$H$60:$H$64,MATCH($O85,Reference!$B$60:$B$64,0)),0))</f>
        <v/>
      </c>
      <c r="S85" s="57"/>
      <c r="T85" s="55" t="str">
        <f aca="false">IF($F85="","",COUNTIF('Treatment Actions'!$B$9:$B$208,$C85))</f>
        <v/>
      </c>
      <c r="U85" s="55" t="str">
        <f aca="false">IF($F85="","",COUNTIFS('Treatment Actions'!$B$9:$B$208,$C85,'Treatment Actions'!$F$9:$F$208,"Complete"))</f>
        <v/>
      </c>
      <c r="V85" s="57"/>
      <c r="W85" s="57"/>
      <c r="X85" s="59" t="str">
        <f aca="false">IF(OR($V85="",$W85=""),"",INDEX(Reference!$C$68:$G$72,MATCH($V85,Reference!$B$52:$B$56,0),6-MATCH($W85,Reference!$B$60:$B$64,0)))</f>
        <v/>
      </c>
      <c r="Y85" s="59" t="str">
        <f aca="false">IF(OR($P85="",$X85=""),"",IF(MATCH($X85,Reference!$F$37:$F$40,0)&gt;MATCH($P85,Reference!$F$37:$F$40,0),"Improving",IF($X85=$P85,"Flat","Worsening")))</f>
        <v/>
      </c>
      <c r="Z85" s="57"/>
      <c r="AA85" s="62"/>
      <c r="AB85" s="63"/>
      <c r="AC85" s="64"/>
      <c r="AD85" s="64"/>
      <c r="AE85" s="64"/>
      <c r="AF85" s="59" t="str">
        <f aca="true">IF(OR($F85="",$AE85="",$AB85="Closed"),"",IF($AE85&lt;TODAY(),"Overdue",""))</f>
        <v/>
      </c>
      <c r="AG85" s="62"/>
      <c r="AH85" s="64"/>
      <c r="AI85" s="62"/>
    </row>
    <row r="86" customFormat="false" ht="33.75" hidden="false" customHeight="true" outlineLevel="0" collapsed="false">
      <c r="A86" s="54"/>
      <c r="B86" s="55" t="str">
        <f aca="false">IF($F86="","",ROW()-8)</f>
        <v/>
      </c>
      <c r="C86" s="56" t="str">
        <f aca="false">IF($F86="","","RSK-"&amp;TEXT(ROW()-8,"000"))</f>
        <v/>
      </c>
      <c r="D86" s="66"/>
      <c r="E86" s="67"/>
      <c r="F86" s="66"/>
      <c r="G86" s="66"/>
      <c r="H86" s="66"/>
      <c r="I86" s="66"/>
      <c r="J86" s="59" t="str">
        <f aca="false">IF(OR($H86="",$I86=""),"",INDEX(Reference!$C$68:$G$72,MATCH($H86,Reference!$B$52:$B$56,0),6-MATCH($I86,Reference!$B$60:$B$64,0)))</f>
        <v/>
      </c>
      <c r="K86" s="66"/>
      <c r="L86" s="66"/>
      <c r="M86" s="67"/>
      <c r="N86" s="66"/>
      <c r="O86" s="66"/>
      <c r="P86" s="59" t="str">
        <f aca="false">IF(OR($N86="",$O86=""),"",INDEX(Reference!$C$68:$G$72,MATCH($N86,Reference!$B$52:$B$56,0),6-MATCH($O86,Reference!$B$60:$B$64,0)))</f>
        <v/>
      </c>
      <c r="Q86" s="60" t="str">
        <f aca="false">IF(OR($N86="",$O86=""),"",INDEX(Reference!$F$52:$F$56,MATCH($N86,Reference!$B$52:$B$56,0))*INDEX(Reference!$F$60:$F$64,MATCH($O86,Reference!$B$60:$B$64,0)))</f>
        <v/>
      </c>
      <c r="R86" s="61" t="str">
        <f aca="false">IF(OR($N86="",$O86=""),"",ROUND(INDEX(Reference!$F$52:$F$56,MATCH($N86,Reference!$B$52:$B$56,0))*INDEX(Reference!$H$60:$H$64,MATCH($O86,Reference!$B$60:$B$64,0)),0))</f>
        <v/>
      </c>
      <c r="S86" s="66"/>
      <c r="T86" s="55" t="str">
        <f aca="false">IF($F86="","",COUNTIF('Treatment Actions'!$B$9:$B$208,$C86))</f>
        <v/>
      </c>
      <c r="U86" s="55" t="str">
        <f aca="false">IF($F86="","",COUNTIFS('Treatment Actions'!$B$9:$B$208,$C86,'Treatment Actions'!$F$9:$F$208,"Complete"))</f>
        <v/>
      </c>
      <c r="V86" s="66"/>
      <c r="W86" s="66"/>
      <c r="X86" s="59" t="str">
        <f aca="false">IF(OR($V86="",$W86=""),"",INDEX(Reference!$C$68:$G$72,MATCH($V86,Reference!$B$52:$B$56,0),6-MATCH($W86,Reference!$B$60:$B$64,0)))</f>
        <v/>
      </c>
      <c r="Y86" s="59" t="str">
        <f aca="false">IF(OR($P86="",$X86=""),"",IF(MATCH($X86,Reference!$F$37:$F$40,0)&gt;MATCH($P86,Reference!$F$37:$F$40,0),"Improving",IF($X86=$P86,"Flat","Worsening")))</f>
        <v/>
      </c>
      <c r="Z86" s="66"/>
      <c r="AA86" s="68"/>
      <c r="AB86" s="69"/>
      <c r="AC86" s="70"/>
      <c r="AD86" s="70"/>
      <c r="AE86" s="70"/>
      <c r="AF86" s="59" t="str">
        <f aca="true">IF(OR($F86="",$AE86="",$AB86="Closed"),"",IF($AE86&lt;TODAY(),"Overdue",""))</f>
        <v/>
      </c>
      <c r="AG86" s="68"/>
      <c r="AH86" s="70"/>
      <c r="AI86" s="68"/>
    </row>
    <row r="87" customFormat="false" ht="33.75" hidden="false" customHeight="true" outlineLevel="0" collapsed="false">
      <c r="A87" s="54"/>
      <c r="B87" s="55" t="str">
        <f aca="false">IF($F87="","",ROW()-8)</f>
        <v/>
      </c>
      <c r="C87" s="56" t="str">
        <f aca="false">IF($F87="","","RSK-"&amp;TEXT(ROW()-8,"000"))</f>
        <v/>
      </c>
      <c r="D87" s="57"/>
      <c r="E87" s="58"/>
      <c r="F87" s="57"/>
      <c r="G87" s="57"/>
      <c r="H87" s="57"/>
      <c r="I87" s="57"/>
      <c r="J87" s="59" t="str">
        <f aca="false">IF(OR($H87="",$I87=""),"",INDEX(Reference!$C$68:$G$72,MATCH($H87,Reference!$B$52:$B$56,0),6-MATCH($I87,Reference!$B$60:$B$64,0)))</f>
        <v/>
      </c>
      <c r="K87" s="57"/>
      <c r="L87" s="57"/>
      <c r="M87" s="58"/>
      <c r="N87" s="57"/>
      <c r="O87" s="57"/>
      <c r="P87" s="59" t="str">
        <f aca="false">IF(OR($N87="",$O87=""),"",INDEX(Reference!$C$68:$G$72,MATCH($N87,Reference!$B$52:$B$56,0),6-MATCH($O87,Reference!$B$60:$B$64,0)))</f>
        <v/>
      </c>
      <c r="Q87" s="60" t="str">
        <f aca="false">IF(OR($N87="",$O87=""),"",INDEX(Reference!$F$52:$F$56,MATCH($N87,Reference!$B$52:$B$56,0))*INDEX(Reference!$F$60:$F$64,MATCH($O87,Reference!$B$60:$B$64,0)))</f>
        <v/>
      </c>
      <c r="R87" s="61" t="str">
        <f aca="false">IF(OR($N87="",$O87=""),"",ROUND(INDEX(Reference!$F$52:$F$56,MATCH($N87,Reference!$B$52:$B$56,0))*INDEX(Reference!$H$60:$H$64,MATCH($O87,Reference!$B$60:$B$64,0)),0))</f>
        <v/>
      </c>
      <c r="S87" s="57"/>
      <c r="T87" s="55" t="str">
        <f aca="false">IF($F87="","",COUNTIF('Treatment Actions'!$B$9:$B$208,$C87))</f>
        <v/>
      </c>
      <c r="U87" s="55" t="str">
        <f aca="false">IF($F87="","",COUNTIFS('Treatment Actions'!$B$9:$B$208,$C87,'Treatment Actions'!$F$9:$F$208,"Complete"))</f>
        <v/>
      </c>
      <c r="V87" s="57"/>
      <c r="W87" s="57"/>
      <c r="X87" s="59" t="str">
        <f aca="false">IF(OR($V87="",$W87=""),"",INDEX(Reference!$C$68:$G$72,MATCH($V87,Reference!$B$52:$B$56,0),6-MATCH($W87,Reference!$B$60:$B$64,0)))</f>
        <v/>
      </c>
      <c r="Y87" s="59" t="str">
        <f aca="false">IF(OR($P87="",$X87=""),"",IF(MATCH($X87,Reference!$F$37:$F$40,0)&gt;MATCH($P87,Reference!$F$37:$F$40,0),"Improving",IF($X87=$P87,"Flat","Worsening")))</f>
        <v/>
      </c>
      <c r="Z87" s="57"/>
      <c r="AA87" s="62"/>
      <c r="AB87" s="63"/>
      <c r="AC87" s="64"/>
      <c r="AD87" s="64"/>
      <c r="AE87" s="64"/>
      <c r="AF87" s="59" t="str">
        <f aca="true">IF(OR($F87="",$AE87="",$AB87="Closed"),"",IF($AE87&lt;TODAY(),"Overdue",""))</f>
        <v/>
      </c>
      <c r="AG87" s="62"/>
      <c r="AH87" s="64"/>
      <c r="AI87" s="62"/>
    </row>
    <row r="88" customFormat="false" ht="33.75" hidden="false" customHeight="true" outlineLevel="0" collapsed="false">
      <c r="A88" s="54"/>
      <c r="B88" s="55" t="str">
        <f aca="false">IF($F88="","",ROW()-8)</f>
        <v/>
      </c>
      <c r="C88" s="56" t="str">
        <f aca="false">IF($F88="","","RSK-"&amp;TEXT(ROW()-8,"000"))</f>
        <v/>
      </c>
      <c r="D88" s="66"/>
      <c r="E88" s="67"/>
      <c r="F88" s="66"/>
      <c r="G88" s="66"/>
      <c r="H88" s="66"/>
      <c r="I88" s="66"/>
      <c r="J88" s="59" t="str">
        <f aca="false">IF(OR($H88="",$I88=""),"",INDEX(Reference!$C$68:$G$72,MATCH($H88,Reference!$B$52:$B$56,0),6-MATCH($I88,Reference!$B$60:$B$64,0)))</f>
        <v/>
      </c>
      <c r="K88" s="66"/>
      <c r="L88" s="66"/>
      <c r="M88" s="67"/>
      <c r="N88" s="66"/>
      <c r="O88" s="66"/>
      <c r="P88" s="59" t="str">
        <f aca="false">IF(OR($N88="",$O88=""),"",INDEX(Reference!$C$68:$G$72,MATCH($N88,Reference!$B$52:$B$56,0),6-MATCH($O88,Reference!$B$60:$B$64,0)))</f>
        <v/>
      </c>
      <c r="Q88" s="60" t="str">
        <f aca="false">IF(OR($N88="",$O88=""),"",INDEX(Reference!$F$52:$F$56,MATCH($N88,Reference!$B$52:$B$56,0))*INDEX(Reference!$F$60:$F$64,MATCH($O88,Reference!$B$60:$B$64,0)))</f>
        <v/>
      </c>
      <c r="R88" s="61" t="str">
        <f aca="false">IF(OR($N88="",$O88=""),"",ROUND(INDEX(Reference!$F$52:$F$56,MATCH($N88,Reference!$B$52:$B$56,0))*INDEX(Reference!$H$60:$H$64,MATCH($O88,Reference!$B$60:$B$64,0)),0))</f>
        <v/>
      </c>
      <c r="S88" s="66"/>
      <c r="T88" s="55" t="str">
        <f aca="false">IF($F88="","",COUNTIF('Treatment Actions'!$B$9:$B$208,$C88))</f>
        <v/>
      </c>
      <c r="U88" s="55" t="str">
        <f aca="false">IF($F88="","",COUNTIFS('Treatment Actions'!$B$9:$B$208,$C88,'Treatment Actions'!$F$9:$F$208,"Complete"))</f>
        <v/>
      </c>
      <c r="V88" s="66"/>
      <c r="W88" s="66"/>
      <c r="X88" s="59" t="str">
        <f aca="false">IF(OR($V88="",$W88=""),"",INDEX(Reference!$C$68:$G$72,MATCH($V88,Reference!$B$52:$B$56,0),6-MATCH($W88,Reference!$B$60:$B$64,0)))</f>
        <v/>
      </c>
      <c r="Y88" s="59" t="str">
        <f aca="false">IF(OR($P88="",$X88=""),"",IF(MATCH($X88,Reference!$F$37:$F$40,0)&gt;MATCH($P88,Reference!$F$37:$F$40,0),"Improving",IF($X88=$P88,"Flat","Worsening")))</f>
        <v/>
      </c>
      <c r="Z88" s="66"/>
      <c r="AA88" s="68"/>
      <c r="AB88" s="69"/>
      <c r="AC88" s="70"/>
      <c r="AD88" s="70"/>
      <c r="AE88" s="70"/>
      <c r="AF88" s="59" t="str">
        <f aca="true">IF(OR($F88="",$AE88="",$AB88="Closed"),"",IF($AE88&lt;TODAY(),"Overdue",""))</f>
        <v/>
      </c>
      <c r="AG88" s="68"/>
      <c r="AH88" s="70"/>
      <c r="AI88" s="68"/>
    </row>
    <row r="89" customFormat="false" ht="33.75" hidden="false" customHeight="true" outlineLevel="0" collapsed="false">
      <c r="A89" s="54"/>
      <c r="B89" s="55" t="str">
        <f aca="false">IF($F89="","",ROW()-8)</f>
        <v/>
      </c>
      <c r="C89" s="56" t="str">
        <f aca="false">IF($F89="","","RSK-"&amp;TEXT(ROW()-8,"000"))</f>
        <v/>
      </c>
      <c r="D89" s="57"/>
      <c r="E89" s="58"/>
      <c r="F89" s="57"/>
      <c r="G89" s="57"/>
      <c r="H89" s="57"/>
      <c r="I89" s="57"/>
      <c r="J89" s="59" t="str">
        <f aca="false">IF(OR($H89="",$I89=""),"",INDEX(Reference!$C$68:$G$72,MATCH($H89,Reference!$B$52:$B$56,0),6-MATCH($I89,Reference!$B$60:$B$64,0)))</f>
        <v/>
      </c>
      <c r="K89" s="57"/>
      <c r="L89" s="57"/>
      <c r="M89" s="58"/>
      <c r="N89" s="57"/>
      <c r="O89" s="57"/>
      <c r="P89" s="59" t="str">
        <f aca="false">IF(OR($N89="",$O89=""),"",INDEX(Reference!$C$68:$G$72,MATCH($N89,Reference!$B$52:$B$56,0),6-MATCH($O89,Reference!$B$60:$B$64,0)))</f>
        <v/>
      </c>
      <c r="Q89" s="60" t="str">
        <f aca="false">IF(OR($N89="",$O89=""),"",INDEX(Reference!$F$52:$F$56,MATCH($N89,Reference!$B$52:$B$56,0))*INDEX(Reference!$F$60:$F$64,MATCH($O89,Reference!$B$60:$B$64,0)))</f>
        <v/>
      </c>
      <c r="R89" s="61" t="str">
        <f aca="false">IF(OR($N89="",$O89=""),"",ROUND(INDEX(Reference!$F$52:$F$56,MATCH($N89,Reference!$B$52:$B$56,0))*INDEX(Reference!$H$60:$H$64,MATCH($O89,Reference!$B$60:$B$64,0)),0))</f>
        <v/>
      </c>
      <c r="S89" s="57"/>
      <c r="T89" s="55" t="str">
        <f aca="false">IF($F89="","",COUNTIF('Treatment Actions'!$B$9:$B$208,$C89))</f>
        <v/>
      </c>
      <c r="U89" s="55" t="str">
        <f aca="false">IF($F89="","",COUNTIFS('Treatment Actions'!$B$9:$B$208,$C89,'Treatment Actions'!$F$9:$F$208,"Complete"))</f>
        <v/>
      </c>
      <c r="V89" s="57"/>
      <c r="W89" s="57"/>
      <c r="X89" s="59" t="str">
        <f aca="false">IF(OR($V89="",$W89=""),"",INDEX(Reference!$C$68:$G$72,MATCH($V89,Reference!$B$52:$B$56,0),6-MATCH($W89,Reference!$B$60:$B$64,0)))</f>
        <v/>
      </c>
      <c r="Y89" s="59" t="str">
        <f aca="false">IF(OR($P89="",$X89=""),"",IF(MATCH($X89,Reference!$F$37:$F$40,0)&gt;MATCH($P89,Reference!$F$37:$F$40,0),"Improving",IF($X89=$P89,"Flat","Worsening")))</f>
        <v/>
      </c>
      <c r="Z89" s="57"/>
      <c r="AA89" s="62"/>
      <c r="AB89" s="63"/>
      <c r="AC89" s="64"/>
      <c r="AD89" s="64"/>
      <c r="AE89" s="64"/>
      <c r="AF89" s="59" t="str">
        <f aca="true">IF(OR($F89="",$AE89="",$AB89="Closed"),"",IF($AE89&lt;TODAY(),"Overdue",""))</f>
        <v/>
      </c>
      <c r="AG89" s="62"/>
      <c r="AH89" s="64"/>
      <c r="AI89" s="62"/>
    </row>
    <row r="90" customFormat="false" ht="33.75" hidden="false" customHeight="true" outlineLevel="0" collapsed="false">
      <c r="A90" s="54"/>
      <c r="B90" s="55" t="str">
        <f aca="false">IF($F90="","",ROW()-8)</f>
        <v/>
      </c>
      <c r="C90" s="56" t="str">
        <f aca="false">IF($F90="","","RSK-"&amp;TEXT(ROW()-8,"000"))</f>
        <v/>
      </c>
      <c r="D90" s="66"/>
      <c r="E90" s="67"/>
      <c r="F90" s="66"/>
      <c r="G90" s="66"/>
      <c r="H90" s="66"/>
      <c r="I90" s="66"/>
      <c r="J90" s="59" t="str">
        <f aca="false">IF(OR($H90="",$I90=""),"",INDEX(Reference!$C$68:$G$72,MATCH($H90,Reference!$B$52:$B$56,0),6-MATCH($I90,Reference!$B$60:$B$64,0)))</f>
        <v/>
      </c>
      <c r="K90" s="66"/>
      <c r="L90" s="66"/>
      <c r="M90" s="67"/>
      <c r="N90" s="66"/>
      <c r="O90" s="66"/>
      <c r="P90" s="59" t="str">
        <f aca="false">IF(OR($N90="",$O90=""),"",INDEX(Reference!$C$68:$G$72,MATCH($N90,Reference!$B$52:$B$56,0),6-MATCH($O90,Reference!$B$60:$B$64,0)))</f>
        <v/>
      </c>
      <c r="Q90" s="60" t="str">
        <f aca="false">IF(OR($N90="",$O90=""),"",INDEX(Reference!$F$52:$F$56,MATCH($N90,Reference!$B$52:$B$56,0))*INDEX(Reference!$F$60:$F$64,MATCH($O90,Reference!$B$60:$B$64,0)))</f>
        <v/>
      </c>
      <c r="R90" s="61" t="str">
        <f aca="false">IF(OR($N90="",$O90=""),"",ROUND(INDEX(Reference!$F$52:$F$56,MATCH($N90,Reference!$B$52:$B$56,0))*INDEX(Reference!$H$60:$H$64,MATCH($O90,Reference!$B$60:$B$64,0)),0))</f>
        <v/>
      </c>
      <c r="S90" s="66"/>
      <c r="T90" s="55" t="str">
        <f aca="false">IF($F90="","",COUNTIF('Treatment Actions'!$B$9:$B$208,$C90))</f>
        <v/>
      </c>
      <c r="U90" s="55" t="str">
        <f aca="false">IF($F90="","",COUNTIFS('Treatment Actions'!$B$9:$B$208,$C90,'Treatment Actions'!$F$9:$F$208,"Complete"))</f>
        <v/>
      </c>
      <c r="V90" s="66"/>
      <c r="W90" s="66"/>
      <c r="X90" s="59" t="str">
        <f aca="false">IF(OR($V90="",$W90=""),"",INDEX(Reference!$C$68:$G$72,MATCH($V90,Reference!$B$52:$B$56,0),6-MATCH($W90,Reference!$B$60:$B$64,0)))</f>
        <v/>
      </c>
      <c r="Y90" s="59" t="str">
        <f aca="false">IF(OR($P90="",$X90=""),"",IF(MATCH($X90,Reference!$F$37:$F$40,0)&gt;MATCH($P90,Reference!$F$37:$F$40,0),"Improving",IF($X90=$P90,"Flat","Worsening")))</f>
        <v/>
      </c>
      <c r="Z90" s="66"/>
      <c r="AA90" s="68"/>
      <c r="AB90" s="69"/>
      <c r="AC90" s="70"/>
      <c r="AD90" s="70"/>
      <c r="AE90" s="70"/>
      <c r="AF90" s="59" t="str">
        <f aca="true">IF(OR($F90="",$AE90="",$AB90="Closed"),"",IF($AE90&lt;TODAY(),"Overdue",""))</f>
        <v/>
      </c>
      <c r="AG90" s="68"/>
      <c r="AH90" s="70"/>
      <c r="AI90" s="68"/>
    </row>
    <row r="91" customFormat="false" ht="33.75" hidden="false" customHeight="true" outlineLevel="0" collapsed="false">
      <c r="A91" s="54"/>
      <c r="B91" s="55" t="str">
        <f aca="false">IF($F91="","",ROW()-8)</f>
        <v/>
      </c>
      <c r="C91" s="56" t="str">
        <f aca="false">IF($F91="","","RSK-"&amp;TEXT(ROW()-8,"000"))</f>
        <v/>
      </c>
      <c r="D91" s="57"/>
      <c r="E91" s="58"/>
      <c r="F91" s="57"/>
      <c r="G91" s="57"/>
      <c r="H91" s="57"/>
      <c r="I91" s="57"/>
      <c r="J91" s="59" t="str">
        <f aca="false">IF(OR($H91="",$I91=""),"",INDEX(Reference!$C$68:$G$72,MATCH($H91,Reference!$B$52:$B$56,0),6-MATCH($I91,Reference!$B$60:$B$64,0)))</f>
        <v/>
      </c>
      <c r="K91" s="57"/>
      <c r="L91" s="57"/>
      <c r="M91" s="58"/>
      <c r="N91" s="57"/>
      <c r="O91" s="57"/>
      <c r="P91" s="59" t="str">
        <f aca="false">IF(OR($N91="",$O91=""),"",INDEX(Reference!$C$68:$G$72,MATCH($N91,Reference!$B$52:$B$56,0),6-MATCH($O91,Reference!$B$60:$B$64,0)))</f>
        <v/>
      </c>
      <c r="Q91" s="60" t="str">
        <f aca="false">IF(OR($N91="",$O91=""),"",INDEX(Reference!$F$52:$F$56,MATCH($N91,Reference!$B$52:$B$56,0))*INDEX(Reference!$F$60:$F$64,MATCH($O91,Reference!$B$60:$B$64,0)))</f>
        <v/>
      </c>
      <c r="R91" s="61" t="str">
        <f aca="false">IF(OR($N91="",$O91=""),"",ROUND(INDEX(Reference!$F$52:$F$56,MATCH($N91,Reference!$B$52:$B$56,0))*INDEX(Reference!$H$60:$H$64,MATCH($O91,Reference!$B$60:$B$64,0)),0))</f>
        <v/>
      </c>
      <c r="S91" s="57"/>
      <c r="T91" s="55" t="str">
        <f aca="false">IF($F91="","",COUNTIF('Treatment Actions'!$B$9:$B$208,$C91))</f>
        <v/>
      </c>
      <c r="U91" s="55" t="str">
        <f aca="false">IF($F91="","",COUNTIFS('Treatment Actions'!$B$9:$B$208,$C91,'Treatment Actions'!$F$9:$F$208,"Complete"))</f>
        <v/>
      </c>
      <c r="V91" s="57"/>
      <c r="W91" s="57"/>
      <c r="X91" s="59" t="str">
        <f aca="false">IF(OR($V91="",$W91=""),"",INDEX(Reference!$C$68:$G$72,MATCH($V91,Reference!$B$52:$B$56,0),6-MATCH($W91,Reference!$B$60:$B$64,0)))</f>
        <v/>
      </c>
      <c r="Y91" s="59" t="str">
        <f aca="false">IF(OR($P91="",$X91=""),"",IF(MATCH($X91,Reference!$F$37:$F$40,0)&gt;MATCH($P91,Reference!$F$37:$F$40,0),"Improving",IF($X91=$P91,"Flat","Worsening")))</f>
        <v/>
      </c>
      <c r="Z91" s="57"/>
      <c r="AA91" s="62"/>
      <c r="AB91" s="63"/>
      <c r="AC91" s="64"/>
      <c r="AD91" s="64"/>
      <c r="AE91" s="64"/>
      <c r="AF91" s="59" t="str">
        <f aca="true">IF(OR($F91="",$AE91="",$AB91="Closed"),"",IF($AE91&lt;TODAY(),"Overdue",""))</f>
        <v/>
      </c>
      <c r="AG91" s="62"/>
      <c r="AH91" s="64"/>
      <c r="AI91" s="62"/>
    </row>
    <row r="92" customFormat="false" ht="33.75" hidden="false" customHeight="true" outlineLevel="0" collapsed="false">
      <c r="A92" s="54"/>
      <c r="B92" s="55" t="str">
        <f aca="false">IF($F92="","",ROW()-8)</f>
        <v/>
      </c>
      <c r="C92" s="56" t="str">
        <f aca="false">IF($F92="","","RSK-"&amp;TEXT(ROW()-8,"000"))</f>
        <v/>
      </c>
      <c r="D92" s="66"/>
      <c r="E92" s="67"/>
      <c r="F92" s="66"/>
      <c r="G92" s="66"/>
      <c r="H92" s="66"/>
      <c r="I92" s="66"/>
      <c r="J92" s="59" t="str">
        <f aca="false">IF(OR($H92="",$I92=""),"",INDEX(Reference!$C$68:$G$72,MATCH($H92,Reference!$B$52:$B$56,0),6-MATCH($I92,Reference!$B$60:$B$64,0)))</f>
        <v/>
      </c>
      <c r="K92" s="66"/>
      <c r="L92" s="66"/>
      <c r="M92" s="67"/>
      <c r="N92" s="66"/>
      <c r="O92" s="66"/>
      <c r="P92" s="59" t="str">
        <f aca="false">IF(OR($N92="",$O92=""),"",INDEX(Reference!$C$68:$G$72,MATCH($N92,Reference!$B$52:$B$56,0),6-MATCH($O92,Reference!$B$60:$B$64,0)))</f>
        <v/>
      </c>
      <c r="Q92" s="60" t="str">
        <f aca="false">IF(OR($N92="",$O92=""),"",INDEX(Reference!$F$52:$F$56,MATCH($N92,Reference!$B$52:$B$56,0))*INDEX(Reference!$F$60:$F$64,MATCH($O92,Reference!$B$60:$B$64,0)))</f>
        <v/>
      </c>
      <c r="R92" s="61" t="str">
        <f aca="false">IF(OR($N92="",$O92=""),"",ROUND(INDEX(Reference!$F$52:$F$56,MATCH($N92,Reference!$B$52:$B$56,0))*INDEX(Reference!$H$60:$H$64,MATCH($O92,Reference!$B$60:$B$64,0)),0))</f>
        <v/>
      </c>
      <c r="S92" s="66"/>
      <c r="T92" s="55" t="str">
        <f aca="false">IF($F92="","",COUNTIF('Treatment Actions'!$B$9:$B$208,$C92))</f>
        <v/>
      </c>
      <c r="U92" s="55" t="str">
        <f aca="false">IF($F92="","",COUNTIFS('Treatment Actions'!$B$9:$B$208,$C92,'Treatment Actions'!$F$9:$F$208,"Complete"))</f>
        <v/>
      </c>
      <c r="V92" s="66"/>
      <c r="W92" s="66"/>
      <c r="X92" s="59" t="str">
        <f aca="false">IF(OR($V92="",$W92=""),"",INDEX(Reference!$C$68:$G$72,MATCH($V92,Reference!$B$52:$B$56,0),6-MATCH($W92,Reference!$B$60:$B$64,0)))</f>
        <v/>
      </c>
      <c r="Y92" s="59" t="str">
        <f aca="false">IF(OR($P92="",$X92=""),"",IF(MATCH($X92,Reference!$F$37:$F$40,0)&gt;MATCH($P92,Reference!$F$37:$F$40,0),"Improving",IF($X92=$P92,"Flat","Worsening")))</f>
        <v/>
      </c>
      <c r="Z92" s="66"/>
      <c r="AA92" s="68"/>
      <c r="AB92" s="69"/>
      <c r="AC92" s="70"/>
      <c r="AD92" s="70"/>
      <c r="AE92" s="70"/>
      <c r="AF92" s="59" t="str">
        <f aca="true">IF(OR($F92="",$AE92="",$AB92="Closed"),"",IF($AE92&lt;TODAY(),"Overdue",""))</f>
        <v/>
      </c>
      <c r="AG92" s="68"/>
      <c r="AH92" s="70"/>
      <c r="AI92" s="68"/>
    </row>
    <row r="93" customFormat="false" ht="33.75" hidden="false" customHeight="true" outlineLevel="0" collapsed="false">
      <c r="A93" s="54"/>
      <c r="B93" s="55" t="str">
        <f aca="false">IF($F93="","",ROW()-8)</f>
        <v/>
      </c>
      <c r="C93" s="56" t="str">
        <f aca="false">IF($F93="","","RSK-"&amp;TEXT(ROW()-8,"000"))</f>
        <v/>
      </c>
      <c r="D93" s="57"/>
      <c r="E93" s="58"/>
      <c r="F93" s="57"/>
      <c r="G93" s="57"/>
      <c r="H93" s="57"/>
      <c r="I93" s="57"/>
      <c r="J93" s="59" t="str">
        <f aca="false">IF(OR($H93="",$I93=""),"",INDEX(Reference!$C$68:$G$72,MATCH($H93,Reference!$B$52:$B$56,0),6-MATCH($I93,Reference!$B$60:$B$64,0)))</f>
        <v/>
      </c>
      <c r="K93" s="57"/>
      <c r="L93" s="57"/>
      <c r="M93" s="58"/>
      <c r="N93" s="57"/>
      <c r="O93" s="57"/>
      <c r="P93" s="59" t="str">
        <f aca="false">IF(OR($N93="",$O93=""),"",INDEX(Reference!$C$68:$G$72,MATCH($N93,Reference!$B$52:$B$56,0),6-MATCH($O93,Reference!$B$60:$B$64,0)))</f>
        <v/>
      </c>
      <c r="Q93" s="60" t="str">
        <f aca="false">IF(OR($N93="",$O93=""),"",INDEX(Reference!$F$52:$F$56,MATCH($N93,Reference!$B$52:$B$56,0))*INDEX(Reference!$F$60:$F$64,MATCH($O93,Reference!$B$60:$B$64,0)))</f>
        <v/>
      </c>
      <c r="R93" s="61" t="str">
        <f aca="false">IF(OR($N93="",$O93=""),"",ROUND(INDEX(Reference!$F$52:$F$56,MATCH($N93,Reference!$B$52:$B$56,0))*INDEX(Reference!$H$60:$H$64,MATCH($O93,Reference!$B$60:$B$64,0)),0))</f>
        <v/>
      </c>
      <c r="S93" s="57"/>
      <c r="T93" s="55" t="str">
        <f aca="false">IF($F93="","",COUNTIF('Treatment Actions'!$B$9:$B$208,$C93))</f>
        <v/>
      </c>
      <c r="U93" s="55" t="str">
        <f aca="false">IF($F93="","",COUNTIFS('Treatment Actions'!$B$9:$B$208,$C93,'Treatment Actions'!$F$9:$F$208,"Complete"))</f>
        <v/>
      </c>
      <c r="V93" s="57"/>
      <c r="W93" s="57"/>
      <c r="X93" s="59" t="str">
        <f aca="false">IF(OR($V93="",$W93=""),"",INDEX(Reference!$C$68:$G$72,MATCH($V93,Reference!$B$52:$B$56,0),6-MATCH($W93,Reference!$B$60:$B$64,0)))</f>
        <v/>
      </c>
      <c r="Y93" s="59" t="str">
        <f aca="false">IF(OR($P93="",$X93=""),"",IF(MATCH($X93,Reference!$F$37:$F$40,0)&gt;MATCH($P93,Reference!$F$37:$F$40,0),"Improving",IF($X93=$P93,"Flat","Worsening")))</f>
        <v/>
      </c>
      <c r="Z93" s="57"/>
      <c r="AA93" s="62"/>
      <c r="AB93" s="63"/>
      <c r="AC93" s="64"/>
      <c r="AD93" s="64"/>
      <c r="AE93" s="64"/>
      <c r="AF93" s="59" t="str">
        <f aca="true">IF(OR($F93="",$AE93="",$AB93="Closed"),"",IF($AE93&lt;TODAY(),"Overdue",""))</f>
        <v/>
      </c>
      <c r="AG93" s="62"/>
      <c r="AH93" s="64"/>
      <c r="AI93" s="62"/>
    </row>
    <row r="94" customFormat="false" ht="33.75" hidden="false" customHeight="true" outlineLevel="0" collapsed="false">
      <c r="A94" s="54"/>
      <c r="B94" s="55" t="str">
        <f aca="false">IF($F94="","",ROW()-8)</f>
        <v/>
      </c>
      <c r="C94" s="56" t="str">
        <f aca="false">IF($F94="","","RSK-"&amp;TEXT(ROW()-8,"000"))</f>
        <v/>
      </c>
      <c r="D94" s="66"/>
      <c r="E94" s="67"/>
      <c r="F94" s="66"/>
      <c r="G94" s="66"/>
      <c r="H94" s="66"/>
      <c r="I94" s="66"/>
      <c r="J94" s="59" t="str">
        <f aca="false">IF(OR($H94="",$I94=""),"",INDEX(Reference!$C$68:$G$72,MATCH($H94,Reference!$B$52:$B$56,0),6-MATCH($I94,Reference!$B$60:$B$64,0)))</f>
        <v/>
      </c>
      <c r="K94" s="66"/>
      <c r="L94" s="66"/>
      <c r="M94" s="67"/>
      <c r="N94" s="66"/>
      <c r="O94" s="66"/>
      <c r="P94" s="59" t="str">
        <f aca="false">IF(OR($N94="",$O94=""),"",INDEX(Reference!$C$68:$G$72,MATCH($N94,Reference!$B$52:$B$56,0),6-MATCH($O94,Reference!$B$60:$B$64,0)))</f>
        <v/>
      </c>
      <c r="Q94" s="60" t="str">
        <f aca="false">IF(OR($N94="",$O94=""),"",INDEX(Reference!$F$52:$F$56,MATCH($N94,Reference!$B$52:$B$56,0))*INDEX(Reference!$F$60:$F$64,MATCH($O94,Reference!$B$60:$B$64,0)))</f>
        <v/>
      </c>
      <c r="R94" s="61" t="str">
        <f aca="false">IF(OR($N94="",$O94=""),"",ROUND(INDEX(Reference!$F$52:$F$56,MATCH($N94,Reference!$B$52:$B$56,0))*INDEX(Reference!$H$60:$H$64,MATCH($O94,Reference!$B$60:$B$64,0)),0))</f>
        <v/>
      </c>
      <c r="S94" s="66"/>
      <c r="T94" s="55" t="str">
        <f aca="false">IF($F94="","",COUNTIF('Treatment Actions'!$B$9:$B$208,$C94))</f>
        <v/>
      </c>
      <c r="U94" s="55" t="str">
        <f aca="false">IF($F94="","",COUNTIFS('Treatment Actions'!$B$9:$B$208,$C94,'Treatment Actions'!$F$9:$F$208,"Complete"))</f>
        <v/>
      </c>
      <c r="V94" s="66"/>
      <c r="W94" s="66"/>
      <c r="X94" s="59" t="str">
        <f aca="false">IF(OR($V94="",$W94=""),"",INDEX(Reference!$C$68:$G$72,MATCH($V94,Reference!$B$52:$B$56,0),6-MATCH($W94,Reference!$B$60:$B$64,0)))</f>
        <v/>
      </c>
      <c r="Y94" s="59" t="str">
        <f aca="false">IF(OR($P94="",$X94=""),"",IF(MATCH($X94,Reference!$F$37:$F$40,0)&gt;MATCH($P94,Reference!$F$37:$F$40,0),"Improving",IF($X94=$P94,"Flat","Worsening")))</f>
        <v/>
      </c>
      <c r="Z94" s="66"/>
      <c r="AA94" s="68"/>
      <c r="AB94" s="69"/>
      <c r="AC94" s="70"/>
      <c r="AD94" s="70"/>
      <c r="AE94" s="70"/>
      <c r="AF94" s="59" t="str">
        <f aca="true">IF(OR($F94="",$AE94="",$AB94="Closed"),"",IF($AE94&lt;TODAY(),"Overdue",""))</f>
        <v/>
      </c>
      <c r="AG94" s="68"/>
      <c r="AH94" s="70"/>
      <c r="AI94" s="68"/>
    </row>
    <row r="95" customFormat="false" ht="33.75" hidden="false" customHeight="true" outlineLevel="0" collapsed="false">
      <c r="A95" s="54"/>
      <c r="B95" s="55" t="str">
        <f aca="false">IF($F95="","",ROW()-8)</f>
        <v/>
      </c>
      <c r="C95" s="56" t="str">
        <f aca="false">IF($F95="","","RSK-"&amp;TEXT(ROW()-8,"000"))</f>
        <v/>
      </c>
      <c r="D95" s="57"/>
      <c r="E95" s="58"/>
      <c r="F95" s="57"/>
      <c r="G95" s="57"/>
      <c r="H95" s="57"/>
      <c r="I95" s="57"/>
      <c r="J95" s="59" t="str">
        <f aca="false">IF(OR($H95="",$I95=""),"",INDEX(Reference!$C$68:$G$72,MATCH($H95,Reference!$B$52:$B$56,0),6-MATCH($I95,Reference!$B$60:$B$64,0)))</f>
        <v/>
      </c>
      <c r="K95" s="57"/>
      <c r="L95" s="57"/>
      <c r="M95" s="58"/>
      <c r="N95" s="57"/>
      <c r="O95" s="57"/>
      <c r="P95" s="59" t="str">
        <f aca="false">IF(OR($N95="",$O95=""),"",INDEX(Reference!$C$68:$G$72,MATCH($N95,Reference!$B$52:$B$56,0),6-MATCH($O95,Reference!$B$60:$B$64,0)))</f>
        <v/>
      </c>
      <c r="Q95" s="60" t="str">
        <f aca="false">IF(OR($N95="",$O95=""),"",INDEX(Reference!$F$52:$F$56,MATCH($N95,Reference!$B$52:$B$56,0))*INDEX(Reference!$F$60:$F$64,MATCH($O95,Reference!$B$60:$B$64,0)))</f>
        <v/>
      </c>
      <c r="R95" s="61" t="str">
        <f aca="false">IF(OR($N95="",$O95=""),"",ROUND(INDEX(Reference!$F$52:$F$56,MATCH($N95,Reference!$B$52:$B$56,0))*INDEX(Reference!$H$60:$H$64,MATCH($O95,Reference!$B$60:$B$64,0)),0))</f>
        <v/>
      </c>
      <c r="S95" s="57"/>
      <c r="T95" s="55" t="str">
        <f aca="false">IF($F95="","",COUNTIF('Treatment Actions'!$B$9:$B$208,$C95))</f>
        <v/>
      </c>
      <c r="U95" s="55" t="str">
        <f aca="false">IF($F95="","",COUNTIFS('Treatment Actions'!$B$9:$B$208,$C95,'Treatment Actions'!$F$9:$F$208,"Complete"))</f>
        <v/>
      </c>
      <c r="V95" s="57"/>
      <c r="W95" s="57"/>
      <c r="X95" s="59" t="str">
        <f aca="false">IF(OR($V95="",$W95=""),"",INDEX(Reference!$C$68:$G$72,MATCH($V95,Reference!$B$52:$B$56,0),6-MATCH($W95,Reference!$B$60:$B$64,0)))</f>
        <v/>
      </c>
      <c r="Y95" s="59" t="str">
        <f aca="false">IF(OR($P95="",$X95=""),"",IF(MATCH($X95,Reference!$F$37:$F$40,0)&gt;MATCH($P95,Reference!$F$37:$F$40,0),"Improving",IF($X95=$P95,"Flat","Worsening")))</f>
        <v/>
      </c>
      <c r="Z95" s="57"/>
      <c r="AA95" s="62"/>
      <c r="AB95" s="63"/>
      <c r="AC95" s="64"/>
      <c r="AD95" s="64"/>
      <c r="AE95" s="64"/>
      <c r="AF95" s="59" t="str">
        <f aca="true">IF(OR($F95="",$AE95="",$AB95="Closed"),"",IF($AE95&lt;TODAY(),"Overdue",""))</f>
        <v/>
      </c>
      <c r="AG95" s="62"/>
      <c r="AH95" s="64"/>
      <c r="AI95" s="62"/>
    </row>
    <row r="96" customFormat="false" ht="33.75" hidden="false" customHeight="true" outlineLevel="0" collapsed="false">
      <c r="A96" s="54"/>
      <c r="B96" s="55" t="str">
        <f aca="false">IF($F96="","",ROW()-8)</f>
        <v/>
      </c>
      <c r="C96" s="56" t="str">
        <f aca="false">IF($F96="","","RSK-"&amp;TEXT(ROW()-8,"000"))</f>
        <v/>
      </c>
      <c r="D96" s="66"/>
      <c r="E96" s="67"/>
      <c r="F96" s="66"/>
      <c r="G96" s="66"/>
      <c r="H96" s="66"/>
      <c r="I96" s="66"/>
      <c r="J96" s="59" t="str">
        <f aca="false">IF(OR($H96="",$I96=""),"",INDEX(Reference!$C$68:$G$72,MATCH($H96,Reference!$B$52:$B$56,0),6-MATCH($I96,Reference!$B$60:$B$64,0)))</f>
        <v/>
      </c>
      <c r="K96" s="66"/>
      <c r="L96" s="66"/>
      <c r="M96" s="67"/>
      <c r="N96" s="66"/>
      <c r="O96" s="66"/>
      <c r="P96" s="59" t="str">
        <f aca="false">IF(OR($N96="",$O96=""),"",INDEX(Reference!$C$68:$G$72,MATCH($N96,Reference!$B$52:$B$56,0),6-MATCH($O96,Reference!$B$60:$B$64,0)))</f>
        <v/>
      </c>
      <c r="Q96" s="60" t="str">
        <f aca="false">IF(OR($N96="",$O96=""),"",INDEX(Reference!$F$52:$F$56,MATCH($N96,Reference!$B$52:$B$56,0))*INDEX(Reference!$F$60:$F$64,MATCH($O96,Reference!$B$60:$B$64,0)))</f>
        <v/>
      </c>
      <c r="R96" s="61" t="str">
        <f aca="false">IF(OR($N96="",$O96=""),"",ROUND(INDEX(Reference!$F$52:$F$56,MATCH($N96,Reference!$B$52:$B$56,0))*INDEX(Reference!$H$60:$H$64,MATCH($O96,Reference!$B$60:$B$64,0)),0))</f>
        <v/>
      </c>
      <c r="S96" s="66"/>
      <c r="T96" s="55" t="str">
        <f aca="false">IF($F96="","",COUNTIF('Treatment Actions'!$B$9:$B$208,$C96))</f>
        <v/>
      </c>
      <c r="U96" s="55" t="str">
        <f aca="false">IF($F96="","",COUNTIFS('Treatment Actions'!$B$9:$B$208,$C96,'Treatment Actions'!$F$9:$F$208,"Complete"))</f>
        <v/>
      </c>
      <c r="V96" s="66"/>
      <c r="W96" s="66"/>
      <c r="X96" s="59" t="str">
        <f aca="false">IF(OR($V96="",$W96=""),"",INDEX(Reference!$C$68:$G$72,MATCH($V96,Reference!$B$52:$B$56,0),6-MATCH($W96,Reference!$B$60:$B$64,0)))</f>
        <v/>
      </c>
      <c r="Y96" s="59" t="str">
        <f aca="false">IF(OR($P96="",$X96=""),"",IF(MATCH($X96,Reference!$F$37:$F$40,0)&gt;MATCH($P96,Reference!$F$37:$F$40,0),"Improving",IF($X96=$P96,"Flat","Worsening")))</f>
        <v/>
      </c>
      <c r="Z96" s="66"/>
      <c r="AA96" s="68"/>
      <c r="AB96" s="69"/>
      <c r="AC96" s="70"/>
      <c r="AD96" s="70"/>
      <c r="AE96" s="70"/>
      <c r="AF96" s="59" t="str">
        <f aca="true">IF(OR($F96="",$AE96="",$AB96="Closed"),"",IF($AE96&lt;TODAY(),"Overdue",""))</f>
        <v/>
      </c>
      <c r="AG96" s="68"/>
      <c r="AH96" s="70"/>
      <c r="AI96" s="68"/>
    </row>
    <row r="97" customFormat="false" ht="33.75" hidden="false" customHeight="true" outlineLevel="0" collapsed="false">
      <c r="A97" s="54"/>
      <c r="B97" s="55" t="str">
        <f aca="false">IF($F97="","",ROW()-8)</f>
        <v/>
      </c>
      <c r="C97" s="56" t="str">
        <f aca="false">IF($F97="","","RSK-"&amp;TEXT(ROW()-8,"000"))</f>
        <v/>
      </c>
      <c r="D97" s="57"/>
      <c r="E97" s="58"/>
      <c r="F97" s="57"/>
      <c r="G97" s="57"/>
      <c r="H97" s="57"/>
      <c r="I97" s="57"/>
      <c r="J97" s="59" t="str">
        <f aca="false">IF(OR($H97="",$I97=""),"",INDEX(Reference!$C$68:$G$72,MATCH($H97,Reference!$B$52:$B$56,0),6-MATCH($I97,Reference!$B$60:$B$64,0)))</f>
        <v/>
      </c>
      <c r="K97" s="57"/>
      <c r="L97" s="57"/>
      <c r="M97" s="58"/>
      <c r="N97" s="57"/>
      <c r="O97" s="57"/>
      <c r="P97" s="59" t="str">
        <f aca="false">IF(OR($N97="",$O97=""),"",INDEX(Reference!$C$68:$G$72,MATCH($N97,Reference!$B$52:$B$56,0),6-MATCH($O97,Reference!$B$60:$B$64,0)))</f>
        <v/>
      </c>
      <c r="Q97" s="60" t="str">
        <f aca="false">IF(OR($N97="",$O97=""),"",INDEX(Reference!$F$52:$F$56,MATCH($N97,Reference!$B$52:$B$56,0))*INDEX(Reference!$F$60:$F$64,MATCH($O97,Reference!$B$60:$B$64,0)))</f>
        <v/>
      </c>
      <c r="R97" s="61" t="str">
        <f aca="false">IF(OR($N97="",$O97=""),"",ROUND(INDEX(Reference!$F$52:$F$56,MATCH($N97,Reference!$B$52:$B$56,0))*INDEX(Reference!$H$60:$H$64,MATCH($O97,Reference!$B$60:$B$64,0)),0))</f>
        <v/>
      </c>
      <c r="S97" s="57"/>
      <c r="T97" s="55" t="str">
        <f aca="false">IF($F97="","",COUNTIF('Treatment Actions'!$B$9:$B$208,$C97))</f>
        <v/>
      </c>
      <c r="U97" s="55" t="str">
        <f aca="false">IF($F97="","",COUNTIFS('Treatment Actions'!$B$9:$B$208,$C97,'Treatment Actions'!$F$9:$F$208,"Complete"))</f>
        <v/>
      </c>
      <c r="V97" s="57"/>
      <c r="W97" s="57"/>
      <c r="X97" s="59" t="str">
        <f aca="false">IF(OR($V97="",$W97=""),"",INDEX(Reference!$C$68:$G$72,MATCH($V97,Reference!$B$52:$B$56,0),6-MATCH($W97,Reference!$B$60:$B$64,0)))</f>
        <v/>
      </c>
      <c r="Y97" s="59" t="str">
        <f aca="false">IF(OR($P97="",$X97=""),"",IF(MATCH($X97,Reference!$F$37:$F$40,0)&gt;MATCH($P97,Reference!$F$37:$F$40,0),"Improving",IF($X97=$P97,"Flat","Worsening")))</f>
        <v/>
      </c>
      <c r="Z97" s="57"/>
      <c r="AA97" s="62"/>
      <c r="AB97" s="63"/>
      <c r="AC97" s="64"/>
      <c r="AD97" s="64"/>
      <c r="AE97" s="64"/>
      <c r="AF97" s="59" t="str">
        <f aca="true">IF(OR($F97="",$AE97="",$AB97="Closed"),"",IF($AE97&lt;TODAY(),"Overdue",""))</f>
        <v/>
      </c>
      <c r="AG97" s="62"/>
      <c r="AH97" s="64"/>
      <c r="AI97" s="62"/>
    </row>
    <row r="98" customFormat="false" ht="33.75" hidden="false" customHeight="true" outlineLevel="0" collapsed="false">
      <c r="A98" s="54"/>
      <c r="B98" s="55" t="str">
        <f aca="false">IF($F98="","",ROW()-8)</f>
        <v/>
      </c>
      <c r="C98" s="56" t="str">
        <f aca="false">IF($F98="","","RSK-"&amp;TEXT(ROW()-8,"000"))</f>
        <v/>
      </c>
      <c r="D98" s="66"/>
      <c r="E98" s="67"/>
      <c r="F98" s="66"/>
      <c r="G98" s="66"/>
      <c r="H98" s="66"/>
      <c r="I98" s="66"/>
      <c r="J98" s="59" t="str">
        <f aca="false">IF(OR($H98="",$I98=""),"",INDEX(Reference!$C$68:$G$72,MATCH($H98,Reference!$B$52:$B$56,0),6-MATCH($I98,Reference!$B$60:$B$64,0)))</f>
        <v/>
      </c>
      <c r="K98" s="66"/>
      <c r="L98" s="66"/>
      <c r="M98" s="67"/>
      <c r="N98" s="66"/>
      <c r="O98" s="66"/>
      <c r="P98" s="59" t="str">
        <f aca="false">IF(OR($N98="",$O98=""),"",INDEX(Reference!$C$68:$G$72,MATCH($N98,Reference!$B$52:$B$56,0),6-MATCH($O98,Reference!$B$60:$B$64,0)))</f>
        <v/>
      </c>
      <c r="Q98" s="60" t="str">
        <f aca="false">IF(OR($N98="",$O98=""),"",INDEX(Reference!$F$52:$F$56,MATCH($N98,Reference!$B$52:$B$56,0))*INDEX(Reference!$F$60:$F$64,MATCH($O98,Reference!$B$60:$B$64,0)))</f>
        <v/>
      </c>
      <c r="R98" s="61" t="str">
        <f aca="false">IF(OR($N98="",$O98=""),"",ROUND(INDEX(Reference!$F$52:$F$56,MATCH($N98,Reference!$B$52:$B$56,0))*INDEX(Reference!$H$60:$H$64,MATCH($O98,Reference!$B$60:$B$64,0)),0))</f>
        <v/>
      </c>
      <c r="S98" s="66"/>
      <c r="T98" s="55" t="str">
        <f aca="false">IF($F98="","",COUNTIF('Treatment Actions'!$B$9:$B$208,$C98))</f>
        <v/>
      </c>
      <c r="U98" s="55" t="str">
        <f aca="false">IF($F98="","",COUNTIFS('Treatment Actions'!$B$9:$B$208,$C98,'Treatment Actions'!$F$9:$F$208,"Complete"))</f>
        <v/>
      </c>
      <c r="V98" s="66"/>
      <c r="W98" s="66"/>
      <c r="X98" s="59" t="str">
        <f aca="false">IF(OR($V98="",$W98=""),"",INDEX(Reference!$C$68:$G$72,MATCH($V98,Reference!$B$52:$B$56,0),6-MATCH($W98,Reference!$B$60:$B$64,0)))</f>
        <v/>
      </c>
      <c r="Y98" s="59" t="str">
        <f aca="false">IF(OR($P98="",$X98=""),"",IF(MATCH($X98,Reference!$F$37:$F$40,0)&gt;MATCH($P98,Reference!$F$37:$F$40,0),"Improving",IF($X98=$P98,"Flat","Worsening")))</f>
        <v/>
      </c>
      <c r="Z98" s="66"/>
      <c r="AA98" s="68"/>
      <c r="AB98" s="69"/>
      <c r="AC98" s="70"/>
      <c r="AD98" s="70"/>
      <c r="AE98" s="70"/>
      <c r="AF98" s="59" t="str">
        <f aca="true">IF(OR($F98="",$AE98="",$AB98="Closed"),"",IF($AE98&lt;TODAY(),"Overdue",""))</f>
        <v/>
      </c>
      <c r="AG98" s="68"/>
      <c r="AH98" s="70"/>
      <c r="AI98" s="68"/>
    </row>
    <row r="99" customFormat="false" ht="33.75" hidden="false" customHeight="true" outlineLevel="0" collapsed="false">
      <c r="A99" s="54"/>
      <c r="B99" s="55" t="str">
        <f aca="false">IF($F99="","",ROW()-8)</f>
        <v/>
      </c>
      <c r="C99" s="56" t="str">
        <f aca="false">IF($F99="","","RSK-"&amp;TEXT(ROW()-8,"000"))</f>
        <v/>
      </c>
      <c r="D99" s="57"/>
      <c r="E99" s="58"/>
      <c r="F99" s="57"/>
      <c r="G99" s="57"/>
      <c r="H99" s="57"/>
      <c r="I99" s="57"/>
      <c r="J99" s="59" t="str">
        <f aca="false">IF(OR($H99="",$I99=""),"",INDEX(Reference!$C$68:$G$72,MATCH($H99,Reference!$B$52:$B$56,0),6-MATCH($I99,Reference!$B$60:$B$64,0)))</f>
        <v/>
      </c>
      <c r="K99" s="57"/>
      <c r="L99" s="57"/>
      <c r="M99" s="58"/>
      <c r="N99" s="57"/>
      <c r="O99" s="57"/>
      <c r="P99" s="59" t="str">
        <f aca="false">IF(OR($N99="",$O99=""),"",INDEX(Reference!$C$68:$G$72,MATCH($N99,Reference!$B$52:$B$56,0),6-MATCH($O99,Reference!$B$60:$B$64,0)))</f>
        <v/>
      </c>
      <c r="Q99" s="60" t="str">
        <f aca="false">IF(OR($N99="",$O99=""),"",INDEX(Reference!$F$52:$F$56,MATCH($N99,Reference!$B$52:$B$56,0))*INDEX(Reference!$F$60:$F$64,MATCH($O99,Reference!$B$60:$B$64,0)))</f>
        <v/>
      </c>
      <c r="R99" s="61" t="str">
        <f aca="false">IF(OR($N99="",$O99=""),"",ROUND(INDEX(Reference!$F$52:$F$56,MATCH($N99,Reference!$B$52:$B$56,0))*INDEX(Reference!$H$60:$H$64,MATCH($O99,Reference!$B$60:$B$64,0)),0))</f>
        <v/>
      </c>
      <c r="S99" s="57"/>
      <c r="T99" s="55" t="str">
        <f aca="false">IF($F99="","",COUNTIF('Treatment Actions'!$B$9:$B$208,$C99))</f>
        <v/>
      </c>
      <c r="U99" s="55" t="str">
        <f aca="false">IF($F99="","",COUNTIFS('Treatment Actions'!$B$9:$B$208,$C99,'Treatment Actions'!$F$9:$F$208,"Complete"))</f>
        <v/>
      </c>
      <c r="V99" s="57"/>
      <c r="W99" s="57"/>
      <c r="X99" s="59" t="str">
        <f aca="false">IF(OR($V99="",$W99=""),"",INDEX(Reference!$C$68:$G$72,MATCH($V99,Reference!$B$52:$B$56,0),6-MATCH($W99,Reference!$B$60:$B$64,0)))</f>
        <v/>
      </c>
      <c r="Y99" s="59" t="str">
        <f aca="false">IF(OR($P99="",$X99=""),"",IF(MATCH($X99,Reference!$F$37:$F$40,0)&gt;MATCH($P99,Reference!$F$37:$F$40,0),"Improving",IF($X99=$P99,"Flat","Worsening")))</f>
        <v/>
      </c>
      <c r="Z99" s="57"/>
      <c r="AA99" s="62"/>
      <c r="AB99" s="63"/>
      <c r="AC99" s="64"/>
      <c r="AD99" s="64"/>
      <c r="AE99" s="64"/>
      <c r="AF99" s="59" t="str">
        <f aca="true">IF(OR($F99="",$AE99="",$AB99="Closed"),"",IF($AE99&lt;TODAY(),"Overdue",""))</f>
        <v/>
      </c>
      <c r="AG99" s="62"/>
      <c r="AH99" s="64"/>
      <c r="AI99" s="62"/>
    </row>
    <row r="100" customFormat="false" ht="33.75" hidden="false" customHeight="true" outlineLevel="0" collapsed="false">
      <c r="A100" s="54"/>
      <c r="B100" s="55" t="str">
        <f aca="false">IF($F100="","",ROW()-8)</f>
        <v/>
      </c>
      <c r="C100" s="56" t="str">
        <f aca="false">IF($F100="","","RSK-"&amp;TEXT(ROW()-8,"000"))</f>
        <v/>
      </c>
      <c r="D100" s="66"/>
      <c r="E100" s="67"/>
      <c r="F100" s="66"/>
      <c r="G100" s="66"/>
      <c r="H100" s="66"/>
      <c r="I100" s="66"/>
      <c r="J100" s="59" t="str">
        <f aca="false">IF(OR($H100="",$I100=""),"",INDEX(Reference!$C$68:$G$72,MATCH($H100,Reference!$B$52:$B$56,0),6-MATCH($I100,Reference!$B$60:$B$64,0)))</f>
        <v/>
      </c>
      <c r="K100" s="66"/>
      <c r="L100" s="66"/>
      <c r="M100" s="67"/>
      <c r="N100" s="66"/>
      <c r="O100" s="66"/>
      <c r="P100" s="59" t="str">
        <f aca="false">IF(OR($N100="",$O100=""),"",INDEX(Reference!$C$68:$G$72,MATCH($N100,Reference!$B$52:$B$56,0),6-MATCH($O100,Reference!$B$60:$B$64,0)))</f>
        <v/>
      </c>
      <c r="Q100" s="60" t="str">
        <f aca="false">IF(OR($N100="",$O100=""),"",INDEX(Reference!$F$52:$F$56,MATCH($N100,Reference!$B$52:$B$56,0))*INDEX(Reference!$F$60:$F$64,MATCH($O100,Reference!$B$60:$B$64,0)))</f>
        <v/>
      </c>
      <c r="R100" s="61" t="str">
        <f aca="false">IF(OR($N100="",$O100=""),"",ROUND(INDEX(Reference!$F$52:$F$56,MATCH($N100,Reference!$B$52:$B$56,0))*INDEX(Reference!$H$60:$H$64,MATCH($O100,Reference!$B$60:$B$64,0)),0))</f>
        <v/>
      </c>
      <c r="S100" s="66"/>
      <c r="T100" s="55" t="str">
        <f aca="false">IF($F100="","",COUNTIF('Treatment Actions'!$B$9:$B$208,$C100))</f>
        <v/>
      </c>
      <c r="U100" s="55" t="str">
        <f aca="false">IF($F100="","",COUNTIFS('Treatment Actions'!$B$9:$B$208,$C100,'Treatment Actions'!$F$9:$F$208,"Complete"))</f>
        <v/>
      </c>
      <c r="V100" s="66"/>
      <c r="W100" s="66"/>
      <c r="X100" s="59" t="str">
        <f aca="false">IF(OR($V100="",$W100=""),"",INDEX(Reference!$C$68:$G$72,MATCH($V100,Reference!$B$52:$B$56,0),6-MATCH($W100,Reference!$B$60:$B$64,0)))</f>
        <v/>
      </c>
      <c r="Y100" s="59" t="str">
        <f aca="false">IF(OR($P100="",$X100=""),"",IF(MATCH($X100,Reference!$F$37:$F$40,0)&gt;MATCH($P100,Reference!$F$37:$F$40,0),"Improving",IF($X100=$P100,"Flat","Worsening")))</f>
        <v/>
      </c>
      <c r="Z100" s="66"/>
      <c r="AA100" s="68"/>
      <c r="AB100" s="69"/>
      <c r="AC100" s="70"/>
      <c r="AD100" s="70"/>
      <c r="AE100" s="70"/>
      <c r="AF100" s="59" t="str">
        <f aca="true">IF(OR($F100="",$AE100="",$AB100="Closed"),"",IF($AE100&lt;TODAY(),"Overdue",""))</f>
        <v/>
      </c>
      <c r="AG100" s="68"/>
      <c r="AH100" s="70"/>
      <c r="AI100" s="68"/>
    </row>
    <row r="101" customFormat="false" ht="33.75" hidden="false" customHeight="true" outlineLevel="0" collapsed="false">
      <c r="A101" s="54"/>
      <c r="B101" s="55" t="str">
        <f aca="false">IF($F101="","",ROW()-8)</f>
        <v/>
      </c>
      <c r="C101" s="56" t="str">
        <f aca="false">IF($F101="","","RSK-"&amp;TEXT(ROW()-8,"000"))</f>
        <v/>
      </c>
      <c r="D101" s="57"/>
      <c r="E101" s="58"/>
      <c r="F101" s="57"/>
      <c r="G101" s="57"/>
      <c r="H101" s="57"/>
      <c r="I101" s="57"/>
      <c r="J101" s="59" t="str">
        <f aca="false">IF(OR($H101="",$I101=""),"",INDEX(Reference!$C$68:$G$72,MATCH($H101,Reference!$B$52:$B$56,0),6-MATCH($I101,Reference!$B$60:$B$64,0)))</f>
        <v/>
      </c>
      <c r="K101" s="57"/>
      <c r="L101" s="57"/>
      <c r="M101" s="58"/>
      <c r="N101" s="57"/>
      <c r="O101" s="57"/>
      <c r="P101" s="59" t="str">
        <f aca="false">IF(OR($N101="",$O101=""),"",INDEX(Reference!$C$68:$G$72,MATCH($N101,Reference!$B$52:$B$56,0),6-MATCH($O101,Reference!$B$60:$B$64,0)))</f>
        <v/>
      </c>
      <c r="Q101" s="60" t="str">
        <f aca="false">IF(OR($N101="",$O101=""),"",INDEX(Reference!$F$52:$F$56,MATCH($N101,Reference!$B$52:$B$56,0))*INDEX(Reference!$F$60:$F$64,MATCH($O101,Reference!$B$60:$B$64,0)))</f>
        <v/>
      </c>
      <c r="R101" s="61" t="str">
        <f aca="false">IF(OR($N101="",$O101=""),"",ROUND(INDEX(Reference!$F$52:$F$56,MATCH($N101,Reference!$B$52:$B$56,0))*INDEX(Reference!$H$60:$H$64,MATCH($O101,Reference!$B$60:$B$64,0)),0))</f>
        <v/>
      </c>
      <c r="S101" s="57"/>
      <c r="T101" s="55" t="str">
        <f aca="false">IF($F101="","",COUNTIF('Treatment Actions'!$B$9:$B$208,$C101))</f>
        <v/>
      </c>
      <c r="U101" s="55" t="str">
        <f aca="false">IF($F101="","",COUNTIFS('Treatment Actions'!$B$9:$B$208,$C101,'Treatment Actions'!$F$9:$F$208,"Complete"))</f>
        <v/>
      </c>
      <c r="V101" s="57"/>
      <c r="W101" s="57"/>
      <c r="X101" s="59" t="str">
        <f aca="false">IF(OR($V101="",$W101=""),"",INDEX(Reference!$C$68:$G$72,MATCH($V101,Reference!$B$52:$B$56,0),6-MATCH($W101,Reference!$B$60:$B$64,0)))</f>
        <v/>
      </c>
      <c r="Y101" s="59" t="str">
        <f aca="false">IF(OR($P101="",$X101=""),"",IF(MATCH($X101,Reference!$F$37:$F$40,0)&gt;MATCH($P101,Reference!$F$37:$F$40,0),"Improving",IF($X101=$P101,"Flat","Worsening")))</f>
        <v/>
      </c>
      <c r="Z101" s="57"/>
      <c r="AA101" s="62"/>
      <c r="AB101" s="63"/>
      <c r="AC101" s="64"/>
      <c r="AD101" s="64"/>
      <c r="AE101" s="64"/>
      <c r="AF101" s="59" t="str">
        <f aca="true">IF(OR($F101="",$AE101="",$AB101="Closed"),"",IF($AE101&lt;TODAY(),"Overdue",""))</f>
        <v/>
      </c>
      <c r="AG101" s="62"/>
      <c r="AH101" s="64"/>
      <c r="AI101" s="62"/>
    </row>
    <row r="102" customFormat="false" ht="33.75" hidden="false" customHeight="true" outlineLevel="0" collapsed="false">
      <c r="A102" s="54"/>
      <c r="B102" s="55" t="str">
        <f aca="false">IF($F102="","",ROW()-8)</f>
        <v/>
      </c>
      <c r="C102" s="56" t="str">
        <f aca="false">IF($F102="","","RSK-"&amp;TEXT(ROW()-8,"000"))</f>
        <v/>
      </c>
      <c r="D102" s="66"/>
      <c r="E102" s="67"/>
      <c r="F102" s="66"/>
      <c r="G102" s="66"/>
      <c r="H102" s="66"/>
      <c r="I102" s="66"/>
      <c r="J102" s="59" t="str">
        <f aca="false">IF(OR($H102="",$I102=""),"",INDEX(Reference!$C$68:$G$72,MATCH($H102,Reference!$B$52:$B$56,0),6-MATCH($I102,Reference!$B$60:$B$64,0)))</f>
        <v/>
      </c>
      <c r="K102" s="66"/>
      <c r="L102" s="66"/>
      <c r="M102" s="67"/>
      <c r="N102" s="66"/>
      <c r="O102" s="66"/>
      <c r="P102" s="59" t="str">
        <f aca="false">IF(OR($N102="",$O102=""),"",INDEX(Reference!$C$68:$G$72,MATCH($N102,Reference!$B$52:$B$56,0),6-MATCH($O102,Reference!$B$60:$B$64,0)))</f>
        <v/>
      </c>
      <c r="Q102" s="60" t="str">
        <f aca="false">IF(OR($N102="",$O102=""),"",INDEX(Reference!$F$52:$F$56,MATCH($N102,Reference!$B$52:$B$56,0))*INDEX(Reference!$F$60:$F$64,MATCH($O102,Reference!$B$60:$B$64,0)))</f>
        <v/>
      </c>
      <c r="R102" s="61" t="str">
        <f aca="false">IF(OR($N102="",$O102=""),"",ROUND(INDEX(Reference!$F$52:$F$56,MATCH($N102,Reference!$B$52:$B$56,0))*INDEX(Reference!$H$60:$H$64,MATCH($O102,Reference!$B$60:$B$64,0)),0))</f>
        <v/>
      </c>
      <c r="S102" s="66"/>
      <c r="T102" s="55" t="str">
        <f aca="false">IF($F102="","",COUNTIF('Treatment Actions'!$B$9:$B$208,$C102))</f>
        <v/>
      </c>
      <c r="U102" s="55" t="str">
        <f aca="false">IF($F102="","",COUNTIFS('Treatment Actions'!$B$9:$B$208,$C102,'Treatment Actions'!$F$9:$F$208,"Complete"))</f>
        <v/>
      </c>
      <c r="V102" s="66"/>
      <c r="W102" s="66"/>
      <c r="X102" s="59" t="str">
        <f aca="false">IF(OR($V102="",$W102=""),"",INDEX(Reference!$C$68:$G$72,MATCH($V102,Reference!$B$52:$B$56,0),6-MATCH($W102,Reference!$B$60:$B$64,0)))</f>
        <v/>
      </c>
      <c r="Y102" s="59" t="str">
        <f aca="false">IF(OR($P102="",$X102=""),"",IF(MATCH($X102,Reference!$F$37:$F$40,0)&gt;MATCH($P102,Reference!$F$37:$F$40,0),"Improving",IF($X102=$P102,"Flat","Worsening")))</f>
        <v/>
      </c>
      <c r="Z102" s="66"/>
      <c r="AA102" s="68"/>
      <c r="AB102" s="69"/>
      <c r="AC102" s="70"/>
      <c r="AD102" s="70"/>
      <c r="AE102" s="70"/>
      <c r="AF102" s="59" t="str">
        <f aca="true">IF(OR($F102="",$AE102="",$AB102="Closed"),"",IF($AE102&lt;TODAY(),"Overdue",""))</f>
        <v/>
      </c>
      <c r="AG102" s="68"/>
      <c r="AH102" s="70"/>
      <c r="AI102" s="68"/>
    </row>
    <row r="103" customFormat="false" ht="33.75" hidden="false" customHeight="true" outlineLevel="0" collapsed="false">
      <c r="A103" s="54"/>
      <c r="B103" s="55" t="str">
        <f aca="false">IF($F103="","",ROW()-8)</f>
        <v/>
      </c>
      <c r="C103" s="56" t="str">
        <f aca="false">IF($F103="","","RSK-"&amp;TEXT(ROW()-8,"000"))</f>
        <v/>
      </c>
      <c r="D103" s="57"/>
      <c r="E103" s="58"/>
      <c r="F103" s="57"/>
      <c r="G103" s="57"/>
      <c r="H103" s="57"/>
      <c r="I103" s="57"/>
      <c r="J103" s="59" t="str">
        <f aca="false">IF(OR($H103="",$I103=""),"",INDEX(Reference!$C$68:$G$72,MATCH($H103,Reference!$B$52:$B$56,0),6-MATCH($I103,Reference!$B$60:$B$64,0)))</f>
        <v/>
      </c>
      <c r="K103" s="57"/>
      <c r="L103" s="57"/>
      <c r="M103" s="58"/>
      <c r="N103" s="57"/>
      <c r="O103" s="57"/>
      <c r="P103" s="59" t="str">
        <f aca="false">IF(OR($N103="",$O103=""),"",INDEX(Reference!$C$68:$G$72,MATCH($N103,Reference!$B$52:$B$56,0),6-MATCH($O103,Reference!$B$60:$B$64,0)))</f>
        <v/>
      </c>
      <c r="Q103" s="60" t="str">
        <f aca="false">IF(OR($N103="",$O103=""),"",INDEX(Reference!$F$52:$F$56,MATCH($N103,Reference!$B$52:$B$56,0))*INDEX(Reference!$F$60:$F$64,MATCH($O103,Reference!$B$60:$B$64,0)))</f>
        <v/>
      </c>
      <c r="R103" s="61" t="str">
        <f aca="false">IF(OR($N103="",$O103=""),"",ROUND(INDEX(Reference!$F$52:$F$56,MATCH($N103,Reference!$B$52:$B$56,0))*INDEX(Reference!$H$60:$H$64,MATCH($O103,Reference!$B$60:$B$64,0)),0))</f>
        <v/>
      </c>
      <c r="S103" s="57"/>
      <c r="T103" s="55" t="str">
        <f aca="false">IF($F103="","",COUNTIF('Treatment Actions'!$B$9:$B$208,$C103))</f>
        <v/>
      </c>
      <c r="U103" s="55" t="str">
        <f aca="false">IF($F103="","",COUNTIFS('Treatment Actions'!$B$9:$B$208,$C103,'Treatment Actions'!$F$9:$F$208,"Complete"))</f>
        <v/>
      </c>
      <c r="V103" s="57"/>
      <c r="W103" s="57"/>
      <c r="X103" s="59" t="str">
        <f aca="false">IF(OR($V103="",$W103=""),"",INDEX(Reference!$C$68:$G$72,MATCH($V103,Reference!$B$52:$B$56,0),6-MATCH($W103,Reference!$B$60:$B$64,0)))</f>
        <v/>
      </c>
      <c r="Y103" s="59" t="str">
        <f aca="false">IF(OR($P103="",$X103=""),"",IF(MATCH($X103,Reference!$F$37:$F$40,0)&gt;MATCH($P103,Reference!$F$37:$F$40,0),"Improving",IF($X103=$P103,"Flat","Worsening")))</f>
        <v/>
      </c>
      <c r="Z103" s="57"/>
      <c r="AA103" s="62"/>
      <c r="AB103" s="63"/>
      <c r="AC103" s="64"/>
      <c r="AD103" s="64"/>
      <c r="AE103" s="64"/>
      <c r="AF103" s="59" t="str">
        <f aca="true">IF(OR($F103="",$AE103="",$AB103="Closed"),"",IF($AE103&lt;TODAY(),"Overdue",""))</f>
        <v/>
      </c>
      <c r="AG103" s="62"/>
      <c r="AH103" s="64"/>
      <c r="AI103" s="62"/>
    </row>
    <row r="104" customFormat="false" ht="33.75" hidden="false" customHeight="true" outlineLevel="0" collapsed="false">
      <c r="A104" s="54"/>
      <c r="B104" s="55" t="str">
        <f aca="false">IF($F104="","",ROW()-8)</f>
        <v/>
      </c>
      <c r="C104" s="56" t="str">
        <f aca="false">IF($F104="","","RSK-"&amp;TEXT(ROW()-8,"000"))</f>
        <v/>
      </c>
      <c r="D104" s="66"/>
      <c r="E104" s="67"/>
      <c r="F104" s="66"/>
      <c r="G104" s="66"/>
      <c r="H104" s="66"/>
      <c r="I104" s="66"/>
      <c r="J104" s="59" t="str">
        <f aca="false">IF(OR($H104="",$I104=""),"",INDEX(Reference!$C$68:$G$72,MATCH($H104,Reference!$B$52:$B$56,0),6-MATCH($I104,Reference!$B$60:$B$64,0)))</f>
        <v/>
      </c>
      <c r="K104" s="66"/>
      <c r="L104" s="66"/>
      <c r="M104" s="67"/>
      <c r="N104" s="66"/>
      <c r="O104" s="66"/>
      <c r="P104" s="59" t="str">
        <f aca="false">IF(OR($N104="",$O104=""),"",INDEX(Reference!$C$68:$G$72,MATCH($N104,Reference!$B$52:$B$56,0),6-MATCH($O104,Reference!$B$60:$B$64,0)))</f>
        <v/>
      </c>
      <c r="Q104" s="60" t="str">
        <f aca="false">IF(OR($N104="",$O104=""),"",INDEX(Reference!$F$52:$F$56,MATCH($N104,Reference!$B$52:$B$56,0))*INDEX(Reference!$F$60:$F$64,MATCH($O104,Reference!$B$60:$B$64,0)))</f>
        <v/>
      </c>
      <c r="R104" s="61" t="str">
        <f aca="false">IF(OR($N104="",$O104=""),"",ROUND(INDEX(Reference!$F$52:$F$56,MATCH($N104,Reference!$B$52:$B$56,0))*INDEX(Reference!$H$60:$H$64,MATCH($O104,Reference!$B$60:$B$64,0)),0))</f>
        <v/>
      </c>
      <c r="S104" s="66"/>
      <c r="T104" s="55" t="str">
        <f aca="false">IF($F104="","",COUNTIF('Treatment Actions'!$B$9:$B$208,$C104))</f>
        <v/>
      </c>
      <c r="U104" s="55" t="str">
        <f aca="false">IF($F104="","",COUNTIFS('Treatment Actions'!$B$9:$B$208,$C104,'Treatment Actions'!$F$9:$F$208,"Complete"))</f>
        <v/>
      </c>
      <c r="V104" s="66"/>
      <c r="W104" s="66"/>
      <c r="X104" s="59" t="str">
        <f aca="false">IF(OR($V104="",$W104=""),"",INDEX(Reference!$C$68:$G$72,MATCH($V104,Reference!$B$52:$B$56,0),6-MATCH($W104,Reference!$B$60:$B$64,0)))</f>
        <v/>
      </c>
      <c r="Y104" s="59" t="str">
        <f aca="false">IF(OR($P104="",$X104=""),"",IF(MATCH($X104,Reference!$F$37:$F$40,0)&gt;MATCH($P104,Reference!$F$37:$F$40,0),"Improving",IF($X104=$P104,"Flat","Worsening")))</f>
        <v/>
      </c>
      <c r="Z104" s="66"/>
      <c r="AA104" s="68"/>
      <c r="AB104" s="69"/>
      <c r="AC104" s="70"/>
      <c r="AD104" s="70"/>
      <c r="AE104" s="70"/>
      <c r="AF104" s="59" t="str">
        <f aca="true">IF(OR($F104="",$AE104="",$AB104="Closed"),"",IF($AE104&lt;TODAY(),"Overdue",""))</f>
        <v/>
      </c>
      <c r="AG104" s="68"/>
      <c r="AH104" s="70"/>
      <c r="AI104" s="68"/>
    </row>
    <row r="105" customFormat="false" ht="33.75" hidden="false" customHeight="true" outlineLevel="0" collapsed="false">
      <c r="A105" s="54"/>
      <c r="B105" s="55" t="str">
        <f aca="false">IF($F105="","",ROW()-8)</f>
        <v/>
      </c>
      <c r="C105" s="56" t="str">
        <f aca="false">IF($F105="","","RSK-"&amp;TEXT(ROW()-8,"000"))</f>
        <v/>
      </c>
      <c r="D105" s="57"/>
      <c r="E105" s="58"/>
      <c r="F105" s="57"/>
      <c r="G105" s="57"/>
      <c r="H105" s="57"/>
      <c r="I105" s="57"/>
      <c r="J105" s="59" t="str">
        <f aca="false">IF(OR($H105="",$I105=""),"",INDEX(Reference!$C$68:$G$72,MATCH($H105,Reference!$B$52:$B$56,0),6-MATCH($I105,Reference!$B$60:$B$64,0)))</f>
        <v/>
      </c>
      <c r="K105" s="57"/>
      <c r="L105" s="57"/>
      <c r="M105" s="58"/>
      <c r="N105" s="57"/>
      <c r="O105" s="57"/>
      <c r="P105" s="59" t="str">
        <f aca="false">IF(OR($N105="",$O105=""),"",INDEX(Reference!$C$68:$G$72,MATCH($N105,Reference!$B$52:$B$56,0),6-MATCH($O105,Reference!$B$60:$B$64,0)))</f>
        <v/>
      </c>
      <c r="Q105" s="60" t="str">
        <f aca="false">IF(OR($N105="",$O105=""),"",INDEX(Reference!$F$52:$F$56,MATCH($N105,Reference!$B$52:$B$56,0))*INDEX(Reference!$F$60:$F$64,MATCH($O105,Reference!$B$60:$B$64,0)))</f>
        <v/>
      </c>
      <c r="R105" s="61" t="str">
        <f aca="false">IF(OR($N105="",$O105=""),"",ROUND(INDEX(Reference!$F$52:$F$56,MATCH($N105,Reference!$B$52:$B$56,0))*INDEX(Reference!$H$60:$H$64,MATCH($O105,Reference!$B$60:$B$64,0)),0))</f>
        <v/>
      </c>
      <c r="S105" s="57"/>
      <c r="T105" s="55" t="str">
        <f aca="false">IF($F105="","",COUNTIF('Treatment Actions'!$B$9:$B$208,$C105))</f>
        <v/>
      </c>
      <c r="U105" s="55" t="str">
        <f aca="false">IF($F105="","",COUNTIFS('Treatment Actions'!$B$9:$B$208,$C105,'Treatment Actions'!$F$9:$F$208,"Complete"))</f>
        <v/>
      </c>
      <c r="V105" s="57"/>
      <c r="W105" s="57"/>
      <c r="X105" s="59" t="str">
        <f aca="false">IF(OR($V105="",$W105=""),"",INDEX(Reference!$C$68:$G$72,MATCH($V105,Reference!$B$52:$B$56,0),6-MATCH($W105,Reference!$B$60:$B$64,0)))</f>
        <v/>
      </c>
      <c r="Y105" s="59" t="str">
        <f aca="false">IF(OR($P105="",$X105=""),"",IF(MATCH($X105,Reference!$F$37:$F$40,0)&gt;MATCH($P105,Reference!$F$37:$F$40,0),"Improving",IF($X105=$P105,"Flat","Worsening")))</f>
        <v/>
      </c>
      <c r="Z105" s="57"/>
      <c r="AA105" s="62"/>
      <c r="AB105" s="63"/>
      <c r="AC105" s="64"/>
      <c r="AD105" s="64"/>
      <c r="AE105" s="64"/>
      <c r="AF105" s="59" t="str">
        <f aca="true">IF(OR($F105="",$AE105="",$AB105="Closed"),"",IF($AE105&lt;TODAY(),"Overdue",""))</f>
        <v/>
      </c>
      <c r="AG105" s="62"/>
      <c r="AH105" s="64"/>
      <c r="AI105" s="62"/>
    </row>
    <row r="106" customFormat="false" ht="33.75" hidden="false" customHeight="true" outlineLevel="0" collapsed="false">
      <c r="A106" s="54"/>
      <c r="B106" s="55" t="str">
        <f aca="false">IF($F106="","",ROW()-8)</f>
        <v/>
      </c>
      <c r="C106" s="56" t="str">
        <f aca="false">IF($F106="","","RSK-"&amp;TEXT(ROW()-8,"000"))</f>
        <v/>
      </c>
      <c r="D106" s="66"/>
      <c r="E106" s="67"/>
      <c r="F106" s="66"/>
      <c r="G106" s="66"/>
      <c r="H106" s="66"/>
      <c r="I106" s="66"/>
      <c r="J106" s="59" t="str">
        <f aca="false">IF(OR($H106="",$I106=""),"",INDEX(Reference!$C$68:$G$72,MATCH($H106,Reference!$B$52:$B$56,0),6-MATCH($I106,Reference!$B$60:$B$64,0)))</f>
        <v/>
      </c>
      <c r="K106" s="66"/>
      <c r="L106" s="66"/>
      <c r="M106" s="67"/>
      <c r="N106" s="66"/>
      <c r="O106" s="66"/>
      <c r="P106" s="59" t="str">
        <f aca="false">IF(OR($N106="",$O106=""),"",INDEX(Reference!$C$68:$G$72,MATCH($N106,Reference!$B$52:$B$56,0),6-MATCH($O106,Reference!$B$60:$B$64,0)))</f>
        <v/>
      </c>
      <c r="Q106" s="60" t="str">
        <f aca="false">IF(OR($N106="",$O106=""),"",INDEX(Reference!$F$52:$F$56,MATCH($N106,Reference!$B$52:$B$56,0))*INDEX(Reference!$F$60:$F$64,MATCH($O106,Reference!$B$60:$B$64,0)))</f>
        <v/>
      </c>
      <c r="R106" s="61" t="str">
        <f aca="false">IF(OR($N106="",$O106=""),"",ROUND(INDEX(Reference!$F$52:$F$56,MATCH($N106,Reference!$B$52:$B$56,0))*INDEX(Reference!$H$60:$H$64,MATCH($O106,Reference!$B$60:$B$64,0)),0))</f>
        <v/>
      </c>
      <c r="S106" s="66"/>
      <c r="T106" s="55" t="str">
        <f aca="false">IF($F106="","",COUNTIF('Treatment Actions'!$B$9:$B$208,$C106))</f>
        <v/>
      </c>
      <c r="U106" s="55" t="str">
        <f aca="false">IF($F106="","",COUNTIFS('Treatment Actions'!$B$9:$B$208,$C106,'Treatment Actions'!$F$9:$F$208,"Complete"))</f>
        <v/>
      </c>
      <c r="V106" s="66"/>
      <c r="W106" s="66"/>
      <c r="X106" s="59" t="str">
        <f aca="false">IF(OR($V106="",$W106=""),"",INDEX(Reference!$C$68:$G$72,MATCH($V106,Reference!$B$52:$B$56,0),6-MATCH($W106,Reference!$B$60:$B$64,0)))</f>
        <v/>
      </c>
      <c r="Y106" s="59" t="str">
        <f aca="false">IF(OR($P106="",$X106=""),"",IF(MATCH($X106,Reference!$F$37:$F$40,0)&gt;MATCH($P106,Reference!$F$37:$F$40,0),"Improving",IF($X106=$P106,"Flat","Worsening")))</f>
        <v/>
      </c>
      <c r="Z106" s="66"/>
      <c r="AA106" s="68"/>
      <c r="AB106" s="69"/>
      <c r="AC106" s="70"/>
      <c r="AD106" s="70"/>
      <c r="AE106" s="70"/>
      <c r="AF106" s="59" t="str">
        <f aca="true">IF(OR($F106="",$AE106="",$AB106="Closed"),"",IF($AE106&lt;TODAY(),"Overdue",""))</f>
        <v/>
      </c>
      <c r="AG106" s="68"/>
      <c r="AH106" s="70"/>
      <c r="AI106" s="68"/>
    </row>
    <row r="107" customFormat="false" ht="33.75" hidden="false" customHeight="true" outlineLevel="0" collapsed="false">
      <c r="A107" s="54"/>
      <c r="B107" s="55" t="str">
        <f aca="false">IF($F107="","",ROW()-8)</f>
        <v/>
      </c>
      <c r="C107" s="56" t="str">
        <f aca="false">IF($F107="","","RSK-"&amp;TEXT(ROW()-8,"000"))</f>
        <v/>
      </c>
      <c r="D107" s="57"/>
      <c r="E107" s="58"/>
      <c r="F107" s="57"/>
      <c r="G107" s="57"/>
      <c r="H107" s="57"/>
      <c r="I107" s="57"/>
      <c r="J107" s="59" t="str">
        <f aca="false">IF(OR($H107="",$I107=""),"",INDEX(Reference!$C$68:$G$72,MATCH($H107,Reference!$B$52:$B$56,0),6-MATCH($I107,Reference!$B$60:$B$64,0)))</f>
        <v/>
      </c>
      <c r="K107" s="57"/>
      <c r="L107" s="57"/>
      <c r="M107" s="58"/>
      <c r="N107" s="57"/>
      <c r="O107" s="57"/>
      <c r="P107" s="59" t="str">
        <f aca="false">IF(OR($N107="",$O107=""),"",INDEX(Reference!$C$68:$G$72,MATCH($N107,Reference!$B$52:$B$56,0),6-MATCH($O107,Reference!$B$60:$B$64,0)))</f>
        <v/>
      </c>
      <c r="Q107" s="60" t="str">
        <f aca="false">IF(OR($N107="",$O107=""),"",INDEX(Reference!$F$52:$F$56,MATCH($N107,Reference!$B$52:$B$56,0))*INDEX(Reference!$F$60:$F$64,MATCH($O107,Reference!$B$60:$B$64,0)))</f>
        <v/>
      </c>
      <c r="R107" s="61" t="str">
        <f aca="false">IF(OR($N107="",$O107=""),"",ROUND(INDEX(Reference!$F$52:$F$56,MATCH($N107,Reference!$B$52:$B$56,0))*INDEX(Reference!$H$60:$H$64,MATCH($O107,Reference!$B$60:$B$64,0)),0))</f>
        <v/>
      </c>
      <c r="S107" s="57"/>
      <c r="T107" s="55" t="str">
        <f aca="false">IF($F107="","",COUNTIF('Treatment Actions'!$B$9:$B$208,$C107))</f>
        <v/>
      </c>
      <c r="U107" s="55" t="str">
        <f aca="false">IF($F107="","",COUNTIFS('Treatment Actions'!$B$9:$B$208,$C107,'Treatment Actions'!$F$9:$F$208,"Complete"))</f>
        <v/>
      </c>
      <c r="V107" s="57"/>
      <c r="W107" s="57"/>
      <c r="X107" s="59" t="str">
        <f aca="false">IF(OR($V107="",$W107=""),"",INDEX(Reference!$C$68:$G$72,MATCH($V107,Reference!$B$52:$B$56,0),6-MATCH($W107,Reference!$B$60:$B$64,0)))</f>
        <v/>
      </c>
      <c r="Y107" s="59" t="str">
        <f aca="false">IF(OR($P107="",$X107=""),"",IF(MATCH($X107,Reference!$F$37:$F$40,0)&gt;MATCH($P107,Reference!$F$37:$F$40,0),"Improving",IF($X107=$P107,"Flat","Worsening")))</f>
        <v/>
      </c>
      <c r="Z107" s="57"/>
      <c r="AA107" s="62"/>
      <c r="AB107" s="63"/>
      <c r="AC107" s="64"/>
      <c r="AD107" s="64"/>
      <c r="AE107" s="64"/>
      <c r="AF107" s="59" t="str">
        <f aca="true">IF(OR($F107="",$AE107="",$AB107="Closed"),"",IF($AE107&lt;TODAY(),"Overdue",""))</f>
        <v/>
      </c>
      <c r="AG107" s="62"/>
      <c r="AH107" s="64"/>
      <c r="AI107" s="62"/>
    </row>
    <row r="108" customFormat="false" ht="33.75" hidden="false" customHeight="true" outlineLevel="0" collapsed="false">
      <c r="A108" s="54"/>
      <c r="B108" s="55" t="str">
        <f aca="false">IF($F108="","",ROW()-8)</f>
        <v/>
      </c>
      <c r="C108" s="56" t="str">
        <f aca="false">IF($F108="","","RSK-"&amp;TEXT(ROW()-8,"000"))</f>
        <v/>
      </c>
      <c r="D108" s="66"/>
      <c r="E108" s="67"/>
      <c r="F108" s="66"/>
      <c r="G108" s="66"/>
      <c r="H108" s="66"/>
      <c r="I108" s="66"/>
      <c r="J108" s="59" t="str">
        <f aca="false">IF(OR($H108="",$I108=""),"",INDEX(Reference!$C$68:$G$72,MATCH($H108,Reference!$B$52:$B$56,0),6-MATCH($I108,Reference!$B$60:$B$64,0)))</f>
        <v/>
      </c>
      <c r="K108" s="66"/>
      <c r="L108" s="66"/>
      <c r="M108" s="67"/>
      <c r="N108" s="66"/>
      <c r="O108" s="66"/>
      <c r="P108" s="59" t="str">
        <f aca="false">IF(OR($N108="",$O108=""),"",INDEX(Reference!$C$68:$G$72,MATCH($N108,Reference!$B$52:$B$56,0),6-MATCH($O108,Reference!$B$60:$B$64,0)))</f>
        <v/>
      </c>
      <c r="Q108" s="60" t="str">
        <f aca="false">IF(OR($N108="",$O108=""),"",INDEX(Reference!$F$52:$F$56,MATCH($N108,Reference!$B$52:$B$56,0))*INDEX(Reference!$F$60:$F$64,MATCH($O108,Reference!$B$60:$B$64,0)))</f>
        <v/>
      </c>
      <c r="R108" s="61" t="str">
        <f aca="false">IF(OR($N108="",$O108=""),"",ROUND(INDEX(Reference!$F$52:$F$56,MATCH($N108,Reference!$B$52:$B$56,0))*INDEX(Reference!$H$60:$H$64,MATCH($O108,Reference!$B$60:$B$64,0)),0))</f>
        <v/>
      </c>
      <c r="S108" s="66"/>
      <c r="T108" s="55" t="str">
        <f aca="false">IF($F108="","",COUNTIF('Treatment Actions'!$B$9:$B$208,$C108))</f>
        <v/>
      </c>
      <c r="U108" s="55" t="str">
        <f aca="false">IF($F108="","",COUNTIFS('Treatment Actions'!$B$9:$B$208,$C108,'Treatment Actions'!$F$9:$F$208,"Complete"))</f>
        <v/>
      </c>
      <c r="V108" s="66"/>
      <c r="W108" s="66"/>
      <c r="X108" s="59" t="str">
        <f aca="false">IF(OR($V108="",$W108=""),"",INDEX(Reference!$C$68:$G$72,MATCH($V108,Reference!$B$52:$B$56,0),6-MATCH($W108,Reference!$B$60:$B$64,0)))</f>
        <v/>
      </c>
      <c r="Y108" s="59" t="str">
        <f aca="false">IF(OR($P108="",$X108=""),"",IF(MATCH($X108,Reference!$F$37:$F$40,0)&gt;MATCH($P108,Reference!$F$37:$F$40,0),"Improving",IF($X108=$P108,"Flat","Worsening")))</f>
        <v/>
      </c>
      <c r="Z108" s="66"/>
      <c r="AA108" s="68"/>
      <c r="AB108" s="69"/>
      <c r="AC108" s="70"/>
      <c r="AD108" s="70"/>
      <c r="AE108" s="70"/>
      <c r="AF108" s="59" t="str">
        <f aca="true">IF(OR($F108="",$AE108="",$AB108="Closed"),"",IF($AE108&lt;TODAY(),"Overdue",""))</f>
        <v/>
      </c>
      <c r="AG108" s="68"/>
      <c r="AH108" s="70"/>
      <c r="AI108" s="68"/>
    </row>
    <row r="109" customFormat="false" ht="33.75" hidden="false" customHeight="true" outlineLevel="0" collapsed="false">
      <c r="A109" s="54"/>
      <c r="B109" s="55" t="str">
        <f aca="false">IF($F109="","",ROW()-8)</f>
        <v/>
      </c>
      <c r="C109" s="56" t="str">
        <f aca="false">IF($F109="","","RSK-"&amp;TEXT(ROW()-8,"000"))</f>
        <v/>
      </c>
      <c r="D109" s="57"/>
      <c r="E109" s="58"/>
      <c r="F109" s="57"/>
      <c r="G109" s="57"/>
      <c r="H109" s="57"/>
      <c r="I109" s="57"/>
      <c r="J109" s="59" t="str">
        <f aca="false">IF(OR($H109="",$I109=""),"",INDEX(Reference!$C$68:$G$72,MATCH($H109,Reference!$B$52:$B$56,0),6-MATCH($I109,Reference!$B$60:$B$64,0)))</f>
        <v/>
      </c>
      <c r="K109" s="57"/>
      <c r="L109" s="57"/>
      <c r="M109" s="58"/>
      <c r="N109" s="57"/>
      <c r="O109" s="57"/>
      <c r="P109" s="59" t="str">
        <f aca="false">IF(OR($N109="",$O109=""),"",INDEX(Reference!$C$68:$G$72,MATCH($N109,Reference!$B$52:$B$56,0),6-MATCH($O109,Reference!$B$60:$B$64,0)))</f>
        <v/>
      </c>
      <c r="Q109" s="60" t="str">
        <f aca="false">IF(OR($N109="",$O109=""),"",INDEX(Reference!$F$52:$F$56,MATCH($N109,Reference!$B$52:$B$56,0))*INDEX(Reference!$F$60:$F$64,MATCH($O109,Reference!$B$60:$B$64,0)))</f>
        <v/>
      </c>
      <c r="R109" s="61" t="str">
        <f aca="false">IF(OR($N109="",$O109=""),"",ROUND(INDEX(Reference!$F$52:$F$56,MATCH($N109,Reference!$B$52:$B$56,0))*INDEX(Reference!$H$60:$H$64,MATCH($O109,Reference!$B$60:$B$64,0)),0))</f>
        <v/>
      </c>
      <c r="S109" s="57"/>
      <c r="T109" s="55" t="str">
        <f aca="false">IF($F109="","",COUNTIF('Treatment Actions'!$B$9:$B$208,$C109))</f>
        <v/>
      </c>
      <c r="U109" s="55" t="str">
        <f aca="false">IF($F109="","",COUNTIFS('Treatment Actions'!$B$9:$B$208,$C109,'Treatment Actions'!$F$9:$F$208,"Complete"))</f>
        <v/>
      </c>
      <c r="V109" s="57"/>
      <c r="W109" s="57"/>
      <c r="X109" s="59" t="str">
        <f aca="false">IF(OR($V109="",$W109=""),"",INDEX(Reference!$C$68:$G$72,MATCH($V109,Reference!$B$52:$B$56,0),6-MATCH($W109,Reference!$B$60:$B$64,0)))</f>
        <v/>
      </c>
      <c r="Y109" s="59" t="str">
        <f aca="false">IF(OR($P109="",$X109=""),"",IF(MATCH($X109,Reference!$F$37:$F$40,0)&gt;MATCH($P109,Reference!$F$37:$F$40,0),"Improving",IF($X109=$P109,"Flat","Worsening")))</f>
        <v/>
      </c>
      <c r="Z109" s="57"/>
      <c r="AA109" s="62"/>
      <c r="AB109" s="63"/>
      <c r="AC109" s="64"/>
      <c r="AD109" s="64"/>
      <c r="AE109" s="64"/>
      <c r="AF109" s="59" t="str">
        <f aca="true">IF(OR($F109="",$AE109="",$AB109="Closed"),"",IF($AE109&lt;TODAY(),"Overdue",""))</f>
        <v/>
      </c>
      <c r="AG109" s="62"/>
      <c r="AH109" s="64"/>
      <c r="AI109" s="62"/>
    </row>
    <row r="110" customFormat="false" ht="33.75" hidden="false" customHeight="true" outlineLevel="0" collapsed="false">
      <c r="A110" s="54"/>
      <c r="B110" s="55" t="str">
        <f aca="false">IF($F110="","",ROW()-8)</f>
        <v/>
      </c>
      <c r="C110" s="56" t="str">
        <f aca="false">IF($F110="","","RSK-"&amp;TEXT(ROW()-8,"000"))</f>
        <v/>
      </c>
      <c r="D110" s="66"/>
      <c r="E110" s="67"/>
      <c r="F110" s="66"/>
      <c r="G110" s="66"/>
      <c r="H110" s="66"/>
      <c r="I110" s="66"/>
      <c r="J110" s="59" t="str">
        <f aca="false">IF(OR($H110="",$I110=""),"",INDEX(Reference!$C$68:$G$72,MATCH($H110,Reference!$B$52:$B$56,0),6-MATCH($I110,Reference!$B$60:$B$64,0)))</f>
        <v/>
      </c>
      <c r="K110" s="66"/>
      <c r="L110" s="66"/>
      <c r="M110" s="67"/>
      <c r="N110" s="66"/>
      <c r="O110" s="66"/>
      <c r="P110" s="59" t="str">
        <f aca="false">IF(OR($N110="",$O110=""),"",INDEX(Reference!$C$68:$G$72,MATCH($N110,Reference!$B$52:$B$56,0),6-MATCH($O110,Reference!$B$60:$B$64,0)))</f>
        <v/>
      </c>
      <c r="Q110" s="60" t="str">
        <f aca="false">IF(OR($N110="",$O110=""),"",INDEX(Reference!$F$52:$F$56,MATCH($N110,Reference!$B$52:$B$56,0))*INDEX(Reference!$F$60:$F$64,MATCH($O110,Reference!$B$60:$B$64,0)))</f>
        <v/>
      </c>
      <c r="R110" s="61" t="str">
        <f aca="false">IF(OR($N110="",$O110=""),"",ROUND(INDEX(Reference!$F$52:$F$56,MATCH($N110,Reference!$B$52:$B$56,0))*INDEX(Reference!$H$60:$H$64,MATCH($O110,Reference!$B$60:$B$64,0)),0))</f>
        <v/>
      </c>
      <c r="S110" s="66"/>
      <c r="T110" s="55" t="str">
        <f aca="false">IF($F110="","",COUNTIF('Treatment Actions'!$B$9:$B$208,$C110))</f>
        <v/>
      </c>
      <c r="U110" s="55" t="str">
        <f aca="false">IF($F110="","",COUNTIFS('Treatment Actions'!$B$9:$B$208,$C110,'Treatment Actions'!$F$9:$F$208,"Complete"))</f>
        <v/>
      </c>
      <c r="V110" s="66"/>
      <c r="W110" s="66"/>
      <c r="X110" s="59" t="str">
        <f aca="false">IF(OR($V110="",$W110=""),"",INDEX(Reference!$C$68:$G$72,MATCH($V110,Reference!$B$52:$B$56,0),6-MATCH($W110,Reference!$B$60:$B$64,0)))</f>
        <v/>
      </c>
      <c r="Y110" s="59" t="str">
        <f aca="false">IF(OR($P110="",$X110=""),"",IF(MATCH($X110,Reference!$F$37:$F$40,0)&gt;MATCH($P110,Reference!$F$37:$F$40,0),"Improving",IF($X110=$P110,"Flat","Worsening")))</f>
        <v/>
      </c>
      <c r="Z110" s="66"/>
      <c r="AA110" s="68"/>
      <c r="AB110" s="69"/>
      <c r="AC110" s="70"/>
      <c r="AD110" s="70"/>
      <c r="AE110" s="70"/>
      <c r="AF110" s="59" t="str">
        <f aca="true">IF(OR($F110="",$AE110="",$AB110="Closed"),"",IF($AE110&lt;TODAY(),"Overdue",""))</f>
        <v/>
      </c>
      <c r="AG110" s="68"/>
      <c r="AH110" s="70"/>
      <c r="AI110" s="68"/>
    </row>
    <row r="111" customFormat="false" ht="33.75" hidden="false" customHeight="true" outlineLevel="0" collapsed="false">
      <c r="A111" s="54"/>
      <c r="B111" s="55" t="str">
        <f aca="false">IF($F111="","",ROW()-8)</f>
        <v/>
      </c>
      <c r="C111" s="56" t="str">
        <f aca="false">IF($F111="","","RSK-"&amp;TEXT(ROW()-8,"000"))</f>
        <v/>
      </c>
      <c r="D111" s="57"/>
      <c r="E111" s="58"/>
      <c r="F111" s="57"/>
      <c r="G111" s="57"/>
      <c r="H111" s="57"/>
      <c r="I111" s="57"/>
      <c r="J111" s="59" t="str">
        <f aca="false">IF(OR($H111="",$I111=""),"",INDEX(Reference!$C$68:$G$72,MATCH($H111,Reference!$B$52:$B$56,0),6-MATCH($I111,Reference!$B$60:$B$64,0)))</f>
        <v/>
      </c>
      <c r="K111" s="57"/>
      <c r="L111" s="57"/>
      <c r="M111" s="58"/>
      <c r="N111" s="57"/>
      <c r="O111" s="57"/>
      <c r="P111" s="59" t="str">
        <f aca="false">IF(OR($N111="",$O111=""),"",INDEX(Reference!$C$68:$G$72,MATCH($N111,Reference!$B$52:$B$56,0),6-MATCH($O111,Reference!$B$60:$B$64,0)))</f>
        <v/>
      </c>
      <c r="Q111" s="60" t="str">
        <f aca="false">IF(OR($N111="",$O111=""),"",INDEX(Reference!$F$52:$F$56,MATCH($N111,Reference!$B$52:$B$56,0))*INDEX(Reference!$F$60:$F$64,MATCH($O111,Reference!$B$60:$B$64,0)))</f>
        <v/>
      </c>
      <c r="R111" s="61" t="str">
        <f aca="false">IF(OR($N111="",$O111=""),"",ROUND(INDEX(Reference!$F$52:$F$56,MATCH($N111,Reference!$B$52:$B$56,0))*INDEX(Reference!$H$60:$H$64,MATCH($O111,Reference!$B$60:$B$64,0)),0))</f>
        <v/>
      </c>
      <c r="S111" s="57"/>
      <c r="T111" s="55" t="str">
        <f aca="false">IF($F111="","",COUNTIF('Treatment Actions'!$B$9:$B$208,$C111))</f>
        <v/>
      </c>
      <c r="U111" s="55" t="str">
        <f aca="false">IF($F111="","",COUNTIFS('Treatment Actions'!$B$9:$B$208,$C111,'Treatment Actions'!$F$9:$F$208,"Complete"))</f>
        <v/>
      </c>
      <c r="V111" s="57"/>
      <c r="W111" s="57"/>
      <c r="X111" s="59" t="str">
        <f aca="false">IF(OR($V111="",$W111=""),"",INDEX(Reference!$C$68:$G$72,MATCH($V111,Reference!$B$52:$B$56,0),6-MATCH($W111,Reference!$B$60:$B$64,0)))</f>
        <v/>
      </c>
      <c r="Y111" s="59" t="str">
        <f aca="false">IF(OR($P111="",$X111=""),"",IF(MATCH($X111,Reference!$F$37:$F$40,0)&gt;MATCH($P111,Reference!$F$37:$F$40,0),"Improving",IF($X111=$P111,"Flat","Worsening")))</f>
        <v/>
      </c>
      <c r="Z111" s="57"/>
      <c r="AA111" s="62"/>
      <c r="AB111" s="63"/>
      <c r="AC111" s="64"/>
      <c r="AD111" s="64"/>
      <c r="AE111" s="64"/>
      <c r="AF111" s="59" t="str">
        <f aca="true">IF(OR($F111="",$AE111="",$AB111="Closed"),"",IF($AE111&lt;TODAY(),"Overdue",""))</f>
        <v/>
      </c>
      <c r="AG111" s="62"/>
      <c r="AH111" s="64"/>
      <c r="AI111" s="62"/>
    </row>
    <row r="112" customFormat="false" ht="33.75" hidden="false" customHeight="true" outlineLevel="0" collapsed="false">
      <c r="A112" s="54"/>
      <c r="B112" s="55" t="str">
        <f aca="false">IF($F112="","",ROW()-8)</f>
        <v/>
      </c>
      <c r="C112" s="56" t="str">
        <f aca="false">IF($F112="","","RSK-"&amp;TEXT(ROW()-8,"000"))</f>
        <v/>
      </c>
      <c r="D112" s="66"/>
      <c r="E112" s="67"/>
      <c r="F112" s="66"/>
      <c r="G112" s="66"/>
      <c r="H112" s="66"/>
      <c r="I112" s="66"/>
      <c r="J112" s="59" t="str">
        <f aca="false">IF(OR($H112="",$I112=""),"",INDEX(Reference!$C$68:$G$72,MATCH($H112,Reference!$B$52:$B$56,0),6-MATCH($I112,Reference!$B$60:$B$64,0)))</f>
        <v/>
      </c>
      <c r="K112" s="66"/>
      <c r="L112" s="66"/>
      <c r="M112" s="67"/>
      <c r="N112" s="66"/>
      <c r="O112" s="66"/>
      <c r="P112" s="59" t="str">
        <f aca="false">IF(OR($N112="",$O112=""),"",INDEX(Reference!$C$68:$G$72,MATCH($N112,Reference!$B$52:$B$56,0),6-MATCH($O112,Reference!$B$60:$B$64,0)))</f>
        <v/>
      </c>
      <c r="Q112" s="60" t="str">
        <f aca="false">IF(OR($N112="",$O112=""),"",INDEX(Reference!$F$52:$F$56,MATCH($N112,Reference!$B$52:$B$56,0))*INDEX(Reference!$F$60:$F$64,MATCH($O112,Reference!$B$60:$B$64,0)))</f>
        <v/>
      </c>
      <c r="R112" s="61" t="str">
        <f aca="false">IF(OR($N112="",$O112=""),"",ROUND(INDEX(Reference!$F$52:$F$56,MATCH($N112,Reference!$B$52:$B$56,0))*INDEX(Reference!$H$60:$H$64,MATCH($O112,Reference!$B$60:$B$64,0)),0))</f>
        <v/>
      </c>
      <c r="S112" s="66"/>
      <c r="T112" s="55" t="str">
        <f aca="false">IF($F112="","",COUNTIF('Treatment Actions'!$B$9:$B$208,$C112))</f>
        <v/>
      </c>
      <c r="U112" s="55" t="str">
        <f aca="false">IF($F112="","",COUNTIFS('Treatment Actions'!$B$9:$B$208,$C112,'Treatment Actions'!$F$9:$F$208,"Complete"))</f>
        <v/>
      </c>
      <c r="V112" s="66"/>
      <c r="W112" s="66"/>
      <c r="X112" s="59" t="str">
        <f aca="false">IF(OR($V112="",$W112=""),"",INDEX(Reference!$C$68:$G$72,MATCH($V112,Reference!$B$52:$B$56,0),6-MATCH($W112,Reference!$B$60:$B$64,0)))</f>
        <v/>
      </c>
      <c r="Y112" s="59" t="str">
        <f aca="false">IF(OR($P112="",$X112=""),"",IF(MATCH($X112,Reference!$F$37:$F$40,0)&gt;MATCH($P112,Reference!$F$37:$F$40,0),"Improving",IF($X112=$P112,"Flat","Worsening")))</f>
        <v/>
      </c>
      <c r="Z112" s="66"/>
      <c r="AA112" s="68"/>
      <c r="AB112" s="69"/>
      <c r="AC112" s="70"/>
      <c r="AD112" s="70"/>
      <c r="AE112" s="70"/>
      <c r="AF112" s="59" t="str">
        <f aca="true">IF(OR($F112="",$AE112="",$AB112="Closed"),"",IF($AE112&lt;TODAY(),"Overdue",""))</f>
        <v/>
      </c>
      <c r="AG112" s="68"/>
      <c r="AH112" s="70"/>
      <c r="AI112" s="68"/>
    </row>
    <row r="113" customFormat="false" ht="33.75" hidden="false" customHeight="true" outlineLevel="0" collapsed="false">
      <c r="A113" s="54"/>
      <c r="B113" s="55" t="str">
        <f aca="false">IF($F113="","",ROW()-8)</f>
        <v/>
      </c>
      <c r="C113" s="56" t="str">
        <f aca="false">IF($F113="","","RSK-"&amp;TEXT(ROW()-8,"000"))</f>
        <v/>
      </c>
      <c r="D113" s="57"/>
      <c r="E113" s="58"/>
      <c r="F113" s="57"/>
      <c r="G113" s="57"/>
      <c r="H113" s="57"/>
      <c r="I113" s="57"/>
      <c r="J113" s="59" t="str">
        <f aca="false">IF(OR($H113="",$I113=""),"",INDEX(Reference!$C$68:$G$72,MATCH($H113,Reference!$B$52:$B$56,0),6-MATCH($I113,Reference!$B$60:$B$64,0)))</f>
        <v/>
      </c>
      <c r="K113" s="57"/>
      <c r="L113" s="57"/>
      <c r="M113" s="58"/>
      <c r="N113" s="57"/>
      <c r="O113" s="57"/>
      <c r="P113" s="59" t="str">
        <f aca="false">IF(OR($N113="",$O113=""),"",INDEX(Reference!$C$68:$G$72,MATCH($N113,Reference!$B$52:$B$56,0),6-MATCH($O113,Reference!$B$60:$B$64,0)))</f>
        <v/>
      </c>
      <c r="Q113" s="60" t="str">
        <f aca="false">IF(OR($N113="",$O113=""),"",INDEX(Reference!$F$52:$F$56,MATCH($N113,Reference!$B$52:$B$56,0))*INDEX(Reference!$F$60:$F$64,MATCH($O113,Reference!$B$60:$B$64,0)))</f>
        <v/>
      </c>
      <c r="R113" s="61" t="str">
        <f aca="false">IF(OR($N113="",$O113=""),"",ROUND(INDEX(Reference!$F$52:$F$56,MATCH($N113,Reference!$B$52:$B$56,0))*INDEX(Reference!$H$60:$H$64,MATCH($O113,Reference!$B$60:$B$64,0)),0))</f>
        <v/>
      </c>
      <c r="S113" s="57"/>
      <c r="T113" s="55" t="str">
        <f aca="false">IF($F113="","",COUNTIF('Treatment Actions'!$B$9:$B$208,$C113))</f>
        <v/>
      </c>
      <c r="U113" s="55" t="str">
        <f aca="false">IF($F113="","",COUNTIFS('Treatment Actions'!$B$9:$B$208,$C113,'Treatment Actions'!$F$9:$F$208,"Complete"))</f>
        <v/>
      </c>
      <c r="V113" s="57"/>
      <c r="W113" s="57"/>
      <c r="X113" s="59" t="str">
        <f aca="false">IF(OR($V113="",$W113=""),"",INDEX(Reference!$C$68:$G$72,MATCH($V113,Reference!$B$52:$B$56,0),6-MATCH($W113,Reference!$B$60:$B$64,0)))</f>
        <v/>
      </c>
      <c r="Y113" s="59" t="str">
        <f aca="false">IF(OR($P113="",$X113=""),"",IF(MATCH($X113,Reference!$F$37:$F$40,0)&gt;MATCH($P113,Reference!$F$37:$F$40,0),"Improving",IF($X113=$P113,"Flat","Worsening")))</f>
        <v/>
      </c>
      <c r="Z113" s="57"/>
      <c r="AA113" s="62"/>
      <c r="AB113" s="63"/>
      <c r="AC113" s="64"/>
      <c r="AD113" s="64"/>
      <c r="AE113" s="64"/>
      <c r="AF113" s="59" t="str">
        <f aca="true">IF(OR($F113="",$AE113="",$AB113="Closed"),"",IF($AE113&lt;TODAY(),"Overdue",""))</f>
        <v/>
      </c>
      <c r="AG113" s="62"/>
      <c r="AH113" s="64"/>
      <c r="AI113" s="62"/>
    </row>
    <row r="114" customFormat="false" ht="33.75" hidden="false" customHeight="true" outlineLevel="0" collapsed="false">
      <c r="A114" s="54"/>
      <c r="B114" s="55" t="str">
        <f aca="false">IF($F114="","",ROW()-8)</f>
        <v/>
      </c>
      <c r="C114" s="56" t="str">
        <f aca="false">IF($F114="","","RSK-"&amp;TEXT(ROW()-8,"000"))</f>
        <v/>
      </c>
      <c r="D114" s="66"/>
      <c r="E114" s="67"/>
      <c r="F114" s="66"/>
      <c r="G114" s="66"/>
      <c r="H114" s="66"/>
      <c r="I114" s="66"/>
      <c r="J114" s="59" t="str">
        <f aca="false">IF(OR($H114="",$I114=""),"",INDEX(Reference!$C$68:$G$72,MATCH($H114,Reference!$B$52:$B$56,0),6-MATCH($I114,Reference!$B$60:$B$64,0)))</f>
        <v/>
      </c>
      <c r="K114" s="66"/>
      <c r="L114" s="66"/>
      <c r="M114" s="67"/>
      <c r="N114" s="66"/>
      <c r="O114" s="66"/>
      <c r="P114" s="59" t="str">
        <f aca="false">IF(OR($N114="",$O114=""),"",INDEX(Reference!$C$68:$G$72,MATCH($N114,Reference!$B$52:$B$56,0),6-MATCH($O114,Reference!$B$60:$B$64,0)))</f>
        <v/>
      </c>
      <c r="Q114" s="60" t="str">
        <f aca="false">IF(OR($N114="",$O114=""),"",INDEX(Reference!$F$52:$F$56,MATCH($N114,Reference!$B$52:$B$56,0))*INDEX(Reference!$F$60:$F$64,MATCH($O114,Reference!$B$60:$B$64,0)))</f>
        <v/>
      </c>
      <c r="R114" s="61" t="str">
        <f aca="false">IF(OR($N114="",$O114=""),"",ROUND(INDEX(Reference!$F$52:$F$56,MATCH($N114,Reference!$B$52:$B$56,0))*INDEX(Reference!$H$60:$H$64,MATCH($O114,Reference!$B$60:$B$64,0)),0))</f>
        <v/>
      </c>
      <c r="S114" s="66"/>
      <c r="T114" s="55" t="str">
        <f aca="false">IF($F114="","",COUNTIF('Treatment Actions'!$B$9:$B$208,$C114))</f>
        <v/>
      </c>
      <c r="U114" s="55" t="str">
        <f aca="false">IF($F114="","",COUNTIFS('Treatment Actions'!$B$9:$B$208,$C114,'Treatment Actions'!$F$9:$F$208,"Complete"))</f>
        <v/>
      </c>
      <c r="V114" s="66"/>
      <c r="W114" s="66"/>
      <c r="X114" s="59" t="str">
        <f aca="false">IF(OR($V114="",$W114=""),"",INDEX(Reference!$C$68:$G$72,MATCH($V114,Reference!$B$52:$B$56,0),6-MATCH($W114,Reference!$B$60:$B$64,0)))</f>
        <v/>
      </c>
      <c r="Y114" s="59" t="str">
        <f aca="false">IF(OR($P114="",$X114=""),"",IF(MATCH($X114,Reference!$F$37:$F$40,0)&gt;MATCH($P114,Reference!$F$37:$F$40,0),"Improving",IF($X114=$P114,"Flat","Worsening")))</f>
        <v/>
      </c>
      <c r="Z114" s="66"/>
      <c r="AA114" s="68"/>
      <c r="AB114" s="69"/>
      <c r="AC114" s="70"/>
      <c r="AD114" s="70"/>
      <c r="AE114" s="70"/>
      <c r="AF114" s="59" t="str">
        <f aca="true">IF(OR($F114="",$AE114="",$AB114="Closed"),"",IF($AE114&lt;TODAY(),"Overdue",""))</f>
        <v/>
      </c>
      <c r="AG114" s="68"/>
      <c r="AH114" s="70"/>
      <c r="AI114" s="68"/>
    </row>
    <row r="115" customFormat="false" ht="33.75" hidden="false" customHeight="true" outlineLevel="0" collapsed="false">
      <c r="A115" s="54"/>
      <c r="B115" s="55" t="str">
        <f aca="false">IF($F115="","",ROW()-8)</f>
        <v/>
      </c>
      <c r="C115" s="56" t="str">
        <f aca="false">IF($F115="","","RSK-"&amp;TEXT(ROW()-8,"000"))</f>
        <v/>
      </c>
      <c r="D115" s="57"/>
      <c r="E115" s="58"/>
      <c r="F115" s="57"/>
      <c r="G115" s="57"/>
      <c r="H115" s="57"/>
      <c r="I115" s="57"/>
      <c r="J115" s="59" t="str">
        <f aca="false">IF(OR($H115="",$I115=""),"",INDEX(Reference!$C$68:$G$72,MATCH($H115,Reference!$B$52:$B$56,0),6-MATCH($I115,Reference!$B$60:$B$64,0)))</f>
        <v/>
      </c>
      <c r="K115" s="57"/>
      <c r="L115" s="57"/>
      <c r="M115" s="58"/>
      <c r="N115" s="57"/>
      <c r="O115" s="57"/>
      <c r="P115" s="59" t="str">
        <f aca="false">IF(OR($N115="",$O115=""),"",INDEX(Reference!$C$68:$G$72,MATCH($N115,Reference!$B$52:$B$56,0),6-MATCH($O115,Reference!$B$60:$B$64,0)))</f>
        <v/>
      </c>
      <c r="Q115" s="60" t="str">
        <f aca="false">IF(OR($N115="",$O115=""),"",INDEX(Reference!$F$52:$F$56,MATCH($N115,Reference!$B$52:$B$56,0))*INDEX(Reference!$F$60:$F$64,MATCH($O115,Reference!$B$60:$B$64,0)))</f>
        <v/>
      </c>
      <c r="R115" s="61" t="str">
        <f aca="false">IF(OR($N115="",$O115=""),"",ROUND(INDEX(Reference!$F$52:$F$56,MATCH($N115,Reference!$B$52:$B$56,0))*INDEX(Reference!$H$60:$H$64,MATCH($O115,Reference!$B$60:$B$64,0)),0))</f>
        <v/>
      </c>
      <c r="S115" s="57"/>
      <c r="T115" s="55" t="str">
        <f aca="false">IF($F115="","",COUNTIF('Treatment Actions'!$B$9:$B$208,$C115))</f>
        <v/>
      </c>
      <c r="U115" s="55" t="str">
        <f aca="false">IF($F115="","",COUNTIFS('Treatment Actions'!$B$9:$B$208,$C115,'Treatment Actions'!$F$9:$F$208,"Complete"))</f>
        <v/>
      </c>
      <c r="V115" s="57"/>
      <c r="W115" s="57"/>
      <c r="X115" s="59" t="str">
        <f aca="false">IF(OR($V115="",$W115=""),"",INDEX(Reference!$C$68:$G$72,MATCH($V115,Reference!$B$52:$B$56,0),6-MATCH($W115,Reference!$B$60:$B$64,0)))</f>
        <v/>
      </c>
      <c r="Y115" s="59" t="str">
        <f aca="false">IF(OR($P115="",$X115=""),"",IF(MATCH($X115,Reference!$F$37:$F$40,0)&gt;MATCH($P115,Reference!$F$37:$F$40,0),"Improving",IF($X115=$P115,"Flat","Worsening")))</f>
        <v/>
      </c>
      <c r="Z115" s="57"/>
      <c r="AA115" s="62"/>
      <c r="AB115" s="63"/>
      <c r="AC115" s="64"/>
      <c r="AD115" s="64"/>
      <c r="AE115" s="64"/>
      <c r="AF115" s="59" t="str">
        <f aca="true">IF(OR($F115="",$AE115="",$AB115="Closed"),"",IF($AE115&lt;TODAY(),"Overdue",""))</f>
        <v/>
      </c>
      <c r="AG115" s="62"/>
      <c r="AH115" s="64"/>
      <c r="AI115" s="62"/>
    </row>
    <row r="116" customFormat="false" ht="33.75" hidden="false" customHeight="true" outlineLevel="0" collapsed="false">
      <c r="A116" s="54"/>
      <c r="B116" s="55" t="str">
        <f aca="false">IF($F116="","",ROW()-8)</f>
        <v/>
      </c>
      <c r="C116" s="56" t="str">
        <f aca="false">IF($F116="","","RSK-"&amp;TEXT(ROW()-8,"000"))</f>
        <v/>
      </c>
      <c r="D116" s="66"/>
      <c r="E116" s="67"/>
      <c r="F116" s="66"/>
      <c r="G116" s="66"/>
      <c r="H116" s="66"/>
      <c r="I116" s="66"/>
      <c r="J116" s="59" t="str">
        <f aca="false">IF(OR($H116="",$I116=""),"",INDEX(Reference!$C$68:$G$72,MATCH($H116,Reference!$B$52:$B$56,0),6-MATCH($I116,Reference!$B$60:$B$64,0)))</f>
        <v/>
      </c>
      <c r="K116" s="66"/>
      <c r="L116" s="66"/>
      <c r="M116" s="67"/>
      <c r="N116" s="66"/>
      <c r="O116" s="66"/>
      <c r="P116" s="59" t="str">
        <f aca="false">IF(OR($N116="",$O116=""),"",INDEX(Reference!$C$68:$G$72,MATCH($N116,Reference!$B$52:$B$56,0),6-MATCH($O116,Reference!$B$60:$B$64,0)))</f>
        <v/>
      </c>
      <c r="Q116" s="60" t="str">
        <f aca="false">IF(OR($N116="",$O116=""),"",INDEX(Reference!$F$52:$F$56,MATCH($N116,Reference!$B$52:$B$56,0))*INDEX(Reference!$F$60:$F$64,MATCH($O116,Reference!$B$60:$B$64,0)))</f>
        <v/>
      </c>
      <c r="R116" s="61" t="str">
        <f aca="false">IF(OR($N116="",$O116=""),"",ROUND(INDEX(Reference!$F$52:$F$56,MATCH($N116,Reference!$B$52:$B$56,0))*INDEX(Reference!$H$60:$H$64,MATCH($O116,Reference!$B$60:$B$64,0)),0))</f>
        <v/>
      </c>
      <c r="S116" s="66"/>
      <c r="T116" s="55" t="str">
        <f aca="false">IF($F116="","",COUNTIF('Treatment Actions'!$B$9:$B$208,$C116))</f>
        <v/>
      </c>
      <c r="U116" s="55" t="str">
        <f aca="false">IF($F116="","",COUNTIFS('Treatment Actions'!$B$9:$B$208,$C116,'Treatment Actions'!$F$9:$F$208,"Complete"))</f>
        <v/>
      </c>
      <c r="V116" s="66"/>
      <c r="W116" s="66"/>
      <c r="X116" s="59" t="str">
        <f aca="false">IF(OR($V116="",$W116=""),"",INDEX(Reference!$C$68:$G$72,MATCH($V116,Reference!$B$52:$B$56,0),6-MATCH($W116,Reference!$B$60:$B$64,0)))</f>
        <v/>
      </c>
      <c r="Y116" s="59" t="str">
        <f aca="false">IF(OR($P116="",$X116=""),"",IF(MATCH($X116,Reference!$F$37:$F$40,0)&gt;MATCH($P116,Reference!$F$37:$F$40,0),"Improving",IF($X116=$P116,"Flat","Worsening")))</f>
        <v/>
      </c>
      <c r="Z116" s="66"/>
      <c r="AA116" s="68"/>
      <c r="AB116" s="69"/>
      <c r="AC116" s="70"/>
      <c r="AD116" s="70"/>
      <c r="AE116" s="70"/>
      <c r="AF116" s="59" t="str">
        <f aca="true">IF(OR($F116="",$AE116="",$AB116="Closed"),"",IF($AE116&lt;TODAY(),"Overdue",""))</f>
        <v/>
      </c>
      <c r="AG116" s="68"/>
      <c r="AH116" s="70"/>
      <c r="AI116" s="68"/>
    </row>
    <row r="117" customFormat="false" ht="33.75" hidden="false" customHeight="true" outlineLevel="0" collapsed="false">
      <c r="A117" s="54"/>
      <c r="B117" s="55" t="str">
        <f aca="false">IF($F117="","",ROW()-8)</f>
        <v/>
      </c>
      <c r="C117" s="56" t="str">
        <f aca="false">IF($F117="","","RSK-"&amp;TEXT(ROW()-8,"000"))</f>
        <v/>
      </c>
      <c r="D117" s="57"/>
      <c r="E117" s="58"/>
      <c r="F117" s="57"/>
      <c r="G117" s="57"/>
      <c r="H117" s="57"/>
      <c r="I117" s="57"/>
      <c r="J117" s="59" t="str">
        <f aca="false">IF(OR($H117="",$I117=""),"",INDEX(Reference!$C$68:$G$72,MATCH($H117,Reference!$B$52:$B$56,0),6-MATCH($I117,Reference!$B$60:$B$64,0)))</f>
        <v/>
      </c>
      <c r="K117" s="57"/>
      <c r="L117" s="57"/>
      <c r="M117" s="58"/>
      <c r="N117" s="57"/>
      <c r="O117" s="57"/>
      <c r="P117" s="59" t="str">
        <f aca="false">IF(OR($N117="",$O117=""),"",INDEX(Reference!$C$68:$G$72,MATCH($N117,Reference!$B$52:$B$56,0),6-MATCH($O117,Reference!$B$60:$B$64,0)))</f>
        <v/>
      </c>
      <c r="Q117" s="60" t="str">
        <f aca="false">IF(OR($N117="",$O117=""),"",INDEX(Reference!$F$52:$F$56,MATCH($N117,Reference!$B$52:$B$56,0))*INDEX(Reference!$F$60:$F$64,MATCH($O117,Reference!$B$60:$B$64,0)))</f>
        <v/>
      </c>
      <c r="R117" s="61" t="str">
        <f aca="false">IF(OR($N117="",$O117=""),"",ROUND(INDEX(Reference!$F$52:$F$56,MATCH($N117,Reference!$B$52:$B$56,0))*INDEX(Reference!$H$60:$H$64,MATCH($O117,Reference!$B$60:$B$64,0)),0))</f>
        <v/>
      </c>
      <c r="S117" s="57"/>
      <c r="T117" s="55" t="str">
        <f aca="false">IF($F117="","",COUNTIF('Treatment Actions'!$B$9:$B$208,$C117))</f>
        <v/>
      </c>
      <c r="U117" s="55" t="str">
        <f aca="false">IF($F117="","",COUNTIFS('Treatment Actions'!$B$9:$B$208,$C117,'Treatment Actions'!$F$9:$F$208,"Complete"))</f>
        <v/>
      </c>
      <c r="V117" s="57"/>
      <c r="W117" s="57"/>
      <c r="X117" s="59" t="str">
        <f aca="false">IF(OR($V117="",$W117=""),"",INDEX(Reference!$C$68:$G$72,MATCH($V117,Reference!$B$52:$B$56,0),6-MATCH($W117,Reference!$B$60:$B$64,0)))</f>
        <v/>
      </c>
      <c r="Y117" s="59" t="str">
        <f aca="false">IF(OR($P117="",$X117=""),"",IF(MATCH($X117,Reference!$F$37:$F$40,0)&gt;MATCH($P117,Reference!$F$37:$F$40,0),"Improving",IF($X117=$P117,"Flat","Worsening")))</f>
        <v/>
      </c>
      <c r="Z117" s="57"/>
      <c r="AA117" s="62"/>
      <c r="AB117" s="63"/>
      <c r="AC117" s="64"/>
      <c r="AD117" s="64"/>
      <c r="AE117" s="64"/>
      <c r="AF117" s="59" t="str">
        <f aca="true">IF(OR($F117="",$AE117="",$AB117="Closed"),"",IF($AE117&lt;TODAY(),"Overdue",""))</f>
        <v/>
      </c>
      <c r="AG117" s="62"/>
      <c r="AH117" s="64"/>
      <c r="AI117" s="62"/>
    </row>
    <row r="118" customFormat="false" ht="33.75" hidden="false" customHeight="true" outlineLevel="0" collapsed="false">
      <c r="A118" s="54"/>
      <c r="B118" s="55" t="str">
        <f aca="false">IF($F118="","",ROW()-8)</f>
        <v/>
      </c>
      <c r="C118" s="56" t="str">
        <f aca="false">IF($F118="","","RSK-"&amp;TEXT(ROW()-8,"000"))</f>
        <v/>
      </c>
      <c r="D118" s="66"/>
      <c r="E118" s="67"/>
      <c r="F118" s="66"/>
      <c r="G118" s="66"/>
      <c r="H118" s="66"/>
      <c r="I118" s="66"/>
      <c r="J118" s="59" t="str">
        <f aca="false">IF(OR($H118="",$I118=""),"",INDEX(Reference!$C$68:$G$72,MATCH($H118,Reference!$B$52:$B$56,0),6-MATCH($I118,Reference!$B$60:$B$64,0)))</f>
        <v/>
      </c>
      <c r="K118" s="66"/>
      <c r="L118" s="66"/>
      <c r="M118" s="67"/>
      <c r="N118" s="66"/>
      <c r="O118" s="66"/>
      <c r="P118" s="59" t="str">
        <f aca="false">IF(OR($N118="",$O118=""),"",INDEX(Reference!$C$68:$G$72,MATCH($N118,Reference!$B$52:$B$56,0),6-MATCH($O118,Reference!$B$60:$B$64,0)))</f>
        <v/>
      </c>
      <c r="Q118" s="60" t="str">
        <f aca="false">IF(OR($N118="",$O118=""),"",INDEX(Reference!$F$52:$F$56,MATCH($N118,Reference!$B$52:$B$56,0))*INDEX(Reference!$F$60:$F$64,MATCH($O118,Reference!$B$60:$B$64,0)))</f>
        <v/>
      </c>
      <c r="R118" s="61" t="str">
        <f aca="false">IF(OR($N118="",$O118=""),"",ROUND(INDEX(Reference!$F$52:$F$56,MATCH($N118,Reference!$B$52:$B$56,0))*INDEX(Reference!$H$60:$H$64,MATCH($O118,Reference!$B$60:$B$64,0)),0))</f>
        <v/>
      </c>
      <c r="S118" s="66"/>
      <c r="T118" s="55" t="str">
        <f aca="false">IF($F118="","",COUNTIF('Treatment Actions'!$B$9:$B$208,$C118))</f>
        <v/>
      </c>
      <c r="U118" s="55" t="str">
        <f aca="false">IF($F118="","",COUNTIFS('Treatment Actions'!$B$9:$B$208,$C118,'Treatment Actions'!$F$9:$F$208,"Complete"))</f>
        <v/>
      </c>
      <c r="V118" s="66"/>
      <c r="W118" s="66"/>
      <c r="X118" s="59" t="str">
        <f aca="false">IF(OR($V118="",$W118=""),"",INDEX(Reference!$C$68:$G$72,MATCH($V118,Reference!$B$52:$B$56,0),6-MATCH($W118,Reference!$B$60:$B$64,0)))</f>
        <v/>
      </c>
      <c r="Y118" s="59" t="str">
        <f aca="false">IF(OR($P118="",$X118=""),"",IF(MATCH($X118,Reference!$F$37:$F$40,0)&gt;MATCH($P118,Reference!$F$37:$F$40,0),"Improving",IF($X118=$P118,"Flat","Worsening")))</f>
        <v/>
      </c>
      <c r="Z118" s="66"/>
      <c r="AA118" s="68"/>
      <c r="AB118" s="69"/>
      <c r="AC118" s="70"/>
      <c r="AD118" s="70"/>
      <c r="AE118" s="70"/>
      <c r="AF118" s="59" t="str">
        <f aca="true">IF(OR($F118="",$AE118="",$AB118="Closed"),"",IF($AE118&lt;TODAY(),"Overdue",""))</f>
        <v/>
      </c>
      <c r="AG118" s="68"/>
      <c r="AH118" s="70"/>
      <c r="AI118" s="68"/>
    </row>
    <row r="119" customFormat="false" ht="33.75" hidden="false" customHeight="true" outlineLevel="0" collapsed="false">
      <c r="A119" s="54"/>
      <c r="B119" s="55" t="str">
        <f aca="false">IF($F119="","",ROW()-8)</f>
        <v/>
      </c>
      <c r="C119" s="56" t="str">
        <f aca="false">IF($F119="","","RSK-"&amp;TEXT(ROW()-8,"000"))</f>
        <v/>
      </c>
      <c r="D119" s="57"/>
      <c r="E119" s="58"/>
      <c r="F119" s="57"/>
      <c r="G119" s="57"/>
      <c r="H119" s="57"/>
      <c r="I119" s="57"/>
      <c r="J119" s="59" t="str">
        <f aca="false">IF(OR($H119="",$I119=""),"",INDEX(Reference!$C$68:$G$72,MATCH($H119,Reference!$B$52:$B$56,0),6-MATCH($I119,Reference!$B$60:$B$64,0)))</f>
        <v/>
      </c>
      <c r="K119" s="57"/>
      <c r="L119" s="57"/>
      <c r="M119" s="58"/>
      <c r="N119" s="57"/>
      <c r="O119" s="57"/>
      <c r="P119" s="59" t="str">
        <f aca="false">IF(OR($N119="",$O119=""),"",INDEX(Reference!$C$68:$G$72,MATCH($N119,Reference!$B$52:$B$56,0),6-MATCH($O119,Reference!$B$60:$B$64,0)))</f>
        <v/>
      </c>
      <c r="Q119" s="60" t="str">
        <f aca="false">IF(OR($N119="",$O119=""),"",INDEX(Reference!$F$52:$F$56,MATCH($N119,Reference!$B$52:$B$56,0))*INDEX(Reference!$F$60:$F$64,MATCH($O119,Reference!$B$60:$B$64,0)))</f>
        <v/>
      </c>
      <c r="R119" s="61" t="str">
        <f aca="false">IF(OR($N119="",$O119=""),"",ROUND(INDEX(Reference!$F$52:$F$56,MATCH($N119,Reference!$B$52:$B$56,0))*INDEX(Reference!$H$60:$H$64,MATCH($O119,Reference!$B$60:$B$64,0)),0))</f>
        <v/>
      </c>
      <c r="S119" s="57"/>
      <c r="T119" s="55" t="str">
        <f aca="false">IF($F119="","",COUNTIF('Treatment Actions'!$B$9:$B$208,$C119))</f>
        <v/>
      </c>
      <c r="U119" s="55" t="str">
        <f aca="false">IF($F119="","",COUNTIFS('Treatment Actions'!$B$9:$B$208,$C119,'Treatment Actions'!$F$9:$F$208,"Complete"))</f>
        <v/>
      </c>
      <c r="V119" s="57"/>
      <c r="W119" s="57"/>
      <c r="X119" s="59" t="str">
        <f aca="false">IF(OR($V119="",$W119=""),"",INDEX(Reference!$C$68:$G$72,MATCH($V119,Reference!$B$52:$B$56,0),6-MATCH($W119,Reference!$B$60:$B$64,0)))</f>
        <v/>
      </c>
      <c r="Y119" s="59" t="str">
        <f aca="false">IF(OR($P119="",$X119=""),"",IF(MATCH($X119,Reference!$F$37:$F$40,0)&gt;MATCH($P119,Reference!$F$37:$F$40,0),"Improving",IF($X119=$P119,"Flat","Worsening")))</f>
        <v/>
      </c>
      <c r="Z119" s="57"/>
      <c r="AA119" s="62"/>
      <c r="AB119" s="63"/>
      <c r="AC119" s="64"/>
      <c r="AD119" s="64"/>
      <c r="AE119" s="64"/>
      <c r="AF119" s="59" t="str">
        <f aca="true">IF(OR($F119="",$AE119="",$AB119="Closed"),"",IF($AE119&lt;TODAY(),"Overdue",""))</f>
        <v/>
      </c>
      <c r="AG119" s="62"/>
      <c r="AH119" s="64"/>
      <c r="AI119" s="62"/>
    </row>
    <row r="120" customFormat="false" ht="33.75" hidden="false" customHeight="true" outlineLevel="0" collapsed="false">
      <c r="A120" s="54"/>
      <c r="B120" s="55" t="str">
        <f aca="false">IF($F120="","",ROW()-8)</f>
        <v/>
      </c>
      <c r="C120" s="56" t="str">
        <f aca="false">IF($F120="","","RSK-"&amp;TEXT(ROW()-8,"000"))</f>
        <v/>
      </c>
      <c r="D120" s="66"/>
      <c r="E120" s="67"/>
      <c r="F120" s="66"/>
      <c r="G120" s="66"/>
      <c r="H120" s="66"/>
      <c r="I120" s="66"/>
      <c r="J120" s="59" t="str">
        <f aca="false">IF(OR($H120="",$I120=""),"",INDEX(Reference!$C$68:$G$72,MATCH($H120,Reference!$B$52:$B$56,0),6-MATCH($I120,Reference!$B$60:$B$64,0)))</f>
        <v/>
      </c>
      <c r="K120" s="66"/>
      <c r="L120" s="66"/>
      <c r="M120" s="67"/>
      <c r="N120" s="66"/>
      <c r="O120" s="66"/>
      <c r="P120" s="59" t="str">
        <f aca="false">IF(OR($N120="",$O120=""),"",INDEX(Reference!$C$68:$G$72,MATCH($N120,Reference!$B$52:$B$56,0),6-MATCH($O120,Reference!$B$60:$B$64,0)))</f>
        <v/>
      </c>
      <c r="Q120" s="60" t="str">
        <f aca="false">IF(OR($N120="",$O120=""),"",INDEX(Reference!$F$52:$F$56,MATCH($N120,Reference!$B$52:$B$56,0))*INDEX(Reference!$F$60:$F$64,MATCH($O120,Reference!$B$60:$B$64,0)))</f>
        <v/>
      </c>
      <c r="R120" s="61" t="str">
        <f aca="false">IF(OR($N120="",$O120=""),"",ROUND(INDEX(Reference!$F$52:$F$56,MATCH($N120,Reference!$B$52:$B$56,0))*INDEX(Reference!$H$60:$H$64,MATCH($O120,Reference!$B$60:$B$64,0)),0))</f>
        <v/>
      </c>
      <c r="S120" s="66"/>
      <c r="T120" s="55" t="str">
        <f aca="false">IF($F120="","",COUNTIF('Treatment Actions'!$B$9:$B$208,$C120))</f>
        <v/>
      </c>
      <c r="U120" s="55" t="str">
        <f aca="false">IF($F120="","",COUNTIFS('Treatment Actions'!$B$9:$B$208,$C120,'Treatment Actions'!$F$9:$F$208,"Complete"))</f>
        <v/>
      </c>
      <c r="V120" s="66"/>
      <c r="W120" s="66"/>
      <c r="X120" s="59" t="str">
        <f aca="false">IF(OR($V120="",$W120=""),"",INDEX(Reference!$C$68:$G$72,MATCH($V120,Reference!$B$52:$B$56,0),6-MATCH($W120,Reference!$B$60:$B$64,0)))</f>
        <v/>
      </c>
      <c r="Y120" s="59" t="str">
        <f aca="false">IF(OR($P120="",$X120=""),"",IF(MATCH($X120,Reference!$F$37:$F$40,0)&gt;MATCH($P120,Reference!$F$37:$F$40,0),"Improving",IF($X120=$P120,"Flat","Worsening")))</f>
        <v/>
      </c>
      <c r="Z120" s="66"/>
      <c r="AA120" s="68"/>
      <c r="AB120" s="69"/>
      <c r="AC120" s="70"/>
      <c r="AD120" s="70"/>
      <c r="AE120" s="70"/>
      <c r="AF120" s="59" t="str">
        <f aca="true">IF(OR($F120="",$AE120="",$AB120="Closed"),"",IF($AE120&lt;TODAY(),"Overdue",""))</f>
        <v/>
      </c>
      <c r="AG120" s="68"/>
      <c r="AH120" s="70"/>
      <c r="AI120" s="68"/>
    </row>
    <row r="121" customFormat="false" ht="33.75" hidden="false" customHeight="true" outlineLevel="0" collapsed="false">
      <c r="A121" s="54"/>
      <c r="B121" s="55" t="str">
        <f aca="false">IF($F121="","",ROW()-8)</f>
        <v/>
      </c>
      <c r="C121" s="56" t="str">
        <f aca="false">IF($F121="","","RSK-"&amp;TEXT(ROW()-8,"000"))</f>
        <v/>
      </c>
      <c r="D121" s="57"/>
      <c r="E121" s="58"/>
      <c r="F121" s="57"/>
      <c r="G121" s="57"/>
      <c r="H121" s="57"/>
      <c r="I121" s="57"/>
      <c r="J121" s="59" t="str">
        <f aca="false">IF(OR($H121="",$I121=""),"",INDEX(Reference!$C$68:$G$72,MATCH($H121,Reference!$B$52:$B$56,0),6-MATCH($I121,Reference!$B$60:$B$64,0)))</f>
        <v/>
      </c>
      <c r="K121" s="57"/>
      <c r="L121" s="57"/>
      <c r="M121" s="58"/>
      <c r="N121" s="57"/>
      <c r="O121" s="57"/>
      <c r="P121" s="59" t="str">
        <f aca="false">IF(OR($N121="",$O121=""),"",INDEX(Reference!$C$68:$G$72,MATCH($N121,Reference!$B$52:$B$56,0),6-MATCH($O121,Reference!$B$60:$B$64,0)))</f>
        <v/>
      </c>
      <c r="Q121" s="60" t="str">
        <f aca="false">IF(OR($N121="",$O121=""),"",INDEX(Reference!$F$52:$F$56,MATCH($N121,Reference!$B$52:$B$56,0))*INDEX(Reference!$F$60:$F$64,MATCH($O121,Reference!$B$60:$B$64,0)))</f>
        <v/>
      </c>
      <c r="R121" s="61" t="str">
        <f aca="false">IF(OR($N121="",$O121=""),"",ROUND(INDEX(Reference!$F$52:$F$56,MATCH($N121,Reference!$B$52:$B$56,0))*INDEX(Reference!$H$60:$H$64,MATCH($O121,Reference!$B$60:$B$64,0)),0))</f>
        <v/>
      </c>
      <c r="S121" s="57"/>
      <c r="T121" s="55" t="str">
        <f aca="false">IF($F121="","",COUNTIF('Treatment Actions'!$B$9:$B$208,$C121))</f>
        <v/>
      </c>
      <c r="U121" s="55" t="str">
        <f aca="false">IF($F121="","",COUNTIFS('Treatment Actions'!$B$9:$B$208,$C121,'Treatment Actions'!$F$9:$F$208,"Complete"))</f>
        <v/>
      </c>
      <c r="V121" s="57"/>
      <c r="W121" s="57"/>
      <c r="X121" s="59" t="str">
        <f aca="false">IF(OR($V121="",$W121=""),"",INDEX(Reference!$C$68:$G$72,MATCH($V121,Reference!$B$52:$B$56,0),6-MATCH($W121,Reference!$B$60:$B$64,0)))</f>
        <v/>
      </c>
      <c r="Y121" s="59" t="str">
        <f aca="false">IF(OR($P121="",$X121=""),"",IF(MATCH($X121,Reference!$F$37:$F$40,0)&gt;MATCH($P121,Reference!$F$37:$F$40,0),"Improving",IF($X121=$P121,"Flat","Worsening")))</f>
        <v/>
      </c>
      <c r="Z121" s="57"/>
      <c r="AA121" s="62"/>
      <c r="AB121" s="63"/>
      <c r="AC121" s="64"/>
      <c r="AD121" s="64"/>
      <c r="AE121" s="64"/>
      <c r="AF121" s="59" t="str">
        <f aca="true">IF(OR($F121="",$AE121="",$AB121="Closed"),"",IF($AE121&lt;TODAY(),"Overdue",""))</f>
        <v/>
      </c>
      <c r="AG121" s="62"/>
      <c r="AH121" s="64"/>
      <c r="AI121" s="62"/>
    </row>
    <row r="122" customFormat="false" ht="33.75" hidden="false" customHeight="true" outlineLevel="0" collapsed="false">
      <c r="A122" s="54"/>
      <c r="B122" s="55" t="str">
        <f aca="false">IF($F122="","",ROW()-8)</f>
        <v/>
      </c>
      <c r="C122" s="56" t="str">
        <f aca="false">IF($F122="","","RSK-"&amp;TEXT(ROW()-8,"000"))</f>
        <v/>
      </c>
      <c r="D122" s="66"/>
      <c r="E122" s="67"/>
      <c r="F122" s="66"/>
      <c r="G122" s="66"/>
      <c r="H122" s="66"/>
      <c r="I122" s="66"/>
      <c r="J122" s="59" t="str">
        <f aca="false">IF(OR($H122="",$I122=""),"",INDEX(Reference!$C$68:$G$72,MATCH($H122,Reference!$B$52:$B$56,0),6-MATCH($I122,Reference!$B$60:$B$64,0)))</f>
        <v/>
      </c>
      <c r="K122" s="66"/>
      <c r="L122" s="66"/>
      <c r="M122" s="67"/>
      <c r="N122" s="66"/>
      <c r="O122" s="66"/>
      <c r="P122" s="59" t="str">
        <f aca="false">IF(OR($N122="",$O122=""),"",INDEX(Reference!$C$68:$G$72,MATCH($N122,Reference!$B$52:$B$56,0),6-MATCH($O122,Reference!$B$60:$B$64,0)))</f>
        <v/>
      </c>
      <c r="Q122" s="60" t="str">
        <f aca="false">IF(OR($N122="",$O122=""),"",INDEX(Reference!$F$52:$F$56,MATCH($N122,Reference!$B$52:$B$56,0))*INDEX(Reference!$F$60:$F$64,MATCH($O122,Reference!$B$60:$B$64,0)))</f>
        <v/>
      </c>
      <c r="R122" s="61" t="str">
        <f aca="false">IF(OR($N122="",$O122=""),"",ROUND(INDEX(Reference!$F$52:$F$56,MATCH($N122,Reference!$B$52:$B$56,0))*INDEX(Reference!$H$60:$H$64,MATCH($O122,Reference!$B$60:$B$64,0)),0))</f>
        <v/>
      </c>
      <c r="S122" s="66"/>
      <c r="T122" s="55" t="str">
        <f aca="false">IF($F122="","",COUNTIF('Treatment Actions'!$B$9:$B$208,$C122))</f>
        <v/>
      </c>
      <c r="U122" s="55" t="str">
        <f aca="false">IF($F122="","",COUNTIFS('Treatment Actions'!$B$9:$B$208,$C122,'Treatment Actions'!$F$9:$F$208,"Complete"))</f>
        <v/>
      </c>
      <c r="V122" s="66"/>
      <c r="W122" s="66"/>
      <c r="X122" s="59" t="str">
        <f aca="false">IF(OR($V122="",$W122=""),"",INDEX(Reference!$C$68:$G$72,MATCH($V122,Reference!$B$52:$B$56,0),6-MATCH($W122,Reference!$B$60:$B$64,0)))</f>
        <v/>
      </c>
      <c r="Y122" s="59" t="str">
        <f aca="false">IF(OR($P122="",$X122=""),"",IF(MATCH($X122,Reference!$F$37:$F$40,0)&gt;MATCH($P122,Reference!$F$37:$F$40,0),"Improving",IF($X122=$P122,"Flat","Worsening")))</f>
        <v/>
      </c>
      <c r="Z122" s="66"/>
      <c r="AA122" s="68"/>
      <c r="AB122" s="69"/>
      <c r="AC122" s="70"/>
      <c r="AD122" s="70"/>
      <c r="AE122" s="70"/>
      <c r="AF122" s="59" t="str">
        <f aca="true">IF(OR($F122="",$AE122="",$AB122="Closed"),"",IF($AE122&lt;TODAY(),"Overdue",""))</f>
        <v/>
      </c>
      <c r="AG122" s="68"/>
      <c r="AH122" s="70"/>
      <c r="AI122" s="68"/>
    </row>
    <row r="123" customFormat="false" ht="33.75" hidden="false" customHeight="true" outlineLevel="0" collapsed="false">
      <c r="A123" s="54"/>
      <c r="B123" s="55" t="str">
        <f aca="false">IF($F123="","",ROW()-8)</f>
        <v/>
      </c>
      <c r="C123" s="56" t="str">
        <f aca="false">IF($F123="","","RSK-"&amp;TEXT(ROW()-8,"000"))</f>
        <v/>
      </c>
      <c r="D123" s="57"/>
      <c r="E123" s="58"/>
      <c r="F123" s="57"/>
      <c r="G123" s="57"/>
      <c r="H123" s="57"/>
      <c r="I123" s="57"/>
      <c r="J123" s="59" t="str">
        <f aca="false">IF(OR($H123="",$I123=""),"",INDEX(Reference!$C$68:$G$72,MATCH($H123,Reference!$B$52:$B$56,0),6-MATCH($I123,Reference!$B$60:$B$64,0)))</f>
        <v/>
      </c>
      <c r="K123" s="57"/>
      <c r="L123" s="57"/>
      <c r="M123" s="58"/>
      <c r="N123" s="57"/>
      <c r="O123" s="57"/>
      <c r="P123" s="59" t="str">
        <f aca="false">IF(OR($N123="",$O123=""),"",INDEX(Reference!$C$68:$G$72,MATCH($N123,Reference!$B$52:$B$56,0),6-MATCH($O123,Reference!$B$60:$B$64,0)))</f>
        <v/>
      </c>
      <c r="Q123" s="60" t="str">
        <f aca="false">IF(OR($N123="",$O123=""),"",INDEX(Reference!$F$52:$F$56,MATCH($N123,Reference!$B$52:$B$56,0))*INDEX(Reference!$F$60:$F$64,MATCH($O123,Reference!$B$60:$B$64,0)))</f>
        <v/>
      </c>
      <c r="R123" s="61" t="str">
        <f aca="false">IF(OR($N123="",$O123=""),"",ROUND(INDEX(Reference!$F$52:$F$56,MATCH($N123,Reference!$B$52:$B$56,0))*INDEX(Reference!$H$60:$H$64,MATCH($O123,Reference!$B$60:$B$64,0)),0))</f>
        <v/>
      </c>
      <c r="S123" s="57"/>
      <c r="T123" s="55" t="str">
        <f aca="false">IF($F123="","",COUNTIF('Treatment Actions'!$B$9:$B$208,$C123))</f>
        <v/>
      </c>
      <c r="U123" s="55" t="str">
        <f aca="false">IF($F123="","",COUNTIFS('Treatment Actions'!$B$9:$B$208,$C123,'Treatment Actions'!$F$9:$F$208,"Complete"))</f>
        <v/>
      </c>
      <c r="V123" s="57"/>
      <c r="W123" s="57"/>
      <c r="X123" s="59" t="str">
        <f aca="false">IF(OR($V123="",$W123=""),"",INDEX(Reference!$C$68:$G$72,MATCH($V123,Reference!$B$52:$B$56,0),6-MATCH($W123,Reference!$B$60:$B$64,0)))</f>
        <v/>
      </c>
      <c r="Y123" s="59" t="str">
        <f aca="false">IF(OR($P123="",$X123=""),"",IF(MATCH($X123,Reference!$F$37:$F$40,0)&gt;MATCH($P123,Reference!$F$37:$F$40,0),"Improving",IF($X123=$P123,"Flat","Worsening")))</f>
        <v/>
      </c>
      <c r="Z123" s="57"/>
      <c r="AA123" s="62"/>
      <c r="AB123" s="63"/>
      <c r="AC123" s="64"/>
      <c r="AD123" s="64"/>
      <c r="AE123" s="64"/>
      <c r="AF123" s="59" t="str">
        <f aca="true">IF(OR($F123="",$AE123="",$AB123="Closed"),"",IF($AE123&lt;TODAY(),"Overdue",""))</f>
        <v/>
      </c>
      <c r="AG123" s="62"/>
      <c r="AH123" s="64"/>
      <c r="AI123" s="62"/>
    </row>
    <row r="124" customFormat="false" ht="33.75" hidden="false" customHeight="true" outlineLevel="0" collapsed="false">
      <c r="A124" s="54"/>
      <c r="B124" s="55" t="str">
        <f aca="false">IF($F124="","",ROW()-8)</f>
        <v/>
      </c>
      <c r="C124" s="56" t="str">
        <f aca="false">IF($F124="","","RSK-"&amp;TEXT(ROW()-8,"000"))</f>
        <v/>
      </c>
      <c r="D124" s="66"/>
      <c r="E124" s="67"/>
      <c r="F124" s="66"/>
      <c r="G124" s="66"/>
      <c r="H124" s="66"/>
      <c r="I124" s="66"/>
      <c r="J124" s="59" t="str">
        <f aca="false">IF(OR($H124="",$I124=""),"",INDEX(Reference!$C$68:$G$72,MATCH($H124,Reference!$B$52:$B$56,0),6-MATCH($I124,Reference!$B$60:$B$64,0)))</f>
        <v/>
      </c>
      <c r="K124" s="66"/>
      <c r="L124" s="66"/>
      <c r="M124" s="67"/>
      <c r="N124" s="66"/>
      <c r="O124" s="66"/>
      <c r="P124" s="59" t="str">
        <f aca="false">IF(OR($N124="",$O124=""),"",INDEX(Reference!$C$68:$G$72,MATCH($N124,Reference!$B$52:$B$56,0),6-MATCH($O124,Reference!$B$60:$B$64,0)))</f>
        <v/>
      </c>
      <c r="Q124" s="60" t="str">
        <f aca="false">IF(OR($N124="",$O124=""),"",INDEX(Reference!$F$52:$F$56,MATCH($N124,Reference!$B$52:$B$56,0))*INDEX(Reference!$F$60:$F$64,MATCH($O124,Reference!$B$60:$B$64,0)))</f>
        <v/>
      </c>
      <c r="R124" s="61" t="str">
        <f aca="false">IF(OR($N124="",$O124=""),"",ROUND(INDEX(Reference!$F$52:$F$56,MATCH($N124,Reference!$B$52:$B$56,0))*INDEX(Reference!$H$60:$H$64,MATCH($O124,Reference!$B$60:$B$64,0)),0))</f>
        <v/>
      </c>
      <c r="S124" s="66"/>
      <c r="T124" s="55" t="str">
        <f aca="false">IF($F124="","",COUNTIF('Treatment Actions'!$B$9:$B$208,$C124))</f>
        <v/>
      </c>
      <c r="U124" s="55" t="str">
        <f aca="false">IF($F124="","",COUNTIFS('Treatment Actions'!$B$9:$B$208,$C124,'Treatment Actions'!$F$9:$F$208,"Complete"))</f>
        <v/>
      </c>
      <c r="V124" s="66"/>
      <c r="W124" s="66"/>
      <c r="X124" s="59" t="str">
        <f aca="false">IF(OR($V124="",$W124=""),"",INDEX(Reference!$C$68:$G$72,MATCH($V124,Reference!$B$52:$B$56,0),6-MATCH($W124,Reference!$B$60:$B$64,0)))</f>
        <v/>
      </c>
      <c r="Y124" s="59" t="str">
        <f aca="false">IF(OR($P124="",$X124=""),"",IF(MATCH($X124,Reference!$F$37:$F$40,0)&gt;MATCH($P124,Reference!$F$37:$F$40,0),"Improving",IF($X124=$P124,"Flat","Worsening")))</f>
        <v/>
      </c>
      <c r="Z124" s="66"/>
      <c r="AA124" s="68"/>
      <c r="AB124" s="69"/>
      <c r="AC124" s="70"/>
      <c r="AD124" s="70"/>
      <c r="AE124" s="70"/>
      <c r="AF124" s="59" t="str">
        <f aca="true">IF(OR($F124="",$AE124="",$AB124="Closed"),"",IF($AE124&lt;TODAY(),"Overdue",""))</f>
        <v/>
      </c>
      <c r="AG124" s="68"/>
      <c r="AH124" s="70"/>
      <c r="AI124" s="68"/>
    </row>
    <row r="125" customFormat="false" ht="33.75" hidden="false" customHeight="true" outlineLevel="0" collapsed="false">
      <c r="A125" s="54"/>
      <c r="B125" s="55" t="str">
        <f aca="false">IF($F125="","",ROW()-8)</f>
        <v/>
      </c>
      <c r="C125" s="56" t="str">
        <f aca="false">IF($F125="","","RSK-"&amp;TEXT(ROW()-8,"000"))</f>
        <v/>
      </c>
      <c r="D125" s="57"/>
      <c r="E125" s="58"/>
      <c r="F125" s="57"/>
      <c r="G125" s="57"/>
      <c r="H125" s="57"/>
      <c r="I125" s="57"/>
      <c r="J125" s="59" t="str">
        <f aca="false">IF(OR($H125="",$I125=""),"",INDEX(Reference!$C$68:$G$72,MATCH($H125,Reference!$B$52:$B$56,0),6-MATCH($I125,Reference!$B$60:$B$64,0)))</f>
        <v/>
      </c>
      <c r="K125" s="57"/>
      <c r="L125" s="57"/>
      <c r="M125" s="58"/>
      <c r="N125" s="57"/>
      <c r="O125" s="57"/>
      <c r="P125" s="59" t="str">
        <f aca="false">IF(OR($N125="",$O125=""),"",INDEX(Reference!$C$68:$G$72,MATCH($N125,Reference!$B$52:$B$56,0),6-MATCH($O125,Reference!$B$60:$B$64,0)))</f>
        <v/>
      </c>
      <c r="Q125" s="60" t="str">
        <f aca="false">IF(OR($N125="",$O125=""),"",INDEX(Reference!$F$52:$F$56,MATCH($N125,Reference!$B$52:$B$56,0))*INDEX(Reference!$F$60:$F$64,MATCH($O125,Reference!$B$60:$B$64,0)))</f>
        <v/>
      </c>
      <c r="R125" s="61" t="str">
        <f aca="false">IF(OR($N125="",$O125=""),"",ROUND(INDEX(Reference!$F$52:$F$56,MATCH($N125,Reference!$B$52:$B$56,0))*INDEX(Reference!$H$60:$H$64,MATCH($O125,Reference!$B$60:$B$64,0)),0))</f>
        <v/>
      </c>
      <c r="S125" s="57"/>
      <c r="T125" s="55" t="str">
        <f aca="false">IF($F125="","",COUNTIF('Treatment Actions'!$B$9:$B$208,$C125))</f>
        <v/>
      </c>
      <c r="U125" s="55" t="str">
        <f aca="false">IF($F125="","",COUNTIFS('Treatment Actions'!$B$9:$B$208,$C125,'Treatment Actions'!$F$9:$F$208,"Complete"))</f>
        <v/>
      </c>
      <c r="V125" s="57"/>
      <c r="W125" s="57"/>
      <c r="X125" s="59" t="str">
        <f aca="false">IF(OR($V125="",$W125=""),"",INDEX(Reference!$C$68:$G$72,MATCH($V125,Reference!$B$52:$B$56,0),6-MATCH($W125,Reference!$B$60:$B$64,0)))</f>
        <v/>
      </c>
      <c r="Y125" s="59" t="str">
        <f aca="false">IF(OR($P125="",$X125=""),"",IF(MATCH($X125,Reference!$F$37:$F$40,0)&gt;MATCH($P125,Reference!$F$37:$F$40,0),"Improving",IF($X125=$P125,"Flat","Worsening")))</f>
        <v/>
      </c>
      <c r="Z125" s="57"/>
      <c r="AA125" s="62"/>
      <c r="AB125" s="63"/>
      <c r="AC125" s="64"/>
      <c r="AD125" s="64"/>
      <c r="AE125" s="64"/>
      <c r="AF125" s="59" t="str">
        <f aca="true">IF(OR($F125="",$AE125="",$AB125="Closed"),"",IF($AE125&lt;TODAY(),"Overdue",""))</f>
        <v/>
      </c>
      <c r="AG125" s="62"/>
      <c r="AH125" s="64"/>
      <c r="AI125" s="62"/>
    </row>
    <row r="126" customFormat="false" ht="33.75" hidden="false" customHeight="true" outlineLevel="0" collapsed="false">
      <c r="A126" s="54"/>
      <c r="B126" s="55" t="str">
        <f aca="false">IF($F126="","",ROW()-8)</f>
        <v/>
      </c>
      <c r="C126" s="56" t="str">
        <f aca="false">IF($F126="","","RSK-"&amp;TEXT(ROW()-8,"000"))</f>
        <v/>
      </c>
      <c r="D126" s="66"/>
      <c r="E126" s="67"/>
      <c r="F126" s="66"/>
      <c r="G126" s="66"/>
      <c r="H126" s="66"/>
      <c r="I126" s="66"/>
      <c r="J126" s="59" t="str">
        <f aca="false">IF(OR($H126="",$I126=""),"",INDEX(Reference!$C$68:$G$72,MATCH($H126,Reference!$B$52:$B$56,0),6-MATCH($I126,Reference!$B$60:$B$64,0)))</f>
        <v/>
      </c>
      <c r="K126" s="66"/>
      <c r="L126" s="66"/>
      <c r="M126" s="67"/>
      <c r="N126" s="66"/>
      <c r="O126" s="66"/>
      <c r="P126" s="59" t="str">
        <f aca="false">IF(OR($N126="",$O126=""),"",INDEX(Reference!$C$68:$G$72,MATCH($N126,Reference!$B$52:$B$56,0),6-MATCH($O126,Reference!$B$60:$B$64,0)))</f>
        <v/>
      </c>
      <c r="Q126" s="60" t="str">
        <f aca="false">IF(OR($N126="",$O126=""),"",INDEX(Reference!$F$52:$F$56,MATCH($N126,Reference!$B$52:$B$56,0))*INDEX(Reference!$F$60:$F$64,MATCH($O126,Reference!$B$60:$B$64,0)))</f>
        <v/>
      </c>
      <c r="R126" s="61" t="str">
        <f aca="false">IF(OR($N126="",$O126=""),"",ROUND(INDEX(Reference!$F$52:$F$56,MATCH($N126,Reference!$B$52:$B$56,0))*INDEX(Reference!$H$60:$H$64,MATCH($O126,Reference!$B$60:$B$64,0)),0))</f>
        <v/>
      </c>
      <c r="S126" s="66"/>
      <c r="T126" s="55" t="str">
        <f aca="false">IF($F126="","",COUNTIF('Treatment Actions'!$B$9:$B$208,$C126))</f>
        <v/>
      </c>
      <c r="U126" s="55" t="str">
        <f aca="false">IF($F126="","",COUNTIFS('Treatment Actions'!$B$9:$B$208,$C126,'Treatment Actions'!$F$9:$F$208,"Complete"))</f>
        <v/>
      </c>
      <c r="V126" s="66"/>
      <c r="W126" s="66"/>
      <c r="X126" s="59" t="str">
        <f aca="false">IF(OR($V126="",$W126=""),"",INDEX(Reference!$C$68:$G$72,MATCH($V126,Reference!$B$52:$B$56,0),6-MATCH($W126,Reference!$B$60:$B$64,0)))</f>
        <v/>
      </c>
      <c r="Y126" s="59" t="str">
        <f aca="false">IF(OR($P126="",$X126=""),"",IF(MATCH($X126,Reference!$F$37:$F$40,0)&gt;MATCH($P126,Reference!$F$37:$F$40,0),"Improving",IF($X126=$P126,"Flat","Worsening")))</f>
        <v/>
      </c>
      <c r="Z126" s="66"/>
      <c r="AA126" s="68"/>
      <c r="AB126" s="69"/>
      <c r="AC126" s="70"/>
      <c r="AD126" s="70"/>
      <c r="AE126" s="70"/>
      <c r="AF126" s="59" t="str">
        <f aca="true">IF(OR($F126="",$AE126="",$AB126="Closed"),"",IF($AE126&lt;TODAY(),"Overdue",""))</f>
        <v/>
      </c>
      <c r="AG126" s="68"/>
      <c r="AH126" s="70"/>
      <c r="AI126" s="68"/>
    </row>
    <row r="127" customFormat="false" ht="33.75" hidden="false" customHeight="true" outlineLevel="0" collapsed="false">
      <c r="A127" s="54"/>
      <c r="B127" s="55" t="str">
        <f aca="false">IF($F127="","",ROW()-8)</f>
        <v/>
      </c>
      <c r="C127" s="56" t="str">
        <f aca="false">IF($F127="","","RSK-"&amp;TEXT(ROW()-8,"000"))</f>
        <v/>
      </c>
      <c r="D127" s="57"/>
      <c r="E127" s="58"/>
      <c r="F127" s="57"/>
      <c r="G127" s="57"/>
      <c r="H127" s="57"/>
      <c r="I127" s="57"/>
      <c r="J127" s="59" t="str">
        <f aca="false">IF(OR($H127="",$I127=""),"",INDEX(Reference!$C$68:$G$72,MATCH($H127,Reference!$B$52:$B$56,0),6-MATCH($I127,Reference!$B$60:$B$64,0)))</f>
        <v/>
      </c>
      <c r="K127" s="57"/>
      <c r="L127" s="57"/>
      <c r="M127" s="58"/>
      <c r="N127" s="57"/>
      <c r="O127" s="57"/>
      <c r="P127" s="59" t="str">
        <f aca="false">IF(OR($N127="",$O127=""),"",INDEX(Reference!$C$68:$G$72,MATCH($N127,Reference!$B$52:$B$56,0),6-MATCH($O127,Reference!$B$60:$B$64,0)))</f>
        <v/>
      </c>
      <c r="Q127" s="60" t="str">
        <f aca="false">IF(OR($N127="",$O127=""),"",INDEX(Reference!$F$52:$F$56,MATCH($N127,Reference!$B$52:$B$56,0))*INDEX(Reference!$F$60:$F$64,MATCH($O127,Reference!$B$60:$B$64,0)))</f>
        <v/>
      </c>
      <c r="R127" s="61" t="str">
        <f aca="false">IF(OR($N127="",$O127=""),"",ROUND(INDEX(Reference!$F$52:$F$56,MATCH($N127,Reference!$B$52:$B$56,0))*INDEX(Reference!$H$60:$H$64,MATCH($O127,Reference!$B$60:$B$64,0)),0))</f>
        <v/>
      </c>
      <c r="S127" s="57"/>
      <c r="T127" s="55" t="str">
        <f aca="false">IF($F127="","",COUNTIF('Treatment Actions'!$B$9:$B$208,$C127))</f>
        <v/>
      </c>
      <c r="U127" s="55" t="str">
        <f aca="false">IF($F127="","",COUNTIFS('Treatment Actions'!$B$9:$B$208,$C127,'Treatment Actions'!$F$9:$F$208,"Complete"))</f>
        <v/>
      </c>
      <c r="V127" s="57"/>
      <c r="W127" s="57"/>
      <c r="X127" s="59" t="str">
        <f aca="false">IF(OR($V127="",$W127=""),"",INDEX(Reference!$C$68:$G$72,MATCH($V127,Reference!$B$52:$B$56,0),6-MATCH($W127,Reference!$B$60:$B$64,0)))</f>
        <v/>
      </c>
      <c r="Y127" s="59" t="str">
        <f aca="false">IF(OR($P127="",$X127=""),"",IF(MATCH($X127,Reference!$F$37:$F$40,0)&gt;MATCH($P127,Reference!$F$37:$F$40,0),"Improving",IF($X127=$P127,"Flat","Worsening")))</f>
        <v/>
      </c>
      <c r="Z127" s="57"/>
      <c r="AA127" s="62"/>
      <c r="AB127" s="63"/>
      <c r="AC127" s="64"/>
      <c r="AD127" s="64"/>
      <c r="AE127" s="64"/>
      <c r="AF127" s="59" t="str">
        <f aca="true">IF(OR($F127="",$AE127="",$AB127="Closed"),"",IF($AE127&lt;TODAY(),"Overdue",""))</f>
        <v/>
      </c>
      <c r="AG127" s="62"/>
      <c r="AH127" s="64"/>
      <c r="AI127" s="62"/>
    </row>
    <row r="128" customFormat="false" ht="33.75" hidden="false" customHeight="true" outlineLevel="0" collapsed="false">
      <c r="A128" s="54"/>
      <c r="B128" s="55" t="str">
        <f aca="false">IF($F128="","",ROW()-8)</f>
        <v/>
      </c>
      <c r="C128" s="56" t="str">
        <f aca="false">IF($F128="","","RSK-"&amp;TEXT(ROW()-8,"000"))</f>
        <v/>
      </c>
      <c r="D128" s="66"/>
      <c r="E128" s="67"/>
      <c r="F128" s="66"/>
      <c r="G128" s="66"/>
      <c r="H128" s="66"/>
      <c r="I128" s="66"/>
      <c r="J128" s="59" t="str">
        <f aca="false">IF(OR($H128="",$I128=""),"",INDEX(Reference!$C$68:$G$72,MATCH($H128,Reference!$B$52:$B$56,0),6-MATCH($I128,Reference!$B$60:$B$64,0)))</f>
        <v/>
      </c>
      <c r="K128" s="66"/>
      <c r="L128" s="66"/>
      <c r="M128" s="67"/>
      <c r="N128" s="66"/>
      <c r="O128" s="66"/>
      <c r="P128" s="59" t="str">
        <f aca="false">IF(OR($N128="",$O128=""),"",INDEX(Reference!$C$68:$G$72,MATCH($N128,Reference!$B$52:$B$56,0),6-MATCH($O128,Reference!$B$60:$B$64,0)))</f>
        <v/>
      </c>
      <c r="Q128" s="60" t="str">
        <f aca="false">IF(OR($N128="",$O128=""),"",INDEX(Reference!$F$52:$F$56,MATCH($N128,Reference!$B$52:$B$56,0))*INDEX(Reference!$F$60:$F$64,MATCH($O128,Reference!$B$60:$B$64,0)))</f>
        <v/>
      </c>
      <c r="R128" s="61" t="str">
        <f aca="false">IF(OR($N128="",$O128=""),"",ROUND(INDEX(Reference!$F$52:$F$56,MATCH($N128,Reference!$B$52:$B$56,0))*INDEX(Reference!$H$60:$H$64,MATCH($O128,Reference!$B$60:$B$64,0)),0))</f>
        <v/>
      </c>
      <c r="S128" s="66"/>
      <c r="T128" s="55" t="str">
        <f aca="false">IF($F128="","",COUNTIF('Treatment Actions'!$B$9:$B$208,$C128))</f>
        <v/>
      </c>
      <c r="U128" s="55" t="str">
        <f aca="false">IF($F128="","",COUNTIFS('Treatment Actions'!$B$9:$B$208,$C128,'Treatment Actions'!$F$9:$F$208,"Complete"))</f>
        <v/>
      </c>
      <c r="V128" s="66"/>
      <c r="W128" s="66"/>
      <c r="X128" s="59" t="str">
        <f aca="false">IF(OR($V128="",$W128=""),"",INDEX(Reference!$C$68:$G$72,MATCH($V128,Reference!$B$52:$B$56,0),6-MATCH($W128,Reference!$B$60:$B$64,0)))</f>
        <v/>
      </c>
      <c r="Y128" s="59" t="str">
        <f aca="false">IF(OR($P128="",$X128=""),"",IF(MATCH($X128,Reference!$F$37:$F$40,0)&gt;MATCH($P128,Reference!$F$37:$F$40,0),"Improving",IF($X128=$P128,"Flat","Worsening")))</f>
        <v/>
      </c>
      <c r="Z128" s="66"/>
      <c r="AA128" s="68"/>
      <c r="AB128" s="69"/>
      <c r="AC128" s="70"/>
      <c r="AD128" s="70"/>
      <c r="AE128" s="70"/>
      <c r="AF128" s="59" t="str">
        <f aca="true">IF(OR($F128="",$AE128="",$AB128="Closed"),"",IF($AE128&lt;TODAY(),"Overdue",""))</f>
        <v/>
      </c>
      <c r="AG128" s="68"/>
      <c r="AH128" s="70"/>
      <c r="AI128" s="68"/>
    </row>
    <row r="129" customFormat="false" ht="33.75" hidden="false" customHeight="true" outlineLevel="0" collapsed="false">
      <c r="A129" s="54"/>
      <c r="B129" s="55" t="str">
        <f aca="false">IF($F129="","",ROW()-8)</f>
        <v/>
      </c>
      <c r="C129" s="56" t="str">
        <f aca="false">IF($F129="","","RSK-"&amp;TEXT(ROW()-8,"000"))</f>
        <v/>
      </c>
      <c r="D129" s="57"/>
      <c r="E129" s="58"/>
      <c r="F129" s="57"/>
      <c r="G129" s="57"/>
      <c r="H129" s="57"/>
      <c r="I129" s="57"/>
      <c r="J129" s="59" t="str">
        <f aca="false">IF(OR($H129="",$I129=""),"",INDEX(Reference!$C$68:$G$72,MATCH($H129,Reference!$B$52:$B$56,0),6-MATCH($I129,Reference!$B$60:$B$64,0)))</f>
        <v/>
      </c>
      <c r="K129" s="57"/>
      <c r="L129" s="57"/>
      <c r="M129" s="58"/>
      <c r="N129" s="57"/>
      <c r="O129" s="57"/>
      <c r="P129" s="59" t="str">
        <f aca="false">IF(OR($N129="",$O129=""),"",INDEX(Reference!$C$68:$G$72,MATCH($N129,Reference!$B$52:$B$56,0),6-MATCH($O129,Reference!$B$60:$B$64,0)))</f>
        <v/>
      </c>
      <c r="Q129" s="60" t="str">
        <f aca="false">IF(OR($N129="",$O129=""),"",INDEX(Reference!$F$52:$F$56,MATCH($N129,Reference!$B$52:$B$56,0))*INDEX(Reference!$F$60:$F$64,MATCH($O129,Reference!$B$60:$B$64,0)))</f>
        <v/>
      </c>
      <c r="R129" s="61" t="str">
        <f aca="false">IF(OR($N129="",$O129=""),"",ROUND(INDEX(Reference!$F$52:$F$56,MATCH($N129,Reference!$B$52:$B$56,0))*INDEX(Reference!$H$60:$H$64,MATCH($O129,Reference!$B$60:$B$64,0)),0))</f>
        <v/>
      </c>
      <c r="S129" s="57"/>
      <c r="T129" s="55" t="str">
        <f aca="false">IF($F129="","",COUNTIF('Treatment Actions'!$B$9:$B$208,$C129))</f>
        <v/>
      </c>
      <c r="U129" s="55" t="str">
        <f aca="false">IF($F129="","",COUNTIFS('Treatment Actions'!$B$9:$B$208,$C129,'Treatment Actions'!$F$9:$F$208,"Complete"))</f>
        <v/>
      </c>
      <c r="V129" s="57"/>
      <c r="W129" s="57"/>
      <c r="X129" s="59" t="str">
        <f aca="false">IF(OR($V129="",$W129=""),"",INDEX(Reference!$C$68:$G$72,MATCH($V129,Reference!$B$52:$B$56,0),6-MATCH($W129,Reference!$B$60:$B$64,0)))</f>
        <v/>
      </c>
      <c r="Y129" s="59" t="str">
        <f aca="false">IF(OR($P129="",$X129=""),"",IF(MATCH($X129,Reference!$F$37:$F$40,0)&gt;MATCH($P129,Reference!$F$37:$F$40,0),"Improving",IF($X129=$P129,"Flat","Worsening")))</f>
        <v/>
      </c>
      <c r="Z129" s="57"/>
      <c r="AA129" s="62"/>
      <c r="AB129" s="63"/>
      <c r="AC129" s="64"/>
      <c r="AD129" s="64"/>
      <c r="AE129" s="64"/>
      <c r="AF129" s="59" t="str">
        <f aca="true">IF(OR($F129="",$AE129="",$AB129="Closed"),"",IF($AE129&lt;TODAY(),"Overdue",""))</f>
        <v/>
      </c>
      <c r="AG129" s="62"/>
      <c r="AH129" s="64"/>
      <c r="AI129" s="62"/>
    </row>
    <row r="130" customFormat="false" ht="33.75" hidden="false" customHeight="true" outlineLevel="0" collapsed="false">
      <c r="A130" s="54"/>
      <c r="B130" s="55" t="str">
        <f aca="false">IF($F130="","",ROW()-8)</f>
        <v/>
      </c>
      <c r="C130" s="56" t="str">
        <f aca="false">IF($F130="","","RSK-"&amp;TEXT(ROW()-8,"000"))</f>
        <v/>
      </c>
      <c r="D130" s="66"/>
      <c r="E130" s="67"/>
      <c r="F130" s="66"/>
      <c r="G130" s="66"/>
      <c r="H130" s="66"/>
      <c r="I130" s="66"/>
      <c r="J130" s="59" t="str">
        <f aca="false">IF(OR($H130="",$I130=""),"",INDEX(Reference!$C$68:$G$72,MATCH($H130,Reference!$B$52:$B$56,0),6-MATCH($I130,Reference!$B$60:$B$64,0)))</f>
        <v/>
      </c>
      <c r="K130" s="66"/>
      <c r="L130" s="66"/>
      <c r="M130" s="67"/>
      <c r="N130" s="66"/>
      <c r="O130" s="66"/>
      <c r="P130" s="59" t="str">
        <f aca="false">IF(OR($N130="",$O130=""),"",INDEX(Reference!$C$68:$G$72,MATCH($N130,Reference!$B$52:$B$56,0),6-MATCH($O130,Reference!$B$60:$B$64,0)))</f>
        <v/>
      </c>
      <c r="Q130" s="60" t="str">
        <f aca="false">IF(OR($N130="",$O130=""),"",INDEX(Reference!$F$52:$F$56,MATCH($N130,Reference!$B$52:$B$56,0))*INDEX(Reference!$F$60:$F$64,MATCH($O130,Reference!$B$60:$B$64,0)))</f>
        <v/>
      </c>
      <c r="R130" s="61" t="str">
        <f aca="false">IF(OR($N130="",$O130=""),"",ROUND(INDEX(Reference!$F$52:$F$56,MATCH($N130,Reference!$B$52:$B$56,0))*INDEX(Reference!$H$60:$H$64,MATCH($O130,Reference!$B$60:$B$64,0)),0))</f>
        <v/>
      </c>
      <c r="S130" s="66"/>
      <c r="T130" s="55" t="str">
        <f aca="false">IF($F130="","",COUNTIF('Treatment Actions'!$B$9:$B$208,$C130))</f>
        <v/>
      </c>
      <c r="U130" s="55" t="str">
        <f aca="false">IF($F130="","",COUNTIFS('Treatment Actions'!$B$9:$B$208,$C130,'Treatment Actions'!$F$9:$F$208,"Complete"))</f>
        <v/>
      </c>
      <c r="V130" s="66"/>
      <c r="W130" s="66"/>
      <c r="X130" s="59" t="str">
        <f aca="false">IF(OR($V130="",$W130=""),"",INDEX(Reference!$C$68:$G$72,MATCH($V130,Reference!$B$52:$B$56,0),6-MATCH($W130,Reference!$B$60:$B$64,0)))</f>
        <v/>
      </c>
      <c r="Y130" s="59" t="str">
        <f aca="false">IF(OR($P130="",$X130=""),"",IF(MATCH($X130,Reference!$F$37:$F$40,0)&gt;MATCH($P130,Reference!$F$37:$F$40,0),"Improving",IF($X130=$P130,"Flat","Worsening")))</f>
        <v/>
      </c>
      <c r="Z130" s="66"/>
      <c r="AA130" s="68"/>
      <c r="AB130" s="69"/>
      <c r="AC130" s="70"/>
      <c r="AD130" s="70"/>
      <c r="AE130" s="70"/>
      <c r="AF130" s="59" t="str">
        <f aca="true">IF(OR($F130="",$AE130="",$AB130="Closed"),"",IF($AE130&lt;TODAY(),"Overdue",""))</f>
        <v/>
      </c>
      <c r="AG130" s="68"/>
      <c r="AH130" s="70"/>
      <c r="AI130" s="68"/>
    </row>
    <row r="131" customFormat="false" ht="33.75" hidden="false" customHeight="true" outlineLevel="0" collapsed="false">
      <c r="A131" s="54"/>
      <c r="B131" s="55" t="str">
        <f aca="false">IF($F131="","",ROW()-8)</f>
        <v/>
      </c>
      <c r="C131" s="56" t="str">
        <f aca="false">IF($F131="","","RSK-"&amp;TEXT(ROW()-8,"000"))</f>
        <v/>
      </c>
      <c r="D131" s="57"/>
      <c r="E131" s="58"/>
      <c r="F131" s="57"/>
      <c r="G131" s="57"/>
      <c r="H131" s="57"/>
      <c r="I131" s="57"/>
      <c r="J131" s="59" t="str">
        <f aca="false">IF(OR($H131="",$I131=""),"",INDEX(Reference!$C$68:$G$72,MATCH($H131,Reference!$B$52:$B$56,0),6-MATCH($I131,Reference!$B$60:$B$64,0)))</f>
        <v/>
      </c>
      <c r="K131" s="57"/>
      <c r="L131" s="57"/>
      <c r="M131" s="58"/>
      <c r="N131" s="57"/>
      <c r="O131" s="57"/>
      <c r="P131" s="59" t="str">
        <f aca="false">IF(OR($N131="",$O131=""),"",INDEX(Reference!$C$68:$G$72,MATCH($N131,Reference!$B$52:$B$56,0),6-MATCH($O131,Reference!$B$60:$B$64,0)))</f>
        <v/>
      </c>
      <c r="Q131" s="60" t="str">
        <f aca="false">IF(OR($N131="",$O131=""),"",INDEX(Reference!$F$52:$F$56,MATCH($N131,Reference!$B$52:$B$56,0))*INDEX(Reference!$F$60:$F$64,MATCH($O131,Reference!$B$60:$B$64,0)))</f>
        <v/>
      </c>
      <c r="R131" s="61" t="str">
        <f aca="false">IF(OR($N131="",$O131=""),"",ROUND(INDEX(Reference!$F$52:$F$56,MATCH($N131,Reference!$B$52:$B$56,0))*INDEX(Reference!$H$60:$H$64,MATCH($O131,Reference!$B$60:$B$64,0)),0))</f>
        <v/>
      </c>
      <c r="S131" s="57"/>
      <c r="T131" s="55" t="str">
        <f aca="false">IF($F131="","",COUNTIF('Treatment Actions'!$B$9:$B$208,$C131))</f>
        <v/>
      </c>
      <c r="U131" s="55" t="str">
        <f aca="false">IF($F131="","",COUNTIFS('Treatment Actions'!$B$9:$B$208,$C131,'Treatment Actions'!$F$9:$F$208,"Complete"))</f>
        <v/>
      </c>
      <c r="V131" s="57"/>
      <c r="W131" s="57"/>
      <c r="X131" s="59" t="str">
        <f aca="false">IF(OR($V131="",$W131=""),"",INDEX(Reference!$C$68:$G$72,MATCH($V131,Reference!$B$52:$B$56,0),6-MATCH($W131,Reference!$B$60:$B$64,0)))</f>
        <v/>
      </c>
      <c r="Y131" s="59" t="str">
        <f aca="false">IF(OR($P131="",$X131=""),"",IF(MATCH($X131,Reference!$F$37:$F$40,0)&gt;MATCH($P131,Reference!$F$37:$F$40,0),"Improving",IF($X131=$P131,"Flat","Worsening")))</f>
        <v/>
      </c>
      <c r="Z131" s="57"/>
      <c r="AA131" s="62"/>
      <c r="AB131" s="63"/>
      <c r="AC131" s="64"/>
      <c r="AD131" s="64"/>
      <c r="AE131" s="64"/>
      <c r="AF131" s="59" t="str">
        <f aca="true">IF(OR($F131="",$AE131="",$AB131="Closed"),"",IF($AE131&lt;TODAY(),"Overdue",""))</f>
        <v/>
      </c>
      <c r="AG131" s="62"/>
      <c r="AH131" s="64"/>
      <c r="AI131" s="62"/>
    </row>
    <row r="132" customFormat="false" ht="33.75" hidden="false" customHeight="true" outlineLevel="0" collapsed="false">
      <c r="A132" s="54"/>
      <c r="B132" s="55" t="str">
        <f aca="false">IF($F132="","",ROW()-8)</f>
        <v/>
      </c>
      <c r="C132" s="56" t="str">
        <f aca="false">IF($F132="","","RSK-"&amp;TEXT(ROW()-8,"000"))</f>
        <v/>
      </c>
      <c r="D132" s="66"/>
      <c r="E132" s="67"/>
      <c r="F132" s="66"/>
      <c r="G132" s="66"/>
      <c r="H132" s="66"/>
      <c r="I132" s="66"/>
      <c r="J132" s="59" t="str">
        <f aca="false">IF(OR($H132="",$I132=""),"",INDEX(Reference!$C$68:$G$72,MATCH($H132,Reference!$B$52:$B$56,0),6-MATCH($I132,Reference!$B$60:$B$64,0)))</f>
        <v/>
      </c>
      <c r="K132" s="66"/>
      <c r="L132" s="66"/>
      <c r="M132" s="67"/>
      <c r="N132" s="66"/>
      <c r="O132" s="66"/>
      <c r="P132" s="59" t="str">
        <f aca="false">IF(OR($N132="",$O132=""),"",INDEX(Reference!$C$68:$G$72,MATCH($N132,Reference!$B$52:$B$56,0),6-MATCH($O132,Reference!$B$60:$B$64,0)))</f>
        <v/>
      </c>
      <c r="Q132" s="60" t="str">
        <f aca="false">IF(OR($N132="",$O132=""),"",INDEX(Reference!$F$52:$F$56,MATCH($N132,Reference!$B$52:$B$56,0))*INDEX(Reference!$F$60:$F$64,MATCH($O132,Reference!$B$60:$B$64,0)))</f>
        <v/>
      </c>
      <c r="R132" s="61" t="str">
        <f aca="false">IF(OR($N132="",$O132=""),"",ROUND(INDEX(Reference!$F$52:$F$56,MATCH($N132,Reference!$B$52:$B$56,0))*INDEX(Reference!$H$60:$H$64,MATCH($O132,Reference!$B$60:$B$64,0)),0))</f>
        <v/>
      </c>
      <c r="S132" s="66"/>
      <c r="T132" s="55" t="str">
        <f aca="false">IF($F132="","",COUNTIF('Treatment Actions'!$B$9:$B$208,$C132))</f>
        <v/>
      </c>
      <c r="U132" s="55" t="str">
        <f aca="false">IF($F132="","",COUNTIFS('Treatment Actions'!$B$9:$B$208,$C132,'Treatment Actions'!$F$9:$F$208,"Complete"))</f>
        <v/>
      </c>
      <c r="V132" s="66"/>
      <c r="W132" s="66"/>
      <c r="X132" s="59" t="str">
        <f aca="false">IF(OR($V132="",$W132=""),"",INDEX(Reference!$C$68:$G$72,MATCH($V132,Reference!$B$52:$B$56,0),6-MATCH($W132,Reference!$B$60:$B$64,0)))</f>
        <v/>
      </c>
      <c r="Y132" s="59" t="str">
        <f aca="false">IF(OR($P132="",$X132=""),"",IF(MATCH($X132,Reference!$F$37:$F$40,0)&gt;MATCH($P132,Reference!$F$37:$F$40,0),"Improving",IF($X132=$P132,"Flat","Worsening")))</f>
        <v/>
      </c>
      <c r="Z132" s="66"/>
      <c r="AA132" s="68"/>
      <c r="AB132" s="69"/>
      <c r="AC132" s="70"/>
      <c r="AD132" s="70"/>
      <c r="AE132" s="70"/>
      <c r="AF132" s="59" t="str">
        <f aca="true">IF(OR($F132="",$AE132="",$AB132="Closed"),"",IF($AE132&lt;TODAY(),"Overdue",""))</f>
        <v/>
      </c>
      <c r="AG132" s="68"/>
      <c r="AH132" s="70"/>
      <c r="AI132" s="68"/>
    </row>
    <row r="133" customFormat="false" ht="33.75" hidden="false" customHeight="true" outlineLevel="0" collapsed="false">
      <c r="A133" s="54"/>
      <c r="B133" s="55" t="str">
        <f aca="false">IF($F133="","",ROW()-8)</f>
        <v/>
      </c>
      <c r="C133" s="56" t="str">
        <f aca="false">IF($F133="","","RSK-"&amp;TEXT(ROW()-8,"000"))</f>
        <v/>
      </c>
      <c r="D133" s="57"/>
      <c r="E133" s="58"/>
      <c r="F133" s="57"/>
      <c r="G133" s="57"/>
      <c r="H133" s="57"/>
      <c r="I133" s="57"/>
      <c r="J133" s="59" t="str">
        <f aca="false">IF(OR($H133="",$I133=""),"",INDEX(Reference!$C$68:$G$72,MATCH($H133,Reference!$B$52:$B$56,0),6-MATCH($I133,Reference!$B$60:$B$64,0)))</f>
        <v/>
      </c>
      <c r="K133" s="57"/>
      <c r="L133" s="57"/>
      <c r="M133" s="58"/>
      <c r="N133" s="57"/>
      <c r="O133" s="57"/>
      <c r="P133" s="59" t="str">
        <f aca="false">IF(OR($N133="",$O133=""),"",INDEX(Reference!$C$68:$G$72,MATCH($N133,Reference!$B$52:$B$56,0),6-MATCH($O133,Reference!$B$60:$B$64,0)))</f>
        <v/>
      </c>
      <c r="Q133" s="60" t="str">
        <f aca="false">IF(OR($N133="",$O133=""),"",INDEX(Reference!$F$52:$F$56,MATCH($N133,Reference!$B$52:$B$56,0))*INDEX(Reference!$F$60:$F$64,MATCH($O133,Reference!$B$60:$B$64,0)))</f>
        <v/>
      </c>
      <c r="R133" s="61" t="str">
        <f aca="false">IF(OR($N133="",$O133=""),"",ROUND(INDEX(Reference!$F$52:$F$56,MATCH($N133,Reference!$B$52:$B$56,0))*INDEX(Reference!$H$60:$H$64,MATCH($O133,Reference!$B$60:$B$64,0)),0))</f>
        <v/>
      </c>
      <c r="S133" s="57"/>
      <c r="T133" s="55" t="str">
        <f aca="false">IF($F133="","",COUNTIF('Treatment Actions'!$B$9:$B$208,$C133))</f>
        <v/>
      </c>
      <c r="U133" s="55" t="str">
        <f aca="false">IF($F133="","",COUNTIFS('Treatment Actions'!$B$9:$B$208,$C133,'Treatment Actions'!$F$9:$F$208,"Complete"))</f>
        <v/>
      </c>
      <c r="V133" s="57"/>
      <c r="W133" s="57"/>
      <c r="X133" s="59" t="str">
        <f aca="false">IF(OR($V133="",$W133=""),"",INDEX(Reference!$C$68:$G$72,MATCH($V133,Reference!$B$52:$B$56,0),6-MATCH($W133,Reference!$B$60:$B$64,0)))</f>
        <v/>
      </c>
      <c r="Y133" s="59" t="str">
        <f aca="false">IF(OR($P133="",$X133=""),"",IF(MATCH($X133,Reference!$F$37:$F$40,0)&gt;MATCH($P133,Reference!$F$37:$F$40,0),"Improving",IF($X133=$P133,"Flat","Worsening")))</f>
        <v/>
      </c>
      <c r="Z133" s="57"/>
      <c r="AA133" s="62"/>
      <c r="AB133" s="63"/>
      <c r="AC133" s="64"/>
      <c r="AD133" s="64"/>
      <c r="AE133" s="64"/>
      <c r="AF133" s="59" t="str">
        <f aca="true">IF(OR($F133="",$AE133="",$AB133="Closed"),"",IF($AE133&lt;TODAY(),"Overdue",""))</f>
        <v/>
      </c>
      <c r="AG133" s="62"/>
      <c r="AH133" s="64"/>
      <c r="AI133" s="62"/>
    </row>
    <row r="134" customFormat="false" ht="33.75" hidden="false" customHeight="true" outlineLevel="0" collapsed="false">
      <c r="A134" s="54"/>
      <c r="B134" s="55" t="str">
        <f aca="false">IF($F134="","",ROW()-8)</f>
        <v/>
      </c>
      <c r="C134" s="56" t="str">
        <f aca="false">IF($F134="","","RSK-"&amp;TEXT(ROW()-8,"000"))</f>
        <v/>
      </c>
      <c r="D134" s="66"/>
      <c r="E134" s="67"/>
      <c r="F134" s="66"/>
      <c r="G134" s="66"/>
      <c r="H134" s="66"/>
      <c r="I134" s="66"/>
      <c r="J134" s="59" t="str">
        <f aca="false">IF(OR($H134="",$I134=""),"",INDEX(Reference!$C$68:$G$72,MATCH($H134,Reference!$B$52:$B$56,0),6-MATCH($I134,Reference!$B$60:$B$64,0)))</f>
        <v/>
      </c>
      <c r="K134" s="66"/>
      <c r="L134" s="66"/>
      <c r="M134" s="67"/>
      <c r="N134" s="66"/>
      <c r="O134" s="66"/>
      <c r="P134" s="59" t="str">
        <f aca="false">IF(OR($N134="",$O134=""),"",INDEX(Reference!$C$68:$G$72,MATCH($N134,Reference!$B$52:$B$56,0),6-MATCH($O134,Reference!$B$60:$B$64,0)))</f>
        <v/>
      </c>
      <c r="Q134" s="60" t="str">
        <f aca="false">IF(OR($N134="",$O134=""),"",INDEX(Reference!$F$52:$F$56,MATCH($N134,Reference!$B$52:$B$56,0))*INDEX(Reference!$F$60:$F$64,MATCH($O134,Reference!$B$60:$B$64,0)))</f>
        <v/>
      </c>
      <c r="R134" s="61" t="str">
        <f aca="false">IF(OR($N134="",$O134=""),"",ROUND(INDEX(Reference!$F$52:$F$56,MATCH($N134,Reference!$B$52:$B$56,0))*INDEX(Reference!$H$60:$H$64,MATCH($O134,Reference!$B$60:$B$64,0)),0))</f>
        <v/>
      </c>
      <c r="S134" s="66"/>
      <c r="T134" s="55" t="str">
        <f aca="false">IF($F134="","",COUNTIF('Treatment Actions'!$B$9:$B$208,$C134))</f>
        <v/>
      </c>
      <c r="U134" s="55" t="str">
        <f aca="false">IF($F134="","",COUNTIFS('Treatment Actions'!$B$9:$B$208,$C134,'Treatment Actions'!$F$9:$F$208,"Complete"))</f>
        <v/>
      </c>
      <c r="V134" s="66"/>
      <c r="W134" s="66"/>
      <c r="X134" s="59" t="str">
        <f aca="false">IF(OR($V134="",$W134=""),"",INDEX(Reference!$C$68:$G$72,MATCH($V134,Reference!$B$52:$B$56,0),6-MATCH($W134,Reference!$B$60:$B$64,0)))</f>
        <v/>
      </c>
      <c r="Y134" s="59" t="str">
        <f aca="false">IF(OR($P134="",$X134=""),"",IF(MATCH($X134,Reference!$F$37:$F$40,0)&gt;MATCH($P134,Reference!$F$37:$F$40,0),"Improving",IF($X134=$P134,"Flat","Worsening")))</f>
        <v/>
      </c>
      <c r="Z134" s="66"/>
      <c r="AA134" s="68"/>
      <c r="AB134" s="69"/>
      <c r="AC134" s="70"/>
      <c r="AD134" s="70"/>
      <c r="AE134" s="70"/>
      <c r="AF134" s="59" t="str">
        <f aca="true">IF(OR($F134="",$AE134="",$AB134="Closed"),"",IF($AE134&lt;TODAY(),"Overdue",""))</f>
        <v/>
      </c>
      <c r="AG134" s="68"/>
      <c r="AH134" s="70"/>
      <c r="AI134" s="68"/>
    </row>
    <row r="135" customFormat="false" ht="33.75" hidden="false" customHeight="true" outlineLevel="0" collapsed="false">
      <c r="A135" s="54"/>
      <c r="B135" s="55" t="str">
        <f aca="false">IF($F135="","",ROW()-8)</f>
        <v/>
      </c>
      <c r="C135" s="56" t="str">
        <f aca="false">IF($F135="","","RSK-"&amp;TEXT(ROW()-8,"000"))</f>
        <v/>
      </c>
      <c r="D135" s="57"/>
      <c r="E135" s="58"/>
      <c r="F135" s="57"/>
      <c r="G135" s="57"/>
      <c r="H135" s="57"/>
      <c r="I135" s="57"/>
      <c r="J135" s="59" t="str">
        <f aca="false">IF(OR($H135="",$I135=""),"",INDEX(Reference!$C$68:$G$72,MATCH($H135,Reference!$B$52:$B$56,0),6-MATCH($I135,Reference!$B$60:$B$64,0)))</f>
        <v/>
      </c>
      <c r="K135" s="57"/>
      <c r="L135" s="57"/>
      <c r="M135" s="58"/>
      <c r="N135" s="57"/>
      <c r="O135" s="57"/>
      <c r="P135" s="59" t="str">
        <f aca="false">IF(OR($N135="",$O135=""),"",INDEX(Reference!$C$68:$G$72,MATCH($N135,Reference!$B$52:$B$56,0),6-MATCH($O135,Reference!$B$60:$B$64,0)))</f>
        <v/>
      </c>
      <c r="Q135" s="60" t="str">
        <f aca="false">IF(OR($N135="",$O135=""),"",INDEX(Reference!$F$52:$F$56,MATCH($N135,Reference!$B$52:$B$56,0))*INDEX(Reference!$F$60:$F$64,MATCH($O135,Reference!$B$60:$B$64,0)))</f>
        <v/>
      </c>
      <c r="R135" s="61" t="str">
        <f aca="false">IF(OR($N135="",$O135=""),"",ROUND(INDEX(Reference!$F$52:$F$56,MATCH($N135,Reference!$B$52:$B$56,0))*INDEX(Reference!$H$60:$H$64,MATCH($O135,Reference!$B$60:$B$64,0)),0))</f>
        <v/>
      </c>
      <c r="S135" s="57"/>
      <c r="T135" s="55" t="str">
        <f aca="false">IF($F135="","",COUNTIF('Treatment Actions'!$B$9:$B$208,$C135))</f>
        <v/>
      </c>
      <c r="U135" s="55" t="str">
        <f aca="false">IF($F135="","",COUNTIFS('Treatment Actions'!$B$9:$B$208,$C135,'Treatment Actions'!$F$9:$F$208,"Complete"))</f>
        <v/>
      </c>
      <c r="V135" s="57"/>
      <c r="W135" s="57"/>
      <c r="X135" s="59" t="str">
        <f aca="false">IF(OR($V135="",$W135=""),"",INDEX(Reference!$C$68:$G$72,MATCH($V135,Reference!$B$52:$B$56,0),6-MATCH($W135,Reference!$B$60:$B$64,0)))</f>
        <v/>
      </c>
      <c r="Y135" s="59" t="str">
        <f aca="false">IF(OR($P135="",$X135=""),"",IF(MATCH($X135,Reference!$F$37:$F$40,0)&gt;MATCH($P135,Reference!$F$37:$F$40,0),"Improving",IF($X135=$P135,"Flat","Worsening")))</f>
        <v/>
      </c>
      <c r="Z135" s="57"/>
      <c r="AA135" s="62"/>
      <c r="AB135" s="63"/>
      <c r="AC135" s="64"/>
      <c r="AD135" s="64"/>
      <c r="AE135" s="64"/>
      <c r="AF135" s="59" t="str">
        <f aca="true">IF(OR($F135="",$AE135="",$AB135="Closed"),"",IF($AE135&lt;TODAY(),"Overdue",""))</f>
        <v/>
      </c>
      <c r="AG135" s="62"/>
      <c r="AH135" s="64"/>
      <c r="AI135" s="62"/>
    </row>
    <row r="136" customFormat="false" ht="33.75" hidden="false" customHeight="true" outlineLevel="0" collapsed="false">
      <c r="A136" s="54"/>
      <c r="B136" s="55" t="str">
        <f aca="false">IF($F136="","",ROW()-8)</f>
        <v/>
      </c>
      <c r="C136" s="56" t="str">
        <f aca="false">IF($F136="","","RSK-"&amp;TEXT(ROW()-8,"000"))</f>
        <v/>
      </c>
      <c r="D136" s="66"/>
      <c r="E136" s="67"/>
      <c r="F136" s="66"/>
      <c r="G136" s="66"/>
      <c r="H136" s="66"/>
      <c r="I136" s="66"/>
      <c r="J136" s="59" t="str">
        <f aca="false">IF(OR($H136="",$I136=""),"",INDEX(Reference!$C$68:$G$72,MATCH($H136,Reference!$B$52:$B$56,0),6-MATCH($I136,Reference!$B$60:$B$64,0)))</f>
        <v/>
      </c>
      <c r="K136" s="66"/>
      <c r="L136" s="66"/>
      <c r="M136" s="67"/>
      <c r="N136" s="66"/>
      <c r="O136" s="66"/>
      <c r="P136" s="59" t="str">
        <f aca="false">IF(OR($N136="",$O136=""),"",INDEX(Reference!$C$68:$G$72,MATCH($N136,Reference!$B$52:$B$56,0),6-MATCH($O136,Reference!$B$60:$B$64,0)))</f>
        <v/>
      </c>
      <c r="Q136" s="60" t="str">
        <f aca="false">IF(OR($N136="",$O136=""),"",INDEX(Reference!$F$52:$F$56,MATCH($N136,Reference!$B$52:$B$56,0))*INDEX(Reference!$F$60:$F$64,MATCH($O136,Reference!$B$60:$B$64,0)))</f>
        <v/>
      </c>
      <c r="R136" s="61" t="str">
        <f aca="false">IF(OR($N136="",$O136=""),"",ROUND(INDEX(Reference!$F$52:$F$56,MATCH($N136,Reference!$B$52:$B$56,0))*INDEX(Reference!$H$60:$H$64,MATCH($O136,Reference!$B$60:$B$64,0)),0))</f>
        <v/>
      </c>
      <c r="S136" s="66"/>
      <c r="T136" s="55" t="str">
        <f aca="false">IF($F136="","",COUNTIF('Treatment Actions'!$B$9:$B$208,$C136))</f>
        <v/>
      </c>
      <c r="U136" s="55" t="str">
        <f aca="false">IF($F136="","",COUNTIFS('Treatment Actions'!$B$9:$B$208,$C136,'Treatment Actions'!$F$9:$F$208,"Complete"))</f>
        <v/>
      </c>
      <c r="V136" s="66"/>
      <c r="W136" s="66"/>
      <c r="X136" s="59" t="str">
        <f aca="false">IF(OR($V136="",$W136=""),"",INDEX(Reference!$C$68:$G$72,MATCH($V136,Reference!$B$52:$B$56,0),6-MATCH($W136,Reference!$B$60:$B$64,0)))</f>
        <v/>
      </c>
      <c r="Y136" s="59" t="str">
        <f aca="false">IF(OR($P136="",$X136=""),"",IF(MATCH($X136,Reference!$F$37:$F$40,0)&gt;MATCH($P136,Reference!$F$37:$F$40,0),"Improving",IF($X136=$P136,"Flat","Worsening")))</f>
        <v/>
      </c>
      <c r="Z136" s="66"/>
      <c r="AA136" s="68"/>
      <c r="AB136" s="69"/>
      <c r="AC136" s="70"/>
      <c r="AD136" s="70"/>
      <c r="AE136" s="70"/>
      <c r="AF136" s="59" t="str">
        <f aca="true">IF(OR($F136="",$AE136="",$AB136="Closed"),"",IF($AE136&lt;TODAY(),"Overdue",""))</f>
        <v/>
      </c>
      <c r="AG136" s="68"/>
      <c r="AH136" s="70"/>
      <c r="AI136" s="68"/>
    </row>
    <row r="137" customFormat="false" ht="33.75" hidden="false" customHeight="true" outlineLevel="0" collapsed="false">
      <c r="A137" s="54"/>
      <c r="B137" s="55" t="str">
        <f aca="false">IF($F137="","",ROW()-8)</f>
        <v/>
      </c>
      <c r="C137" s="56" t="str">
        <f aca="false">IF($F137="","","RSK-"&amp;TEXT(ROW()-8,"000"))</f>
        <v/>
      </c>
      <c r="D137" s="57"/>
      <c r="E137" s="58"/>
      <c r="F137" s="57"/>
      <c r="G137" s="57"/>
      <c r="H137" s="57"/>
      <c r="I137" s="57"/>
      <c r="J137" s="59" t="str">
        <f aca="false">IF(OR($H137="",$I137=""),"",INDEX(Reference!$C$68:$G$72,MATCH($H137,Reference!$B$52:$B$56,0),6-MATCH($I137,Reference!$B$60:$B$64,0)))</f>
        <v/>
      </c>
      <c r="K137" s="57"/>
      <c r="L137" s="57"/>
      <c r="M137" s="58"/>
      <c r="N137" s="57"/>
      <c r="O137" s="57"/>
      <c r="P137" s="59" t="str">
        <f aca="false">IF(OR($N137="",$O137=""),"",INDEX(Reference!$C$68:$G$72,MATCH($N137,Reference!$B$52:$B$56,0),6-MATCH($O137,Reference!$B$60:$B$64,0)))</f>
        <v/>
      </c>
      <c r="Q137" s="60" t="str">
        <f aca="false">IF(OR($N137="",$O137=""),"",INDEX(Reference!$F$52:$F$56,MATCH($N137,Reference!$B$52:$B$56,0))*INDEX(Reference!$F$60:$F$64,MATCH($O137,Reference!$B$60:$B$64,0)))</f>
        <v/>
      </c>
      <c r="R137" s="61" t="str">
        <f aca="false">IF(OR($N137="",$O137=""),"",ROUND(INDEX(Reference!$F$52:$F$56,MATCH($N137,Reference!$B$52:$B$56,0))*INDEX(Reference!$H$60:$H$64,MATCH($O137,Reference!$B$60:$B$64,0)),0))</f>
        <v/>
      </c>
      <c r="S137" s="57"/>
      <c r="T137" s="55" t="str">
        <f aca="false">IF($F137="","",COUNTIF('Treatment Actions'!$B$9:$B$208,$C137))</f>
        <v/>
      </c>
      <c r="U137" s="55" t="str">
        <f aca="false">IF($F137="","",COUNTIFS('Treatment Actions'!$B$9:$B$208,$C137,'Treatment Actions'!$F$9:$F$208,"Complete"))</f>
        <v/>
      </c>
      <c r="V137" s="57"/>
      <c r="W137" s="57"/>
      <c r="X137" s="59" t="str">
        <f aca="false">IF(OR($V137="",$W137=""),"",INDEX(Reference!$C$68:$G$72,MATCH($V137,Reference!$B$52:$B$56,0),6-MATCH($W137,Reference!$B$60:$B$64,0)))</f>
        <v/>
      </c>
      <c r="Y137" s="59" t="str">
        <f aca="false">IF(OR($P137="",$X137=""),"",IF(MATCH($X137,Reference!$F$37:$F$40,0)&gt;MATCH($P137,Reference!$F$37:$F$40,0),"Improving",IF($X137=$P137,"Flat","Worsening")))</f>
        <v/>
      </c>
      <c r="Z137" s="57"/>
      <c r="AA137" s="62"/>
      <c r="AB137" s="63"/>
      <c r="AC137" s="64"/>
      <c r="AD137" s="64"/>
      <c r="AE137" s="64"/>
      <c r="AF137" s="59" t="str">
        <f aca="true">IF(OR($F137="",$AE137="",$AB137="Closed"),"",IF($AE137&lt;TODAY(),"Overdue",""))</f>
        <v/>
      </c>
      <c r="AG137" s="62"/>
      <c r="AH137" s="64"/>
      <c r="AI137" s="62"/>
    </row>
    <row r="138" customFormat="false" ht="33.75" hidden="false" customHeight="true" outlineLevel="0" collapsed="false">
      <c r="A138" s="54"/>
      <c r="B138" s="55" t="str">
        <f aca="false">IF($F138="","",ROW()-8)</f>
        <v/>
      </c>
      <c r="C138" s="56" t="str">
        <f aca="false">IF($F138="","","RSK-"&amp;TEXT(ROW()-8,"000"))</f>
        <v/>
      </c>
      <c r="D138" s="66"/>
      <c r="E138" s="67"/>
      <c r="F138" s="66"/>
      <c r="G138" s="66"/>
      <c r="H138" s="66"/>
      <c r="I138" s="66"/>
      <c r="J138" s="59" t="str">
        <f aca="false">IF(OR($H138="",$I138=""),"",INDEX(Reference!$C$68:$G$72,MATCH($H138,Reference!$B$52:$B$56,0),6-MATCH($I138,Reference!$B$60:$B$64,0)))</f>
        <v/>
      </c>
      <c r="K138" s="66"/>
      <c r="L138" s="66"/>
      <c r="M138" s="67"/>
      <c r="N138" s="66"/>
      <c r="O138" s="66"/>
      <c r="P138" s="59" t="str">
        <f aca="false">IF(OR($N138="",$O138=""),"",INDEX(Reference!$C$68:$G$72,MATCH($N138,Reference!$B$52:$B$56,0),6-MATCH($O138,Reference!$B$60:$B$64,0)))</f>
        <v/>
      </c>
      <c r="Q138" s="60" t="str">
        <f aca="false">IF(OR($N138="",$O138=""),"",INDEX(Reference!$F$52:$F$56,MATCH($N138,Reference!$B$52:$B$56,0))*INDEX(Reference!$F$60:$F$64,MATCH($O138,Reference!$B$60:$B$64,0)))</f>
        <v/>
      </c>
      <c r="R138" s="61" t="str">
        <f aca="false">IF(OR($N138="",$O138=""),"",ROUND(INDEX(Reference!$F$52:$F$56,MATCH($N138,Reference!$B$52:$B$56,0))*INDEX(Reference!$H$60:$H$64,MATCH($O138,Reference!$B$60:$B$64,0)),0))</f>
        <v/>
      </c>
      <c r="S138" s="66"/>
      <c r="T138" s="55" t="str">
        <f aca="false">IF($F138="","",COUNTIF('Treatment Actions'!$B$9:$B$208,$C138))</f>
        <v/>
      </c>
      <c r="U138" s="55" t="str">
        <f aca="false">IF($F138="","",COUNTIFS('Treatment Actions'!$B$9:$B$208,$C138,'Treatment Actions'!$F$9:$F$208,"Complete"))</f>
        <v/>
      </c>
      <c r="V138" s="66"/>
      <c r="W138" s="66"/>
      <c r="X138" s="59" t="str">
        <f aca="false">IF(OR($V138="",$W138=""),"",INDEX(Reference!$C$68:$G$72,MATCH($V138,Reference!$B$52:$B$56,0),6-MATCH($W138,Reference!$B$60:$B$64,0)))</f>
        <v/>
      </c>
      <c r="Y138" s="59" t="str">
        <f aca="false">IF(OR($P138="",$X138=""),"",IF(MATCH($X138,Reference!$F$37:$F$40,0)&gt;MATCH($P138,Reference!$F$37:$F$40,0),"Improving",IF($X138=$P138,"Flat","Worsening")))</f>
        <v/>
      </c>
      <c r="Z138" s="66"/>
      <c r="AA138" s="68"/>
      <c r="AB138" s="69"/>
      <c r="AC138" s="70"/>
      <c r="AD138" s="70"/>
      <c r="AE138" s="70"/>
      <c r="AF138" s="59" t="str">
        <f aca="true">IF(OR($F138="",$AE138="",$AB138="Closed"),"",IF($AE138&lt;TODAY(),"Overdue",""))</f>
        <v/>
      </c>
      <c r="AG138" s="68"/>
      <c r="AH138" s="70"/>
      <c r="AI138" s="68"/>
    </row>
    <row r="139" customFormat="false" ht="33.75" hidden="false" customHeight="true" outlineLevel="0" collapsed="false">
      <c r="A139" s="54"/>
      <c r="B139" s="55" t="str">
        <f aca="false">IF($F139="","",ROW()-8)</f>
        <v/>
      </c>
      <c r="C139" s="56" t="str">
        <f aca="false">IF($F139="","","RSK-"&amp;TEXT(ROW()-8,"000"))</f>
        <v/>
      </c>
      <c r="D139" s="57"/>
      <c r="E139" s="58"/>
      <c r="F139" s="57"/>
      <c r="G139" s="57"/>
      <c r="H139" s="57"/>
      <c r="I139" s="57"/>
      <c r="J139" s="59" t="str">
        <f aca="false">IF(OR($H139="",$I139=""),"",INDEX(Reference!$C$68:$G$72,MATCH($H139,Reference!$B$52:$B$56,0),6-MATCH($I139,Reference!$B$60:$B$64,0)))</f>
        <v/>
      </c>
      <c r="K139" s="57"/>
      <c r="L139" s="57"/>
      <c r="M139" s="58"/>
      <c r="N139" s="57"/>
      <c r="O139" s="57"/>
      <c r="P139" s="59" t="str">
        <f aca="false">IF(OR($N139="",$O139=""),"",INDEX(Reference!$C$68:$G$72,MATCH($N139,Reference!$B$52:$B$56,0),6-MATCH($O139,Reference!$B$60:$B$64,0)))</f>
        <v/>
      </c>
      <c r="Q139" s="60" t="str">
        <f aca="false">IF(OR($N139="",$O139=""),"",INDEX(Reference!$F$52:$F$56,MATCH($N139,Reference!$B$52:$B$56,0))*INDEX(Reference!$F$60:$F$64,MATCH($O139,Reference!$B$60:$B$64,0)))</f>
        <v/>
      </c>
      <c r="R139" s="61" t="str">
        <f aca="false">IF(OR($N139="",$O139=""),"",ROUND(INDEX(Reference!$F$52:$F$56,MATCH($N139,Reference!$B$52:$B$56,0))*INDEX(Reference!$H$60:$H$64,MATCH($O139,Reference!$B$60:$B$64,0)),0))</f>
        <v/>
      </c>
      <c r="S139" s="57"/>
      <c r="T139" s="55" t="str">
        <f aca="false">IF($F139="","",COUNTIF('Treatment Actions'!$B$9:$B$208,$C139))</f>
        <v/>
      </c>
      <c r="U139" s="55" t="str">
        <f aca="false">IF($F139="","",COUNTIFS('Treatment Actions'!$B$9:$B$208,$C139,'Treatment Actions'!$F$9:$F$208,"Complete"))</f>
        <v/>
      </c>
      <c r="V139" s="57"/>
      <c r="W139" s="57"/>
      <c r="X139" s="59" t="str">
        <f aca="false">IF(OR($V139="",$W139=""),"",INDEX(Reference!$C$68:$G$72,MATCH($V139,Reference!$B$52:$B$56,0),6-MATCH($W139,Reference!$B$60:$B$64,0)))</f>
        <v/>
      </c>
      <c r="Y139" s="59" t="str">
        <f aca="false">IF(OR($P139="",$X139=""),"",IF(MATCH($X139,Reference!$F$37:$F$40,0)&gt;MATCH($P139,Reference!$F$37:$F$40,0),"Improving",IF($X139=$P139,"Flat","Worsening")))</f>
        <v/>
      </c>
      <c r="Z139" s="57"/>
      <c r="AA139" s="62"/>
      <c r="AB139" s="63"/>
      <c r="AC139" s="64"/>
      <c r="AD139" s="64"/>
      <c r="AE139" s="64"/>
      <c r="AF139" s="59" t="str">
        <f aca="true">IF(OR($F139="",$AE139="",$AB139="Closed"),"",IF($AE139&lt;TODAY(),"Overdue",""))</f>
        <v/>
      </c>
      <c r="AG139" s="62"/>
      <c r="AH139" s="64"/>
      <c r="AI139" s="62"/>
    </row>
    <row r="140" customFormat="false" ht="33.75" hidden="false" customHeight="true" outlineLevel="0" collapsed="false">
      <c r="A140" s="54"/>
      <c r="B140" s="55" t="str">
        <f aca="false">IF($F140="","",ROW()-8)</f>
        <v/>
      </c>
      <c r="C140" s="56" t="str">
        <f aca="false">IF($F140="","","RSK-"&amp;TEXT(ROW()-8,"000"))</f>
        <v/>
      </c>
      <c r="D140" s="66"/>
      <c r="E140" s="67"/>
      <c r="F140" s="66"/>
      <c r="G140" s="66"/>
      <c r="H140" s="66"/>
      <c r="I140" s="66"/>
      <c r="J140" s="59" t="str">
        <f aca="false">IF(OR($H140="",$I140=""),"",INDEX(Reference!$C$68:$G$72,MATCH($H140,Reference!$B$52:$B$56,0),6-MATCH($I140,Reference!$B$60:$B$64,0)))</f>
        <v/>
      </c>
      <c r="K140" s="66"/>
      <c r="L140" s="66"/>
      <c r="M140" s="67"/>
      <c r="N140" s="66"/>
      <c r="O140" s="66"/>
      <c r="P140" s="59" t="str">
        <f aca="false">IF(OR($N140="",$O140=""),"",INDEX(Reference!$C$68:$G$72,MATCH($N140,Reference!$B$52:$B$56,0),6-MATCH($O140,Reference!$B$60:$B$64,0)))</f>
        <v/>
      </c>
      <c r="Q140" s="60" t="str">
        <f aca="false">IF(OR($N140="",$O140=""),"",INDEX(Reference!$F$52:$F$56,MATCH($N140,Reference!$B$52:$B$56,0))*INDEX(Reference!$F$60:$F$64,MATCH($O140,Reference!$B$60:$B$64,0)))</f>
        <v/>
      </c>
      <c r="R140" s="61" t="str">
        <f aca="false">IF(OR($N140="",$O140=""),"",ROUND(INDEX(Reference!$F$52:$F$56,MATCH($N140,Reference!$B$52:$B$56,0))*INDEX(Reference!$H$60:$H$64,MATCH($O140,Reference!$B$60:$B$64,0)),0))</f>
        <v/>
      </c>
      <c r="S140" s="66"/>
      <c r="T140" s="55" t="str">
        <f aca="false">IF($F140="","",COUNTIF('Treatment Actions'!$B$9:$B$208,$C140))</f>
        <v/>
      </c>
      <c r="U140" s="55" t="str">
        <f aca="false">IF($F140="","",COUNTIFS('Treatment Actions'!$B$9:$B$208,$C140,'Treatment Actions'!$F$9:$F$208,"Complete"))</f>
        <v/>
      </c>
      <c r="V140" s="66"/>
      <c r="W140" s="66"/>
      <c r="X140" s="59" t="str">
        <f aca="false">IF(OR($V140="",$W140=""),"",INDEX(Reference!$C$68:$G$72,MATCH($V140,Reference!$B$52:$B$56,0),6-MATCH($W140,Reference!$B$60:$B$64,0)))</f>
        <v/>
      </c>
      <c r="Y140" s="59" t="str">
        <f aca="false">IF(OR($P140="",$X140=""),"",IF(MATCH($X140,Reference!$F$37:$F$40,0)&gt;MATCH($P140,Reference!$F$37:$F$40,0),"Improving",IF($X140=$P140,"Flat","Worsening")))</f>
        <v/>
      </c>
      <c r="Z140" s="66"/>
      <c r="AA140" s="68"/>
      <c r="AB140" s="69"/>
      <c r="AC140" s="70"/>
      <c r="AD140" s="70"/>
      <c r="AE140" s="70"/>
      <c r="AF140" s="59" t="str">
        <f aca="true">IF(OR($F140="",$AE140="",$AB140="Closed"),"",IF($AE140&lt;TODAY(),"Overdue",""))</f>
        <v/>
      </c>
      <c r="AG140" s="68"/>
      <c r="AH140" s="70"/>
      <c r="AI140" s="68"/>
    </row>
    <row r="141" customFormat="false" ht="33.75" hidden="false" customHeight="true" outlineLevel="0" collapsed="false">
      <c r="A141" s="54"/>
      <c r="B141" s="55" t="str">
        <f aca="false">IF($F141="","",ROW()-8)</f>
        <v/>
      </c>
      <c r="C141" s="56" t="str">
        <f aca="false">IF($F141="","","RSK-"&amp;TEXT(ROW()-8,"000"))</f>
        <v/>
      </c>
      <c r="D141" s="57"/>
      <c r="E141" s="58"/>
      <c r="F141" s="57"/>
      <c r="G141" s="57"/>
      <c r="H141" s="57"/>
      <c r="I141" s="57"/>
      <c r="J141" s="59" t="str">
        <f aca="false">IF(OR($H141="",$I141=""),"",INDEX(Reference!$C$68:$G$72,MATCH($H141,Reference!$B$52:$B$56,0),6-MATCH($I141,Reference!$B$60:$B$64,0)))</f>
        <v/>
      </c>
      <c r="K141" s="57"/>
      <c r="L141" s="57"/>
      <c r="M141" s="58"/>
      <c r="N141" s="57"/>
      <c r="O141" s="57"/>
      <c r="P141" s="59" t="str">
        <f aca="false">IF(OR($N141="",$O141=""),"",INDEX(Reference!$C$68:$G$72,MATCH($N141,Reference!$B$52:$B$56,0),6-MATCH($O141,Reference!$B$60:$B$64,0)))</f>
        <v/>
      </c>
      <c r="Q141" s="60" t="str">
        <f aca="false">IF(OR($N141="",$O141=""),"",INDEX(Reference!$F$52:$F$56,MATCH($N141,Reference!$B$52:$B$56,0))*INDEX(Reference!$F$60:$F$64,MATCH($O141,Reference!$B$60:$B$64,0)))</f>
        <v/>
      </c>
      <c r="R141" s="61" t="str">
        <f aca="false">IF(OR($N141="",$O141=""),"",ROUND(INDEX(Reference!$F$52:$F$56,MATCH($N141,Reference!$B$52:$B$56,0))*INDEX(Reference!$H$60:$H$64,MATCH($O141,Reference!$B$60:$B$64,0)),0))</f>
        <v/>
      </c>
      <c r="S141" s="57"/>
      <c r="T141" s="55" t="str">
        <f aca="false">IF($F141="","",COUNTIF('Treatment Actions'!$B$9:$B$208,$C141))</f>
        <v/>
      </c>
      <c r="U141" s="55" t="str">
        <f aca="false">IF($F141="","",COUNTIFS('Treatment Actions'!$B$9:$B$208,$C141,'Treatment Actions'!$F$9:$F$208,"Complete"))</f>
        <v/>
      </c>
      <c r="V141" s="57"/>
      <c r="W141" s="57"/>
      <c r="X141" s="59" t="str">
        <f aca="false">IF(OR($V141="",$W141=""),"",INDEX(Reference!$C$68:$G$72,MATCH($V141,Reference!$B$52:$B$56,0),6-MATCH($W141,Reference!$B$60:$B$64,0)))</f>
        <v/>
      </c>
      <c r="Y141" s="59" t="str">
        <f aca="false">IF(OR($P141="",$X141=""),"",IF(MATCH($X141,Reference!$F$37:$F$40,0)&gt;MATCH($P141,Reference!$F$37:$F$40,0),"Improving",IF($X141=$P141,"Flat","Worsening")))</f>
        <v/>
      </c>
      <c r="Z141" s="57"/>
      <c r="AA141" s="62"/>
      <c r="AB141" s="63"/>
      <c r="AC141" s="64"/>
      <c r="AD141" s="64"/>
      <c r="AE141" s="64"/>
      <c r="AF141" s="59" t="str">
        <f aca="true">IF(OR($F141="",$AE141="",$AB141="Closed"),"",IF($AE141&lt;TODAY(),"Overdue",""))</f>
        <v/>
      </c>
      <c r="AG141" s="62"/>
      <c r="AH141" s="64"/>
      <c r="AI141" s="62"/>
    </row>
    <row r="142" customFormat="false" ht="33.75" hidden="false" customHeight="true" outlineLevel="0" collapsed="false">
      <c r="A142" s="54"/>
      <c r="B142" s="55" t="str">
        <f aca="false">IF($F142="","",ROW()-8)</f>
        <v/>
      </c>
      <c r="C142" s="56" t="str">
        <f aca="false">IF($F142="","","RSK-"&amp;TEXT(ROW()-8,"000"))</f>
        <v/>
      </c>
      <c r="D142" s="66"/>
      <c r="E142" s="67"/>
      <c r="F142" s="66"/>
      <c r="G142" s="66"/>
      <c r="H142" s="66"/>
      <c r="I142" s="66"/>
      <c r="J142" s="59" t="str">
        <f aca="false">IF(OR($H142="",$I142=""),"",INDEX(Reference!$C$68:$G$72,MATCH($H142,Reference!$B$52:$B$56,0),6-MATCH($I142,Reference!$B$60:$B$64,0)))</f>
        <v/>
      </c>
      <c r="K142" s="66"/>
      <c r="L142" s="66"/>
      <c r="M142" s="67"/>
      <c r="N142" s="66"/>
      <c r="O142" s="66"/>
      <c r="P142" s="59" t="str">
        <f aca="false">IF(OR($N142="",$O142=""),"",INDEX(Reference!$C$68:$G$72,MATCH($N142,Reference!$B$52:$B$56,0),6-MATCH($O142,Reference!$B$60:$B$64,0)))</f>
        <v/>
      </c>
      <c r="Q142" s="60" t="str">
        <f aca="false">IF(OR($N142="",$O142=""),"",INDEX(Reference!$F$52:$F$56,MATCH($N142,Reference!$B$52:$B$56,0))*INDEX(Reference!$F$60:$F$64,MATCH($O142,Reference!$B$60:$B$64,0)))</f>
        <v/>
      </c>
      <c r="R142" s="61" t="str">
        <f aca="false">IF(OR($N142="",$O142=""),"",ROUND(INDEX(Reference!$F$52:$F$56,MATCH($N142,Reference!$B$52:$B$56,0))*INDEX(Reference!$H$60:$H$64,MATCH($O142,Reference!$B$60:$B$64,0)),0))</f>
        <v/>
      </c>
      <c r="S142" s="66"/>
      <c r="T142" s="55" t="str">
        <f aca="false">IF($F142="","",COUNTIF('Treatment Actions'!$B$9:$B$208,$C142))</f>
        <v/>
      </c>
      <c r="U142" s="55" t="str">
        <f aca="false">IF($F142="","",COUNTIFS('Treatment Actions'!$B$9:$B$208,$C142,'Treatment Actions'!$F$9:$F$208,"Complete"))</f>
        <v/>
      </c>
      <c r="V142" s="66"/>
      <c r="W142" s="66"/>
      <c r="X142" s="59" t="str">
        <f aca="false">IF(OR($V142="",$W142=""),"",INDEX(Reference!$C$68:$G$72,MATCH($V142,Reference!$B$52:$B$56,0),6-MATCH($W142,Reference!$B$60:$B$64,0)))</f>
        <v/>
      </c>
      <c r="Y142" s="59" t="str">
        <f aca="false">IF(OR($P142="",$X142=""),"",IF(MATCH($X142,Reference!$F$37:$F$40,0)&gt;MATCH($P142,Reference!$F$37:$F$40,0),"Improving",IF($X142=$P142,"Flat","Worsening")))</f>
        <v/>
      </c>
      <c r="Z142" s="66"/>
      <c r="AA142" s="68"/>
      <c r="AB142" s="69"/>
      <c r="AC142" s="70"/>
      <c r="AD142" s="70"/>
      <c r="AE142" s="70"/>
      <c r="AF142" s="59" t="str">
        <f aca="true">IF(OR($F142="",$AE142="",$AB142="Closed"),"",IF($AE142&lt;TODAY(),"Overdue",""))</f>
        <v/>
      </c>
      <c r="AG142" s="68"/>
      <c r="AH142" s="70"/>
      <c r="AI142" s="68"/>
    </row>
    <row r="143" customFormat="false" ht="33.75" hidden="false" customHeight="true" outlineLevel="0" collapsed="false">
      <c r="A143" s="54"/>
      <c r="B143" s="55" t="str">
        <f aca="false">IF($F143="","",ROW()-8)</f>
        <v/>
      </c>
      <c r="C143" s="56" t="str">
        <f aca="false">IF($F143="","","RSK-"&amp;TEXT(ROW()-8,"000"))</f>
        <v/>
      </c>
      <c r="D143" s="57"/>
      <c r="E143" s="58"/>
      <c r="F143" s="57"/>
      <c r="G143" s="57"/>
      <c r="H143" s="57"/>
      <c r="I143" s="57"/>
      <c r="J143" s="59" t="str">
        <f aca="false">IF(OR($H143="",$I143=""),"",INDEX(Reference!$C$68:$G$72,MATCH($H143,Reference!$B$52:$B$56,0),6-MATCH($I143,Reference!$B$60:$B$64,0)))</f>
        <v/>
      </c>
      <c r="K143" s="57"/>
      <c r="L143" s="57"/>
      <c r="M143" s="58"/>
      <c r="N143" s="57"/>
      <c r="O143" s="57"/>
      <c r="P143" s="59" t="str">
        <f aca="false">IF(OR($N143="",$O143=""),"",INDEX(Reference!$C$68:$G$72,MATCH($N143,Reference!$B$52:$B$56,0),6-MATCH($O143,Reference!$B$60:$B$64,0)))</f>
        <v/>
      </c>
      <c r="Q143" s="60" t="str">
        <f aca="false">IF(OR($N143="",$O143=""),"",INDEX(Reference!$F$52:$F$56,MATCH($N143,Reference!$B$52:$B$56,0))*INDEX(Reference!$F$60:$F$64,MATCH($O143,Reference!$B$60:$B$64,0)))</f>
        <v/>
      </c>
      <c r="R143" s="61" t="str">
        <f aca="false">IF(OR($N143="",$O143=""),"",ROUND(INDEX(Reference!$F$52:$F$56,MATCH($N143,Reference!$B$52:$B$56,0))*INDEX(Reference!$H$60:$H$64,MATCH($O143,Reference!$B$60:$B$64,0)),0))</f>
        <v/>
      </c>
      <c r="S143" s="57"/>
      <c r="T143" s="55" t="str">
        <f aca="false">IF($F143="","",COUNTIF('Treatment Actions'!$B$9:$B$208,$C143))</f>
        <v/>
      </c>
      <c r="U143" s="55" t="str">
        <f aca="false">IF($F143="","",COUNTIFS('Treatment Actions'!$B$9:$B$208,$C143,'Treatment Actions'!$F$9:$F$208,"Complete"))</f>
        <v/>
      </c>
      <c r="V143" s="57"/>
      <c r="W143" s="57"/>
      <c r="X143" s="59" t="str">
        <f aca="false">IF(OR($V143="",$W143=""),"",INDEX(Reference!$C$68:$G$72,MATCH($V143,Reference!$B$52:$B$56,0),6-MATCH($W143,Reference!$B$60:$B$64,0)))</f>
        <v/>
      </c>
      <c r="Y143" s="59" t="str">
        <f aca="false">IF(OR($P143="",$X143=""),"",IF(MATCH($X143,Reference!$F$37:$F$40,0)&gt;MATCH($P143,Reference!$F$37:$F$40,0),"Improving",IF($X143=$P143,"Flat","Worsening")))</f>
        <v/>
      </c>
      <c r="Z143" s="57"/>
      <c r="AA143" s="62"/>
      <c r="AB143" s="63"/>
      <c r="AC143" s="64"/>
      <c r="AD143" s="64"/>
      <c r="AE143" s="64"/>
      <c r="AF143" s="59" t="str">
        <f aca="true">IF(OR($F143="",$AE143="",$AB143="Closed"),"",IF($AE143&lt;TODAY(),"Overdue",""))</f>
        <v/>
      </c>
      <c r="AG143" s="62"/>
      <c r="AH143" s="64"/>
      <c r="AI143" s="62"/>
    </row>
    <row r="144" customFormat="false" ht="33.75" hidden="false" customHeight="true" outlineLevel="0" collapsed="false">
      <c r="A144" s="54"/>
      <c r="B144" s="55" t="str">
        <f aca="false">IF($F144="","",ROW()-8)</f>
        <v/>
      </c>
      <c r="C144" s="56" t="str">
        <f aca="false">IF($F144="","","RSK-"&amp;TEXT(ROW()-8,"000"))</f>
        <v/>
      </c>
      <c r="D144" s="66"/>
      <c r="E144" s="67"/>
      <c r="F144" s="66"/>
      <c r="G144" s="66"/>
      <c r="H144" s="66"/>
      <c r="I144" s="66"/>
      <c r="J144" s="59" t="str">
        <f aca="false">IF(OR($H144="",$I144=""),"",INDEX(Reference!$C$68:$G$72,MATCH($H144,Reference!$B$52:$B$56,0),6-MATCH($I144,Reference!$B$60:$B$64,0)))</f>
        <v/>
      </c>
      <c r="K144" s="66"/>
      <c r="L144" s="66"/>
      <c r="M144" s="67"/>
      <c r="N144" s="66"/>
      <c r="O144" s="66"/>
      <c r="P144" s="59" t="str">
        <f aca="false">IF(OR($N144="",$O144=""),"",INDEX(Reference!$C$68:$G$72,MATCH($N144,Reference!$B$52:$B$56,0),6-MATCH($O144,Reference!$B$60:$B$64,0)))</f>
        <v/>
      </c>
      <c r="Q144" s="60" t="str">
        <f aca="false">IF(OR($N144="",$O144=""),"",INDEX(Reference!$F$52:$F$56,MATCH($N144,Reference!$B$52:$B$56,0))*INDEX(Reference!$F$60:$F$64,MATCH($O144,Reference!$B$60:$B$64,0)))</f>
        <v/>
      </c>
      <c r="R144" s="61" t="str">
        <f aca="false">IF(OR($N144="",$O144=""),"",ROUND(INDEX(Reference!$F$52:$F$56,MATCH($N144,Reference!$B$52:$B$56,0))*INDEX(Reference!$H$60:$H$64,MATCH($O144,Reference!$B$60:$B$64,0)),0))</f>
        <v/>
      </c>
      <c r="S144" s="66"/>
      <c r="T144" s="55" t="str">
        <f aca="false">IF($F144="","",COUNTIF('Treatment Actions'!$B$9:$B$208,$C144))</f>
        <v/>
      </c>
      <c r="U144" s="55" t="str">
        <f aca="false">IF($F144="","",COUNTIFS('Treatment Actions'!$B$9:$B$208,$C144,'Treatment Actions'!$F$9:$F$208,"Complete"))</f>
        <v/>
      </c>
      <c r="V144" s="66"/>
      <c r="W144" s="66"/>
      <c r="X144" s="59" t="str">
        <f aca="false">IF(OR($V144="",$W144=""),"",INDEX(Reference!$C$68:$G$72,MATCH($V144,Reference!$B$52:$B$56,0),6-MATCH($W144,Reference!$B$60:$B$64,0)))</f>
        <v/>
      </c>
      <c r="Y144" s="59" t="str">
        <f aca="false">IF(OR($P144="",$X144=""),"",IF(MATCH($X144,Reference!$F$37:$F$40,0)&gt;MATCH($P144,Reference!$F$37:$F$40,0),"Improving",IF($X144=$P144,"Flat","Worsening")))</f>
        <v/>
      </c>
      <c r="Z144" s="66"/>
      <c r="AA144" s="68"/>
      <c r="AB144" s="69"/>
      <c r="AC144" s="70"/>
      <c r="AD144" s="70"/>
      <c r="AE144" s="70"/>
      <c r="AF144" s="59" t="str">
        <f aca="true">IF(OR($F144="",$AE144="",$AB144="Closed"),"",IF($AE144&lt;TODAY(),"Overdue",""))</f>
        <v/>
      </c>
      <c r="AG144" s="68"/>
      <c r="AH144" s="70"/>
      <c r="AI144" s="68"/>
    </row>
    <row r="145" customFormat="false" ht="33.75" hidden="false" customHeight="true" outlineLevel="0" collapsed="false">
      <c r="A145" s="54"/>
      <c r="B145" s="55" t="str">
        <f aca="false">IF($F145="","",ROW()-8)</f>
        <v/>
      </c>
      <c r="C145" s="56" t="str">
        <f aca="false">IF($F145="","","RSK-"&amp;TEXT(ROW()-8,"000"))</f>
        <v/>
      </c>
      <c r="D145" s="57"/>
      <c r="E145" s="58"/>
      <c r="F145" s="57"/>
      <c r="G145" s="57"/>
      <c r="H145" s="57"/>
      <c r="I145" s="57"/>
      <c r="J145" s="59" t="str">
        <f aca="false">IF(OR($H145="",$I145=""),"",INDEX(Reference!$C$68:$G$72,MATCH($H145,Reference!$B$52:$B$56,0),6-MATCH($I145,Reference!$B$60:$B$64,0)))</f>
        <v/>
      </c>
      <c r="K145" s="57"/>
      <c r="L145" s="57"/>
      <c r="M145" s="58"/>
      <c r="N145" s="57"/>
      <c r="O145" s="57"/>
      <c r="P145" s="59" t="str">
        <f aca="false">IF(OR($N145="",$O145=""),"",INDEX(Reference!$C$68:$G$72,MATCH($N145,Reference!$B$52:$B$56,0),6-MATCH($O145,Reference!$B$60:$B$64,0)))</f>
        <v/>
      </c>
      <c r="Q145" s="60" t="str">
        <f aca="false">IF(OR($N145="",$O145=""),"",INDEX(Reference!$F$52:$F$56,MATCH($N145,Reference!$B$52:$B$56,0))*INDEX(Reference!$F$60:$F$64,MATCH($O145,Reference!$B$60:$B$64,0)))</f>
        <v/>
      </c>
      <c r="R145" s="61" t="str">
        <f aca="false">IF(OR($N145="",$O145=""),"",ROUND(INDEX(Reference!$F$52:$F$56,MATCH($N145,Reference!$B$52:$B$56,0))*INDEX(Reference!$H$60:$H$64,MATCH($O145,Reference!$B$60:$B$64,0)),0))</f>
        <v/>
      </c>
      <c r="S145" s="57"/>
      <c r="T145" s="55" t="str">
        <f aca="false">IF($F145="","",COUNTIF('Treatment Actions'!$B$9:$B$208,$C145))</f>
        <v/>
      </c>
      <c r="U145" s="55" t="str">
        <f aca="false">IF($F145="","",COUNTIFS('Treatment Actions'!$B$9:$B$208,$C145,'Treatment Actions'!$F$9:$F$208,"Complete"))</f>
        <v/>
      </c>
      <c r="V145" s="57"/>
      <c r="W145" s="57"/>
      <c r="X145" s="59" t="str">
        <f aca="false">IF(OR($V145="",$W145=""),"",INDEX(Reference!$C$68:$G$72,MATCH($V145,Reference!$B$52:$B$56,0),6-MATCH($W145,Reference!$B$60:$B$64,0)))</f>
        <v/>
      </c>
      <c r="Y145" s="59" t="str">
        <f aca="false">IF(OR($P145="",$X145=""),"",IF(MATCH($X145,Reference!$F$37:$F$40,0)&gt;MATCH($P145,Reference!$F$37:$F$40,0),"Improving",IF($X145=$P145,"Flat","Worsening")))</f>
        <v/>
      </c>
      <c r="Z145" s="57"/>
      <c r="AA145" s="62"/>
      <c r="AB145" s="63"/>
      <c r="AC145" s="64"/>
      <c r="AD145" s="64"/>
      <c r="AE145" s="64"/>
      <c r="AF145" s="59" t="str">
        <f aca="true">IF(OR($F145="",$AE145="",$AB145="Closed"),"",IF($AE145&lt;TODAY(),"Overdue",""))</f>
        <v/>
      </c>
      <c r="AG145" s="62"/>
      <c r="AH145" s="64"/>
      <c r="AI145" s="62"/>
    </row>
    <row r="146" customFormat="false" ht="33.75" hidden="false" customHeight="true" outlineLevel="0" collapsed="false">
      <c r="A146" s="54"/>
      <c r="B146" s="55" t="str">
        <f aca="false">IF($F146="","",ROW()-8)</f>
        <v/>
      </c>
      <c r="C146" s="56" t="str">
        <f aca="false">IF($F146="","","RSK-"&amp;TEXT(ROW()-8,"000"))</f>
        <v/>
      </c>
      <c r="D146" s="66"/>
      <c r="E146" s="67"/>
      <c r="F146" s="66"/>
      <c r="G146" s="66"/>
      <c r="H146" s="66"/>
      <c r="I146" s="66"/>
      <c r="J146" s="59" t="str">
        <f aca="false">IF(OR($H146="",$I146=""),"",INDEX(Reference!$C$68:$G$72,MATCH($H146,Reference!$B$52:$B$56,0),6-MATCH($I146,Reference!$B$60:$B$64,0)))</f>
        <v/>
      </c>
      <c r="K146" s="66"/>
      <c r="L146" s="66"/>
      <c r="M146" s="67"/>
      <c r="N146" s="66"/>
      <c r="O146" s="66"/>
      <c r="P146" s="59" t="str">
        <f aca="false">IF(OR($N146="",$O146=""),"",INDEX(Reference!$C$68:$G$72,MATCH($N146,Reference!$B$52:$B$56,0),6-MATCH($O146,Reference!$B$60:$B$64,0)))</f>
        <v/>
      </c>
      <c r="Q146" s="60" t="str">
        <f aca="false">IF(OR($N146="",$O146=""),"",INDEX(Reference!$F$52:$F$56,MATCH($N146,Reference!$B$52:$B$56,0))*INDEX(Reference!$F$60:$F$64,MATCH($O146,Reference!$B$60:$B$64,0)))</f>
        <v/>
      </c>
      <c r="R146" s="61" t="str">
        <f aca="false">IF(OR($N146="",$O146=""),"",ROUND(INDEX(Reference!$F$52:$F$56,MATCH($N146,Reference!$B$52:$B$56,0))*INDEX(Reference!$H$60:$H$64,MATCH($O146,Reference!$B$60:$B$64,0)),0))</f>
        <v/>
      </c>
      <c r="S146" s="66"/>
      <c r="T146" s="55" t="str">
        <f aca="false">IF($F146="","",COUNTIF('Treatment Actions'!$B$9:$B$208,$C146))</f>
        <v/>
      </c>
      <c r="U146" s="55" t="str">
        <f aca="false">IF($F146="","",COUNTIFS('Treatment Actions'!$B$9:$B$208,$C146,'Treatment Actions'!$F$9:$F$208,"Complete"))</f>
        <v/>
      </c>
      <c r="V146" s="66"/>
      <c r="W146" s="66"/>
      <c r="X146" s="59" t="str">
        <f aca="false">IF(OR($V146="",$W146=""),"",INDEX(Reference!$C$68:$G$72,MATCH($V146,Reference!$B$52:$B$56,0),6-MATCH($W146,Reference!$B$60:$B$64,0)))</f>
        <v/>
      </c>
      <c r="Y146" s="59" t="str">
        <f aca="false">IF(OR($P146="",$X146=""),"",IF(MATCH($X146,Reference!$F$37:$F$40,0)&gt;MATCH($P146,Reference!$F$37:$F$40,0),"Improving",IF($X146=$P146,"Flat","Worsening")))</f>
        <v/>
      </c>
      <c r="Z146" s="66"/>
      <c r="AA146" s="68"/>
      <c r="AB146" s="69"/>
      <c r="AC146" s="70"/>
      <c r="AD146" s="70"/>
      <c r="AE146" s="70"/>
      <c r="AF146" s="59" t="str">
        <f aca="true">IF(OR($F146="",$AE146="",$AB146="Closed"),"",IF($AE146&lt;TODAY(),"Overdue",""))</f>
        <v/>
      </c>
      <c r="AG146" s="68"/>
      <c r="AH146" s="70"/>
      <c r="AI146" s="68"/>
    </row>
    <row r="147" customFormat="false" ht="33.75" hidden="false" customHeight="true" outlineLevel="0" collapsed="false">
      <c r="A147" s="54"/>
      <c r="B147" s="55" t="str">
        <f aca="false">IF($F147="","",ROW()-8)</f>
        <v/>
      </c>
      <c r="C147" s="56" t="str">
        <f aca="false">IF($F147="","","RSK-"&amp;TEXT(ROW()-8,"000"))</f>
        <v/>
      </c>
      <c r="D147" s="57"/>
      <c r="E147" s="58"/>
      <c r="F147" s="57"/>
      <c r="G147" s="57"/>
      <c r="H147" s="57"/>
      <c r="I147" s="57"/>
      <c r="J147" s="59" t="str">
        <f aca="false">IF(OR($H147="",$I147=""),"",INDEX(Reference!$C$68:$G$72,MATCH($H147,Reference!$B$52:$B$56,0),6-MATCH($I147,Reference!$B$60:$B$64,0)))</f>
        <v/>
      </c>
      <c r="K147" s="57"/>
      <c r="L147" s="57"/>
      <c r="M147" s="58"/>
      <c r="N147" s="57"/>
      <c r="O147" s="57"/>
      <c r="P147" s="59" t="str">
        <f aca="false">IF(OR($N147="",$O147=""),"",INDEX(Reference!$C$68:$G$72,MATCH($N147,Reference!$B$52:$B$56,0),6-MATCH($O147,Reference!$B$60:$B$64,0)))</f>
        <v/>
      </c>
      <c r="Q147" s="60" t="str">
        <f aca="false">IF(OR($N147="",$O147=""),"",INDEX(Reference!$F$52:$F$56,MATCH($N147,Reference!$B$52:$B$56,0))*INDEX(Reference!$F$60:$F$64,MATCH($O147,Reference!$B$60:$B$64,0)))</f>
        <v/>
      </c>
      <c r="R147" s="61" t="str">
        <f aca="false">IF(OR($N147="",$O147=""),"",ROUND(INDEX(Reference!$F$52:$F$56,MATCH($N147,Reference!$B$52:$B$56,0))*INDEX(Reference!$H$60:$H$64,MATCH($O147,Reference!$B$60:$B$64,0)),0))</f>
        <v/>
      </c>
      <c r="S147" s="57"/>
      <c r="T147" s="55" t="str">
        <f aca="false">IF($F147="","",COUNTIF('Treatment Actions'!$B$9:$B$208,$C147))</f>
        <v/>
      </c>
      <c r="U147" s="55" t="str">
        <f aca="false">IF($F147="","",COUNTIFS('Treatment Actions'!$B$9:$B$208,$C147,'Treatment Actions'!$F$9:$F$208,"Complete"))</f>
        <v/>
      </c>
      <c r="V147" s="57"/>
      <c r="W147" s="57"/>
      <c r="X147" s="59" t="str">
        <f aca="false">IF(OR($V147="",$W147=""),"",INDEX(Reference!$C$68:$G$72,MATCH($V147,Reference!$B$52:$B$56,0),6-MATCH($W147,Reference!$B$60:$B$64,0)))</f>
        <v/>
      </c>
      <c r="Y147" s="59" t="str">
        <f aca="false">IF(OR($P147="",$X147=""),"",IF(MATCH($X147,Reference!$F$37:$F$40,0)&gt;MATCH($P147,Reference!$F$37:$F$40,0),"Improving",IF($X147=$P147,"Flat","Worsening")))</f>
        <v/>
      </c>
      <c r="Z147" s="57"/>
      <c r="AA147" s="62"/>
      <c r="AB147" s="63"/>
      <c r="AC147" s="64"/>
      <c r="AD147" s="64"/>
      <c r="AE147" s="64"/>
      <c r="AF147" s="59" t="str">
        <f aca="true">IF(OR($F147="",$AE147="",$AB147="Closed"),"",IF($AE147&lt;TODAY(),"Overdue",""))</f>
        <v/>
      </c>
      <c r="AG147" s="62"/>
      <c r="AH147" s="64"/>
      <c r="AI147" s="62"/>
    </row>
    <row r="148" customFormat="false" ht="33.75" hidden="false" customHeight="true" outlineLevel="0" collapsed="false">
      <c r="A148" s="54"/>
      <c r="B148" s="55" t="str">
        <f aca="false">IF($F148="","",ROW()-8)</f>
        <v/>
      </c>
      <c r="C148" s="56" t="str">
        <f aca="false">IF($F148="","","RSK-"&amp;TEXT(ROW()-8,"000"))</f>
        <v/>
      </c>
      <c r="D148" s="66"/>
      <c r="E148" s="67"/>
      <c r="F148" s="66"/>
      <c r="G148" s="66"/>
      <c r="H148" s="66"/>
      <c r="I148" s="66"/>
      <c r="J148" s="59" t="str">
        <f aca="false">IF(OR($H148="",$I148=""),"",INDEX(Reference!$C$68:$G$72,MATCH($H148,Reference!$B$52:$B$56,0),6-MATCH($I148,Reference!$B$60:$B$64,0)))</f>
        <v/>
      </c>
      <c r="K148" s="66"/>
      <c r="L148" s="66"/>
      <c r="M148" s="67"/>
      <c r="N148" s="66"/>
      <c r="O148" s="66"/>
      <c r="P148" s="59" t="str">
        <f aca="false">IF(OR($N148="",$O148=""),"",INDEX(Reference!$C$68:$G$72,MATCH($N148,Reference!$B$52:$B$56,0),6-MATCH($O148,Reference!$B$60:$B$64,0)))</f>
        <v/>
      </c>
      <c r="Q148" s="60" t="str">
        <f aca="false">IF(OR($N148="",$O148=""),"",INDEX(Reference!$F$52:$F$56,MATCH($N148,Reference!$B$52:$B$56,0))*INDEX(Reference!$F$60:$F$64,MATCH($O148,Reference!$B$60:$B$64,0)))</f>
        <v/>
      </c>
      <c r="R148" s="61" t="str">
        <f aca="false">IF(OR($N148="",$O148=""),"",ROUND(INDEX(Reference!$F$52:$F$56,MATCH($N148,Reference!$B$52:$B$56,0))*INDEX(Reference!$H$60:$H$64,MATCH($O148,Reference!$B$60:$B$64,0)),0))</f>
        <v/>
      </c>
      <c r="S148" s="66"/>
      <c r="T148" s="55" t="str">
        <f aca="false">IF($F148="","",COUNTIF('Treatment Actions'!$B$9:$B$208,$C148))</f>
        <v/>
      </c>
      <c r="U148" s="55" t="str">
        <f aca="false">IF($F148="","",COUNTIFS('Treatment Actions'!$B$9:$B$208,$C148,'Treatment Actions'!$F$9:$F$208,"Complete"))</f>
        <v/>
      </c>
      <c r="V148" s="66"/>
      <c r="W148" s="66"/>
      <c r="X148" s="59" t="str">
        <f aca="false">IF(OR($V148="",$W148=""),"",INDEX(Reference!$C$68:$G$72,MATCH($V148,Reference!$B$52:$B$56,0),6-MATCH($W148,Reference!$B$60:$B$64,0)))</f>
        <v/>
      </c>
      <c r="Y148" s="59" t="str">
        <f aca="false">IF(OR($P148="",$X148=""),"",IF(MATCH($X148,Reference!$F$37:$F$40,0)&gt;MATCH($P148,Reference!$F$37:$F$40,0),"Improving",IF($X148=$P148,"Flat","Worsening")))</f>
        <v/>
      </c>
      <c r="Z148" s="66"/>
      <c r="AA148" s="68"/>
      <c r="AB148" s="69"/>
      <c r="AC148" s="70"/>
      <c r="AD148" s="70"/>
      <c r="AE148" s="70"/>
      <c r="AF148" s="59" t="str">
        <f aca="true">IF(OR($F148="",$AE148="",$AB148="Closed"),"",IF($AE148&lt;TODAY(),"Overdue",""))</f>
        <v/>
      </c>
      <c r="AG148" s="68"/>
      <c r="AH148" s="70"/>
      <c r="AI148" s="68"/>
    </row>
    <row r="149" customFormat="false" ht="33.75" hidden="false" customHeight="true" outlineLevel="0" collapsed="false">
      <c r="A149" s="54"/>
      <c r="B149" s="55" t="str">
        <f aca="false">IF($F149="","",ROW()-8)</f>
        <v/>
      </c>
      <c r="C149" s="56" t="str">
        <f aca="false">IF($F149="","","RSK-"&amp;TEXT(ROW()-8,"000"))</f>
        <v/>
      </c>
      <c r="D149" s="57"/>
      <c r="E149" s="58"/>
      <c r="F149" s="57"/>
      <c r="G149" s="57"/>
      <c r="H149" s="57"/>
      <c r="I149" s="57"/>
      <c r="J149" s="59" t="str">
        <f aca="false">IF(OR($H149="",$I149=""),"",INDEX(Reference!$C$68:$G$72,MATCH($H149,Reference!$B$52:$B$56,0),6-MATCH($I149,Reference!$B$60:$B$64,0)))</f>
        <v/>
      </c>
      <c r="K149" s="57"/>
      <c r="L149" s="57"/>
      <c r="M149" s="58"/>
      <c r="N149" s="57"/>
      <c r="O149" s="57"/>
      <c r="P149" s="59" t="str">
        <f aca="false">IF(OR($N149="",$O149=""),"",INDEX(Reference!$C$68:$G$72,MATCH($N149,Reference!$B$52:$B$56,0),6-MATCH($O149,Reference!$B$60:$B$64,0)))</f>
        <v/>
      </c>
      <c r="Q149" s="60" t="str">
        <f aca="false">IF(OR($N149="",$O149=""),"",INDEX(Reference!$F$52:$F$56,MATCH($N149,Reference!$B$52:$B$56,0))*INDEX(Reference!$F$60:$F$64,MATCH($O149,Reference!$B$60:$B$64,0)))</f>
        <v/>
      </c>
      <c r="R149" s="61" t="str">
        <f aca="false">IF(OR($N149="",$O149=""),"",ROUND(INDEX(Reference!$F$52:$F$56,MATCH($N149,Reference!$B$52:$B$56,0))*INDEX(Reference!$H$60:$H$64,MATCH($O149,Reference!$B$60:$B$64,0)),0))</f>
        <v/>
      </c>
      <c r="S149" s="57"/>
      <c r="T149" s="55" t="str">
        <f aca="false">IF($F149="","",COUNTIF('Treatment Actions'!$B$9:$B$208,$C149))</f>
        <v/>
      </c>
      <c r="U149" s="55" t="str">
        <f aca="false">IF($F149="","",COUNTIFS('Treatment Actions'!$B$9:$B$208,$C149,'Treatment Actions'!$F$9:$F$208,"Complete"))</f>
        <v/>
      </c>
      <c r="V149" s="57"/>
      <c r="W149" s="57"/>
      <c r="X149" s="59" t="str">
        <f aca="false">IF(OR($V149="",$W149=""),"",INDEX(Reference!$C$68:$G$72,MATCH($V149,Reference!$B$52:$B$56,0),6-MATCH($W149,Reference!$B$60:$B$64,0)))</f>
        <v/>
      </c>
      <c r="Y149" s="59" t="str">
        <f aca="false">IF(OR($P149="",$X149=""),"",IF(MATCH($X149,Reference!$F$37:$F$40,0)&gt;MATCH($P149,Reference!$F$37:$F$40,0),"Improving",IF($X149=$P149,"Flat","Worsening")))</f>
        <v/>
      </c>
      <c r="Z149" s="57"/>
      <c r="AA149" s="62"/>
      <c r="AB149" s="63"/>
      <c r="AC149" s="64"/>
      <c r="AD149" s="64"/>
      <c r="AE149" s="64"/>
      <c r="AF149" s="59" t="str">
        <f aca="true">IF(OR($F149="",$AE149="",$AB149="Closed"),"",IF($AE149&lt;TODAY(),"Overdue",""))</f>
        <v/>
      </c>
      <c r="AG149" s="62"/>
      <c r="AH149" s="64"/>
      <c r="AI149" s="62"/>
    </row>
    <row r="150" customFormat="false" ht="33.75" hidden="false" customHeight="true" outlineLevel="0" collapsed="false">
      <c r="A150" s="54"/>
      <c r="B150" s="55" t="str">
        <f aca="false">IF($F150="","",ROW()-8)</f>
        <v/>
      </c>
      <c r="C150" s="56" t="str">
        <f aca="false">IF($F150="","","RSK-"&amp;TEXT(ROW()-8,"000"))</f>
        <v/>
      </c>
      <c r="D150" s="66"/>
      <c r="E150" s="67"/>
      <c r="F150" s="66"/>
      <c r="G150" s="66"/>
      <c r="H150" s="66"/>
      <c r="I150" s="66"/>
      <c r="J150" s="59" t="str">
        <f aca="false">IF(OR($H150="",$I150=""),"",INDEX(Reference!$C$68:$G$72,MATCH($H150,Reference!$B$52:$B$56,0),6-MATCH($I150,Reference!$B$60:$B$64,0)))</f>
        <v/>
      </c>
      <c r="K150" s="66"/>
      <c r="L150" s="66"/>
      <c r="M150" s="67"/>
      <c r="N150" s="66"/>
      <c r="O150" s="66"/>
      <c r="P150" s="59" t="str">
        <f aca="false">IF(OR($N150="",$O150=""),"",INDEX(Reference!$C$68:$G$72,MATCH($N150,Reference!$B$52:$B$56,0),6-MATCH($O150,Reference!$B$60:$B$64,0)))</f>
        <v/>
      </c>
      <c r="Q150" s="60" t="str">
        <f aca="false">IF(OR($N150="",$O150=""),"",INDEX(Reference!$F$52:$F$56,MATCH($N150,Reference!$B$52:$B$56,0))*INDEX(Reference!$F$60:$F$64,MATCH($O150,Reference!$B$60:$B$64,0)))</f>
        <v/>
      </c>
      <c r="R150" s="61" t="str">
        <f aca="false">IF(OR($N150="",$O150=""),"",ROUND(INDEX(Reference!$F$52:$F$56,MATCH($N150,Reference!$B$52:$B$56,0))*INDEX(Reference!$H$60:$H$64,MATCH($O150,Reference!$B$60:$B$64,0)),0))</f>
        <v/>
      </c>
      <c r="S150" s="66"/>
      <c r="T150" s="55" t="str">
        <f aca="false">IF($F150="","",COUNTIF('Treatment Actions'!$B$9:$B$208,$C150))</f>
        <v/>
      </c>
      <c r="U150" s="55" t="str">
        <f aca="false">IF($F150="","",COUNTIFS('Treatment Actions'!$B$9:$B$208,$C150,'Treatment Actions'!$F$9:$F$208,"Complete"))</f>
        <v/>
      </c>
      <c r="V150" s="66"/>
      <c r="W150" s="66"/>
      <c r="X150" s="59" t="str">
        <f aca="false">IF(OR($V150="",$W150=""),"",INDEX(Reference!$C$68:$G$72,MATCH($V150,Reference!$B$52:$B$56,0),6-MATCH($W150,Reference!$B$60:$B$64,0)))</f>
        <v/>
      </c>
      <c r="Y150" s="59" t="str">
        <f aca="false">IF(OR($P150="",$X150=""),"",IF(MATCH($X150,Reference!$F$37:$F$40,0)&gt;MATCH($P150,Reference!$F$37:$F$40,0),"Improving",IF($X150=$P150,"Flat","Worsening")))</f>
        <v/>
      </c>
      <c r="Z150" s="66"/>
      <c r="AA150" s="68"/>
      <c r="AB150" s="69"/>
      <c r="AC150" s="70"/>
      <c r="AD150" s="70"/>
      <c r="AE150" s="70"/>
      <c r="AF150" s="59" t="str">
        <f aca="true">IF(OR($F150="",$AE150="",$AB150="Closed"),"",IF($AE150&lt;TODAY(),"Overdue",""))</f>
        <v/>
      </c>
      <c r="AG150" s="68"/>
      <c r="AH150" s="70"/>
      <c r="AI150" s="68"/>
    </row>
    <row r="151" customFormat="false" ht="33.75" hidden="false" customHeight="true" outlineLevel="0" collapsed="false">
      <c r="A151" s="54"/>
      <c r="B151" s="55" t="str">
        <f aca="false">IF($F151="","",ROW()-8)</f>
        <v/>
      </c>
      <c r="C151" s="56" t="str">
        <f aca="false">IF($F151="","","RSK-"&amp;TEXT(ROW()-8,"000"))</f>
        <v/>
      </c>
      <c r="D151" s="57"/>
      <c r="E151" s="58"/>
      <c r="F151" s="57"/>
      <c r="G151" s="57"/>
      <c r="H151" s="57"/>
      <c r="I151" s="57"/>
      <c r="J151" s="59" t="str">
        <f aca="false">IF(OR($H151="",$I151=""),"",INDEX(Reference!$C$68:$G$72,MATCH($H151,Reference!$B$52:$B$56,0),6-MATCH($I151,Reference!$B$60:$B$64,0)))</f>
        <v/>
      </c>
      <c r="K151" s="57"/>
      <c r="L151" s="57"/>
      <c r="M151" s="58"/>
      <c r="N151" s="57"/>
      <c r="O151" s="57"/>
      <c r="P151" s="59" t="str">
        <f aca="false">IF(OR($N151="",$O151=""),"",INDEX(Reference!$C$68:$G$72,MATCH($N151,Reference!$B$52:$B$56,0),6-MATCH($O151,Reference!$B$60:$B$64,0)))</f>
        <v/>
      </c>
      <c r="Q151" s="60" t="str">
        <f aca="false">IF(OR($N151="",$O151=""),"",INDEX(Reference!$F$52:$F$56,MATCH($N151,Reference!$B$52:$B$56,0))*INDEX(Reference!$F$60:$F$64,MATCH($O151,Reference!$B$60:$B$64,0)))</f>
        <v/>
      </c>
      <c r="R151" s="61" t="str">
        <f aca="false">IF(OR($N151="",$O151=""),"",ROUND(INDEX(Reference!$F$52:$F$56,MATCH($N151,Reference!$B$52:$B$56,0))*INDEX(Reference!$H$60:$H$64,MATCH($O151,Reference!$B$60:$B$64,0)),0))</f>
        <v/>
      </c>
      <c r="S151" s="57"/>
      <c r="T151" s="55" t="str">
        <f aca="false">IF($F151="","",COUNTIF('Treatment Actions'!$B$9:$B$208,$C151))</f>
        <v/>
      </c>
      <c r="U151" s="55" t="str">
        <f aca="false">IF($F151="","",COUNTIFS('Treatment Actions'!$B$9:$B$208,$C151,'Treatment Actions'!$F$9:$F$208,"Complete"))</f>
        <v/>
      </c>
      <c r="V151" s="57"/>
      <c r="W151" s="57"/>
      <c r="X151" s="59" t="str">
        <f aca="false">IF(OR($V151="",$W151=""),"",INDEX(Reference!$C$68:$G$72,MATCH($V151,Reference!$B$52:$B$56,0),6-MATCH($W151,Reference!$B$60:$B$64,0)))</f>
        <v/>
      </c>
      <c r="Y151" s="59" t="str">
        <f aca="false">IF(OR($P151="",$X151=""),"",IF(MATCH($X151,Reference!$F$37:$F$40,0)&gt;MATCH($P151,Reference!$F$37:$F$40,0),"Improving",IF($X151=$P151,"Flat","Worsening")))</f>
        <v/>
      </c>
      <c r="Z151" s="57"/>
      <c r="AA151" s="62"/>
      <c r="AB151" s="63"/>
      <c r="AC151" s="64"/>
      <c r="AD151" s="64"/>
      <c r="AE151" s="64"/>
      <c r="AF151" s="59" t="str">
        <f aca="true">IF(OR($F151="",$AE151="",$AB151="Closed"),"",IF($AE151&lt;TODAY(),"Overdue",""))</f>
        <v/>
      </c>
      <c r="AG151" s="62"/>
      <c r="AH151" s="64"/>
      <c r="AI151" s="62"/>
    </row>
    <row r="152" customFormat="false" ht="33.75" hidden="false" customHeight="true" outlineLevel="0" collapsed="false">
      <c r="A152" s="54"/>
      <c r="B152" s="55" t="str">
        <f aca="false">IF($F152="","",ROW()-8)</f>
        <v/>
      </c>
      <c r="C152" s="56" t="str">
        <f aca="false">IF($F152="","","RSK-"&amp;TEXT(ROW()-8,"000"))</f>
        <v/>
      </c>
      <c r="D152" s="66"/>
      <c r="E152" s="67"/>
      <c r="F152" s="66"/>
      <c r="G152" s="66"/>
      <c r="H152" s="66"/>
      <c r="I152" s="66"/>
      <c r="J152" s="59" t="str">
        <f aca="false">IF(OR($H152="",$I152=""),"",INDEX(Reference!$C$68:$G$72,MATCH($H152,Reference!$B$52:$B$56,0),6-MATCH($I152,Reference!$B$60:$B$64,0)))</f>
        <v/>
      </c>
      <c r="K152" s="66"/>
      <c r="L152" s="66"/>
      <c r="M152" s="67"/>
      <c r="N152" s="66"/>
      <c r="O152" s="66"/>
      <c r="P152" s="59" t="str">
        <f aca="false">IF(OR($N152="",$O152=""),"",INDEX(Reference!$C$68:$G$72,MATCH($N152,Reference!$B$52:$B$56,0),6-MATCH($O152,Reference!$B$60:$B$64,0)))</f>
        <v/>
      </c>
      <c r="Q152" s="60" t="str">
        <f aca="false">IF(OR($N152="",$O152=""),"",INDEX(Reference!$F$52:$F$56,MATCH($N152,Reference!$B$52:$B$56,0))*INDEX(Reference!$F$60:$F$64,MATCH($O152,Reference!$B$60:$B$64,0)))</f>
        <v/>
      </c>
      <c r="R152" s="61" t="str">
        <f aca="false">IF(OR($N152="",$O152=""),"",ROUND(INDEX(Reference!$F$52:$F$56,MATCH($N152,Reference!$B$52:$B$56,0))*INDEX(Reference!$H$60:$H$64,MATCH($O152,Reference!$B$60:$B$64,0)),0))</f>
        <v/>
      </c>
      <c r="S152" s="66"/>
      <c r="T152" s="55" t="str">
        <f aca="false">IF($F152="","",COUNTIF('Treatment Actions'!$B$9:$B$208,$C152))</f>
        <v/>
      </c>
      <c r="U152" s="55" t="str">
        <f aca="false">IF($F152="","",COUNTIFS('Treatment Actions'!$B$9:$B$208,$C152,'Treatment Actions'!$F$9:$F$208,"Complete"))</f>
        <v/>
      </c>
      <c r="V152" s="66"/>
      <c r="W152" s="66"/>
      <c r="X152" s="59" t="str">
        <f aca="false">IF(OR($V152="",$W152=""),"",INDEX(Reference!$C$68:$G$72,MATCH($V152,Reference!$B$52:$B$56,0),6-MATCH($W152,Reference!$B$60:$B$64,0)))</f>
        <v/>
      </c>
      <c r="Y152" s="59" t="str">
        <f aca="false">IF(OR($P152="",$X152=""),"",IF(MATCH($X152,Reference!$F$37:$F$40,0)&gt;MATCH($P152,Reference!$F$37:$F$40,0),"Improving",IF($X152=$P152,"Flat","Worsening")))</f>
        <v/>
      </c>
      <c r="Z152" s="66"/>
      <c r="AA152" s="68"/>
      <c r="AB152" s="69"/>
      <c r="AC152" s="70"/>
      <c r="AD152" s="70"/>
      <c r="AE152" s="70"/>
      <c r="AF152" s="59" t="str">
        <f aca="true">IF(OR($F152="",$AE152="",$AB152="Closed"),"",IF($AE152&lt;TODAY(),"Overdue",""))</f>
        <v/>
      </c>
      <c r="AG152" s="68"/>
      <c r="AH152" s="70"/>
      <c r="AI152" s="68"/>
    </row>
    <row r="153" customFormat="false" ht="33.75" hidden="false" customHeight="true" outlineLevel="0" collapsed="false">
      <c r="A153" s="54"/>
      <c r="B153" s="55" t="str">
        <f aca="false">IF($F153="","",ROW()-8)</f>
        <v/>
      </c>
      <c r="C153" s="56" t="str">
        <f aca="false">IF($F153="","","RSK-"&amp;TEXT(ROW()-8,"000"))</f>
        <v/>
      </c>
      <c r="D153" s="57"/>
      <c r="E153" s="58"/>
      <c r="F153" s="57"/>
      <c r="G153" s="57"/>
      <c r="H153" s="57"/>
      <c r="I153" s="57"/>
      <c r="J153" s="59" t="str">
        <f aca="false">IF(OR($H153="",$I153=""),"",INDEX(Reference!$C$68:$G$72,MATCH($H153,Reference!$B$52:$B$56,0),6-MATCH($I153,Reference!$B$60:$B$64,0)))</f>
        <v/>
      </c>
      <c r="K153" s="57"/>
      <c r="L153" s="57"/>
      <c r="M153" s="58"/>
      <c r="N153" s="57"/>
      <c r="O153" s="57"/>
      <c r="P153" s="59" t="str">
        <f aca="false">IF(OR($N153="",$O153=""),"",INDEX(Reference!$C$68:$G$72,MATCH($N153,Reference!$B$52:$B$56,0),6-MATCH($O153,Reference!$B$60:$B$64,0)))</f>
        <v/>
      </c>
      <c r="Q153" s="60" t="str">
        <f aca="false">IF(OR($N153="",$O153=""),"",INDEX(Reference!$F$52:$F$56,MATCH($N153,Reference!$B$52:$B$56,0))*INDEX(Reference!$F$60:$F$64,MATCH($O153,Reference!$B$60:$B$64,0)))</f>
        <v/>
      </c>
      <c r="R153" s="61" t="str">
        <f aca="false">IF(OR($N153="",$O153=""),"",ROUND(INDEX(Reference!$F$52:$F$56,MATCH($N153,Reference!$B$52:$B$56,0))*INDEX(Reference!$H$60:$H$64,MATCH($O153,Reference!$B$60:$B$64,0)),0))</f>
        <v/>
      </c>
      <c r="S153" s="57"/>
      <c r="T153" s="55" t="str">
        <f aca="false">IF($F153="","",COUNTIF('Treatment Actions'!$B$9:$B$208,$C153))</f>
        <v/>
      </c>
      <c r="U153" s="55" t="str">
        <f aca="false">IF($F153="","",COUNTIFS('Treatment Actions'!$B$9:$B$208,$C153,'Treatment Actions'!$F$9:$F$208,"Complete"))</f>
        <v/>
      </c>
      <c r="V153" s="57"/>
      <c r="W153" s="57"/>
      <c r="X153" s="59" t="str">
        <f aca="false">IF(OR($V153="",$W153=""),"",INDEX(Reference!$C$68:$G$72,MATCH($V153,Reference!$B$52:$B$56,0),6-MATCH($W153,Reference!$B$60:$B$64,0)))</f>
        <v/>
      </c>
      <c r="Y153" s="59" t="str">
        <f aca="false">IF(OR($P153="",$X153=""),"",IF(MATCH($X153,Reference!$F$37:$F$40,0)&gt;MATCH($P153,Reference!$F$37:$F$40,0),"Improving",IF($X153=$P153,"Flat","Worsening")))</f>
        <v/>
      </c>
      <c r="Z153" s="57"/>
      <c r="AA153" s="62"/>
      <c r="AB153" s="63"/>
      <c r="AC153" s="64"/>
      <c r="AD153" s="64"/>
      <c r="AE153" s="64"/>
      <c r="AF153" s="59" t="str">
        <f aca="true">IF(OR($F153="",$AE153="",$AB153="Closed"),"",IF($AE153&lt;TODAY(),"Overdue",""))</f>
        <v/>
      </c>
      <c r="AG153" s="62"/>
      <c r="AH153" s="64"/>
      <c r="AI153" s="62"/>
    </row>
    <row r="154" customFormat="false" ht="33.75" hidden="false" customHeight="true" outlineLevel="0" collapsed="false">
      <c r="A154" s="54"/>
      <c r="B154" s="55" t="str">
        <f aca="false">IF($F154="","",ROW()-8)</f>
        <v/>
      </c>
      <c r="C154" s="56" t="str">
        <f aca="false">IF($F154="","","RSK-"&amp;TEXT(ROW()-8,"000"))</f>
        <v/>
      </c>
      <c r="D154" s="66"/>
      <c r="E154" s="67"/>
      <c r="F154" s="66"/>
      <c r="G154" s="66"/>
      <c r="H154" s="66"/>
      <c r="I154" s="66"/>
      <c r="J154" s="59" t="str">
        <f aca="false">IF(OR($H154="",$I154=""),"",INDEX(Reference!$C$68:$G$72,MATCH($H154,Reference!$B$52:$B$56,0),6-MATCH($I154,Reference!$B$60:$B$64,0)))</f>
        <v/>
      </c>
      <c r="K154" s="66"/>
      <c r="L154" s="66"/>
      <c r="M154" s="67"/>
      <c r="N154" s="66"/>
      <c r="O154" s="66"/>
      <c r="P154" s="59" t="str">
        <f aca="false">IF(OR($N154="",$O154=""),"",INDEX(Reference!$C$68:$G$72,MATCH($N154,Reference!$B$52:$B$56,0),6-MATCH($O154,Reference!$B$60:$B$64,0)))</f>
        <v/>
      </c>
      <c r="Q154" s="60" t="str">
        <f aca="false">IF(OR($N154="",$O154=""),"",INDEX(Reference!$F$52:$F$56,MATCH($N154,Reference!$B$52:$B$56,0))*INDEX(Reference!$F$60:$F$64,MATCH($O154,Reference!$B$60:$B$64,0)))</f>
        <v/>
      </c>
      <c r="R154" s="61" t="str">
        <f aca="false">IF(OR($N154="",$O154=""),"",ROUND(INDEX(Reference!$F$52:$F$56,MATCH($N154,Reference!$B$52:$B$56,0))*INDEX(Reference!$H$60:$H$64,MATCH($O154,Reference!$B$60:$B$64,0)),0))</f>
        <v/>
      </c>
      <c r="S154" s="66"/>
      <c r="T154" s="55" t="str">
        <f aca="false">IF($F154="","",COUNTIF('Treatment Actions'!$B$9:$B$208,$C154))</f>
        <v/>
      </c>
      <c r="U154" s="55" t="str">
        <f aca="false">IF($F154="","",COUNTIFS('Treatment Actions'!$B$9:$B$208,$C154,'Treatment Actions'!$F$9:$F$208,"Complete"))</f>
        <v/>
      </c>
      <c r="V154" s="66"/>
      <c r="W154" s="66"/>
      <c r="X154" s="59" t="str">
        <f aca="false">IF(OR($V154="",$W154=""),"",INDEX(Reference!$C$68:$G$72,MATCH($V154,Reference!$B$52:$B$56,0),6-MATCH($W154,Reference!$B$60:$B$64,0)))</f>
        <v/>
      </c>
      <c r="Y154" s="59" t="str">
        <f aca="false">IF(OR($P154="",$X154=""),"",IF(MATCH($X154,Reference!$F$37:$F$40,0)&gt;MATCH($P154,Reference!$F$37:$F$40,0),"Improving",IF($X154=$P154,"Flat","Worsening")))</f>
        <v/>
      </c>
      <c r="Z154" s="66"/>
      <c r="AA154" s="68"/>
      <c r="AB154" s="69"/>
      <c r="AC154" s="70"/>
      <c r="AD154" s="70"/>
      <c r="AE154" s="70"/>
      <c r="AF154" s="59" t="str">
        <f aca="true">IF(OR($F154="",$AE154="",$AB154="Closed"),"",IF($AE154&lt;TODAY(),"Overdue",""))</f>
        <v/>
      </c>
      <c r="AG154" s="68"/>
      <c r="AH154" s="70"/>
      <c r="AI154" s="68"/>
    </row>
    <row r="155" customFormat="false" ht="33.75" hidden="false" customHeight="true" outlineLevel="0" collapsed="false">
      <c r="A155" s="54"/>
      <c r="B155" s="55" t="str">
        <f aca="false">IF($F155="","",ROW()-8)</f>
        <v/>
      </c>
      <c r="C155" s="56" t="str">
        <f aca="false">IF($F155="","","RSK-"&amp;TEXT(ROW()-8,"000"))</f>
        <v/>
      </c>
      <c r="D155" s="57"/>
      <c r="E155" s="58"/>
      <c r="F155" s="57"/>
      <c r="G155" s="57"/>
      <c r="H155" s="57"/>
      <c r="I155" s="57"/>
      <c r="J155" s="59" t="str">
        <f aca="false">IF(OR($H155="",$I155=""),"",INDEX(Reference!$C$68:$G$72,MATCH($H155,Reference!$B$52:$B$56,0),6-MATCH($I155,Reference!$B$60:$B$64,0)))</f>
        <v/>
      </c>
      <c r="K155" s="57"/>
      <c r="L155" s="57"/>
      <c r="M155" s="58"/>
      <c r="N155" s="57"/>
      <c r="O155" s="57"/>
      <c r="P155" s="59" t="str">
        <f aca="false">IF(OR($N155="",$O155=""),"",INDEX(Reference!$C$68:$G$72,MATCH($N155,Reference!$B$52:$B$56,0),6-MATCH($O155,Reference!$B$60:$B$64,0)))</f>
        <v/>
      </c>
      <c r="Q155" s="60" t="str">
        <f aca="false">IF(OR($N155="",$O155=""),"",INDEX(Reference!$F$52:$F$56,MATCH($N155,Reference!$B$52:$B$56,0))*INDEX(Reference!$F$60:$F$64,MATCH($O155,Reference!$B$60:$B$64,0)))</f>
        <v/>
      </c>
      <c r="R155" s="61" t="str">
        <f aca="false">IF(OR($N155="",$O155=""),"",ROUND(INDEX(Reference!$F$52:$F$56,MATCH($N155,Reference!$B$52:$B$56,0))*INDEX(Reference!$H$60:$H$64,MATCH($O155,Reference!$B$60:$B$64,0)),0))</f>
        <v/>
      </c>
      <c r="S155" s="57"/>
      <c r="T155" s="55" t="str">
        <f aca="false">IF($F155="","",COUNTIF('Treatment Actions'!$B$9:$B$208,$C155))</f>
        <v/>
      </c>
      <c r="U155" s="55" t="str">
        <f aca="false">IF($F155="","",COUNTIFS('Treatment Actions'!$B$9:$B$208,$C155,'Treatment Actions'!$F$9:$F$208,"Complete"))</f>
        <v/>
      </c>
      <c r="V155" s="57"/>
      <c r="W155" s="57"/>
      <c r="X155" s="59" t="str">
        <f aca="false">IF(OR($V155="",$W155=""),"",INDEX(Reference!$C$68:$G$72,MATCH($V155,Reference!$B$52:$B$56,0),6-MATCH($W155,Reference!$B$60:$B$64,0)))</f>
        <v/>
      </c>
      <c r="Y155" s="59" t="str">
        <f aca="false">IF(OR($P155="",$X155=""),"",IF(MATCH($X155,Reference!$F$37:$F$40,0)&gt;MATCH($P155,Reference!$F$37:$F$40,0),"Improving",IF($X155=$P155,"Flat","Worsening")))</f>
        <v/>
      </c>
      <c r="Z155" s="57"/>
      <c r="AA155" s="62"/>
      <c r="AB155" s="63"/>
      <c r="AC155" s="64"/>
      <c r="AD155" s="64"/>
      <c r="AE155" s="64"/>
      <c r="AF155" s="59" t="str">
        <f aca="true">IF(OR($F155="",$AE155="",$AB155="Closed"),"",IF($AE155&lt;TODAY(),"Overdue",""))</f>
        <v/>
      </c>
      <c r="AG155" s="62"/>
      <c r="AH155" s="64"/>
      <c r="AI155" s="62"/>
    </row>
    <row r="156" customFormat="false" ht="33.75" hidden="false" customHeight="true" outlineLevel="0" collapsed="false">
      <c r="A156" s="54"/>
      <c r="B156" s="55" t="str">
        <f aca="false">IF($F156="","",ROW()-8)</f>
        <v/>
      </c>
      <c r="C156" s="56" t="str">
        <f aca="false">IF($F156="","","RSK-"&amp;TEXT(ROW()-8,"000"))</f>
        <v/>
      </c>
      <c r="D156" s="66"/>
      <c r="E156" s="67"/>
      <c r="F156" s="66"/>
      <c r="G156" s="66"/>
      <c r="H156" s="66"/>
      <c r="I156" s="66"/>
      <c r="J156" s="59" t="str">
        <f aca="false">IF(OR($H156="",$I156=""),"",INDEX(Reference!$C$68:$G$72,MATCH($H156,Reference!$B$52:$B$56,0),6-MATCH($I156,Reference!$B$60:$B$64,0)))</f>
        <v/>
      </c>
      <c r="K156" s="66"/>
      <c r="L156" s="66"/>
      <c r="M156" s="67"/>
      <c r="N156" s="66"/>
      <c r="O156" s="66"/>
      <c r="P156" s="59" t="str">
        <f aca="false">IF(OR($N156="",$O156=""),"",INDEX(Reference!$C$68:$G$72,MATCH($N156,Reference!$B$52:$B$56,0),6-MATCH($O156,Reference!$B$60:$B$64,0)))</f>
        <v/>
      </c>
      <c r="Q156" s="60" t="str">
        <f aca="false">IF(OR($N156="",$O156=""),"",INDEX(Reference!$F$52:$F$56,MATCH($N156,Reference!$B$52:$B$56,0))*INDEX(Reference!$F$60:$F$64,MATCH($O156,Reference!$B$60:$B$64,0)))</f>
        <v/>
      </c>
      <c r="R156" s="61" t="str">
        <f aca="false">IF(OR($N156="",$O156=""),"",ROUND(INDEX(Reference!$F$52:$F$56,MATCH($N156,Reference!$B$52:$B$56,0))*INDEX(Reference!$H$60:$H$64,MATCH($O156,Reference!$B$60:$B$64,0)),0))</f>
        <v/>
      </c>
      <c r="S156" s="66"/>
      <c r="T156" s="55" t="str">
        <f aca="false">IF($F156="","",COUNTIF('Treatment Actions'!$B$9:$B$208,$C156))</f>
        <v/>
      </c>
      <c r="U156" s="55" t="str">
        <f aca="false">IF($F156="","",COUNTIFS('Treatment Actions'!$B$9:$B$208,$C156,'Treatment Actions'!$F$9:$F$208,"Complete"))</f>
        <v/>
      </c>
      <c r="V156" s="66"/>
      <c r="W156" s="66"/>
      <c r="X156" s="59" t="str">
        <f aca="false">IF(OR($V156="",$W156=""),"",INDEX(Reference!$C$68:$G$72,MATCH($V156,Reference!$B$52:$B$56,0),6-MATCH($W156,Reference!$B$60:$B$64,0)))</f>
        <v/>
      </c>
      <c r="Y156" s="59" t="str">
        <f aca="false">IF(OR($P156="",$X156=""),"",IF(MATCH($X156,Reference!$F$37:$F$40,0)&gt;MATCH($P156,Reference!$F$37:$F$40,0),"Improving",IF($X156=$P156,"Flat","Worsening")))</f>
        <v/>
      </c>
      <c r="Z156" s="66"/>
      <c r="AA156" s="68"/>
      <c r="AB156" s="69"/>
      <c r="AC156" s="70"/>
      <c r="AD156" s="70"/>
      <c r="AE156" s="70"/>
      <c r="AF156" s="59" t="str">
        <f aca="true">IF(OR($F156="",$AE156="",$AB156="Closed"),"",IF($AE156&lt;TODAY(),"Overdue",""))</f>
        <v/>
      </c>
      <c r="AG156" s="68"/>
      <c r="AH156" s="70"/>
      <c r="AI156" s="68"/>
    </row>
    <row r="157" customFormat="false" ht="33.75" hidden="false" customHeight="true" outlineLevel="0" collapsed="false">
      <c r="A157" s="54"/>
      <c r="B157" s="55" t="str">
        <f aca="false">IF($F157="","",ROW()-8)</f>
        <v/>
      </c>
      <c r="C157" s="56" t="str">
        <f aca="false">IF($F157="","","RSK-"&amp;TEXT(ROW()-8,"000"))</f>
        <v/>
      </c>
      <c r="D157" s="57"/>
      <c r="E157" s="58"/>
      <c r="F157" s="57"/>
      <c r="G157" s="57"/>
      <c r="H157" s="57"/>
      <c r="I157" s="57"/>
      <c r="J157" s="59" t="str">
        <f aca="false">IF(OR($H157="",$I157=""),"",INDEX(Reference!$C$68:$G$72,MATCH($H157,Reference!$B$52:$B$56,0),6-MATCH($I157,Reference!$B$60:$B$64,0)))</f>
        <v/>
      </c>
      <c r="K157" s="57"/>
      <c r="L157" s="57"/>
      <c r="M157" s="58"/>
      <c r="N157" s="57"/>
      <c r="O157" s="57"/>
      <c r="P157" s="59" t="str">
        <f aca="false">IF(OR($N157="",$O157=""),"",INDEX(Reference!$C$68:$G$72,MATCH($N157,Reference!$B$52:$B$56,0),6-MATCH($O157,Reference!$B$60:$B$64,0)))</f>
        <v/>
      </c>
      <c r="Q157" s="60" t="str">
        <f aca="false">IF(OR($N157="",$O157=""),"",INDEX(Reference!$F$52:$F$56,MATCH($N157,Reference!$B$52:$B$56,0))*INDEX(Reference!$F$60:$F$64,MATCH($O157,Reference!$B$60:$B$64,0)))</f>
        <v/>
      </c>
      <c r="R157" s="61" t="str">
        <f aca="false">IF(OR($N157="",$O157=""),"",ROUND(INDEX(Reference!$F$52:$F$56,MATCH($N157,Reference!$B$52:$B$56,0))*INDEX(Reference!$H$60:$H$64,MATCH($O157,Reference!$B$60:$B$64,0)),0))</f>
        <v/>
      </c>
      <c r="S157" s="57"/>
      <c r="T157" s="55" t="str">
        <f aca="false">IF($F157="","",COUNTIF('Treatment Actions'!$B$9:$B$208,$C157))</f>
        <v/>
      </c>
      <c r="U157" s="55" t="str">
        <f aca="false">IF($F157="","",COUNTIFS('Treatment Actions'!$B$9:$B$208,$C157,'Treatment Actions'!$F$9:$F$208,"Complete"))</f>
        <v/>
      </c>
      <c r="V157" s="57"/>
      <c r="W157" s="57"/>
      <c r="X157" s="59" t="str">
        <f aca="false">IF(OR($V157="",$W157=""),"",INDEX(Reference!$C$68:$G$72,MATCH($V157,Reference!$B$52:$B$56,0),6-MATCH($W157,Reference!$B$60:$B$64,0)))</f>
        <v/>
      </c>
      <c r="Y157" s="59" t="str">
        <f aca="false">IF(OR($P157="",$X157=""),"",IF(MATCH($X157,Reference!$F$37:$F$40,0)&gt;MATCH($P157,Reference!$F$37:$F$40,0),"Improving",IF($X157=$P157,"Flat","Worsening")))</f>
        <v/>
      </c>
      <c r="Z157" s="57"/>
      <c r="AA157" s="62"/>
      <c r="AB157" s="63"/>
      <c r="AC157" s="64"/>
      <c r="AD157" s="64"/>
      <c r="AE157" s="64"/>
      <c r="AF157" s="59" t="str">
        <f aca="true">IF(OR($F157="",$AE157="",$AB157="Closed"),"",IF($AE157&lt;TODAY(),"Overdue",""))</f>
        <v/>
      </c>
      <c r="AG157" s="62"/>
      <c r="AH157" s="64"/>
      <c r="AI157" s="62"/>
    </row>
    <row r="158" customFormat="false" ht="33.75" hidden="false" customHeight="true" outlineLevel="0" collapsed="false">
      <c r="A158" s="54"/>
      <c r="B158" s="55" t="str">
        <f aca="false">IF($F158="","",ROW()-8)</f>
        <v/>
      </c>
      <c r="C158" s="56" t="str">
        <f aca="false">IF($F158="","","RSK-"&amp;TEXT(ROW()-8,"000"))</f>
        <v/>
      </c>
      <c r="D158" s="66"/>
      <c r="E158" s="67"/>
      <c r="F158" s="66"/>
      <c r="G158" s="66"/>
      <c r="H158" s="66"/>
      <c r="I158" s="66"/>
      <c r="J158" s="59" t="str">
        <f aca="false">IF(OR($H158="",$I158=""),"",INDEX(Reference!$C$68:$G$72,MATCH($H158,Reference!$B$52:$B$56,0),6-MATCH($I158,Reference!$B$60:$B$64,0)))</f>
        <v/>
      </c>
      <c r="K158" s="66"/>
      <c r="L158" s="66"/>
      <c r="M158" s="67"/>
      <c r="N158" s="66"/>
      <c r="O158" s="66"/>
      <c r="P158" s="59" t="str">
        <f aca="false">IF(OR($N158="",$O158=""),"",INDEX(Reference!$C$68:$G$72,MATCH($N158,Reference!$B$52:$B$56,0),6-MATCH($O158,Reference!$B$60:$B$64,0)))</f>
        <v/>
      </c>
      <c r="Q158" s="60" t="str">
        <f aca="false">IF(OR($N158="",$O158=""),"",INDEX(Reference!$F$52:$F$56,MATCH($N158,Reference!$B$52:$B$56,0))*INDEX(Reference!$F$60:$F$64,MATCH($O158,Reference!$B$60:$B$64,0)))</f>
        <v/>
      </c>
      <c r="R158" s="61" t="str">
        <f aca="false">IF(OR($N158="",$O158=""),"",ROUND(INDEX(Reference!$F$52:$F$56,MATCH($N158,Reference!$B$52:$B$56,0))*INDEX(Reference!$H$60:$H$64,MATCH($O158,Reference!$B$60:$B$64,0)),0))</f>
        <v/>
      </c>
      <c r="S158" s="66"/>
      <c r="T158" s="55" t="str">
        <f aca="false">IF($F158="","",COUNTIF('Treatment Actions'!$B$9:$B$208,$C158))</f>
        <v/>
      </c>
      <c r="U158" s="55" t="str">
        <f aca="false">IF($F158="","",COUNTIFS('Treatment Actions'!$B$9:$B$208,$C158,'Treatment Actions'!$F$9:$F$208,"Complete"))</f>
        <v/>
      </c>
      <c r="V158" s="66"/>
      <c r="W158" s="66"/>
      <c r="X158" s="59" t="str">
        <f aca="false">IF(OR($V158="",$W158=""),"",INDEX(Reference!$C$68:$G$72,MATCH($V158,Reference!$B$52:$B$56,0),6-MATCH($W158,Reference!$B$60:$B$64,0)))</f>
        <v/>
      </c>
      <c r="Y158" s="59" t="str">
        <f aca="false">IF(OR($P158="",$X158=""),"",IF(MATCH($X158,Reference!$F$37:$F$40,0)&gt;MATCH($P158,Reference!$F$37:$F$40,0),"Improving",IF($X158=$P158,"Flat","Worsening")))</f>
        <v/>
      </c>
      <c r="Z158" s="66"/>
      <c r="AA158" s="68"/>
      <c r="AB158" s="69"/>
      <c r="AC158" s="70"/>
      <c r="AD158" s="70"/>
      <c r="AE158" s="70"/>
      <c r="AF158" s="59" t="str">
        <f aca="true">IF(OR($F158="",$AE158="",$AB158="Closed"),"",IF($AE158&lt;TODAY(),"Overdue",""))</f>
        <v/>
      </c>
      <c r="AG158" s="68"/>
      <c r="AH158" s="70"/>
      <c r="AI158" s="68"/>
    </row>
    <row r="160" customFormat="false" ht="15" hidden="false" customHeight="true" outlineLevel="0" collapsed="false">
      <c r="B160" s="22" t="s">
        <v>302</v>
      </c>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row>
    <row r="161" customFormat="false" ht="15" hidden="false" customHeight="false" outlineLevel="0" collapsed="false">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row>
  </sheetData>
  <autoFilter ref="B8:AI158"/>
  <mergeCells count="5">
    <mergeCell ref="B1:AJ1"/>
    <mergeCell ref="B2:AJ2"/>
    <mergeCell ref="B3:L3"/>
    <mergeCell ref="B4:L4"/>
    <mergeCell ref="B160:AI161"/>
  </mergeCells>
  <conditionalFormatting sqref="B3:L3">
    <cfRule type="expression" priority="2" aboveAverage="0" equalAverage="0" bottom="0" percent="0" rank="0" text="" dxfId="15">
      <formula>LEN($B$3)&gt;0</formula>
    </cfRule>
  </conditionalFormatting>
  <conditionalFormatting sqref="J9:J158">
    <cfRule type="cellIs" priority="3" operator="equal" aboveAverage="0" equalAverage="0" bottom="0" percent="0" rank="0" text="" dxfId="16">
      <formula>"Extreme"</formula>
    </cfRule>
    <cfRule type="cellIs" priority="4" operator="equal" aboveAverage="0" equalAverage="0" bottom="0" percent="0" rank="0" text="" dxfId="17">
      <formula>"High"</formula>
    </cfRule>
    <cfRule type="cellIs" priority="5" operator="equal" aboveAverage="0" equalAverage="0" bottom="0" percent="0" rank="0" text="" dxfId="18">
      <formula>"Medium"</formula>
    </cfRule>
    <cfRule type="cellIs" priority="6" operator="equal" aboveAverage="0" equalAverage="0" bottom="0" percent="0" rank="0" text="" dxfId="19">
      <formula>"Low"</formula>
    </cfRule>
  </conditionalFormatting>
  <conditionalFormatting sqref="P9:P158">
    <cfRule type="cellIs" priority="7" operator="equal" aboveAverage="0" equalAverage="0" bottom="0" percent="0" rank="0" text="" dxfId="16">
      <formula>"Extreme"</formula>
    </cfRule>
    <cfRule type="cellIs" priority="8" operator="equal" aboveAverage="0" equalAverage="0" bottom="0" percent="0" rank="0" text="" dxfId="17">
      <formula>"High"</formula>
    </cfRule>
    <cfRule type="cellIs" priority="9" operator="equal" aboveAverage="0" equalAverage="0" bottom="0" percent="0" rank="0" text="" dxfId="18">
      <formula>"Medium"</formula>
    </cfRule>
    <cfRule type="cellIs" priority="10" operator="equal" aboveAverage="0" equalAverage="0" bottom="0" percent="0" rank="0" text="" dxfId="19">
      <formula>"Low"</formula>
    </cfRule>
  </conditionalFormatting>
  <conditionalFormatting sqref="X9:X158">
    <cfRule type="cellIs" priority="11" operator="equal" aboveAverage="0" equalAverage="0" bottom="0" percent="0" rank="0" text="" dxfId="16">
      <formula>"Extreme"</formula>
    </cfRule>
    <cfRule type="cellIs" priority="12" operator="equal" aboveAverage="0" equalAverage="0" bottom="0" percent="0" rank="0" text="" dxfId="17">
      <formula>"High"</formula>
    </cfRule>
    <cfRule type="cellIs" priority="13" operator="equal" aboveAverage="0" equalAverage="0" bottom="0" percent="0" rank="0" text="" dxfId="18">
      <formula>"Medium"</formula>
    </cfRule>
    <cfRule type="cellIs" priority="14" operator="equal" aboveAverage="0" equalAverage="0" bottom="0" percent="0" rank="0" text="" dxfId="19">
      <formula>"Low"</formula>
    </cfRule>
  </conditionalFormatting>
  <conditionalFormatting sqref="AB9:AB158">
    <cfRule type="cellIs" priority="15" operator="equal" aboveAverage="0" equalAverage="0" bottom="0" percent="0" rank="0" text="" dxfId="20">
      <formula>"Open"</formula>
    </cfRule>
    <cfRule type="cellIs" priority="16" operator="equal" aboveAverage="0" equalAverage="0" bottom="0" percent="0" rank="0" text="" dxfId="21">
      <formula>"Treating"</formula>
    </cfRule>
    <cfRule type="cellIs" priority="17" operator="equal" aboveAverage="0" equalAverage="0" bottom="0" percent="0" rank="0" text="" dxfId="18">
      <formula>"Monitoring"</formula>
    </cfRule>
    <cfRule type="cellIs" priority="18" operator="equal" aboveAverage="0" equalAverage="0" bottom="0" percent="0" rank="0" text="" dxfId="17">
      <formula>"Escalated"</formula>
    </cfRule>
    <cfRule type="cellIs" priority="19" operator="equal" aboveAverage="0" equalAverage="0" bottom="0" percent="0" rank="0" text="" dxfId="16">
      <formula>"Occurred"</formula>
    </cfRule>
    <cfRule type="cellIs" priority="20" operator="equal" aboveAverage="0" equalAverage="0" bottom="0" percent="0" rank="0" text="" dxfId="19">
      <formula>"Closed"</formula>
    </cfRule>
  </conditionalFormatting>
  <conditionalFormatting sqref="AF9:AF158">
    <cfRule type="cellIs" priority="21" operator="equal" aboveAverage="0" equalAverage="0" bottom="0" percent="0" rank="0" text="" dxfId="16">
      <formula>"Overdue"</formula>
    </cfRule>
  </conditionalFormatting>
  <conditionalFormatting sqref="E9:E158">
    <cfRule type="cellIs" priority="22" operator="equal" aboveAverage="0" equalAverage="0" bottom="0" percent="0" rank="0" text="" dxfId="22">
      <formula>"Opportunity"</formula>
    </cfRule>
  </conditionalFormatting>
  <conditionalFormatting sqref="Y9:Y158">
    <cfRule type="cellIs" priority="23" operator="equal" aboveAverage="0" equalAverage="0" bottom="0" percent="0" rank="0" text="" dxfId="17">
      <formula>"Worsening"</formula>
    </cfRule>
    <cfRule type="cellIs" priority="24" operator="equal" aboveAverage="0" equalAverage="0" bottom="0" percent="0" rank="0" text="" dxfId="22">
      <formula>"Improving"</formula>
    </cfRule>
  </conditionalFormatting>
  <conditionalFormatting sqref="Z9:Z158">
    <cfRule type="expression" priority="25" aboveAverage="0" equalAverage="0" bottom="0" percent="0" rank="0" text="" dxfId="16">
      <formula>AND($P9="Extreme",$Z9="",$F9&lt;&gt;"")</formula>
    </cfRule>
  </conditionalFormatting>
  <conditionalFormatting sqref="Q9:Q158">
    <cfRule type="dataBar" priority="26">
      <dataBar showValue="1" minLength="10" maxLength="90">
        <cfvo type="num" val="0"/>
        <cfvo type="percentile" val="95"/>
        <color rgb="FF64B6F7"/>
      </dataBar>
      <extLst>
        <ext xmlns:x14="http://schemas.microsoft.com/office/spreadsheetml/2009/9/main" uri="{B025F937-C7B1-47D3-B67F-A62EFF666E3E}">
          <x14:id>{1179CAFA-916E-45FE-9FD7-4D5C493A00CB}</x14:id>
        </ext>
      </extLst>
    </cfRule>
  </conditionalFormatting>
  <dataValidations count="12">
    <dataValidation allowBlank="true" error="Pick a value from the list." errorStyle="stop" errorTitle="Not on the list" operator="between" prompt="The risk breakdown structure. Group by category to see where the exposure concentrates." promptTitle="Risk category" showDropDown="false" showErrorMessage="true" showInputMessage="true" sqref="D9:D158" type="list">
      <formula1>Reference!$B$7:$B$28</formula1>
      <formula2>0</formula2>
    </dataValidation>
    <dataValidation allowBlank="true" error="Pick a value from the list." errorStyle="stop" errorTitle="Not on the list" operator="between" prompt="Risk is the effect of uncertainty on objectives and effects can be positive. A register with no opportunities has not been done properly." promptTitle="Threat or opportunity" showDropDown="false" showErrorMessage="true" showInputMessage="true" sqref="E9:E158" type="list">
      <formula1>Reference!$H$31:$H$32</formula1>
      <formula2>0</formula2>
    </dataValidation>
    <dataValidation allowBlank="true" error="Pick a value from the list." errorStyle="stop" errorTitle="Not on the list" operator="between" prompt="Before project-specific treatments, with statutory and design controls assumed present." promptTitle="Inherent likelihood" showDropDown="false" showErrorMessage="true" showInputMessage="true" sqref="H9:H158" type="list">
      <formula1>Reference!$B$52:$B$56</formula1>
      <formula2>0</formula2>
    </dataValidation>
    <dataValidation allowBlank="true" error="Pick a value from the list." errorStyle="stop" errorTitle="Not on the list" operator="between" prompt="Before project-specific treatments. Bands are set on Reference." promptTitle="Inherent consequence" showDropDown="false" showErrorMessage="true" showInputMessage="true" sqref="I9:I158" type="list">
      <formula1>Reference!$B$60:$B$64</formula1>
      <formula2>0</formula2>
    </dataValidation>
    <dataValidation allowBlank="true" error="Pick a value from the list." errorStyle="stop" errorTitle="Not on the list" operator="between" prompt="When could this hit? A high rating far away is managed differently from one due now." promptTitle="Proximity" showDropDown="false" showErrorMessage="true" showInputMessage="true" sqref="M9:M158" type="list">
      <formula1>Reference!$F$7:$F$12</formula1>
      <formula2>0</formula2>
    </dataValidation>
    <dataValidation allowBlank="true" error="Pick a value from the list." errorStyle="stop" errorTitle="Not on the list" operator="between" prompt="Where it stands TODAY with the controls actually in place - not after planned actions." promptTitle="Current likelihood" showDropDown="false" showErrorMessage="true" showInputMessage="true" sqref="N9:N158" type="list">
      <formula1>Reference!$B$52:$B$56</formula1>
      <formula2>0</formula2>
    </dataValidation>
    <dataValidation allowBlank="true" error="Pick a value from the list." errorStyle="stop" errorTitle="Not on the list" operator="between" prompt="Today's consequence. The cost bands are a share of the base estimate on the Plan sheet." promptTitle="Current consequence" showDropDown="false" showErrorMessage="true" showInputMessage="true" sqref="O9:O158" type="list">
      <formula1>Reference!$B$60:$B$64</formula1>
      <formula2>0</formula2>
    </dataValidation>
    <dataValidation allowBlank="true" error="Pick a value from the list." errorStyle="stop" errorTitle="Not on the list" operator="between" prompt="Use the set chosen on Plan. ISO has no transfer - it says share - and no mitigate." promptTitle="Treatment strategy" showDropDown="false" showErrorMessage="true" showInputMessage="true" sqref="S9:S158" type="list">
      <formula1>Reference!$B$31:$B$48</formula1>
      <formula2>0</formula2>
    </dataValidation>
    <dataValidation allowBlank="true" error="Pick a value from the list." errorStyle="stop" errorTitle="Not on the list" operator="between" prompt="Where it lands ONCE the planned actions are complete. Keeping this separate from current is what stops the register booking benefits that have not been delivered." promptTitle="Target likelihood" showDropDown="false" showErrorMessage="true" showInputMessage="true" sqref="V9:V158" type="list">
      <formula1>Reference!$B$52:$B$56</formula1>
      <formula2>0</formula2>
    </dataValidation>
    <dataValidation allowBlank="true" error="Pick a value from the list." errorStyle="stop" errorTitle="Not on the list" operator="between" prompt="The consequence once treatment is complete." promptTitle="Target consequence" showDropDown="false" showErrorMessage="true" showInputMessage="true" sqref="W9:W158" type="list">
      <formula1>Reference!$B$60:$B$64</formula1>
      <formula2>0</formula2>
    </dataValidation>
    <dataValidation allowBlank="true" error="Pick a value from the list." errorStyle="stop" errorTitle="Not on the list" operator="between" prompt="Which delivery phase this risk belongs to." promptTitle="Phase" showDropDown="false" showErrorMessage="true" showInputMessage="true" sqref="AA9:AA158" type="list">
      <formula1>Reference!$H$7:$H$13</formula1>
      <formula2>0</formula2>
    </dataValidation>
    <dataValidation allowBlank="true" error="Pick a value from the list." errorStyle="stop" errorTitle="Not on the list" operator="between" prompt="Open, Treating, Monitoring, Escalated, Occurred or Closed. Never delete a row - close it." promptTitle="Status" showDropDown="false" showErrorMessage="true" showInputMessage="true" sqref="AB9:AB158" type="list">
      <formula1>Reference!$D$7:$D$12</formula1>
      <formula2>0</formula2>
    </dataValidation>
  </dataValidations>
  <printOptions headings="false" gridLines="false" gridLinesSet="true" horizontalCentered="false" verticalCentered="false"/>
  <pageMargins left="0.3" right="0.3" top="1" bottom="1" header="0.511811023622047" footer="0.511811023622047"/>
  <pageSetup paperSize="8" scale="100" fitToWidth="2" fitToHeight="0" pageOrder="downThenOver" orientation="landscape"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1179CAFA-916E-45FE-9FD7-4D5C493A00CB}">
            <x14:dataBar minLength="10" maxLength="90" axisPosition="none" gradient="true">
              <x14:cfvo type="num">
                <xm:f>0</xm:f>
              </x14:cfvo>
              <x14:cfvo type="percentile">
                <xm:f>95</xm:f>
              </x14:cfvo>
              <x14:negativeFillColor rgb="FF64B6F7"/>
              <x14:axisColor rgb="FF000000"/>
            </x14:dataBar>
          </x14:cfRule>
          <xm:sqref>Q9:Q158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9BE5"/>
    <pageSetUpPr fitToPage="true"/>
  </sheetPr>
  <dimension ref="B1:J2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46"/>
    <col collapsed="false" customWidth="true" hidden="false" outlineLevel="0" max="4" min="4" style="0" width="52"/>
    <col collapsed="false" customWidth="true" hidden="false" outlineLevel="0" max="5" min="5" style="0" width="24"/>
    <col collapsed="false" customWidth="true" hidden="false" outlineLevel="0" max="6" min="6" style="0" width="14"/>
    <col collapsed="false" customWidth="true" hidden="false" outlineLevel="0" max="7" min="7" style="0" width="13"/>
    <col collapsed="false" customWidth="true" hidden="false" outlineLevel="0" max="8" min="8" style="0" width="11"/>
    <col collapsed="false" customWidth="true" hidden="false" outlineLevel="0" max="9" min="9" style="0" width="13"/>
    <col collapsed="false" customWidth="true" hidden="false" outlineLevel="0" max="10" min="10" style="0" width="26"/>
    <col collapsed="false" customWidth="true" hidden="false" outlineLevel="0" max="11" min="11" style="0" width="2.2"/>
  </cols>
  <sheetData>
    <row r="1" customFormat="false" ht="33.75" hidden="false" customHeight="true" outlineLevel="0" collapsed="false">
      <c r="B1" s="20" t="s">
        <v>303</v>
      </c>
      <c r="C1" s="20"/>
      <c r="D1" s="20"/>
      <c r="E1" s="20"/>
      <c r="F1" s="20"/>
      <c r="G1" s="20"/>
      <c r="H1" s="20"/>
      <c r="I1" s="20"/>
      <c r="J1" s="20"/>
    </row>
    <row r="2" customFormat="false" ht="4.5" hidden="false" customHeight="true" outlineLevel="0" collapsed="false">
      <c r="B2" s="21"/>
      <c r="C2" s="21"/>
      <c r="D2" s="21"/>
      <c r="E2" s="21"/>
      <c r="F2" s="21"/>
      <c r="G2" s="21"/>
      <c r="H2" s="21"/>
      <c r="I2" s="21"/>
      <c r="J2" s="21"/>
    </row>
    <row r="4" customFormat="false" ht="42" hidden="false" customHeight="true" outlineLevel="0" collapsed="false">
      <c r="B4" s="22" t="s">
        <v>304</v>
      </c>
      <c r="C4" s="22"/>
      <c r="D4" s="22"/>
      <c r="E4" s="22"/>
      <c r="F4" s="22"/>
      <c r="G4" s="22"/>
      <c r="H4" s="22"/>
      <c r="I4" s="22"/>
      <c r="J4" s="22"/>
    </row>
    <row r="8" customFormat="false" ht="33.75" hidden="false" customHeight="true" outlineLevel="0" collapsed="false">
      <c r="B8" s="9" t="s">
        <v>232</v>
      </c>
      <c r="C8" s="9" t="s">
        <v>305</v>
      </c>
      <c r="D8" s="9" t="s">
        <v>306</v>
      </c>
      <c r="E8" s="9" t="s">
        <v>307</v>
      </c>
      <c r="F8" s="9" t="s">
        <v>50</v>
      </c>
      <c r="G8" s="9" t="s">
        <v>308</v>
      </c>
      <c r="H8" s="9" t="s">
        <v>309</v>
      </c>
      <c r="I8" s="9" t="s">
        <v>310</v>
      </c>
      <c r="J8" s="9" t="s">
        <v>261</v>
      </c>
    </row>
    <row r="9" customFormat="false" ht="30" hidden="false" customHeight="true" outlineLevel="0" collapsed="false">
      <c r="B9" s="58" t="s">
        <v>311</v>
      </c>
      <c r="C9" s="56" t="str">
        <f aca="false">IF($B9="","",IFERROR(INDEX('Risk Register'!$F$9:$F$158,MATCH($B9,'Risk Register'!$C$9:$C$158,0)),"Risk ID not found"))</f>
        <v>If ground conditions below RL 12 differ from the geotechnical baseline, then piling depths increase across the podium, resulting in additional cost and delay to the structure</v>
      </c>
      <c r="D9" s="57" t="s">
        <v>312</v>
      </c>
      <c r="E9" s="57" t="s">
        <v>263</v>
      </c>
      <c r="F9" s="58" t="s">
        <v>102</v>
      </c>
      <c r="G9" s="72" t="n">
        <v>46270</v>
      </c>
      <c r="H9" s="55" t="n">
        <f aca="true">IF(OR($B9="",$G9=""),"",$G9-TODAY())</f>
        <v>23</v>
      </c>
      <c r="I9" s="59" t="str">
        <f aca="true">IF($B9="","",IF($F9="Complete","Done",IF($F9="Cancelled","Cancelled",IF($G9="","No date",IF($G9&lt;TODAY(),"Overdue",IF($G9-TODAY()&lt;=14,"Due soon","On track"))))))</f>
        <v>On track</v>
      </c>
      <c r="J9" s="65" t="s">
        <v>270</v>
      </c>
    </row>
    <row r="10" customFormat="false" ht="30" hidden="false" customHeight="true" outlineLevel="0" collapsed="false">
      <c r="B10" s="67" t="s">
        <v>311</v>
      </c>
      <c r="C10" s="56" t="str">
        <f aca="false">IF($B10="","",IFERROR(INDEX('Risk Register'!$F$9:$F$158,MATCH($B10,'Risk Register'!$C$9:$C$158,0)),"Risk ID not found"))</f>
        <v>If ground conditions below RL 12 differ from the geotechnical baseline, then piling depths increase across the podium, resulting in additional cost and delay to the structure</v>
      </c>
      <c r="D10" s="66" t="s">
        <v>313</v>
      </c>
      <c r="E10" s="66" t="s">
        <v>314</v>
      </c>
      <c r="F10" s="67" t="s">
        <v>98</v>
      </c>
      <c r="G10" s="73" t="n">
        <v>46285</v>
      </c>
      <c r="H10" s="55" t="n">
        <f aca="true">IF(OR($B10="",$G10=""),"",$G10-TODAY())</f>
        <v>38</v>
      </c>
      <c r="I10" s="59" t="str">
        <f aca="true">IF($B10="","",IF($F10="Complete","Done",IF($F10="Cancelled","Cancelled",IF($G10="","No date",IF($G10&lt;TODAY(),"Overdue",IF($G10-TODAY()&lt;=14,"Due soon","On track"))))))</f>
        <v>On track</v>
      </c>
      <c r="J10" s="71" t="s">
        <v>270</v>
      </c>
    </row>
    <row r="11" customFormat="false" ht="30" hidden="false" customHeight="true" outlineLevel="0" collapsed="false">
      <c r="B11" s="58" t="s">
        <v>315</v>
      </c>
      <c r="C11" s="56" t="str">
        <f aca="false">IF($B11="","",IFERROR(INDEX('Risk Register'!$F$9:$F$158,MATCH($B11,'Risk Register'!$C$9:$C$158,0)),"Risk ID not found"))</f>
        <v>If the development approval condition on out-of-hours work is not varied, then night pours cannot proceed, resulting in loss of float on the structure</v>
      </c>
      <c r="D11" s="57" t="s">
        <v>316</v>
      </c>
      <c r="E11" s="57" t="s">
        <v>317</v>
      </c>
      <c r="F11" s="58" t="s">
        <v>102</v>
      </c>
      <c r="G11" s="72" t="n">
        <v>46259</v>
      </c>
      <c r="H11" s="55" t="n">
        <f aca="true">IF(OR($B11="",$G11=""),"",$G11-TODAY())</f>
        <v>12</v>
      </c>
      <c r="I11" s="59" t="str">
        <f aca="true">IF($B11="","",IF($F11="Complete","Done",IF($F11="Cancelled","Cancelled",IF($G11="","No date",IF($G11&lt;TODAY(),"Overdue",IF($G11-TODAY()&lt;=14,"Due soon","On track"))))))</f>
        <v>Due soon</v>
      </c>
      <c r="J11" s="65" t="s">
        <v>270</v>
      </c>
    </row>
    <row r="12" customFormat="false" ht="30" hidden="false" customHeight="true" outlineLevel="0" collapsed="false">
      <c r="B12" s="67" t="s">
        <v>315</v>
      </c>
      <c r="C12" s="56" t="str">
        <f aca="false">IF($B12="","",IFERROR(INDEX('Risk Register'!$F$9:$F$158,MATCH($B12,'Risk Register'!$C$9:$C$158,0)),"Risk ID not found"))</f>
        <v>If the development approval condition on out-of-hours work is not varied, then night pours cannot proceed, resulting in loss of float on the structure</v>
      </c>
      <c r="D12" s="66" t="s">
        <v>318</v>
      </c>
      <c r="E12" s="66" t="s">
        <v>319</v>
      </c>
      <c r="F12" s="67" t="s">
        <v>98</v>
      </c>
      <c r="G12" s="73" t="n">
        <v>46275</v>
      </c>
      <c r="H12" s="55" t="n">
        <f aca="true">IF(OR($B12="",$G12=""),"",$G12-TODAY())</f>
        <v>28</v>
      </c>
      <c r="I12" s="59" t="str">
        <f aca="true">IF($B12="","",IF($F12="Complete","Done",IF($F12="Cancelled","Cancelled",IF($G12="","No date",IF($G12&lt;TODAY(),"Overdue",IF($G12-TODAY()&lt;=14,"Due soon","On track"))))))</f>
        <v>On track</v>
      </c>
      <c r="J12" s="71" t="s">
        <v>270</v>
      </c>
    </row>
    <row r="13" customFormat="false" ht="30" hidden="false" customHeight="true" outlineLevel="0" collapsed="false">
      <c r="B13" s="58" t="s">
        <v>320</v>
      </c>
      <c r="C13" s="56" t="str">
        <f aca="false">IF($B13="","",IFERROR(INDEX('Risk Register'!$F$9:$F$158,MATCH($B13,'Risk Register'!$C$9:$C$158,0)),"Risk ID not found"))</f>
        <v>If structural steel escalation exceeds the allowance in the base estimate, then the trade package cannot be let within budget, resulting in a funding shortfall</v>
      </c>
      <c r="D13" s="57" t="s">
        <v>321</v>
      </c>
      <c r="E13" s="57" t="s">
        <v>272</v>
      </c>
      <c r="F13" s="58" t="s">
        <v>102</v>
      </c>
      <c r="G13" s="72" t="n">
        <v>46290</v>
      </c>
      <c r="H13" s="55" t="n">
        <f aca="true">IF(OR($B13="",$G13=""),"",$G13-TODAY())</f>
        <v>43</v>
      </c>
      <c r="I13" s="59" t="str">
        <f aca="true">IF($B13="","",IF($F13="Complete","Done",IF($F13="Cancelled","Cancelled",IF($G13="","No date",IF($G13&lt;TODAY(),"Overdue",IF($G13-TODAY()&lt;=14,"Due soon","On track"))))))</f>
        <v>On track</v>
      </c>
      <c r="J13" s="65" t="s">
        <v>270</v>
      </c>
    </row>
    <row r="14" customFormat="false" ht="30" hidden="false" customHeight="true" outlineLevel="0" collapsed="false">
      <c r="B14" s="67" t="s">
        <v>322</v>
      </c>
      <c r="C14" s="56" t="str">
        <f aca="false">IF($B14="","",IFERROR(INDEX('Risk Register'!$F$9:$F$158,MATCH($B14,'Risk Register'!$C$9:$C$158,0)),"Risk ID not found"))</f>
        <v>If the live HV cable alignment differs from the service authority records, then excavation in the north-east corner is suspended, resulting in delay and re-design of the substation</v>
      </c>
      <c r="D14" s="66" t="s">
        <v>323</v>
      </c>
      <c r="E14" s="66" t="s">
        <v>275</v>
      </c>
      <c r="F14" s="67" t="s">
        <v>106</v>
      </c>
      <c r="G14" s="73" t="n">
        <v>46264</v>
      </c>
      <c r="H14" s="55" t="n">
        <f aca="true">IF(OR($B14="",$G14=""),"",$G14-TODAY())</f>
        <v>17</v>
      </c>
      <c r="I14" s="59" t="str">
        <f aca="true">IF($B14="","",IF($F14="Complete","Done",IF($F14="Cancelled","Cancelled",IF($G14="","No date",IF($G14&lt;TODAY(),"Overdue",IF($G14-TODAY()&lt;=14,"Due soon","On track"))))))</f>
        <v>Done</v>
      </c>
      <c r="J14" s="71" t="s">
        <v>270</v>
      </c>
    </row>
    <row r="15" customFormat="false" ht="30" hidden="false" customHeight="true" outlineLevel="0" collapsed="false">
      <c r="B15" s="58" t="s">
        <v>324</v>
      </c>
      <c r="C15" s="56" t="str">
        <f aca="false">IF($B15="","",IFERROR(INDEX('Risk Register'!$F$9:$F$158,MATCH($B15,'Risk Register'!$C$9:$C$158,0)),"Risk ID not found"))</f>
        <v>If the facade subcontractor's order book grows beyond its fabrication capacity, then unit delivery slips, resulting in delay to building enclosure</v>
      </c>
      <c r="D15" s="57" t="s">
        <v>325</v>
      </c>
      <c r="E15" s="57" t="s">
        <v>278</v>
      </c>
      <c r="F15" s="58" t="s">
        <v>98</v>
      </c>
      <c r="G15" s="72" t="n">
        <v>46280</v>
      </c>
      <c r="H15" s="55" t="n">
        <f aca="true">IF(OR($B15="",$G15=""),"",$G15-TODAY())</f>
        <v>33</v>
      </c>
      <c r="I15" s="59" t="str">
        <f aca="true">IF($B15="","",IF($F15="Complete","Done",IF($F15="Cancelled","Cancelled",IF($G15="","No date",IF($G15&lt;TODAY(),"Overdue",IF($G15-TODAY()&lt;=14,"Due soon","On track"))))))</f>
        <v>On track</v>
      </c>
      <c r="J15" s="65" t="s">
        <v>270</v>
      </c>
    </row>
    <row r="16" customFormat="false" ht="30" hidden="false" customHeight="true" outlineLevel="0" collapsed="false">
      <c r="B16" s="67" t="s">
        <v>326</v>
      </c>
      <c r="C16" s="56" t="str">
        <f aca="false">IF($B16="","",IFERROR(INDEX('Risk Register'!$F$9:$F$158,MATCH($B16,'Risk Register'!$C$9:$C$158,0)),"Risk ID not found"))</f>
        <v>If the early works package is tendered before the market softens in Q1, then competitive tension increases, resulting in a saving against the base estimate</v>
      </c>
      <c r="D16" s="66" t="s">
        <v>327</v>
      </c>
      <c r="E16" s="66" t="s">
        <v>272</v>
      </c>
      <c r="F16" s="67" t="s">
        <v>102</v>
      </c>
      <c r="G16" s="73" t="n">
        <v>46267</v>
      </c>
      <c r="H16" s="55" t="n">
        <f aca="true">IF(OR($B16="",$G16=""),"",$G16-TODAY())</f>
        <v>20</v>
      </c>
      <c r="I16" s="59" t="str">
        <f aca="true">IF($B16="","",IF($F16="Complete","Done",IF($F16="Cancelled","Cancelled",IF($G16="","No date",IF($G16&lt;TODAY(),"Overdue",IF($G16-TODAY()&lt;=14,"Due soon","On track"))))))</f>
        <v>On track</v>
      </c>
      <c r="J16" s="71" t="s">
        <v>270</v>
      </c>
    </row>
    <row r="17" customFormat="false" ht="30" hidden="false" customHeight="true" outlineLevel="0" collapsed="false">
      <c r="B17" s="58" t="s">
        <v>328</v>
      </c>
      <c r="C17" s="56" t="str">
        <f aca="false">IF($B17="","",IFERROR(INDEX('Risk Register'!$F$9:$F$158,MATCH($B17,'Risk Register'!$C$9:$C$158,0)),"Risk ID not found"))</f>
        <v>If the services coordination model is not resolved before the shop drawing release, then clashes are found on site, resulting in rework and delay to fit-out</v>
      </c>
      <c r="D17" s="57" t="s">
        <v>329</v>
      </c>
      <c r="E17" s="57" t="s">
        <v>330</v>
      </c>
      <c r="F17" s="58" t="s">
        <v>102</v>
      </c>
      <c r="G17" s="72" t="n">
        <v>46262</v>
      </c>
      <c r="H17" s="55" t="n">
        <f aca="true">IF(OR($B17="",$G17=""),"",$G17-TODAY())</f>
        <v>15</v>
      </c>
      <c r="I17" s="59" t="str">
        <f aca="true">IF($B17="","",IF($F17="Complete","Done",IF($F17="Cancelled","Cancelled",IF($G17="","No date",IF($G17&lt;TODAY(),"Overdue",IF($G17-TODAY()&lt;=14,"Due soon","On track"))))))</f>
        <v>On track</v>
      </c>
      <c r="J17" s="65" t="s">
        <v>270</v>
      </c>
    </row>
    <row r="18" customFormat="false" ht="30" hidden="false" customHeight="true" outlineLevel="0" collapsed="false">
      <c r="B18" s="67" t="s">
        <v>331</v>
      </c>
      <c r="C18" s="56" t="str">
        <f aca="false">IF($B18="","",IFERROR(INDEX('Risk Register'!$F$9:$F$158,MATCH($B18,'Risk Register'!$C$9:$C$158,0)),"Risk ID not found"))</f>
        <v>If work at height controls on the perimeter are not verified before the facade starts, then a fall from height occurs, resulting in serious injury and a work stoppage</v>
      </c>
      <c r="D18" s="66" t="s">
        <v>332</v>
      </c>
      <c r="E18" s="66" t="s">
        <v>333</v>
      </c>
      <c r="F18" s="67" t="s">
        <v>98</v>
      </c>
      <c r="G18" s="73" t="n">
        <v>46283</v>
      </c>
      <c r="H18" s="55" t="n">
        <f aca="true">IF(OR($B18="",$G18=""),"",$G18-TODAY())</f>
        <v>36</v>
      </c>
      <c r="I18" s="59" t="str">
        <f aca="true">IF($B18="","",IF($F18="Complete","Done",IF($F18="Cancelled","Cancelled",IF($G18="","No date",IF($G18&lt;TODAY(),"Overdue",IF($G18-TODAY()&lt;=14,"Due soon","On track"))))))</f>
        <v>On track</v>
      </c>
      <c r="J18" s="71" t="s">
        <v>270</v>
      </c>
    </row>
    <row r="19" customFormat="false" ht="30" hidden="false" customHeight="true" outlineLevel="0" collapsed="false">
      <c r="B19" s="58" t="s">
        <v>334</v>
      </c>
      <c r="C19" s="56" t="str">
        <f aca="false">IF($B19="","",IFERROR(INDEX('Risk Register'!$F$9:$F$158,MATCH($B19,'Risk Register'!$C$9:$C$158,0)),"Risk ID not found"))</f>
        <v>If community objection to the construction traffic route is sustained, then the approved haul route is withdrawn, resulting in longer haulage and higher disposal cost</v>
      </c>
      <c r="D19" s="57" t="s">
        <v>335</v>
      </c>
      <c r="E19" s="57" t="s">
        <v>290</v>
      </c>
      <c r="F19" s="58" t="s">
        <v>98</v>
      </c>
      <c r="G19" s="72" t="n">
        <v>46296</v>
      </c>
      <c r="H19" s="55" t="n">
        <f aca="true">IF(OR($B19="",$G19=""),"",$G19-TODAY())</f>
        <v>49</v>
      </c>
      <c r="I19" s="59" t="str">
        <f aca="true">IF($B19="","",IF($F19="Complete","Done",IF($F19="Cancelled","Cancelled",IF($G19="","No date",IF($G19&lt;TODAY(),"Overdue",IF($G19-TODAY()&lt;=14,"Due soon","On track"))))))</f>
        <v>On track</v>
      </c>
      <c r="J19" s="65" t="s">
        <v>270</v>
      </c>
    </row>
    <row r="20" customFormat="false" ht="30" hidden="false" customHeight="true" outlineLevel="0" collapsed="false">
      <c r="B20" s="67" t="s">
        <v>336</v>
      </c>
      <c r="C20" s="56" t="str">
        <f aca="false">IF($B20="","",IFERROR(INDEX('Risk Register'!$F$9:$F$158,MATCH($B20,'Risk Register'!$C$9:$C$158,0)),"Risk ID not found"))</f>
        <v>If the funding decision for Stage 2 is deferred beyond the December gate, then the contractor demobilises, resulting in remobilisation cost and loss of program</v>
      </c>
      <c r="D20" s="66" t="s">
        <v>337</v>
      </c>
      <c r="E20" s="66" t="s">
        <v>293</v>
      </c>
      <c r="F20" s="67" t="s">
        <v>102</v>
      </c>
      <c r="G20" s="73" t="n">
        <v>46252</v>
      </c>
      <c r="H20" s="55" t="n">
        <f aca="true">IF(OR($B20="",$G20=""),"",$G20-TODAY())</f>
        <v>5</v>
      </c>
      <c r="I20" s="59" t="str">
        <f aca="true">IF($B20="","",IF($F20="Complete","Done",IF($F20="Cancelled","Cancelled",IF($G20="","No date",IF($G20&lt;TODAY(),"Overdue",IF($G20-TODAY()&lt;=14,"Due soon","On track"))))))</f>
        <v>Due soon</v>
      </c>
      <c r="J20" s="71" t="s">
        <v>270</v>
      </c>
    </row>
    <row r="21" customFormat="false" ht="30" hidden="false" customHeight="true" outlineLevel="0" collapsed="false">
      <c r="B21" s="58" t="s">
        <v>338</v>
      </c>
      <c r="C21" s="56" t="str">
        <f aca="false">IF($B21="","",IFERROR(INDEX('Risk Register'!$F$9:$F$158,MATCH($B21,'Risk Register'!$C$9:$C$158,0)),"Risk ID not found"))</f>
        <v>If the O&amp;M documentation is not delivered progressively, then commissioning evidence is incomplete at handover, resulting in delay to Substantial Completion</v>
      </c>
      <c r="D21" s="57" t="s">
        <v>339</v>
      </c>
      <c r="E21" s="57" t="s">
        <v>205</v>
      </c>
      <c r="F21" s="58" t="s">
        <v>98</v>
      </c>
      <c r="G21" s="72" t="n">
        <v>46310</v>
      </c>
      <c r="H21" s="55" t="n">
        <f aca="true">IF(OR($B21="",$G21=""),"",$G21-TODAY())</f>
        <v>63</v>
      </c>
      <c r="I21" s="59" t="str">
        <f aca="true">IF($B21="","",IF($F21="Complete","Done",IF($F21="Cancelled","Cancelled",IF($G21="","No date",IF($G21&lt;TODAY(),"Overdue",IF($G21-TODAY()&lt;=14,"Due soon","On track"))))))</f>
        <v>On track</v>
      </c>
      <c r="J21" s="65" t="s">
        <v>270</v>
      </c>
    </row>
    <row r="22" customFormat="false" ht="30" hidden="false" customHeight="true" outlineLevel="0" collapsed="false">
      <c r="B22" s="67"/>
      <c r="C22" s="56" t="str">
        <f aca="false">IF($B22="","",IFERROR(INDEX('Risk Register'!$F$9:$F$158,MATCH($B22,'Risk Register'!$C$9:$C$158,0)),"Risk ID not found"))</f>
        <v/>
      </c>
      <c r="D22" s="66"/>
      <c r="E22" s="66"/>
      <c r="F22" s="67"/>
      <c r="G22" s="73"/>
      <c r="H22" s="55" t="str">
        <f aca="true">IF(OR($B22="",$G22=""),"",$G22-TODAY())</f>
        <v/>
      </c>
      <c r="I22" s="59" t="str">
        <f aca="true">IF($B22="","",IF($F22="Complete","Done",IF($F22="Cancelled","Cancelled",IF($G22="","No date",IF($G22&lt;TODAY(),"Overdue",IF($G22-TODAY()&lt;=14,"Due soon","On track"))))))</f>
        <v/>
      </c>
      <c r="J22" s="66"/>
    </row>
    <row r="23" customFormat="false" ht="30" hidden="false" customHeight="true" outlineLevel="0" collapsed="false">
      <c r="B23" s="58"/>
      <c r="C23" s="56" t="str">
        <f aca="false">IF($B23="","",IFERROR(INDEX('Risk Register'!$F$9:$F$158,MATCH($B23,'Risk Register'!$C$9:$C$158,0)),"Risk ID not found"))</f>
        <v/>
      </c>
      <c r="D23" s="57"/>
      <c r="E23" s="57"/>
      <c r="F23" s="58"/>
      <c r="G23" s="72"/>
      <c r="H23" s="55" t="str">
        <f aca="true">IF(OR($B23="",$G23=""),"",$G23-TODAY())</f>
        <v/>
      </c>
      <c r="I23" s="59" t="str">
        <f aca="true">IF($B23="","",IF($F23="Complete","Done",IF($F23="Cancelled","Cancelled",IF($G23="","No date",IF($G23&lt;TODAY(),"Overdue",IF($G23-TODAY()&lt;=14,"Due soon","On track"))))))</f>
        <v/>
      </c>
      <c r="J23" s="57"/>
    </row>
    <row r="24" customFormat="false" ht="30" hidden="false" customHeight="true" outlineLevel="0" collapsed="false">
      <c r="B24" s="67"/>
      <c r="C24" s="56" t="str">
        <f aca="false">IF($B24="","",IFERROR(INDEX('Risk Register'!$F$9:$F$158,MATCH($B24,'Risk Register'!$C$9:$C$158,0)),"Risk ID not found"))</f>
        <v/>
      </c>
      <c r="D24" s="66"/>
      <c r="E24" s="66"/>
      <c r="F24" s="67"/>
      <c r="G24" s="73"/>
      <c r="H24" s="55" t="str">
        <f aca="true">IF(OR($B24="",$G24=""),"",$G24-TODAY())</f>
        <v/>
      </c>
      <c r="I24" s="59" t="str">
        <f aca="true">IF($B24="","",IF($F24="Complete","Done",IF($F24="Cancelled","Cancelled",IF($G24="","No date",IF($G24&lt;TODAY(),"Overdue",IF($G24-TODAY()&lt;=14,"Due soon","On track"))))))</f>
        <v/>
      </c>
      <c r="J24" s="66"/>
    </row>
    <row r="25" customFormat="false" ht="30" hidden="false" customHeight="true" outlineLevel="0" collapsed="false">
      <c r="B25" s="58"/>
      <c r="C25" s="56" t="str">
        <f aca="false">IF($B25="","",IFERROR(INDEX('Risk Register'!$F$9:$F$158,MATCH($B25,'Risk Register'!$C$9:$C$158,0)),"Risk ID not found"))</f>
        <v/>
      </c>
      <c r="D25" s="57"/>
      <c r="E25" s="57"/>
      <c r="F25" s="58"/>
      <c r="G25" s="72"/>
      <c r="H25" s="55" t="str">
        <f aca="true">IF(OR($B25="",$G25=""),"",$G25-TODAY())</f>
        <v/>
      </c>
      <c r="I25" s="59" t="str">
        <f aca="true">IF($B25="","",IF($F25="Complete","Done",IF($F25="Cancelled","Cancelled",IF($G25="","No date",IF($G25&lt;TODAY(),"Overdue",IF($G25-TODAY()&lt;=14,"Due soon","On track"))))))</f>
        <v/>
      </c>
      <c r="J25" s="57"/>
    </row>
    <row r="26" customFormat="false" ht="30" hidden="false" customHeight="true" outlineLevel="0" collapsed="false">
      <c r="B26" s="67"/>
      <c r="C26" s="56" t="str">
        <f aca="false">IF($B26="","",IFERROR(INDEX('Risk Register'!$F$9:$F$158,MATCH($B26,'Risk Register'!$C$9:$C$158,0)),"Risk ID not found"))</f>
        <v/>
      </c>
      <c r="D26" s="66"/>
      <c r="E26" s="66"/>
      <c r="F26" s="67"/>
      <c r="G26" s="73"/>
      <c r="H26" s="55" t="str">
        <f aca="true">IF(OR($B26="",$G26=""),"",$G26-TODAY())</f>
        <v/>
      </c>
      <c r="I26" s="59" t="str">
        <f aca="true">IF($B26="","",IF($F26="Complete","Done",IF($F26="Cancelled","Cancelled",IF($G26="","No date",IF($G26&lt;TODAY(),"Overdue",IF($G26-TODAY()&lt;=14,"Due soon","On track"))))))</f>
        <v/>
      </c>
      <c r="J26" s="66"/>
    </row>
    <row r="27" customFormat="false" ht="30" hidden="false" customHeight="true" outlineLevel="0" collapsed="false">
      <c r="B27" s="58"/>
      <c r="C27" s="56" t="str">
        <f aca="false">IF($B27="","",IFERROR(INDEX('Risk Register'!$F$9:$F$158,MATCH($B27,'Risk Register'!$C$9:$C$158,0)),"Risk ID not found"))</f>
        <v/>
      </c>
      <c r="D27" s="57"/>
      <c r="E27" s="57"/>
      <c r="F27" s="58"/>
      <c r="G27" s="72"/>
      <c r="H27" s="55" t="str">
        <f aca="true">IF(OR($B27="",$G27=""),"",$G27-TODAY())</f>
        <v/>
      </c>
      <c r="I27" s="59" t="str">
        <f aca="true">IF($B27="","",IF($F27="Complete","Done",IF($F27="Cancelled","Cancelled",IF($G27="","No date",IF($G27&lt;TODAY(),"Overdue",IF($G27-TODAY()&lt;=14,"Due soon","On track"))))))</f>
        <v/>
      </c>
      <c r="J27" s="57"/>
    </row>
    <row r="28" customFormat="false" ht="30" hidden="false" customHeight="true" outlineLevel="0" collapsed="false">
      <c r="B28" s="67"/>
      <c r="C28" s="56" t="str">
        <f aca="false">IF($B28="","",IFERROR(INDEX('Risk Register'!$F$9:$F$158,MATCH($B28,'Risk Register'!$C$9:$C$158,0)),"Risk ID not found"))</f>
        <v/>
      </c>
      <c r="D28" s="66"/>
      <c r="E28" s="66"/>
      <c r="F28" s="67"/>
      <c r="G28" s="73"/>
      <c r="H28" s="55" t="str">
        <f aca="true">IF(OR($B28="",$G28=""),"",$G28-TODAY())</f>
        <v/>
      </c>
      <c r="I28" s="59" t="str">
        <f aca="true">IF($B28="","",IF($F28="Complete","Done",IF($F28="Cancelled","Cancelled",IF($G28="","No date",IF($G28&lt;TODAY(),"Overdue",IF($G28-TODAY()&lt;=14,"Due soon","On track"))))))</f>
        <v/>
      </c>
      <c r="J28" s="66"/>
    </row>
    <row r="29" customFormat="false" ht="30" hidden="false" customHeight="true" outlineLevel="0" collapsed="false">
      <c r="B29" s="58"/>
      <c r="C29" s="56" t="str">
        <f aca="false">IF($B29="","",IFERROR(INDEX('Risk Register'!$F$9:$F$158,MATCH($B29,'Risk Register'!$C$9:$C$158,0)),"Risk ID not found"))</f>
        <v/>
      </c>
      <c r="D29" s="57"/>
      <c r="E29" s="57"/>
      <c r="F29" s="58"/>
      <c r="G29" s="72"/>
      <c r="H29" s="55" t="str">
        <f aca="true">IF(OR($B29="",$G29=""),"",$G29-TODAY())</f>
        <v/>
      </c>
      <c r="I29" s="59" t="str">
        <f aca="true">IF($B29="","",IF($F29="Complete","Done",IF($F29="Cancelled","Cancelled",IF($G29="","No date",IF($G29&lt;TODAY(),"Overdue",IF($G29-TODAY()&lt;=14,"Due soon","On track"))))))</f>
        <v/>
      </c>
      <c r="J29" s="57"/>
    </row>
    <row r="30" customFormat="false" ht="30" hidden="false" customHeight="true" outlineLevel="0" collapsed="false">
      <c r="B30" s="67"/>
      <c r="C30" s="56" t="str">
        <f aca="false">IF($B30="","",IFERROR(INDEX('Risk Register'!$F$9:$F$158,MATCH($B30,'Risk Register'!$C$9:$C$158,0)),"Risk ID not found"))</f>
        <v/>
      </c>
      <c r="D30" s="66"/>
      <c r="E30" s="66"/>
      <c r="F30" s="67"/>
      <c r="G30" s="73"/>
      <c r="H30" s="55" t="str">
        <f aca="true">IF(OR($B30="",$G30=""),"",$G30-TODAY())</f>
        <v/>
      </c>
      <c r="I30" s="59" t="str">
        <f aca="true">IF($B30="","",IF($F30="Complete","Done",IF($F30="Cancelled","Cancelled",IF($G30="","No date",IF($G30&lt;TODAY(),"Overdue",IF($G30-TODAY()&lt;=14,"Due soon","On track"))))))</f>
        <v/>
      </c>
      <c r="J30" s="66"/>
    </row>
    <row r="31" customFormat="false" ht="30" hidden="false" customHeight="true" outlineLevel="0" collapsed="false">
      <c r="B31" s="58"/>
      <c r="C31" s="56" t="str">
        <f aca="false">IF($B31="","",IFERROR(INDEX('Risk Register'!$F$9:$F$158,MATCH($B31,'Risk Register'!$C$9:$C$158,0)),"Risk ID not found"))</f>
        <v/>
      </c>
      <c r="D31" s="57"/>
      <c r="E31" s="57"/>
      <c r="F31" s="58"/>
      <c r="G31" s="72"/>
      <c r="H31" s="55" t="str">
        <f aca="true">IF(OR($B31="",$G31=""),"",$G31-TODAY())</f>
        <v/>
      </c>
      <c r="I31" s="59" t="str">
        <f aca="true">IF($B31="","",IF($F31="Complete","Done",IF($F31="Cancelled","Cancelled",IF($G31="","No date",IF($G31&lt;TODAY(),"Overdue",IF($G31-TODAY()&lt;=14,"Due soon","On track"))))))</f>
        <v/>
      </c>
      <c r="J31" s="57"/>
    </row>
    <row r="32" customFormat="false" ht="30" hidden="false" customHeight="true" outlineLevel="0" collapsed="false">
      <c r="B32" s="67"/>
      <c r="C32" s="56" t="str">
        <f aca="false">IF($B32="","",IFERROR(INDEX('Risk Register'!$F$9:$F$158,MATCH($B32,'Risk Register'!$C$9:$C$158,0)),"Risk ID not found"))</f>
        <v/>
      </c>
      <c r="D32" s="66"/>
      <c r="E32" s="66"/>
      <c r="F32" s="67"/>
      <c r="G32" s="73"/>
      <c r="H32" s="55" t="str">
        <f aca="true">IF(OR($B32="",$G32=""),"",$G32-TODAY())</f>
        <v/>
      </c>
      <c r="I32" s="59" t="str">
        <f aca="true">IF($B32="","",IF($F32="Complete","Done",IF($F32="Cancelled","Cancelled",IF($G32="","No date",IF($G32&lt;TODAY(),"Overdue",IF($G32-TODAY()&lt;=14,"Due soon","On track"))))))</f>
        <v/>
      </c>
      <c r="J32" s="66"/>
    </row>
    <row r="33" customFormat="false" ht="30" hidden="false" customHeight="true" outlineLevel="0" collapsed="false">
      <c r="B33" s="58"/>
      <c r="C33" s="56" t="str">
        <f aca="false">IF($B33="","",IFERROR(INDEX('Risk Register'!$F$9:$F$158,MATCH($B33,'Risk Register'!$C$9:$C$158,0)),"Risk ID not found"))</f>
        <v/>
      </c>
      <c r="D33" s="57"/>
      <c r="E33" s="57"/>
      <c r="F33" s="58"/>
      <c r="G33" s="72"/>
      <c r="H33" s="55" t="str">
        <f aca="true">IF(OR($B33="",$G33=""),"",$G33-TODAY())</f>
        <v/>
      </c>
      <c r="I33" s="59" t="str">
        <f aca="true">IF($B33="","",IF($F33="Complete","Done",IF($F33="Cancelled","Cancelled",IF($G33="","No date",IF($G33&lt;TODAY(),"Overdue",IF($G33-TODAY()&lt;=14,"Due soon","On track"))))))</f>
        <v/>
      </c>
      <c r="J33" s="57"/>
    </row>
    <row r="34" customFormat="false" ht="30" hidden="false" customHeight="true" outlineLevel="0" collapsed="false">
      <c r="B34" s="67"/>
      <c r="C34" s="56" t="str">
        <f aca="false">IF($B34="","",IFERROR(INDEX('Risk Register'!$F$9:$F$158,MATCH($B34,'Risk Register'!$C$9:$C$158,0)),"Risk ID not found"))</f>
        <v/>
      </c>
      <c r="D34" s="66"/>
      <c r="E34" s="66"/>
      <c r="F34" s="67"/>
      <c r="G34" s="73"/>
      <c r="H34" s="55" t="str">
        <f aca="true">IF(OR($B34="",$G34=""),"",$G34-TODAY())</f>
        <v/>
      </c>
      <c r="I34" s="59" t="str">
        <f aca="true">IF($B34="","",IF($F34="Complete","Done",IF($F34="Cancelled","Cancelled",IF($G34="","No date",IF($G34&lt;TODAY(),"Overdue",IF($G34-TODAY()&lt;=14,"Due soon","On track"))))))</f>
        <v/>
      </c>
      <c r="J34" s="66"/>
    </row>
    <row r="35" customFormat="false" ht="30" hidden="false" customHeight="true" outlineLevel="0" collapsed="false">
      <c r="B35" s="58"/>
      <c r="C35" s="56" t="str">
        <f aca="false">IF($B35="","",IFERROR(INDEX('Risk Register'!$F$9:$F$158,MATCH($B35,'Risk Register'!$C$9:$C$158,0)),"Risk ID not found"))</f>
        <v/>
      </c>
      <c r="D35" s="57"/>
      <c r="E35" s="57"/>
      <c r="F35" s="58"/>
      <c r="G35" s="72"/>
      <c r="H35" s="55" t="str">
        <f aca="true">IF(OR($B35="",$G35=""),"",$G35-TODAY())</f>
        <v/>
      </c>
      <c r="I35" s="59" t="str">
        <f aca="true">IF($B35="","",IF($F35="Complete","Done",IF($F35="Cancelled","Cancelled",IF($G35="","No date",IF($G35&lt;TODAY(),"Overdue",IF($G35-TODAY()&lt;=14,"Due soon","On track"))))))</f>
        <v/>
      </c>
      <c r="J35" s="57"/>
    </row>
    <row r="36" customFormat="false" ht="30" hidden="false" customHeight="true" outlineLevel="0" collapsed="false">
      <c r="B36" s="67"/>
      <c r="C36" s="56" t="str">
        <f aca="false">IF($B36="","",IFERROR(INDEX('Risk Register'!$F$9:$F$158,MATCH($B36,'Risk Register'!$C$9:$C$158,0)),"Risk ID not found"))</f>
        <v/>
      </c>
      <c r="D36" s="66"/>
      <c r="E36" s="66"/>
      <c r="F36" s="67"/>
      <c r="G36" s="73"/>
      <c r="H36" s="55" t="str">
        <f aca="true">IF(OR($B36="",$G36=""),"",$G36-TODAY())</f>
        <v/>
      </c>
      <c r="I36" s="59" t="str">
        <f aca="true">IF($B36="","",IF($F36="Complete","Done",IF($F36="Cancelled","Cancelled",IF($G36="","No date",IF($G36&lt;TODAY(),"Overdue",IF($G36-TODAY()&lt;=14,"Due soon","On track"))))))</f>
        <v/>
      </c>
      <c r="J36" s="66"/>
    </row>
    <row r="37" customFormat="false" ht="30" hidden="false" customHeight="true" outlineLevel="0" collapsed="false">
      <c r="B37" s="58"/>
      <c r="C37" s="56" t="str">
        <f aca="false">IF($B37="","",IFERROR(INDEX('Risk Register'!$F$9:$F$158,MATCH($B37,'Risk Register'!$C$9:$C$158,0)),"Risk ID not found"))</f>
        <v/>
      </c>
      <c r="D37" s="57"/>
      <c r="E37" s="57"/>
      <c r="F37" s="58"/>
      <c r="G37" s="72"/>
      <c r="H37" s="55" t="str">
        <f aca="true">IF(OR($B37="",$G37=""),"",$G37-TODAY())</f>
        <v/>
      </c>
      <c r="I37" s="59" t="str">
        <f aca="true">IF($B37="","",IF($F37="Complete","Done",IF($F37="Cancelled","Cancelled",IF($G37="","No date",IF($G37&lt;TODAY(),"Overdue",IF($G37-TODAY()&lt;=14,"Due soon","On track"))))))</f>
        <v/>
      </c>
      <c r="J37" s="57"/>
    </row>
    <row r="38" customFormat="false" ht="30" hidden="false" customHeight="true" outlineLevel="0" collapsed="false">
      <c r="B38" s="67"/>
      <c r="C38" s="56" t="str">
        <f aca="false">IF($B38="","",IFERROR(INDEX('Risk Register'!$F$9:$F$158,MATCH($B38,'Risk Register'!$C$9:$C$158,0)),"Risk ID not found"))</f>
        <v/>
      </c>
      <c r="D38" s="66"/>
      <c r="E38" s="66"/>
      <c r="F38" s="67"/>
      <c r="G38" s="73"/>
      <c r="H38" s="55" t="str">
        <f aca="true">IF(OR($B38="",$G38=""),"",$G38-TODAY())</f>
        <v/>
      </c>
      <c r="I38" s="59" t="str">
        <f aca="true">IF($B38="","",IF($F38="Complete","Done",IF($F38="Cancelled","Cancelled",IF($G38="","No date",IF($G38&lt;TODAY(),"Overdue",IF($G38-TODAY()&lt;=14,"Due soon","On track"))))))</f>
        <v/>
      </c>
      <c r="J38" s="66"/>
    </row>
    <row r="39" customFormat="false" ht="30" hidden="false" customHeight="true" outlineLevel="0" collapsed="false">
      <c r="B39" s="58"/>
      <c r="C39" s="56" t="str">
        <f aca="false">IF($B39="","",IFERROR(INDEX('Risk Register'!$F$9:$F$158,MATCH($B39,'Risk Register'!$C$9:$C$158,0)),"Risk ID not found"))</f>
        <v/>
      </c>
      <c r="D39" s="57"/>
      <c r="E39" s="57"/>
      <c r="F39" s="58"/>
      <c r="G39" s="72"/>
      <c r="H39" s="55" t="str">
        <f aca="true">IF(OR($B39="",$G39=""),"",$G39-TODAY())</f>
        <v/>
      </c>
      <c r="I39" s="59" t="str">
        <f aca="true">IF($B39="","",IF($F39="Complete","Done",IF($F39="Cancelled","Cancelled",IF($G39="","No date",IF($G39&lt;TODAY(),"Overdue",IF($G39-TODAY()&lt;=14,"Due soon","On track"))))))</f>
        <v/>
      </c>
      <c r="J39" s="57"/>
    </row>
    <row r="40" customFormat="false" ht="30" hidden="false" customHeight="true" outlineLevel="0" collapsed="false">
      <c r="B40" s="67"/>
      <c r="C40" s="56" t="str">
        <f aca="false">IF($B40="","",IFERROR(INDEX('Risk Register'!$F$9:$F$158,MATCH($B40,'Risk Register'!$C$9:$C$158,0)),"Risk ID not found"))</f>
        <v/>
      </c>
      <c r="D40" s="66"/>
      <c r="E40" s="66"/>
      <c r="F40" s="67"/>
      <c r="G40" s="73"/>
      <c r="H40" s="55" t="str">
        <f aca="true">IF(OR($B40="",$G40=""),"",$G40-TODAY())</f>
        <v/>
      </c>
      <c r="I40" s="59" t="str">
        <f aca="true">IF($B40="","",IF($F40="Complete","Done",IF($F40="Cancelled","Cancelled",IF($G40="","No date",IF($G40&lt;TODAY(),"Overdue",IF($G40-TODAY()&lt;=14,"Due soon","On track"))))))</f>
        <v/>
      </c>
      <c r="J40" s="66"/>
    </row>
    <row r="41" customFormat="false" ht="30" hidden="false" customHeight="true" outlineLevel="0" collapsed="false">
      <c r="B41" s="58"/>
      <c r="C41" s="56" t="str">
        <f aca="false">IF($B41="","",IFERROR(INDEX('Risk Register'!$F$9:$F$158,MATCH($B41,'Risk Register'!$C$9:$C$158,0)),"Risk ID not found"))</f>
        <v/>
      </c>
      <c r="D41" s="57"/>
      <c r="E41" s="57"/>
      <c r="F41" s="58"/>
      <c r="G41" s="72"/>
      <c r="H41" s="55" t="str">
        <f aca="true">IF(OR($B41="",$G41=""),"",$G41-TODAY())</f>
        <v/>
      </c>
      <c r="I41" s="59" t="str">
        <f aca="true">IF($B41="","",IF($F41="Complete","Done",IF($F41="Cancelled","Cancelled",IF($G41="","No date",IF($G41&lt;TODAY(),"Overdue",IF($G41-TODAY()&lt;=14,"Due soon","On track"))))))</f>
        <v/>
      </c>
      <c r="J41" s="57"/>
    </row>
    <row r="42" customFormat="false" ht="30" hidden="false" customHeight="true" outlineLevel="0" collapsed="false">
      <c r="B42" s="67"/>
      <c r="C42" s="56" t="str">
        <f aca="false">IF($B42="","",IFERROR(INDEX('Risk Register'!$F$9:$F$158,MATCH($B42,'Risk Register'!$C$9:$C$158,0)),"Risk ID not found"))</f>
        <v/>
      </c>
      <c r="D42" s="66"/>
      <c r="E42" s="66"/>
      <c r="F42" s="67"/>
      <c r="G42" s="73"/>
      <c r="H42" s="55" t="str">
        <f aca="true">IF(OR($B42="",$G42=""),"",$G42-TODAY())</f>
        <v/>
      </c>
      <c r="I42" s="59" t="str">
        <f aca="true">IF($B42="","",IF($F42="Complete","Done",IF($F42="Cancelled","Cancelled",IF($G42="","No date",IF($G42&lt;TODAY(),"Overdue",IF($G42-TODAY()&lt;=14,"Due soon","On track"))))))</f>
        <v/>
      </c>
      <c r="J42" s="66"/>
    </row>
    <row r="43" customFormat="false" ht="30" hidden="false" customHeight="true" outlineLevel="0" collapsed="false">
      <c r="B43" s="58"/>
      <c r="C43" s="56" t="str">
        <f aca="false">IF($B43="","",IFERROR(INDEX('Risk Register'!$F$9:$F$158,MATCH($B43,'Risk Register'!$C$9:$C$158,0)),"Risk ID not found"))</f>
        <v/>
      </c>
      <c r="D43" s="57"/>
      <c r="E43" s="57"/>
      <c r="F43" s="58"/>
      <c r="G43" s="72"/>
      <c r="H43" s="55" t="str">
        <f aca="true">IF(OR($B43="",$G43=""),"",$G43-TODAY())</f>
        <v/>
      </c>
      <c r="I43" s="59" t="str">
        <f aca="true">IF($B43="","",IF($F43="Complete","Done",IF($F43="Cancelled","Cancelled",IF($G43="","No date",IF($G43&lt;TODAY(),"Overdue",IF($G43-TODAY()&lt;=14,"Due soon","On track"))))))</f>
        <v/>
      </c>
      <c r="J43" s="57"/>
    </row>
    <row r="44" customFormat="false" ht="30" hidden="false" customHeight="true" outlineLevel="0" collapsed="false">
      <c r="B44" s="67"/>
      <c r="C44" s="56" t="str">
        <f aca="false">IF($B44="","",IFERROR(INDEX('Risk Register'!$F$9:$F$158,MATCH($B44,'Risk Register'!$C$9:$C$158,0)),"Risk ID not found"))</f>
        <v/>
      </c>
      <c r="D44" s="66"/>
      <c r="E44" s="66"/>
      <c r="F44" s="67"/>
      <c r="G44" s="73"/>
      <c r="H44" s="55" t="str">
        <f aca="true">IF(OR($B44="",$G44=""),"",$G44-TODAY())</f>
        <v/>
      </c>
      <c r="I44" s="59" t="str">
        <f aca="true">IF($B44="","",IF($F44="Complete","Done",IF($F44="Cancelled","Cancelled",IF($G44="","No date",IF($G44&lt;TODAY(),"Overdue",IF($G44-TODAY()&lt;=14,"Due soon","On track"))))))</f>
        <v/>
      </c>
      <c r="J44" s="66"/>
    </row>
    <row r="45" customFormat="false" ht="30" hidden="false" customHeight="true" outlineLevel="0" collapsed="false">
      <c r="B45" s="58"/>
      <c r="C45" s="56" t="str">
        <f aca="false">IF($B45="","",IFERROR(INDEX('Risk Register'!$F$9:$F$158,MATCH($B45,'Risk Register'!$C$9:$C$158,0)),"Risk ID not found"))</f>
        <v/>
      </c>
      <c r="D45" s="57"/>
      <c r="E45" s="57"/>
      <c r="F45" s="58"/>
      <c r="G45" s="72"/>
      <c r="H45" s="55" t="str">
        <f aca="true">IF(OR($B45="",$G45=""),"",$G45-TODAY())</f>
        <v/>
      </c>
      <c r="I45" s="59" t="str">
        <f aca="true">IF($B45="","",IF($F45="Complete","Done",IF($F45="Cancelled","Cancelled",IF($G45="","No date",IF($G45&lt;TODAY(),"Overdue",IF($G45-TODAY()&lt;=14,"Due soon","On track"))))))</f>
        <v/>
      </c>
      <c r="J45" s="57"/>
    </row>
    <row r="46" customFormat="false" ht="30" hidden="false" customHeight="true" outlineLevel="0" collapsed="false">
      <c r="B46" s="67"/>
      <c r="C46" s="56" t="str">
        <f aca="false">IF($B46="","",IFERROR(INDEX('Risk Register'!$F$9:$F$158,MATCH($B46,'Risk Register'!$C$9:$C$158,0)),"Risk ID not found"))</f>
        <v/>
      </c>
      <c r="D46" s="66"/>
      <c r="E46" s="66"/>
      <c r="F46" s="67"/>
      <c r="G46" s="73"/>
      <c r="H46" s="55" t="str">
        <f aca="true">IF(OR($B46="",$G46=""),"",$G46-TODAY())</f>
        <v/>
      </c>
      <c r="I46" s="59" t="str">
        <f aca="true">IF($B46="","",IF($F46="Complete","Done",IF($F46="Cancelled","Cancelled",IF($G46="","No date",IF($G46&lt;TODAY(),"Overdue",IF($G46-TODAY()&lt;=14,"Due soon","On track"))))))</f>
        <v/>
      </c>
      <c r="J46" s="66"/>
    </row>
    <row r="47" customFormat="false" ht="30" hidden="false" customHeight="true" outlineLevel="0" collapsed="false">
      <c r="B47" s="58"/>
      <c r="C47" s="56" t="str">
        <f aca="false">IF($B47="","",IFERROR(INDEX('Risk Register'!$F$9:$F$158,MATCH($B47,'Risk Register'!$C$9:$C$158,0)),"Risk ID not found"))</f>
        <v/>
      </c>
      <c r="D47" s="57"/>
      <c r="E47" s="57"/>
      <c r="F47" s="58"/>
      <c r="G47" s="72"/>
      <c r="H47" s="55" t="str">
        <f aca="true">IF(OR($B47="",$G47=""),"",$G47-TODAY())</f>
        <v/>
      </c>
      <c r="I47" s="59" t="str">
        <f aca="true">IF($B47="","",IF($F47="Complete","Done",IF($F47="Cancelled","Cancelled",IF($G47="","No date",IF($G47&lt;TODAY(),"Overdue",IF($G47-TODAY()&lt;=14,"Due soon","On track"))))))</f>
        <v/>
      </c>
      <c r="J47" s="57"/>
    </row>
    <row r="48" customFormat="false" ht="30" hidden="false" customHeight="true" outlineLevel="0" collapsed="false">
      <c r="B48" s="67"/>
      <c r="C48" s="56" t="str">
        <f aca="false">IF($B48="","",IFERROR(INDEX('Risk Register'!$F$9:$F$158,MATCH($B48,'Risk Register'!$C$9:$C$158,0)),"Risk ID not found"))</f>
        <v/>
      </c>
      <c r="D48" s="66"/>
      <c r="E48" s="66"/>
      <c r="F48" s="67"/>
      <c r="G48" s="73"/>
      <c r="H48" s="55" t="str">
        <f aca="true">IF(OR($B48="",$G48=""),"",$G48-TODAY())</f>
        <v/>
      </c>
      <c r="I48" s="59" t="str">
        <f aca="true">IF($B48="","",IF($F48="Complete","Done",IF($F48="Cancelled","Cancelled",IF($G48="","No date",IF($G48&lt;TODAY(),"Overdue",IF($G48-TODAY()&lt;=14,"Due soon","On track"))))))</f>
        <v/>
      </c>
      <c r="J48" s="66"/>
    </row>
    <row r="49" customFormat="false" ht="30" hidden="false" customHeight="true" outlineLevel="0" collapsed="false">
      <c r="B49" s="58"/>
      <c r="C49" s="56" t="str">
        <f aca="false">IF($B49="","",IFERROR(INDEX('Risk Register'!$F$9:$F$158,MATCH($B49,'Risk Register'!$C$9:$C$158,0)),"Risk ID not found"))</f>
        <v/>
      </c>
      <c r="D49" s="57"/>
      <c r="E49" s="57"/>
      <c r="F49" s="58"/>
      <c r="G49" s="72"/>
      <c r="H49" s="55" t="str">
        <f aca="true">IF(OR($B49="",$G49=""),"",$G49-TODAY())</f>
        <v/>
      </c>
      <c r="I49" s="59" t="str">
        <f aca="true">IF($B49="","",IF($F49="Complete","Done",IF($F49="Cancelled","Cancelled",IF($G49="","No date",IF($G49&lt;TODAY(),"Overdue",IF($G49-TODAY()&lt;=14,"Due soon","On track"))))))</f>
        <v/>
      </c>
      <c r="J49" s="57"/>
    </row>
    <row r="50" customFormat="false" ht="30" hidden="false" customHeight="true" outlineLevel="0" collapsed="false">
      <c r="B50" s="67"/>
      <c r="C50" s="56" t="str">
        <f aca="false">IF($B50="","",IFERROR(INDEX('Risk Register'!$F$9:$F$158,MATCH($B50,'Risk Register'!$C$9:$C$158,0)),"Risk ID not found"))</f>
        <v/>
      </c>
      <c r="D50" s="66"/>
      <c r="E50" s="66"/>
      <c r="F50" s="67"/>
      <c r="G50" s="73"/>
      <c r="H50" s="55" t="str">
        <f aca="true">IF(OR($B50="",$G50=""),"",$G50-TODAY())</f>
        <v/>
      </c>
      <c r="I50" s="59" t="str">
        <f aca="true">IF($B50="","",IF($F50="Complete","Done",IF($F50="Cancelled","Cancelled",IF($G50="","No date",IF($G50&lt;TODAY(),"Overdue",IF($G50-TODAY()&lt;=14,"Due soon","On track"))))))</f>
        <v/>
      </c>
      <c r="J50" s="66"/>
    </row>
    <row r="51" customFormat="false" ht="30" hidden="false" customHeight="true" outlineLevel="0" collapsed="false">
      <c r="B51" s="58"/>
      <c r="C51" s="56" t="str">
        <f aca="false">IF($B51="","",IFERROR(INDEX('Risk Register'!$F$9:$F$158,MATCH($B51,'Risk Register'!$C$9:$C$158,0)),"Risk ID not found"))</f>
        <v/>
      </c>
      <c r="D51" s="57"/>
      <c r="E51" s="57"/>
      <c r="F51" s="58"/>
      <c r="G51" s="72"/>
      <c r="H51" s="55" t="str">
        <f aca="true">IF(OR($B51="",$G51=""),"",$G51-TODAY())</f>
        <v/>
      </c>
      <c r="I51" s="59" t="str">
        <f aca="true">IF($B51="","",IF($F51="Complete","Done",IF($F51="Cancelled","Cancelled",IF($G51="","No date",IF($G51&lt;TODAY(),"Overdue",IF($G51-TODAY()&lt;=14,"Due soon","On track"))))))</f>
        <v/>
      </c>
      <c r="J51" s="57"/>
    </row>
    <row r="52" customFormat="false" ht="30" hidden="false" customHeight="true" outlineLevel="0" collapsed="false">
      <c r="B52" s="67"/>
      <c r="C52" s="56" t="str">
        <f aca="false">IF($B52="","",IFERROR(INDEX('Risk Register'!$F$9:$F$158,MATCH($B52,'Risk Register'!$C$9:$C$158,0)),"Risk ID not found"))</f>
        <v/>
      </c>
      <c r="D52" s="66"/>
      <c r="E52" s="66"/>
      <c r="F52" s="67"/>
      <c r="G52" s="73"/>
      <c r="H52" s="55" t="str">
        <f aca="true">IF(OR($B52="",$G52=""),"",$G52-TODAY())</f>
        <v/>
      </c>
      <c r="I52" s="59" t="str">
        <f aca="true">IF($B52="","",IF($F52="Complete","Done",IF($F52="Cancelled","Cancelled",IF($G52="","No date",IF($G52&lt;TODAY(),"Overdue",IF($G52-TODAY()&lt;=14,"Due soon","On track"))))))</f>
        <v/>
      </c>
      <c r="J52" s="66"/>
    </row>
    <row r="53" customFormat="false" ht="30" hidden="false" customHeight="true" outlineLevel="0" collapsed="false">
      <c r="B53" s="58"/>
      <c r="C53" s="56" t="str">
        <f aca="false">IF($B53="","",IFERROR(INDEX('Risk Register'!$F$9:$F$158,MATCH($B53,'Risk Register'!$C$9:$C$158,0)),"Risk ID not found"))</f>
        <v/>
      </c>
      <c r="D53" s="57"/>
      <c r="E53" s="57"/>
      <c r="F53" s="58"/>
      <c r="G53" s="72"/>
      <c r="H53" s="55" t="str">
        <f aca="true">IF(OR($B53="",$G53=""),"",$G53-TODAY())</f>
        <v/>
      </c>
      <c r="I53" s="59" t="str">
        <f aca="true">IF($B53="","",IF($F53="Complete","Done",IF($F53="Cancelled","Cancelled",IF($G53="","No date",IF($G53&lt;TODAY(),"Overdue",IF($G53-TODAY()&lt;=14,"Due soon","On track"))))))</f>
        <v/>
      </c>
      <c r="J53" s="57"/>
    </row>
    <row r="54" customFormat="false" ht="30" hidden="false" customHeight="true" outlineLevel="0" collapsed="false">
      <c r="B54" s="67"/>
      <c r="C54" s="56" t="str">
        <f aca="false">IF($B54="","",IFERROR(INDEX('Risk Register'!$F$9:$F$158,MATCH($B54,'Risk Register'!$C$9:$C$158,0)),"Risk ID not found"))</f>
        <v/>
      </c>
      <c r="D54" s="66"/>
      <c r="E54" s="66"/>
      <c r="F54" s="67"/>
      <c r="G54" s="73"/>
      <c r="H54" s="55" t="str">
        <f aca="true">IF(OR($B54="",$G54=""),"",$G54-TODAY())</f>
        <v/>
      </c>
      <c r="I54" s="59" t="str">
        <f aca="true">IF($B54="","",IF($F54="Complete","Done",IF($F54="Cancelled","Cancelled",IF($G54="","No date",IF($G54&lt;TODAY(),"Overdue",IF($G54-TODAY()&lt;=14,"Due soon","On track"))))))</f>
        <v/>
      </c>
      <c r="J54" s="66"/>
    </row>
    <row r="55" customFormat="false" ht="30" hidden="false" customHeight="true" outlineLevel="0" collapsed="false">
      <c r="B55" s="58"/>
      <c r="C55" s="56" t="str">
        <f aca="false">IF($B55="","",IFERROR(INDEX('Risk Register'!$F$9:$F$158,MATCH($B55,'Risk Register'!$C$9:$C$158,0)),"Risk ID not found"))</f>
        <v/>
      </c>
      <c r="D55" s="57"/>
      <c r="E55" s="57"/>
      <c r="F55" s="58"/>
      <c r="G55" s="72"/>
      <c r="H55" s="55" t="str">
        <f aca="true">IF(OR($B55="",$G55=""),"",$G55-TODAY())</f>
        <v/>
      </c>
      <c r="I55" s="59" t="str">
        <f aca="true">IF($B55="","",IF($F55="Complete","Done",IF($F55="Cancelled","Cancelled",IF($G55="","No date",IF($G55&lt;TODAY(),"Overdue",IF($G55-TODAY()&lt;=14,"Due soon","On track"))))))</f>
        <v/>
      </c>
      <c r="J55" s="57"/>
    </row>
    <row r="56" customFormat="false" ht="30" hidden="false" customHeight="true" outlineLevel="0" collapsed="false">
      <c r="B56" s="67"/>
      <c r="C56" s="56" t="str">
        <f aca="false">IF($B56="","",IFERROR(INDEX('Risk Register'!$F$9:$F$158,MATCH($B56,'Risk Register'!$C$9:$C$158,0)),"Risk ID not found"))</f>
        <v/>
      </c>
      <c r="D56" s="66"/>
      <c r="E56" s="66"/>
      <c r="F56" s="67"/>
      <c r="G56" s="73"/>
      <c r="H56" s="55" t="str">
        <f aca="true">IF(OR($B56="",$G56=""),"",$G56-TODAY())</f>
        <v/>
      </c>
      <c r="I56" s="59" t="str">
        <f aca="true">IF($B56="","",IF($F56="Complete","Done",IF($F56="Cancelled","Cancelled",IF($G56="","No date",IF($G56&lt;TODAY(),"Overdue",IF($G56-TODAY()&lt;=14,"Due soon","On track"))))))</f>
        <v/>
      </c>
      <c r="J56" s="66"/>
    </row>
    <row r="57" customFormat="false" ht="30" hidden="false" customHeight="true" outlineLevel="0" collapsed="false">
      <c r="B57" s="58"/>
      <c r="C57" s="56" t="str">
        <f aca="false">IF($B57="","",IFERROR(INDEX('Risk Register'!$F$9:$F$158,MATCH($B57,'Risk Register'!$C$9:$C$158,0)),"Risk ID not found"))</f>
        <v/>
      </c>
      <c r="D57" s="57"/>
      <c r="E57" s="57"/>
      <c r="F57" s="58"/>
      <c r="G57" s="72"/>
      <c r="H57" s="55" t="str">
        <f aca="true">IF(OR($B57="",$G57=""),"",$G57-TODAY())</f>
        <v/>
      </c>
      <c r="I57" s="59" t="str">
        <f aca="true">IF($B57="","",IF($F57="Complete","Done",IF($F57="Cancelled","Cancelled",IF($G57="","No date",IF($G57&lt;TODAY(),"Overdue",IF($G57-TODAY()&lt;=14,"Due soon","On track"))))))</f>
        <v/>
      </c>
      <c r="J57" s="57"/>
    </row>
    <row r="58" customFormat="false" ht="30" hidden="false" customHeight="true" outlineLevel="0" collapsed="false">
      <c r="B58" s="67"/>
      <c r="C58" s="56" t="str">
        <f aca="false">IF($B58="","",IFERROR(INDEX('Risk Register'!$F$9:$F$158,MATCH($B58,'Risk Register'!$C$9:$C$158,0)),"Risk ID not found"))</f>
        <v/>
      </c>
      <c r="D58" s="66"/>
      <c r="E58" s="66"/>
      <c r="F58" s="67"/>
      <c r="G58" s="73"/>
      <c r="H58" s="55" t="str">
        <f aca="true">IF(OR($B58="",$G58=""),"",$G58-TODAY())</f>
        <v/>
      </c>
      <c r="I58" s="59" t="str">
        <f aca="true">IF($B58="","",IF($F58="Complete","Done",IF($F58="Cancelled","Cancelled",IF($G58="","No date",IF($G58&lt;TODAY(),"Overdue",IF($G58-TODAY()&lt;=14,"Due soon","On track"))))))</f>
        <v/>
      </c>
      <c r="J58" s="66"/>
    </row>
    <row r="59" customFormat="false" ht="30" hidden="false" customHeight="true" outlineLevel="0" collapsed="false">
      <c r="B59" s="58"/>
      <c r="C59" s="56" t="str">
        <f aca="false">IF($B59="","",IFERROR(INDEX('Risk Register'!$F$9:$F$158,MATCH($B59,'Risk Register'!$C$9:$C$158,0)),"Risk ID not found"))</f>
        <v/>
      </c>
      <c r="D59" s="57"/>
      <c r="E59" s="57"/>
      <c r="F59" s="58"/>
      <c r="G59" s="72"/>
      <c r="H59" s="55" t="str">
        <f aca="true">IF(OR($B59="",$G59=""),"",$G59-TODAY())</f>
        <v/>
      </c>
      <c r="I59" s="59" t="str">
        <f aca="true">IF($B59="","",IF($F59="Complete","Done",IF($F59="Cancelled","Cancelled",IF($G59="","No date",IF($G59&lt;TODAY(),"Overdue",IF($G59-TODAY()&lt;=14,"Due soon","On track"))))))</f>
        <v/>
      </c>
      <c r="J59" s="57"/>
    </row>
    <row r="60" customFormat="false" ht="30" hidden="false" customHeight="true" outlineLevel="0" collapsed="false">
      <c r="B60" s="67"/>
      <c r="C60" s="56" t="str">
        <f aca="false">IF($B60="","",IFERROR(INDEX('Risk Register'!$F$9:$F$158,MATCH($B60,'Risk Register'!$C$9:$C$158,0)),"Risk ID not found"))</f>
        <v/>
      </c>
      <c r="D60" s="66"/>
      <c r="E60" s="66"/>
      <c r="F60" s="67"/>
      <c r="G60" s="73"/>
      <c r="H60" s="55" t="str">
        <f aca="true">IF(OR($B60="",$G60=""),"",$G60-TODAY())</f>
        <v/>
      </c>
      <c r="I60" s="59" t="str">
        <f aca="true">IF($B60="","",IF($F60="Complete","Done",IF($F60="Cancelled","Cancelled",IF($G60="","No date",IF($G60&lt;TODAY(),"Overdue",IF($G60-TODAY()&lt;=14,"Due soon","On track"))))))</f>
        <v/>
      </c>
      <c r="J60" s="66"/>
    </row>
    <row r="61" customFormat="false" ht="30" hidden="false" customHeight="true" outlineLevel="0" collapsed="false">
      <c r="B61" s="58"/>
      <c r="C61" s="56" t="str">
        <f aca="false">IF($B61="","",IFERROR(INDEX('Risk Register'!$F$9:$F$158,MATCH($B61,'Risk Register'!$C$9:$C$158,0)),"Risk ID not found"))</f>
        <v/>
      </c>
      <c r="D61" s="57"/>
      <c r="E61" s="57"/>
      <c r="F61" s="58"/>
      <c r="G61" s="72"/>
      <c r="H61" s="55" t="str">
        <f aca="true">IF(OR($B61="",$G61=""),"",$G61-TODAY())</f>
        <v/>
      </c>
      <c r="I61" s="59" t="str">
        <f aca="true">IF($B61="","",IF($F61="Complete","Done",IF($F61="Cancelled","Cancelled",IF($G61="","No date",IF($G61&lt;TODAY(),"Overdue",IF($G61-TODAY()&lt;=14,"Due soon","On track"))))))</f>
        <v/>
      </c>
      <c r="J61" s="57"/>
    </row>
    <row r="62" customFormat="false" ht="30" hidden="false" customHeight="true" outlineLevel="0" collapsed="false">
      <c r="B62" s="67"/>
      <c r="C62" s="56" t="str">
        <f aca="false">IF($B62="","",IFERROR(INDEX('Risk Register'!$F$9:$F$158,MATCH($B62,'Risk Register'!$C$9:$C$158,0)),"Risk ID not found"))</f>
        <v/>
      </c>
      <c r="D62" s="66"/>
      <c r="E62" s="66"/>
      <c r="F62" s="67"/>
      <c r="G62" s="73"/>
      <c r="H62" s="55" t="str">
        <f aca="true">IF(OR($B62="",$G62=""),"",$G62-TODAY())</f>
        <v/>
      </c>
      <c r="I62" s="59" t="str">
        <f aca="true">IF($B62="","",IF($F62="Complete","Done",IF($F62="Cancelled","Cancelled",IF($G62="","No date",IF($G62&lt;TODAY(),"Overdue",IF($G62-TODAY()&lt;=14,"Due soon","On track"))))))</f>
        <v/>
      </c>
      <c r="J62" s="66"/>
    </row>
    <row r="63" customFormat="false" ht="30" hidden="false" customHeight="true" outlineLevel="0" collapsed="false">
      <c r="B63" s="58"/>
      <c r="C63" s="56" t="str">
        <f aca="false">IF($B63="","",IFERROR(INDEX('Risk Register'!$F$9:$F$158,MATCH($B63,'Risk Register'!$C$9:$C$158,0)),"Risk ID not found"))</f>
        <v/>
      </c>
      <c r="D63" s="57"/>
      <c r="E63" s="57"/>
      <c r="F63" s="58"/>
      <c r="G63" s="72"/>
      <c r="H63" s="55" t="str">
        <f aca="true">IF(OR($B63="",$G63=""),"",$G63-TODAY())</f>
        <v/>
      </c>
      <c r="I63" s="59" t="str">
        <f aca="true">IF($B63="","",IF($F63="Complete","Done",IF($F63="Cancelled","Cancelled",IF($G63="","No date",IF($G63&lt;TODAY(),"Overdue",IF($G63-TODAY()&lt;=14,"Due soon","On track"))))))</f>
        <v/>
      </c>
      <c r="J63" s="57"/>
    </row>
    <row r="64" customFormat="false" ht="30" hidden="false" customHeight="true" outlineLevel="0" collapsed="false">
      <c r="B64" s="67"/>
      <c r="C64" s="56" t="str">
        <f aca="false">IF($B64="","",IFERROR(INDEX('Risk Register'!$F$9:$F$158,MATCH($B64,'Risk Register'!$C$9:$C$158,0)),"Risk ID not found"))</f>
        <v/>
      </c>
      <c r="D64" s="66"/>
      <c r="E64" s="66"/>
      <c r="F64" s="67"/>
      <c r="G64" s="73"/>
      <c r="H64" s="55" t="str">
        <f aca="true">IF(OR($B64="",$G64=""),"",$G64-TODAY())</f>
        <v/>
      </c>
      <c r="I64" s="59" t="str">
        <f aca="true">IF($B64="","",IF($F64="Complete","Done",IF($F64="Cancelled","Cancelled",IF($G64="","No date",IF($G64&lt;TODAY(),"Overdue",IF($G64-TODAY()&lt;=14,"Due soon","On track"))))))</f>
        <v/>
      </c>
      <c r="J64" s="66"/>
    </row>
    <row r="65" customFormat="false" ht="30" hidden="false" customHeight="true" outlineLevel="0" collapsed="false">
      <c r="B65" s="58"/>
      <c r="C65" s="56" t="str">
        <f aca="false">IF($B65="","",IFERROR(INDEX('Risk Register'!$F$9:$F$158,MATCH($B65,'Risk Register'!$C$9:$C$158,0)),"Risk ID not found"))</f>
        <v/>
      </c>
      <c r="D65" s="57"/>
      <c r="E65" s="57"/>
      <c r="F65" s="58"/>
      <c r="G65" s="72"/>
      <c r="H65" s="55" t="str">
        <f aca="true">IF(OR($B65="",$G65=""),"",$G65-TODAY())</f>
        <v/>
      </c>
      <c r="I65" s="59" t="str">
        <f aca="true">IF($B65="","",IF($F65="Complete","Done",IF($F65="Cancelled","Cancelled",IF($G65="","No date",IF($G65&lt;TODAY(),"Overdue",IF($G65-TODAY()&lt;=14,"Due soon","On track"))))))</f>
        <v/>
      </c>
      <c r="J65" s="57"/>
    </row>
    <row r="66" customFormat="false" ht="30" hidden="false" customHeight="true" outlineLevel="0" collapsed="false">
      <c r="B66" s="67"/>
      <c r="C66" s="56" t="str">
        <f aca="false">IF($B66="","",IFERROR(INDEX('Risk Register'!$F$9:$F$158,MATCH($B66,'Risk Register'!$C$9:$C$158,0)),"Risk ID not found"))</f>
        <v/>
      </c>
      <c r="D66" s="66"/>
      <c r="E66" s="66"/>
      <c r="F66" s="67"/>
      <c r="G66" s="73"/>
      <c r="H66" s="55" t="str">
        <f aca="true">IF(OR($B66="",$G66=""),"",$G66-TODAY())</f>
        <v/>
      </c>
      <c r="I66" s="59" t="str">
        <f aca="true">IF($B66="","",IF($F66="Complete","Done",IF($F66="Cancelled","Cancelled",IF($G66="","No date",IF($G66&lt;TODAY(),"Overdue",IF($G66-TODAY()&lt;=14,"Due soon","On track"))))))</f>
        <v/>
      </c>
      <c r="J66" s="66"/>
    </row>
    <row r="67" customFormat="false" ht="30" hidden="false" customHeight="true" outlineLevel="0" collapsed="false">
      <c r="B67" s="58"/>
      <c r="C67" s="56" t="str">
        <f aca="false">IF($B67="","",IFERROR(INDEX('Risk Register'!$F$9:$F$158,MATCH($B67,'Risk Register'!$C$9:$C$158,0)),"Risk ID not found"))</f>
        <v/>
      </c>
      <c r="D67" s="57"/>
      <c r="E67" s="57"/>
      <c r="F67" s="58"/>
      <c r="G67" s="72"/>
      <c r="H67" s="55" t="str">
        <f aca="true">IF(OR($B67="",$G67=""),"",$G67-TODAY())</f>
        <v/>
      </c>
      <c r="I67" s="59" t="str">
        <f aca="true">IF($B67="","",IF($F67="Complete","Done",IF($F67="Cancelled","Cancelled",IF($G67="","No date",IF($G67&lt;TODAY(),"Overdue",IF($G67-TODAY()&lt;=14,"Due soon","On track"))))))</f>
        <v/>
      </c>
      <c r="J67" s="57"/>
    </row>
    <row r="68" customFormat="false" ht="30" hidden="false" customHeight="true" outlineLevel="0" collapsed="false">
      <c r="B68" s="67"/>
      <c r="C68" s="56" t="str">
        <f aca="false">IF($B68="","",IFERROR(INDEX('Risk Register'!$F$9:$F$158,MATCH($B68,'Risk Register'!$C$9:$C$158,0)),"Risk ID not found"))</f>
        <v/>
      </c>
      <c r="D68" s="66"/>
      <c r="E68" s="66"/>
      <c r="F68" s="67"/>
      <c r="G68" s="73"/>
      <c r="H68" s="55" t="str">
        <f aca="true">IF(OR($B68="",$G68=""),"",$G68-TODAY())</f>
        <v/>
      </c>
      <c r="I68" s="59" t="str">
        <f aca="true">IF($B68="","",IF($F68="Complete","Done",IF($F68="Cancelled","Cancelled",IF($G68="","No date",IF($G68&lt;TODAY(),"Overdue",IF($G68-TODAY()&lt;=14,"Due soon","On track"))))))</f>
        <v/>
      </c>
      <c r="J68" s="66"/>
    </row>
    <row r="69" customFormat="false" ht="30" hidden="false" customHeight="true" outlineLevel="0" collapsed="false">
      <c r="B69" s="58"/>
      <c r="C69" s="56" t="str">
        <f aca="false">IF($B69="","",IFERROR(INDEX('Risk Register'!$F$9:$F$158,MATCH($B69,'Risk Register'!$C$9:$C$158,0)),"Risk ID not found"))</f>
        <v/>
      </c>
      <c r="D69" s="57"/>
      <c r="E69" s="57"/>
      <c r="F69" s="58"/>
      <c r="G69" s="72"/>
      <c r="H69" s="55" t="str">
        <f aca="true">IF(OR($B69="",$G69=""),"",$G69-TODAY())</f>
        <v/>
      </c>
      <c r="I69" s="59" t="str">
        <f aca="true">IF($B69="","",IF($F69="Complete","Done",IF($F69="Cancelled","Cancelled",IF($G69="","No date",IF($G69&lt;TODAY(),"Overdue",IF($G69-TODAY()&lt;=14,"Due soon","On track"))))))</f>
        <v/>
      </c>
      <c r="J69" s="57"/>
    </row>
    <row r="70" customFormat="false" ht="30" hidden="false" customHeight="true" outlineLevel="0" collapsed="false">
      <c r="B70" s="67"/>
      <c r="C70" s="56" t="str">
        <f aca="false">IF($B70="","",IFERROR(INDEX('Risk Register'!$F$9:$F$158,MATCH($B70,'Risk Register'!$C$9:$C$158,0)),"Risk ID not found"))</f>
        <v/>
      </c>
      <c r="D70" s="66"/>
      <c r="E70" s="66"/>
      <c r="F70" s="67"/>
      <c r="G70" s="73"/>
      <c r="H70" s="55" t="str">
        <f aca="true">IF(OR($B70="",$G70=""),"",$G70-TODAY())</f>
        <v/>
      </c>
      <c r="I70" s="59" t="str">
        <f aca="true">IF($B70="","",IF($F70="Complete","Done",IF($F70="Cancelled","Cancelled",IF($G70="","No date",IF($G70&lt;TODAY(),"Overdue",IF($G70-TODAY()&lt;=14,"Due soon","On track"))))))</f>
        <v/>
      </c>
      <c r="J70" s="66"/>
    </row>
    <row r="71" customFormat="false" ht="30" hidden="false" customHeight="true" outlineLevel="0" collapsed="false">
      <c r="B71" s="58"/>
      <c r="C71" s="56" t="str">
        <f aca="false">IF($B71="","",IFERROR(INDEX('Risk Register'!$F$9:$F$158,MATCH($B71,'Risk Register'!$C$9:$C$158,0)),"Risk ID not found"))</f>
        <v/>
      </c>
      <c r="D71" s="57"/>
      <c r="E71" s="57"/>
      <c r="F71" s="58"/>
      <c r="G71" s="72"/>
      <c r="H71" s="55" t="str">
        <f aca="true">IF(OR($B71="",$G71=""),"",$G71-TODAY())</f>
        <v/>
      </c>
      <c r="I71" s="59" t="str">
        <f aca="true">IF($B71="","",IF($F71="Complete","Done",IF($F71="Cancelled","Cancelled",IF($G71="","No date",IF($G71&lt;TODAY(),"Overdue",IF($G71-TODAY()&lt;=14,"Due soon","On track"))))))</f>
        <v/>
      </c>
      <c r="J71" s="57"/>
    </row>
    <row r="72" customFormat="false" ht="30" hidden="false" customHeight="true" outlineLevel="0" collapsed="false">
      <c r="B72" s="67"/>
      <c r="C72" s="56" t="str">
        <f aca="false">IF($B72="","",IFERROR(INDEX('Risk Register'!$F$9:$F$158,MATCH($B72,'Risk Register'!$C$9:$C$158,0)),"Risk ID not found"))</f>
        <v/>
      </c>
      <c r="D72" s="66"/>
      <c r="E72" s="66"/>
      <c r="F72" s="67"/>
      <c r="G72" s="73"/>
      <c r="H72" s="55" t="str">
        <f aca="true">IF(OR($B72="",$G72=""),"",$G72-TODAY())</f>
        <v/>
      </c>
      <c r="I72" s="59" t="str">
        <f aca="true">IF($B72="","",IF($F72="Complete","Done",IF($F72="Cancelled","Cancelled",IF($G72="","No date",IF($G72&lt;TODAY(),"Overdue",IF($G72-TODAY()&lt;=14,"Due soon","On track"))))))</f>
        <v/>
      </c>
      <c r="J72" s="66"/>
    </row>
    <row r="73" customFormat="false" ht="30" hidden="false" customHeight="true" outlineLevel="0" collapsed="false">
      <c r="B73" s="58"/>
      <c r="C73" s="56" t="str">
        <f aca="false">IF($B73="","",IFERROR(INDEX('Risk Register'!$F$9:$F$158,MATCH($B73,'Risk Register'!$C$9:$C$158,0)),"Risk ID not found"))</f>
        <v/>
      </c>
      <c r="D73" s="57"/>
      <c r="E73" s="57"/>
      <c r="F73" s="58"/>
      <c r="G73" s="72"/>
      <c r="H73" s="55" t="str">
        <f aca="true">IF(OR($B73="",$G73=""),"",$G73-TODAY())</f>
        <v/>
      </c>
      <c r="I73" s="59" t="str">
        <f aca="true">IF($B73="","",IF($F73="Complete","Done",IF($F73="Cancelled","Cancelled",IF($G73="","No date",IF($G73&lt;TODAY(),"Overdue",IF($G73-TODAY()&lt;=14,"Due soon","On track"))))))</f>
        <v/>
      </c>
      <c r="J73" s="57"/>
    </row>
    <row r="74" customFormat="false" ht="30" hidden="false" customHeight="true" outlineLevel="0" collapsed="false">
      <c r="B74" s="67"/>
      <c r="C74" s="56" t="str">
        <f aca="false">IF($B74="","",IFERROR(INDEX('Risk Register'!$F$9:$F$158,MATCH($B74,'Risk Register'!$C$9:$C$158,0)),"Risk ID not found"))</f>
        <v/>
      </c>
      <c r="D74" s="66"/>
      <c r="E74" s="66"/>
      <c r="F74" s="67"/>
      <c r="G74" s="73"/>
      <c r="H74" s="55" t="str">
        <f aca="true">IF(OR($B74="",$G74=""),"",$G74-TODAY())</f>
        <v/>
      </c>
      <c r="I74" s="59" t="str">
        <f aca="true">IF($B74="","",IF($F74="Complete","Done",IF($F74="Cancelled","Cancelled",IF($G74="","No date",IF($G74&lt;TODAY(),"Overdue",IF($G74-TODAY()&lt;=14,"Due soon","On track"))))))</f>
        <v/>
      </c>
      <c r="J74" s="66"/>
    </row>
    <row r="75" customFormat="false" ht="30" hidden="false" customHeight="true" outlineLevel="0" collapsed="false">
      <c r="B75" s="58"/>
      <c r="C75" s="56" t="str">
        <f aca="false">IF($B75="","",IFERROR(INDEX('Risk Register'!$F$9:$F$158,MATCH($B75,'Risk Register'!$C$9:$C$158,0)),"Risk ID not found"))</f>
        <v/>
      </c>
      <c r="D75" s="57"/>
      <c r="E75" s="57"/>
      <c r="F75" s="58"/>
      <c r="G75" s="72"/>
      <c r="H75" s="55" t="str">
        <f aca="true">IF(OR($B75="",$G75=""),"",$G75-TODAY())</f>
        <v/>
      </c>
      <c r="I75" s="59" t="str">
        <f aca="true">IF($B75="","",IF($F75="Complete","Done",IF($F75="Cancelled","Cancelled",IF($G75="","No date",IF($G75&lt;TODAY(),"Overdue",IF($G75-TODAY()&lt;=14,"Due soon","On track"))))))</f>
        <v/>
      </c>
      <c r="J75" s="57"/>
    </row>
    <row r="76" customFormat="false" ht="30" hidden="false" customHeight="true" outlineLevel="0" collapsed="false">
      <c r="B76" s="67"/>
      <c r="C76" s="56" t="str">
        <f aca="false">IF($B76="","",IFERROR(INDEX('Risk Register'!$F$9:$F$158,MATCH($B76,'Risk Register'!$C$9:$C$158,0)),"Risk ID not found"))</f>
        <v/>
      </c>
      <c r="D76" s="66"/>
      <c r="E76" s="66"/>
      <c r="F76" s="67"/>
      <c r="G76" s="73"/>
      <c r="H76" s="55" t="str">
        <f aca="true">IF(OR($B76="",$G76=""),"",$G76-TODAY())</f>
        <v/>
      </c>
      <c r="I76" s="59" t="str">
        <f aca="true">IF($B76="","",IF($F76="Complete","Done",IF($F76="Cancelled","Cancelled",IF($G76="","No date",IF($G76&lt;TODAY(),"Overdue",IF($G76-TODAY()&lt;=14,"Due soon","On track"))))))</f>
        <v/>
      </c>
      <c r="J76" s="66"/>
    </row>
    <row r="77" customFormat="false" ht="30" hidden="false" customHeight="true" outlineLevel="0" collapsed="false">
      <c r="B77" s="58"/>
      <c r="C77" s="56" t="str">
        <f aca="false">IF($B77="","",IFERROR(INDEX('Risk Register'!$F$9:$F$158,MATCH($B77,'Risk Register'!$C$9:$C$158,0)),"Risk ID not found"))</f>
        <v/>
      </c>
      <c r="D77" s="57"/>
      <c r="E77" s="57"/>
      <c r="F77" s="58"/>
      <c r="G77" s="72"/>
      <c r="H77" s="55" t="str">
        <f aca="true">IF(OR($B77="",$G77=""),"",$G77-TODAY())</f>
        <v/>
      </c>
      <c r="I77" s="59" t="str">
        <f aca="true">IF($B77="","",IF($F77="Complete","Done",IF($F77="Cancelled","Cancelled",IF($G77="","No date",IF($G77&lt;TODAY(),"Overdue",IF($G77-TODAY()&lt;=14,"Due soon","On track"))))))</f>
        <v/>
      </c>
      <c r="J77" s="57"/>
    </row>
    <row r="78" customFormat="false" ht="30" hidden="false" customHeight="true" outlineLevel="0" collapsed="false">
      <c r="B78" s="67"/>
      <c r="C78" s="56" t="str">
        <f aca="false">IF($B78="","",IFERROR(INDEX('Risk Register'!$F$9:$F$158,MATCH($B78,'Risk Register'!$C$9:$C$158,0)),"Risk ID not found"))</f>
        <v/>
      </c>
      <c r="D78" s="66"/>
      <c r="E78" s="66"/>
      <c r="F78" s="67"/>
      <c r="G78" s="73"/>
      <c r="H78" s="55" t="str">
        <f aca="true">IF(OR($B78="",$G78=""),"",$G78-TODAY())</f>
        <v/>
      </c>
      <c r="I78" s="59" t="str">
        <f aca="true">IF($B78="","",IF($F78="Complete","Done",IF($F78="Cancelled","Cancelled",IF($G78="","No date",IF($G78&lt;TODAY(),"Overdue",IF($G78-TODAY()&lt;=14,"Due soon","On track"))))))</f>
        <v/>
      </c>
      <c r="J78" s="66"/>
    </row>
    <row r="79" customFormat="false" ht="30" hidden="false" customHeight="true" outlineLevel="0" collapsed="false">
      <c r="B79" s="58"/>
      <c r="C79" s="56" t="str">
        <f aca="false">IF($B79="","",IFERROR(INDEX('Risk Register'!$F$9:$F$158,MATCH($B79,'Risk Register'!$C$9:$C$158,0)),"Risk ID not found"))</f>
        <v/>
      </c>
      <c r="D79" s="57"/>
      <c r="E79" s="57"/>
      <c r="F79" s="58"/>
      <c r="G79" s="72"/>
      <c r="H79" s="55" t="str">
        <f aca="true">IF(OR($B79="",$G79=""),"",$G79-TODAY())</f>
        <v/>
      </c>
      <c r="I79" s="59" t="str">
        <f aca="true">IF($B79="","",IF($F79="Complete","Done",IF($F79="Cancelled","Cancelled",IF($G79="","No date",IF($G79&lt;TODAY(),"Overdue",IF($G79-TODAY()&lt;=14,"Due soon","On track"))))))</f>
        <v/>
      </c>
      <c r="J79" s="57"/>
    </row>
    <row r="80" customFormat="false" ht="30" hidden="false" customHeight="true" outlineLevel="0" collapsed="false">
      <c r="B80" s="67"/>
      <c r="C80" s="56" t="str">
        <f aca="false">IF($B80="","",IFERROR(INDEX('Risk Register'!$F$9:$F$158,MATCH($B80,'Risk Register'!$C$9:$C$158,0)),"Risk ID not found"))</f>
        <v/>
      </c>
      <c r="D80" s="66"/>
      <c r="E80" s="66"/>
      <c r="F80" s="67"/>
      <c r="G80" s="73"/>
      <c r="H80" s="55" t="str">
        <f aca="true">IF(OR($B80="",$G80=""),"",$G80-TODAY())</f>
        <v/>
      </c>
      <c r="I80" s="59" t="str">
        <f aca="true">IF($B80="","",IF($F80="Complete","Done",IF($F80="Cancelled","Cancelled",IF($G80="","No date",IF($G80&lt;TODAY(),"Overdue",IF($G80-TODAY()&lt;=14,"Due soon","On track"))))))</f>
        <v/>
      </c>
      <c r="J80" s="66"/>
    </row>
    <row r="81" customFormat="false" ht="30" hidden="false" customHeight="true" outlineLevel="0" collapsed="false">
      <c r="B81" s="58"/>
      <c r="C81" s="56" t="str">
        <f aca="false">IF($B81="","",IFERROR(INDEX('Risk Register'!$F$9:$F$158,MATCH($B81,'Risk Register'!$C$9:$C$158,0)),"Risk ID not found"))</f>
        <v/>
      </c>
      <c r="D81" s="57"/>
      <c r="E81" s="57"/>
      <c r="F81" s="58"/>
      <c r="G81" s="72"/>
      <c r="H81" s="55" t="str">
        <f aca="true">IF(OR($B81="",$G81=""),"",$G81-TODAY())</f>
        <v/>
      </c>
      <c r="I81" s="59" t="str">
        <f aca="true">IF($B81="","",IF($F81="Complete","Done",IF($F81="Cancelled","Cancelled",IF($G81="","No date",IF($G81&lt;TODAY(),"Overdue",IF($G81-TODAY()&lt;=14,"Due soon","On track"))))))</f>
        <v/>
      </c>
      <c r="J81" s="57"/>
    </row>
    <row r="82" customFormat="false" ht="30" hidden="false" customHeight="true" outlineLevel="0" collapsed="false">
      <c r="B82" s="67"/>
      <c r="C82" s="56" t="str">
        <f aca="false">IF($B82="","",IFERROR(INDEX('Risk Register'!$F$9:$F$158,MATCH($B82,'Risk Register'!$C$9:$C$158,0)),"Risk ID not found"))</f>
        <v/>
      </c>
      <c r="D82" s="66"/>
      <c r="E82" s="66"/>
      <c r="F82" s="67"/>
      <c r="G82" s="73"/>
      <c r="H82" s="55" t="str">
        <f aca="true">IF(OR($B82="",$G82=""),"",$G82-TODAY())</f>
        <v/>
      </c>
      <c r="I82" s="59" t="str">
        <f aca="true">IF($B82="","",IF($F82="Complete","Done",IF($F82="Cancelled","Cancelled",IF($G82="","No date",IF($G82&lt;TODAY(),"Overdue",IF($G82-TODAY()&lt;=14,"Due soon","On track"))))))</f>
        <v/>
      </c>
      <c r="J82" s="66"/>
    </row>
    <row r="83" customFormat="false" ht="30" hidden="false" customHeight="true" outlineLevel="0" collapsed="false">
      <c r="B83" s="58"/>
      <c r="C83" s="56" t="str">
        <f aca="false">IF($B83="","",IFERROR(INDEX('Risk Register'!$F$9:$F$158,MATCH($B83,'Risk Register'!$C$9:$C$158,0)),"Risk ID not found"))</f>
        <v/>
      </c>
      <c r="D83" s="57"/>
      <c r="E83" s="57"/>
      <c r="F83" s="58"/>
      <c r="G83" s="72"/>
      <c r="H83" s="55" t="str">
        <f aca="true">IF(OR($B83="",$G83=""),"",$G83-TODAY())</f>
        <v/>
      </c>
      <c r="I83" s="59" t="str">
        <f aca="true">IF($B83="","",IF($F83="Complete","Done",IF($F83="Cancelled","Cancelled",IF($G83="","No date",IF($G83&lt;TODAY(),"Overdue",IF($G83-TODAY()&lt;=14,"Due soon","On track"))))))</f>
        <v/>
      </c>
      <c r="J83" s="57"/>
    </row>
    <row r="84" customFormat="false" ht="30" hidden="false" customHeight="true" outlineLevel="0" collapsed="false">
      <c r="B84" s="67"/>
      <c r="C84" s="56" t="str">
        <f aca="false">IF($B84="","",IFERROR(INDEX('Risk Register'!$F$9:$F$158,MATCH($B84,'Risk Register'!$C$9:$C$158,0)),"Risk ID not found"))</f>
        <v/>
      </c>
      <c r="D84" s="66"/>
      <c r="E84" s="66"/>
      <c r="F84" s="67"/>
      <c r="G84" s="73"/>
      <c r="H84" s="55" t="str">
        <f aca="true">IF(OR($B84="",$G84=""),"",$G84-TODAY())</f>
        <v/>
      </c>
      <c r="I84" s="59" t="str">
        <f aca="true">IF($B84="","",IF($F84="Complete","Done",IF($F84="Cancelled","Cancelled",IF($G84="","No date",IF($G84&lt;TODAY(),"Overdue",IF($G84-TODAY()&lt;=14,"Due soon","On track"))))))</f>
        <v/>
      </c>
      <c r="J84" s="66"/>
    </row>
    <row r="85" customFormat="false" ht="30" hidden="false" customHeight="true" outlineLevel="0" collapsed="false">
      <c r="B85" s="58"/>
      <c r="C85" s="56" t="str">
        <f aca="false">IF($B85="","",IFERROR(INDEX('Risk Register'!$F$9:$F$158,MATCH($B85,'Risk Register'!$C$9:$C$158,0)),"Risk ID not found"))</f>
        <v/>
      </c>
      <c r="D85" s="57"/>
      <c r="E85" s="57"/>
      <c r="F85" s="58"/>
      <c r="G85" s="72"/>
      <c r="H85" s="55" t="str">
        <f aca="true">IF(OR($B85="",$G85=""),"",$G85-TODAY())</f>
        <v/>
      </c>
      <c r="I85" s="59" t="str">
        <f aca="true">IF($B85="","",IF($F85="Complete","Done",IF($F85="Cancelled","Cancelled",IF($G85="","No date",IF($G85&lt;TODAY(),"Overdue",IF($G85-TODAY()&lt;=14,"Due soon","On track"))))))</f>
        <v/>
      </c>
      <c r="J85" s="57"/>
    </row>
    <row r="86" customFormat="false" ht="30" hidden="false" customHeight="true" outlineLevel="0" collapsed="false">
      <c r="B86" s="67"/>
      <c r="C86" s="56" t="str">
        <f aca="false">IF($B86="","",IFERROR(INDEX('Risk Register'!$F$9:$F$158,MATCH($B86,'Risk Register'!$C$9:$C$158,0)),"Risk ID not found"))</f>
        <v/>
      </c>
      <c r="D86" s="66"/>
      <c r="E86" s="66"/>
      <c r="F86" s="67"/>
      <c r="G86" s="73"/>
      <c r="H86" s="55" t="str">
        <f aca="true">IF(OR($B86="",$G86=""),"",$G86-TODAY())</f>
        <v/>
      </c>
      <c r="I86" s="59" t="str">
        <f aca="true">IF($B86="","",IF($F86="Complete","Done",IF($F86="Cancelled","Cancelled",IF($G86="","No date",IF($G86&lt;TODAY(),"Overdue",IF($G86-TODAY()&lt;=14,"Due soon","On track"))))))</f>
        <v/>
      </c>
      <c r="J86" s="66"/>
    </row>
    <row r="87" customFormat="false" ht="30" hidden="false" customHeight="true" outlineLevel="0" collapsed="false">
      <c r="B87" s="58"/>
      <c r="C87" s="56" t="str">
        <f aca="false">IF($B87="","",IFERROR(INDEX('Risk Register'!$F$9:$F$158,MATCH($B87,'Risk Register'!$C$9:$C$158,0)),"Risk ID not found"))</f>
        <v/>
      </c>
      <c r="D87" s="57"/>
      <c r="E87" s="57"/>
      <c r="F87" s="58"/>
      <c r="G87" s="72"/>
      <c r="H87" s="55" t="str">
        <f aca="true">IF(OR($B87="",$G87=""),"",$G87-TODAY())</f>
        <v/>
      </c>
      <c r="I87" s="59" t="str">
        <f aca="true">IF($B87="","",IF($F87="Complete","Done",IF($F87="Cancelled","Cancelled",IF($G87="","No date",IF($G87&lt;TODAY(),"Overdue",IF($G87-TODAY()&lt;=14,"Due soon","On track"))))))</f>
        <v/>
      </c>
      <c r="J87" s="57"/>
    </row>
    <row r="88" customFormat="false" ht="30" hidden="false" customHeight="true" outlineLevel="0" collapsed="false">
      <c r="B88" s="67"/>
      <c r="C88" s="56" t="str">
        <f aca="false">IF($B88="","",IFERROR(INDEX('Risk Register'!$F$9:$F$158,MATCH($B88,'Risk Register'!$C$9:$C$158,0)),"Risk ID not found"))</f>
        <v/>
      </c>
      <c r="D88" s="66"/>
      <c r="E88" s="66"/>
      <c r="F88" s="67"/>
      <c r="G88" s="73"/>
      <c r="H88" s="55" t="str">
        <f aca="true">IF(OR($B88="",$G88=""),"",$G88-TODAY())</f>
        <v/>
      </c>
      <c r="I88" s="59" t="str">
        <f aca="true">IF($B88="","",IF($F88="Complete","Done",IF($F88="Cancelled","Cancelled",IF($G88="","No date",IF($G88&lt;TODAY(),"Overdue",IF($G88-TODAY()&lt;=14,"Due soon","On track"))))))</f>
        <v/>
      </c>
      <c r="J88" s="66"/>
    </row>
    <row r="89" customFormat="false" ht="30" hidden="false" customHeight="true" outlineLevel="0" collapsed="false">
      <c r="B89" s="58"/>
      <c r="C89" s="56" t="str">
        <f aca="false">IF($B89="","",IFERROR(INDEX('Risk Register'!$F$9:$F$158,MATCH($B89,'Risk Register'!$C$9:$C$158,0)),"Risk ID not found"))</f>
        <v/>
      </c>
      <c r="D89" s="57"/>
      <c r="E89" s="57"/>
      <c r="F89" s="58"/>
      <c r="G89" s="72"/>
      <c r="H89" s="55" t="str">
        <f aca="true">IF(OR($B89="",$G89=""),"",$G89-TODAY())</f>
        <v/>
      </c>
      <c r="I89" s="59" t="str">
        <f aca="true">IF($B89="","",IF($F89="Complete","Done",IF($F89="Cancelled","Cancelled",IF($G89="","No date",IF($G89&lt;TODAY(),"Overdue",IF($G89-TODAY()&lt;=14,"Due soon","On track"))))))</f>
        <v/>
      </c>
      <c r="J89" s="57"/>
    </row>
    <row r="90" customFormat="false" ht="30" hidden="false" customHeight="true" outlineLevel="0" collapsed="false">
      <c r="B90" s="67"/>
      <c r="C90" s="56" t="str">
        <f aca="false">IF($B90="","",IFERROR(INDEX('Risk Register'!$F$9:$F$158,MATCH($B90,'Risk Register'!$C$9:$C$158,0)),"Risk ID not found"))</f>
        <v/>
      </c>
      <c r="D90" s="66"/>
      <c r="E90" s="66"/>
      <c r="F90" s="67"/>
      <c r="G90" s="73"/>
      <c r="H90" s="55" t="str">
        <f aca="true">IF(OR($B90="",$G90=""),"",$G90-TODAY())</f>
        <v/>
      </c>
      <c r="I90" s="59" t="str">
        <f aca="true">IF($B90="","",IF($F90="Complete","Done",IF($F90="Cancelled","Cancelled",IF($G90="","No date",IF($G90&lt;TODAY(),"Overdue",IF($G90-TODAY()&lt;=14,"Due soon","On track"))))))</f>
        <v/>
      </c>
      <c r="J90" s="66"/>
    </row>
    <row r="91" customFormat="false" ht="30" hidden="false" customHeight="true" outlineLevel="0" collapsed="false">
      <c r="B91" s="58"/>
      <c r="C91" s="56" t="str">
        <f aca="false">IF($B91="","",IFERROR(INDEX('Risk Register'!$F$9:$F$158,MATCH($B91,'Risk Register'!$C$9:$C$158,0)),"Risk ID not found"))</f>
        <v/>
      </c>
      <c r="D91" s="57"/>
      <c r="E91" s="57"/>
      <c r="F91" s="58"/>
      <c r="G91" s="72"/>
      <c r="H91" s="55" t="str">
        <f aca="true">IF(OR($B91="",$G91=""),"",$G91-TODAY())</f>
        <v/>
      </c>
      <c r="I91" s="59" t="str">
        <f aca="true">IF($B91="","",IF($F91="Complete","Done",IF($F91="Cancelled","Cancelled",IF($G91="","No date",IF($G91&lt;TODAY(),"Overdue",IF($G91-TODAY()&lt;=14,"Due soon","On track"))))))</f>
        <v/>
      </c>
      <c r="J91" s="57"/>
    </row>
    <row r="92" customFormat="false" ht="30" hidden="false" customHeight="true" outlineLevel="0" collapsed="false">
      <c r="B92" s="67"/>
      <c r="C92" s="56" t="str">
        <f aca="false">IF($B92="","",IFERROR(INDEX('Risk Register'!$F$9:$F$158,MATCH($B92,'Risk Register'!$C$9:$C$158,0)),"Risk ID not found"))</f>
        <v/>
      </c>
      <c r="D92" s="66"/>
      <c r="E92" s="66"/>
      <c r="F92" s="67"/>
      <c r="G92" s="73"/>
      <c r="H92" s="55" t="str">
        <f aca="true">IF(OR($B92="",$G92=""),"",$G92-TODAY())</f>
        <v/>
      </c>
      <c r="I92" s="59" t="str">
        <f aca="true">IF($B92="","",IF($F92="Complete","Done",IF($F92="Cancelled","Cancelled",IF($G92="","No date",IF($G92&lt;TODAY(),"Overdue",IF($G92-TODAY()&lt;=14,"Due soon","On track"))))))</f>
        <v/>
      </c>
      <c r="J92" s="66"/>
    </row>
    <row r="93" customFormat="false" ht="30" hidden="false" customHeight="true" outlineLevel="0" collapsed="false">
      <c r="B93" s="58"/>
      <c r="C93" s="56" t="str">
        <f aca="false">IF($B93="","",IFERROR(INDEX('Risk Register'!$F$9:$F$158,MATCH($B93,'Risk Register'!$C$9:$C$158,0)),"Risk ID not found"))</f>
        <v/>
      </c>
      <c r="D93" s="57"/>
      <c r="E93" s="57"/>
      <c r="F93" s="58"/>
      <c r="G93" s="72"/>
      <c r="H93" s="55" t="str">
        <f aca="true">IF(OR($B93="",$G93=""),"",$G93-TODAY())</f>
        <v/>
      </c>
      <c r="I93" s="59" t="str">
        <f aca="true">IF($B93="","",IF($F93="Complete","Done",IF($F93="Cancelled","Cancelled",IF($G93="","No date",IF($G93&lt;TODAY(),"Overdue",IF($G93-TODAY()&lt;=14,"Due soon","On track"))))))</f>
        <v/>
      </c>
      <c r="J93" s="57"/>
    </row>
    <row r="94" customFormat="false" ht="30" hidden="false" customHeight="true" outlineLevel="0" collapsed="false">
      <c r="B94" s="67"/>
      <c r="C94" s="56" t="str">
        <f aca="false">IF($B94="","",IFERROR(INDEX('Risk Register'!$F$9:$F$158,MATCH($B94,'Risk Register'!$C$9:$C$158,0)),"Risk ID not found"))</f>
        <v/>
      </c>
      <c r="D94" s="66"/>
      <c r="E94" s="66"/>
      <c r="F94" s="67"/>
      <c r="G94" s="73"/>
      <c r="H94" s="55" t="str">
        <f aca="true">IF(OR($B94="",$G94=""),"",$G94-TODAY())</f>
        <v/>
      </c>
      <c r="I94" s="59" t="str">
        <f aca="true">IF($B94="","",IF($F94="Complete","Done",IF($F94="Cancelled","Cancelled",IF($G94="","No date",IF($G94&lt;TODAY(),"Overdue",IF($G94-TODAY()&lt;=14,"Due soon","On track"))))))</f>
        <v/>
      </c>
      <c r="J94" s="66"/>
    </row>
    <row r="95" customFormat="false" ht="30" hidden="false" customHeight="true" outlineLevel="0" collapsed="false">
      <c r="B95" s="58"/>
      <c r="C95" s="56" t="str">
        <f aca="false">IF($B95="","",IFERROR(INDEX('Risk Register'!$F$9:$F$158,MATCH($B95,'Risk Register'!$C$9:$C$158,0)),"Risk ID not found"))</f>
        <v/>
      </c>
      <c r="D95" s="57"/>
      <c r="E95" s="57"/>
      <c r="F95" s="58"/>
      <c r="G95" s="72"/>
      <c r="H95" s="55" t="str">
        <f aca="true">IF(OR($B95="",$G95=""),"",$G95-TODAY())</f>
        <v/>
      </c>
      <c r="I95" s="59" t="str">
        <f aca="true">IF($B95="","",IF($F95="Complete","Done",IF($F95="Cancelled","Cancelled",IF($G95="","No date",IF($G95&lt;TODAY(),"Overdue",IF($G95-TODAY()&lt;=14,"Due soon","On track"))))))</f>
        <v/>
      </c>
      <c r="J95" s="57"/>
    </row>
    <row r="96" customFormat="false" ht="30" hidden="false" customHeight="true" outlineLevel="0" collapsed="false">
      <c r="B96" s="67"/>
      <c r="C96" s="56" t="str">
        <f aca="false">IF($B96="","",IFERROR(INDEX('Risk Register'!$F$9:$F$158,MATCH($B96,'Risk Register'!$C$9:$C$158,0)),"Risk ID not found"))</f>
        <v/>
      </c>
      <c r="D96" s="66"/>
      <c r="E96" s="66"/>
      <c r="F96" s="67"/>
      <c r="G96" s="73"/>
      <c r="H96" s="55" t="str">
        <f aca="true">IF(OR($B96="",$G96=""),"",$G96-TODAY())</f>
        <v/>
      </c>
      <c r="I96" s="59" t="str">
        <f aca="true">IF($B96="","",IF($F96="Complete","Done",IF($F96="Cancelled","Cancelled",IF($G96="","No date",IF($G96&lt;TODAY(),"Overdue",IF($G96-TODAY()&lt;=14,"Due soon","On track"))))))</f>
        <v/>
      </c>
      <c r="J96" s="66"/>
    </row>
    <row r="97" customFormat="false" ht="30" hidden="false" customHeight="true" outlineLevel="0" collapsed="false">
      <c r="B97" s="58"/>
      <c r="C97" s="56" t="str">
        <f aca="false">IF($B97="","",IFERROR(INDEX('Risk Register'!$F$9:$F$158,MATCH($B97,'Risk Register'!$C$9:$C$158,0)),"Risk ID not found"))</f>
        <v/>
      </c>
      <c r="D97" s="57"/>
      <c r="E97" s="57"/>
      <c r="F97" s="58"/>
      <c r="G97" s="72"/>
      <c r="H97" s="55" t="str">
        <f aca="true">IF(OR($B97="",$G97=""),"",$G97-TODAY())</f>
        <v/>
      </c>
      <c r="I97" s="59" t="str">
        <f aca="true">IF($B97="","",IF($F97="Complete","Done",IF($F97="Cancelled","Cancelled",IF($G97="","No date",IF($G97&lt;TODAY(),"Overdue",IF($G97-TODAY()&lt;=14,"Due soon","On track"))))))</f>
        <v/>
      </c>
      <c r="J97" s="57"/>
    </row>
    <row r="98" customFormat="false" ht="30" hidden="false" customHeight="true" outlineLevel="0" collapsed="false">
      <c r="B98" s="67"/>
      <c r="C98" s="56" t="str">
        <f aca="false">IF($B98="","",IFERROR(INDEX('Risk Register'!$F$9:$F$158,MATCH($B98,'Risk Register'!$C$9:$C$158,0)),"Risk ID not found"))</f>
        <v/>
      </c>
      <c r="D98" s="66"/>
      <c r="E98" s="66"/>
      <c r="F98" s="67"/>
      <c r="G98" s="73"/>
      <c r="H98" s="55" t="str">
        <f aca="true">IF(OR($B98="",$G98=""),"",$G98-TODAY())</f>
        <v/>
      </c>
      <c r="I98" s="59" t="str">
        <f aca="true">IF($B98="","",IF($F98="Complete","Done",IF($F98="Cancelled","Cancelled",IF($G98="","No date",IF($G98&lt;TODAY(),"Overdue",IF($G98-TODAY()&lt;=14,"Due soon","On track"))))))</f>
        <v/>
      </c>
      <c r="J98" s="66"/>
    </row>
    <row r="99" customFormat="false" ht="30" hidden="false" customHeight="true" outlineLevel="0" collapsed="false">
      <c r="B99" s="58"/>
      <c r="C99" s="56" t="str">
        <f aca="false">IF($B99="","",IFERROR(INDEX('Risk Register'!$F$9:$F$158,MATCH($B99,'Risk Register'!$C$9:$C$158,0)),"Risk ID not found"))</f>
        <v/>
      </c>
      <c r="D99" s="57"/>
      <c r="E99" s="57"/>
      <c r="F99" s="58"/>
      <c r="G99" s="72"/>
      <c r="H99" s="55" t="str">
        <f aca="true">IF(OR($B99="",$G99=""),"",$G99-TODAY())</f>
        <v/>
      </c>
      <c r="I99" s="59" t="str">
        <f aca="true">IF($B99="","",IF($F99="Complete","Done",IF($F99="Cancelled","Cancelled",IF($G99="","No date",IF($G99&lt;TODAY(),"Overdue",IF($G99-TODAY()&lt;=14,"Due soon","On track"))))))</f>
        <v/>
      </c>
      <c r="J99" s="57"/>
    </row>
    <row r="100" customFormat="false" ht="30" hidden="false" customHeight="true" outlineLevel="0" collapsed="false">
      <c r="B100" s="67"/>
      <c r="C100" s="56" t="str">
        <f aca="false">IF($B100="","",IFERROR(INDEX('Risk Register'!$F$9:$F$158,MATCH($B100,'Risk Register'!$C$9:$C$158,0)),"Risk ID not found"))</f>
        <v/>
      </c>
      <c r="D100" s="66"/>
      <c r="E100" s="66"/>
      <c r="F100" s="67"/>
      <c r="G100" s="73"/>
      <c r="H100" s="55" t="str">
        <f aca="true">IF(OR($B100="",$G100=""),"",$G100-TODAY())</f>
        <v/>
      </c>
      <c r="I100" s="59" t="str">
        <f aca="true">IF($B100="","",IF($F100="Complete","Done",IF($F100="Cancelled","Cancelled",IF($G100="","No date",IF($G100&lt;TODAY(),"Overdue",IF($G100-TODAY()&lt;=14,"Due soon","On track"))))))</f>
        <v/>
      </c>
      <c r="J100" s="66"/>
    </row>
    <row r="101" customFormat="false" ht="30" hidden="false" customHeight="true" outlineLevel="0" collapsed="false">
      <c r="B101" s="58"/>
      <c r="C101" s="56" t="str">
        <f aca="false">IF($B101="","",IFERROR(INDEX('Risk Register'!$F$9:$F$158,MATCH($B101,'Risk Register'!$C$9:$C$158,0)),"Risk ID not found"))</f>
        <v/>
      </c>
      <c r="D101" s="57"/>
      <c r="E101" s="57"/>
      <c r="F101" s="58"/>
      <c r="G101" s="72"/>
      <c r="H101" s="55" t="str">
        <f aca="true">IF(OR($B101="",$G101=""),"",$G101-TODAY())</f>
        <v/>
      </c>
      <c r="I101" s="59" t="str">
        <f aca="true">IF($B101="","",IF($F101="Complete","Done",IF($F101="Cancelled","Cancelled",IF($G101="","No date",IF($G101&lt;TODAY(),"Overdue",IF($G101-TODAY()&lt;=14,"Due soon","On track"))))))</f>
        <v/>
      </c>
      <c r="J101" s="57"/>
    </row>
    <row r="102" customFormat="false" ht="30" hidden="false" customHeight="true" outlineLevel="0" collapsed="false">
      <c r="B102" s="67"/>
      <c r="C102" s="56" t="str">
        <f aca="false">IF($B102="","",IFERROR(INDEX('Risk Register'!$F$9:$F$158,MATCH($B102,'Risk Register'!$C$9:$C$158,0)),"Risk ID not found"))</f>
        <v/>
      </c>
      <c r="D102" s="66"/>
      <c r="E102" s="66"/>
      <c r="F102" s="67"/>
      <c r="G102" s="73"/>
      <c r="H102" s="55" t="str">
        <f aca="true">IF(OR($B102="",$G102=""),"",$G102-TODAY())</f>
        <v/>
      </c>
      <c r="I102" s="59" t="str">
        <f aca="true">IF($B102="","",IF($F102="Complete","Done",IF($F102="Cancelled","Cancelled",IF($G102="","No date",IF($G102&lt;TODAY(),"Overdue",IF($G102-TODAY()&lt;=14,"Due soon","On track"))))))</f>
        <v/>
      </c>
      <c r="J102" s="66"/>
    </row>
    <row r="103" customFormat="false" ht="30" hidden="false" customHeight="true" outlineLevel="0" collapsed="false">
      <c r="B103" s="58"/>
      <c r="C103" s="56" t="str">
        <f aca="false">IF($B103="","",IFERROR(INDEX('Risk Register'!$F$9:$F$158,MATCH($B103,'Risk Register'!$C$9:$C$158,0)),"Risk ID not found"))</f>
        <v/>
      </c>
      <c r="D103" s="57"/>
      <c r="E103" s="57"/>
      <c r="F103" s="58"/>
      <c r="G103" s="72"/>
      <c r="H103" s="55" t="str">
        <f aca="true">IF(OR($B103="",$G103=""),"",$G103-TODAY())</f>
        <v/>
      </c>
      <c r="I103" s="59" t="str">
        <f aca="true">IF($B103="","",IF($F103="Complete","Done",IF($F103="Cancelled","Cancelled",IF($G103="","No date",IF($G103&lt;TODAY(),"Overdue",IF($G103-TODAY()&lt;=14,"Due soon","On track"))))))</f>
        <v/>
      </c>
      <c r="J103" s="57"/>
    </row>
    <row r="104" customFormat="false" ht="30" hidden="false" customHeight="true" outlineLevel="0" collapsed="false">
      <c r="B104" s="67"/>
      <c r="C104" s="56" t="str">
        <f aca="false">IF($B104="","",IFERROR(INDEX('Risk Register'!$F$9:$F$158,MATCH($B104,'Risk Register'!$C$9:$C$158,0)),"Risk ID not found"))</f>
        <v/>
      </c>
      <c r="D104" s="66"/>
      <c r="E104" s="66"/>
      <c r="F104" s="67"/>
      <c r="G104" s="73"/>
      <c r="H104" s="55" t="str">
        <f aca="true">IF(OR($B104="",$G104=""),"",$G104-TODAY())</f>
        <v/>
      </c>
      <c r="I104" s="59" t="str">
        <f aca="true">IF($B104="","",IF($F104="Complete","Done",IF($F104="Cancelled","Cancelled",IF($G104="","No date",IF($G104&lt;TODAY(),"Overdue",IF($G104-TODAY()&lt;=14,"Due soon","On track"))))))</f>
        <v/>
      </c>
      <c r="J104" s="66"/>
    </row>
    <row r="105" customFormat="false" ht="30" hidden="false" customHeight="true" outlineLevel="0" collapsed="false">
      <c r="B105" s="58"/>
      <c r="C105" s="56" t="str">
        <f aca="false">IF($B105="","",IFERROR(INDEX('Risk Register'!$F$9:$F$158,MATCH($B105,'Risk Register'!$C$9:$C$158,0)),"Risk ID not found"))</f>
        <v/>
      </c>
      <c r="D105" s="57"/>
      <c r="E105" s="57"/>
      <c r="F105" s="58"/>
      <c r="G105" s="72"/>
      <c r="H105" s="55" t="str">
        <f aca="true">IF(OR($B105="",$G105=""),"",$G105-TODAY())</f>
        <v/>
      </c>
      <c r="I105" s="59" t="str">
        <f aca="true">IF($B105="","",IF($F105="Complete","Done",IF($F105="Cancelled","Cancelled",IF($G105="","No date",IF($G105&lt;TODAY(),"Overdue",IF($G105-TODAY()&lt;=14,"Due soon","On track"))))))</f>
        <v/>
      </c>
      <c r="J105" s="57"/>
    </row>
    <row r="106" customFormat="false" ht="30" hidden="false" customHeight="true" outlineLevel="0" collapsed="false">
      <c r="B106" s="67"/>
      <c r="C106" s="56" t="str">
        <f aca="false">IF($B106="","",IFERROR(INDEX('Risk Register'!$F$9:$F$158,MATCH($B106,'Risk Register'!$C$9:$C$158,0)),"Risk ID not found"))</f>
        <v/>
      </c>
      <c r="D106" s="66"/>
      <c r="E106" s="66"/>
      <c r="F106" s="67"/>
      <c r="G106" s="73"/>
      <c r="H106" s="55" t="str">
        <f aca="true">IF(OR($B106="",$G106=""),"",$G106-TODAY())</f>
        <v/>
      </c>
      <c r="I106" s="59" t="str">
        <f aca="true">IF($B106="","",IF($F106="Complete","Done",IF($F106="Cancelled","Cancelled",IF($G106="","No date",IF($G106&lt;TODAY(),"Overdue",IF($G106-TODAY()&lt;=14,"Due soon","On track"))))))</f>
        <v/>
      </c>
      <c r="J106" s="66"/>
    </row>
    <row r="107" customFormat="false" ht="30" hidden="false" customHeight="true" outlineLevel="0" collapsed="false">
      <c r="B107" s="58"/>
      <c r="C107" s="56" t="str">
        <f aca="false">IF($B107="","",IFERROR(INDEX('Risk Register'!$F$9:$F$158,MATCH($B107,'Risk Register'!$C$9:$C$158,0)),"Risk ID not found"))</f>
        <v/>
      </c>
      <c r="D107" s="57"/>
      <c r="E107" s="57"/>
      <c r="F107" s="58"/>
      <c r="G107" s="72"/>
      <c r="H107" s="55" t="str">
        <f aca="true">IF(OR($B107="",$G107=""),"",$G107-TODAY())</f>
        <v/>
      </c>
      <c r="I107" s="59" t="str">
        <f aca="true">IF($B107="","",IF($F107="Complete","Done",IF($F107="Cancelled","Cancelled",IF($G107="","No date",IF($G107&lt;TODAY(),"Overdue",IF($G107-TODAY()&lt;=14,"Due soon","On track"))))))</f>
        <v/>
      </c>
      <c r="J107" s="57"/>
    </row>
    <row r="108" customFormat="false" ht="30" hidden="false" customHeight="true" outlineLevel="0" collapsed="false">
      <c r="B108" s="67"/>
      <c r="C108" s="56" t="str">
        <f aca="false">IF($B108="","",IFERROR(INDEX('Risk Register'!$F$9:$F$158,MATCH($B108,'Risk Register'!$C$9:$C$158,0)),"Risk ID not found"))</f>
        <v/>
      </c>
      <c r="D108" s="66"/>
      <c r="E108" s="66"/>
      <c r="F108" s="67"/>
      <c r="G108" s="73"/>
      <c r="H108" s="55" t="str">
        <f aca="true">IF(OR($B108="",$G108=""),"",$G108-TODAY())</f>
        <v/>
      </c>
      <c r="I108" s="59" t="str">
        <f aca="true">IF($B108="","",IF($F108="Complete","Done",IF($F108="Cancelled","Cancelled",IF($G108="","No date",IF($G108&lt;TODAY(),"Overdue",IF($G108-TODAY()&lt;=14,"Due soon","On track"))))))</f>
        <v/>
      </c>
      <c r="J108" s="66"/>
    </row>
    <row r="109" customFormat="false" ht="30" hidden="false" customHeight="true" outlineLevel="0" collapsed="false">
      <c r="B109" s="58"/>
      <c r="C109" s="56" t="str">
        <f aca="false">IF($B109="","",IFERROR(INDEX('Risk Register'!$F$9:$F$158,MATCH($B109,'Risk Register'!$C$9:$C$158,0)),"Risk ID not found"))</f>
        <v/>
      </c>
      <c r="D109" s="57"/>
      <c r="E109" s="57"/>
      <c r="F109" s="58"/>
      <c r="G109" s="72"/>
      <c r="H109" s="55" t="str">
        <f aca="true">IF(OR($B109="",$G109=""),"",$G109-TODAY())</f>
        <v/>
      </c>
      <c r="I109" s="59" t="str">
        <f aca="true">IF($B109="","",IF($F109="Complete","Done",IF($F109="Cancelled","Cancelled",IF($G109="","No date",IF($G109&lt;TODAY(),"Overdue",IF($G109-TODAY()&lt;=14,"Due soon","On track"))))))</f>
        <v/>
      </c>
      <c r="J109" s="57"/>
    </row>
    <row r="110" customFormat="false" ht="30" hidden="false" customHeight="true" outlineLevel="0" collapsed="false">
      <c r="B110" s="67"/>
      <c r="C110" s="56" t="str">
        <f aca="false">IF($B110="","",IFERROR(INDEX('Risk Register'!$F$9:$F$158,MATCH($B110,'Risk Register'!$C$9:$C$158,0)),"Risk ID not found"))</f>
        <v/>
      </c>
      <c r="D110" s="66"/>
      <c r="E110" s="66"/>
      <c r="F110" s="67"/>
      <c r="G110" s="73"/>
      <c r="H110" s="55" t="str">
        <f aca="true">IF(OR($B110="",$G110=""),"",$G110-TODAY())</f>
        <v/>
      </c>
      <c r="I110" s="59" t="str">
        <f aca="true">IF($B110="","",IF($F110="Complete","Done",IF($F110="Cancelled","Cancelled",IF($G110="","No date",IF($G110&lt;TODAY(),"Overdue",IF($G110-TODAY()&lt;=14,"Due soon","On track"))))))</f>
        <v/>
      </c>
      <c r="J110" s="66"/>
    </row>
    <row r="111" customFormat="false" ht="30" hidden="false" customHeight="true" outlineLevel="0" collapsed="false">
      <c r="B111" s="58"/>
      <c r="C111" s="56" t="str">
        <f aca="false">IF($B111="","",IFERROR(INDEX('Risk Register'!$F$9:$F$158,MATCH($B111,'Risk Register'!$C$9:$C$158,0)),"Risk ID not found"))</f>
        <v/>
      </c>
      <c r="D111" s="57"/>
      <c r="E111" s="57"/>
      <c r="F111" s="58"/>
      <c r="G111" s="72"/>
      <c r="H111" s="55" t="str">
        <f aca="true">IF(OR($B111="",$G111=""),"",$G111-TODAY())</f>
        <v/>
      </c>
      <c r="I111" s="59" t="str">
        <f aca="true">IF($B111="","",IF($F111="Complete","Done",IF($F111="Cancelled","Cancelled",IF($G111="","No date",IF($G111&lt;TODAY(),"Overdue",IF($G111-TODAY()&lt;=14,"Due soon","On track"))))))</f>
        <v/>
      </c>
      <c r="J111" s="57"/>
    </row>
    <row r="112" customFormat="false" ht="30" hidden="false" customHeight="true" outlineLevel="0" collapsed="false">
      <c r="B112" s="67"/>
      <c r="C112" s="56" t="str">
        <f aca="false">IF($B112="","",IFERROR(INDEX('Risk Register'!$F$9:$F$158,MATCH($B112,'Risk Register'!$C$9:$C$158,0)),"Risk ID not found"))</f>
        <v/>
      </c>
      <c r="D112" s="66"/>
      <c r="E112" s="66"/>
      <c r="F112" s="67"/>
      <c r="G112" s="73"/>
      <c r="H112" s="55" t="str">
        <f aca="true">IF(OR($B112="",$G112=""),"",$G112-TODAY())</f>
        <v/>
      </c>
      <c r="I112" s="59" t="str">
        <f aca="true">IF($B112="","",IF($F112="Complete","Done",IF($F112="Cancelled","Cancelled",IF($G112="","No date",IF($G112&lt;TODAY(),"Overdue",IF($G112-TODAY()&lt;=14,"Due soon","On track"))))))</f>
        <v/>
      </c>
      <c r="J112" s="66"/>
    </row>
    <row r="113" customFormat="false" ht="30" hidden="false" customHeight="true" outlineLevel="0" collapsed="false">
      <c r="B113" s="58"/>
      <c r="C113" s="56" t="str">
        <f aca="false">IF($B113="","",IFERROR(INDEX('Risk Register'!$F$9:$F$158,MATCH($B113,'Risk Register'!$C$9:$C$158,0)),"Risk ID not found"))</f>
        <v/>
      </c>
      <c r="D113" s="57"/>
      <c r="E113" s="57"/>
      <c r="F113" s="58"/>
      <c r="G113" s="72"/>
      <c r="H113" s="55" t="str">
        <f aca="true">IF(OR($B113="",$G113=""),"",$G113-TODAY())</f>
        <v/>
      </c>
      <c r="I113" s="59" t="str">
        <f aca="true">IF($B113="","",IF($F113="Complete","Done",IF($F113="Cancelled","Cancelled",IF($G113="","No date",IF($G113&lt;TODAY(),"Overdue",IF($G113-TODAY()&lt;=14,"Due soon","On track"))))))</f>
        <v/>
      </c>
      <c r="J113" s="57"/>
    </row>
    <row r="114" customFormat="false" ht="30" hidden="false" customHeight="true" outlineLevel="0" collapsed="false">
      <c r="B114" s="67"/>
      <c r="C114" s="56" t="str">
        <f aca="false">IF($B114="","",IFERROR(INDEX('Risk Register'!$F$9:$F$158,MATCH($B114,'Risk Register'!$C$9:$C$158,0)),"Risk ID not found"))</f>
        <v/>
      </c>
      <c r="D114" s="66"/>
      <c r="E114" s="66"/>
      <c r="F114" s="67"/>
      <c r="G114" s="73"/>
      <c r="H114" s="55" t="str">
        <f aca="true">IF(OR($B114="",$G114=""),"",$G114-TODAY())</f>
        <v/>
      </c>
      <c r="I114" s="59" t="str">
        <f aca="true">IF($B114="","",IF($F114="Complete","Done",IF($F114="Cancelled","Cancelled",IF($G114="","No date",IF($G114&lt;TODAY(),"Overdue",IF($G114-TODAY()&lt;=14,"Due soon","On track"))))))</f>
        <v/>
      </c>
      <c r="J114" s="66"/>
    </row>
    <row r="115" customFormat="false" ht="30" hidden="false" customHeight="true" outlineLevel="0" collapsed="false">
      <c r="B115" s="58"/>
      <c r="C115" s="56" t="str">
        <f aca="false">IF($B115="","",IFERROR(INDEX('Risk Register'!$F$9:$F$158,MATCH($B115,'Risk Register'!$C$9:$C$158,0)),"Risk ID not found"))</f>
        <v/>
      </c>
      <c r="D115" s="57"/>
      <c r="E115" s="57"/>
      <c r="F115" s="58"/>
      <c r="G115" s="72"/>
      <c r="H115" s="55" t="str">
        <f aca="true">IF(OR($B115="",$G115=""),"",$G115-TODAY())</f>
        <v/>
      </c>
      <c r="I115" s="59" t="str">
        <f aca="true">IF($B115="","",IF($F115="Complete","Done",IF($F115="Cancelled","Cancelled",IF($G115="","No date",IF($G115&lt;TODAY(),"Overdue",IF($G115-TODAY()&lt;=14,"Due soon","On track"))))))</f>
        <v/>
      </c>
      <c r="J115" s="57"/>
    </row>
    <row r="116" customFormat="false" ht="30" hidden="false" customHeight="true" outlineLevel="0" collapsed="false">
      <c r="B116" s="67"/>
      <c r="C116" s="56" t="str">
        <f aca="false">IF($B116="","",IFERROR(INDEX('Risk Register'!$F$9:$F$158,MATCH($B116,'Risk Register'!$C$9:$C$158,0)),"Risk ID not found"))</f>
        <v/>
      </c>
      <c r="D116" s="66"/>
      <c r="E116" s="66"/>
      <c r="F116" s="67"/>
      <c r="G116" s="73"/>
      <c r="H116" s="55" t="str">
        <f aca="true">IF(OR($B116="",$G116=""),"",$G116-TODAY())</f>
        <v/>
      </c>
      <c r="I116" s="59" t="str">
        <f aca="true">IF($B116="","",IF($F116="Complete","Done",IF($F116="Cancelled","Cancelled",IF($G116="","No date",IF($G116&lt;TODAY(),"Overdue",IF($G116-TODAY()&lt;=14,"Due soon","On track"))))))</f>
        <v/>
      </c>
      <c r="J116" s="66"/>
    </row>
    <row r="117" customFormat="false" ht="30" hidden="false" customHeight="true" outlineLevel="0" collapsed="false">
      <c r="B117" s="58"/>
      <c r="C117" s="56" t="str">
        <f aca="false">IF($B117="","",IFERROR(INDEX('Risk Register'!$F$9:$F$158,MATCH($B117,'Risk Register'!$C$9:$C$158,0)),"Risk ID not found"))</f>
        <v/>
      </c>
      <c r="D117" s="57"/>
      <c r="E117" s="57"/>
      <c r="F117" s="58"/>
      <c r="G117" s="72"/>
      <c r="H117" s="55" t="str">
        <f aca="true">IF(OR($B117="",$G117=""),"",$G117-TODAY())</f>
        <v/>
      </c>
      <c r="I117" s="59" t="str">
        <f aca="true">IF($B117="","",IF($F117="Complete","Done",IF($F117="Cancelled","Cancelled",IF($G117="","No date",IF($G117&lt;TODAY(),"Overdue",IF($G117-TODAY()&lt;=14,"Due soon","On track"))))))</f>
        <v/>
      </c>
      <c r="J117" s="57"/>
    </row>
    <row r="118" customFormat="false" ht="30" hidden="false" customHeight="true" outlineLevel="0" collapsed="false">
      <c r="B118" s="67"/>
      <c r="C118" s="56" t="str">
        <f aca="false">IF($B118="","",IFERROR(INDEX('Risk Register'!$F$9:$F$158,MATCH($B118,'Risk Register'!$C$9:$C$158,0)),"Risk ID not found"))</f>
        <v/>
      </c>
      <c r="D118" s="66"/>
      <c r="E118" s="66"/>
      <c r="F118" s="67"/>
      <c r="G118" s="73"/>
      <c r="H118" s="55" t="str">
        <f aca="true">IF(OR($B118="",$G118=""),"",$G118-TODAY())</f>
        <v/>
      </c>
      <c r="I118" s="59" t="str">
        <f aca="true">IF($B118="","",IF($F118="Complete","Done",IF($F118="Cancelled","Cancelled",IF($G118="","No date",IF($G118&lt;TODAY(),"Overdue",IF($G118-TODAY()&lt;=14,"Due soon","On track"))))))</f>
        <v/>
      </c>
      <c r="J118" s="66"/>
    </row>
    <row r="119" customFormat="false" ht="30" hidden="false" customHeight="true" outlineLevel="0" collapsed="false">
      <c r="B119" s="58"/>
      <c r="C119" s="56" t="str">
        <f aca="false">IF($B119="","",IFERROR(INDEX('Risk Register'!$F$9:$F$158,MATCH($B119,'Risk Register'!$C$9:$C$158,0)),"Risk ID not found"))</f>
        <v/>
      </c>
      <c r="D119" s="57"/>
      <c r="E119" s="57"/>
      <c r="F119" s="58"/>
      <c r="G119" s="72"/>
      <c r="H119" s="55" t="str">
        <f aca="true">IF(OR($B119="",$G119=""),"",$G119-TODAY())</f>
        <v/>
      </c>
      <c r="I119" s="59" t="str">
        <f aca="true">IF($B119="","",IF($F119="Complete","Done",IF($F119="Cancelled","Cancelled",IF($G119="","No date",IF($G119&lt;TODAY(),"Overdue",IF($G119-TODAY()&lt;=14,"Due soon","On track"))))))</f>
        <v/>
      </c>
      <c r="J119" s="57"/>
    </row>
    <row r="120" customFormat="false" ht="30" hidden="false" customHeight="true" outlineLevel="0" collapsed="false">
      <c r="B120" s="67"/>
      <c r="C120" s="56" t="str">
        <f aca="false">IF($B120="","",IFERROR(INDEX('Risk Register'!$F$9:$F$158,MATCH($B120,'Risk Register'!$C$9:$C$158,0)),"Risk ID not found"))</f>
        <v/>
      </c>
      <c r="D120" s="66"/>
      <c r="E120" s="66"/>
      <c r="F120" s="67"/>
      <c r="G120" s="73"/>
      <c r="H120" s="55" t="str">
        <f aca="true">IF(OR($B120="",$G120=""),"",$G120-TODAY())</f>
        <v/>
      </c>
      <c r="I120" s="59" t="str">
        <f aca="true">IF($B120="","",IF($F120="Complete","Done",IF($F120="Cancelled","Cancelled",IF($G120="","No date",IF($G120&lt;TODAY(),"Overdue",IF($G120-TODAY()&lt;=14,"Due soon","On track"))))))</f>
        <v/>
      </c>
      <c r="J120" s="66"/>
    </row>
    <row r="121" customFormat="false" ht="30" hidden="false" customHeight="true" outlineLevel="0" collapsed="false">
      <c r="B121" s="58"/>
      <c r="C121" s="56" t="str">
        <f aca="false">IF($B121="","",IFERROR(INDEX('Risk Register'!$F$9:$F$158,MATCH($B121,'Risk Register'!$C$9:$C$158,0)),"Risk ID not found"))</f>
        <v/>
      </c>
      <c r="D121" s="57"/>
      <c r="E121" s="57"/>
      <c r="F121" s="58"/>
      <c r="G121" s="72"/>
      <c r="H121" s="55" t="str">
        <f aca="true">IF(OR($B121="",$G121=""),"",$G121-TODAY())</f>
        <v/>
      </c>
      <c r="I121" s="59" t="str">
        <f aca="true">IF($B121="","",IF($F121="Complete","Done",IF($F121="Cancelled","Cancelled",IF($G121="","No date",IF($G121&lt;TODAY(),"Overdue",IF($G121-TODAY()&lt;=14,"Due soon","On track"))))))</f>
        <v/>
      </c>
      <c r="J121" s="57"/>
    </row>
    <row r="122" customFormat="false" ht="30" hidden="false" customHeight="true" outlineLevel="0" collapsed="false">
      <c r="B122" s="67"/>
      <c r="C122" s="56" t="str">
        <f aca="false">IF($B122="","",IFERROR(INDEX('Risk Register'!$F$9:$F$158,MATCH($B122,'Risk Register'!$C$9:$C$158,0)),"Risk ID not found"))</f>
        <v/>
      </c>
      <c r="D122" s="66"/>
      <c r="E122" s="66"/>
      <c r="F122" s="67"/>
      <c r="G122" s="73"/>
      <c r="H122" s="55" t="str">
        <f aca="true">IF(OR($B122="",$G122=""),"",$G122-TODAY())</f>
        <v/>
      </c>
      <c r="I122" s="59" t="str">
        <f aca="true">IF($B122="","",IF($F122="Complete","Done",IF($F122="Cancelled","Cancelled",IF($G122="","No date",IF($G122&lt;TODAY(),"Overdue",IF($G122-TODAY()&lt;=14,"Due soon","On track"))))))</f>
        <v/>
      </c>
      <c r="J122" s="66"/>
    </row>
    <row r="123" customFormat="false" ht="30" hidden="false" customHeight="true" outlineLevel="0" collapsed="false">
      <c r="B123" s="58"/>
      <c r="C123" s="56" t="str">
        <f aca="false">IF($B123="","",IFERROR(INDEX('Risk Register'!$F$9:$F$158,MATCH($B123,'Risk Register'!$C$9:$C$158,0)),"Risk ID not found"))</f>
        <v/>
      </c>
      <c r="D123" s="57"/>
      <c r="E123" s="57"/>
      <c r="F123" s="58"/>
      <c r="G123" s="72"/>
      <c r="H123" s="55" t="str">
        <f aca="true">IF(OR($B123="",$G123=""),"",$G123-TODAY())</f>
        <v/>
      </c>
      <c r="I123" s="59" t="str">
        <f aca="true">IF($B123="","",IF($F123="Complete","Done",IF($F123="Cancelled","Cancelled",IF($G123="","No date",IF($G123&lt;TODAY(),"Overdue",IF($G123-TODAY()&lt;=14,"Due soon","On track"))))))</f>
        <v/>
      </c>
      <c r="J123" s="57"/>
    </row>
    <row r="124" customFormat="false" ht="30" hidden="false" customHeight="true" outlineLevel="0" collapsed="false">
      <c r="B124" s="67"/>
      <c r="C124" s="56" t="str">
        <f aca="false">IF($B124="","",IFERROR(INDEX('Risk Register'!$F$9:$F$158,MATCH($B124,'Risk Register'!$C$9:$C$158,0)),"Risk ID not found"))</f>
        <v/>
      </c>
      <c r="D124" s="66"/>
      <c r="E124" s="66"/>
      <c r="F124" s="67"/>
      <c r="G124" s="73"/>
      <c r="H124" s="55" t="str">
        <f aca="true">IF(OR($B124="",$G124=""),"",$G124-TODAY())</f>
        <v/>
      </c>
      <c r="I124" s="59" t="str">
        <f aca="true">IF($B124="","",IF($F124="Complete","Done",IF($F124="Cancelled","Cancelled",IF($G124="","No date",IF($G124&lt;TODAY(),"Overdue",IF($G124-TODAY()&lt;=14,"Due soon","On track"))))))</f>
        <v/>
      </c>
      <c r="J124" s="66"/>
    </row>
    <row r="125" customFormat="false" ht="30" hidden="false" customHeight="true" outlineLevel="0" collapsed="false">
      <c r="B125" s="58"/>
      <c r="C125" s="56" t="str">
        <f aca="false">IF($B125="","",IFERROR(INDEX('Risk Register'!$F$9:$F$158,MATCH($B125,'Risk Register'!$C$9:$C$158,0)),"Risk ID not found"))</f>
        <v/>
      </c>
      <c r="D125" s="57"/>
      <c r="E125" s="57"/>
      <c r="F125" s="58"/>
      <c r="G125" s="72"/>
      <c r="H125" s="55" t="str">
        <f aca="true">IF(OR($B125="",$G125=""),"",$G125-TODAY())</f>
        <v/>
      </c>
      <c r="I125" s="59" t="str">
        <f aca="true">IF($B125="","",IF($F125="Complete","Done",IF($F125="Cancelled","Cancelled",IF($G125="","No date",IF($G125&lt;TODAY(),"Overdue",IF($G125-TODAY()&lt;=14,"Due soon","On track"))))))</f>
        <v/>
      </c>
      <c r="J125" s="57"/>
    </row>
    <row r="126" customFormat="false" ht="30" hidden="false" customHeight="true" outlineLevel="0" collapsed="false">
      <c r="B126" s="67"/>
      <c r="C126" s="56" t="str">
        <f aca="false">IF($B126="","",IFERROR(INDEX('Risk Register'!$F$9:$F$158,MATCH($B126,'Risk Register'!$C$9:$C$158,0)),"Risk ID not found"))</f>
        <v/>
      </c>
      <c r="D126" s="66"/>
      <c r="E126" s="66"/>
      <c r="F126" s="67"/>
      <c r="G126" s="73"/>
      <c r="H126" s="55" t="str">
        <f aca="true">IF(OR($B126="",$G126=""),"",$G126-TODAY())</f>
        <v/>
      </c>
      <c r="I126" s="59" t="str">
        <f aca="true">IF($B126="","",IF($F126="Complete","Done",IF($F126="Cancelled","Cancelled",IF($G126="","No date",IF($G126&lt;TODAY(),"Overdue",IF($G126-TODAY()&lt;=14,"Due soon","On track"))))))</f>
        <v/>
      </c>
      <c r="J126" s="66"/>
    </row>
    <row r="127" customFormat="false" ht="30" hidden="false" customHeight="true" outlineLevel="0" collapsed="false">
      <c r="B127" s="58"/>
      <c r="C127" s="56" t="str">
        <f aca="false">IF($B127="","",IFERROR(INDEX('Risk Register'!$F$9:$F$158,MATCH($B127,'Risk Register'!$C$9:$C$158,0)),"Risk ID not found"))</f>
        <v/>
      </c>
      <c r="D127" s="57"/>
      <c r="E127" s="57"/>
      <c r="F127" s="58"/>
      <c r="G127" s="72"/>
      <c r="H127" s="55" t="str">
        <f aca="true">IF(OR($B127="",$G127=""),"",$G127-TODAY())</f>
        <v/>
      </c>
      <c r="I127" s="59" t="str">
        <f aca="true">IF($B127="","",IF($F127="Complete","Done",IF($F127="Cancelled","Cancelled",IF($G127="","No date",IF($G127&lt;TODAY(),"Overdue",IF($G127-TODAY()&lt;=14,"Due soon","On track"))))))</f>
        <v/>
      </c>
      <c r="J127" s="57"/>
    </row>
    <row r="128" customFormat="false" ht="30" hidden="false" customHeight="true" outlineLevel="0" collapsed="false">
      <c r="B128" s="67"/>
      <c r="C128" s="56" t="str">
        <f aca="false">IF($B128="","",IFERROR(INDEX('Risk Register'!$F$9:$F$158,MATCH($B128,'Risk Register'!$C$9:$C$158,0)),"Risk ID not found"))</f>
        <v/>
      </c>
      <c r="D128" s="66"/>
      <c r="E128" s="66"/>
      <c r="F128" s="67"/>
      <c r="G128" s="73"/>
      <c r="H128" s="55" t="str">
        <f aca="true">IF(OR($B128="",$G128=""),"",$G128-TODAY())</f>
        <v/>
      </c>
      <c r="I128" s="59" t="str">
        <f aca="true">IF($B128="","",IF($F128="Complete","Done",IF($F128="Cancelled","Cancelled",IF($G128="","No date",IF($G128&lt;TODAY(),"Overdue",IF($G128-TODAY()&lt;=14,"Due soon","On track"))))))</f>
        <v/>
      </c>
      <c r="J128" s="66"/>
    </row>
    <row r="129" customFormat="false" ht="30" hidden="false" customHeight="true" outlineLevel="0" collapsed="false">
      <c r="B129" s="58"/>
      <c r="C129" s="56" t="str">
        <f aca="false">IF($B129="","",IFERROR(INDEX('Risk Register'!$F$9:$F$158,MATCH($B129,'Risk Register'!$C$9:$C$158,0)),"Risk ID not found"))</f>
        <v/>
      </c>
      <c r="D129" s="57"/>
      <c r="E129" s="57"/>
      <c r="F129" s="58"/>
      <c r="G129" s="72"/>
      <c r="H129" s="55" t="str">
        <f aca="true">IF(OR($B129="",$G129=""),"",$G129-TODAY())</f>
        <v/>
      </c>
      <c r="I129" s="59" t="str">
        <f aca="true">IF($B129="","",IF($F129="Complete","Done",IF($F129="Cancelled","Cancelled",IF($G129="","No date",IF($G129&lt;TODAY(),"Overdue",IF($G129-TODAY()&lt;=14,"Due soon","On track"))))))</f>
        <v/>
      </c>
      <c r="J129" s="57"/>
    </row>
    <row r="130" customFormat="false" ht="30" hidden="false" customHeight="true" outlineLevel="0" collapsed="false">
      <c r="B130" s="67"/>
      <c r="C130" s="56" t="str">
        <f aca="false">IF($B130="","",IFERROR(INDEX('Risk Register'!$F$9:$F$158,MATCH($B130,'Risk Register'!$C$9:$C$158,0)),"Risk ID not found"))</f>
        <v/>
      </c>
      <c r="D130" s="66"/>
      <c r="E130" s="66"/>
      <c r="F130" s="67"/>
      <c r="G130" s="73"/>
      <c r="H130" s="55" t="str">
        <f aca="true">IF(OR($B130="",$G130=""),"",$G130-TODAY())</f>
        <v/>
      </c>
      <c r="I130" s="59" t="str">
        <f aca="true">IF($B130="","",IF($F130="Complete","Done",IF($F130="Cancelled","Cancelled",IF($G130="","No date",IF($G130&lt;TODAY(),"Overdue",IF($G130-TODAY()&lt;=14,"Due soon","On track"))))))</f>
        <v/>
      </c>
      <c r="J130" s="66"/>
    </row>
    <row r="131" customFormat="false" ht="30" hidden="false" customHeight="true" outlineLevel="0" collapsed="false">
      <c r="B131" s="58"/>
      <c r="C131" s="56" t="str">
        <f aca="false">IF($B131="","",IFERROR(INDEX('Risk Register'!$F$9:$F$158,MATCH($B131,'Risk Register'!$C$9:$C$158,0)),"Risk ID not found"))</f>
        <v/>
      </c>
      <c r="D131" s="57"/>
      <c r="E131" s="57"/>
      <c r="F131" s="58"/>
      <c r="G131" s="72"/>
      <c r="H131" s="55" t="str">
        <f aca="true">IF(OR($B131="",$G131=""),"",$G131-TODAY())</f>
        <v/>
      </c>
      <c r="I131" s="59" t="str">
        <f aca="true">IF($B131="","",IF($F131="Complete","Done",IF($F131="Cancelled","Cancelled",IF($G131="","No date",IF($G131&lt;TODAY(),"Overdue",IF($G131-TODAY()&lt;=14,"Due soon","On track"))))))</f>
        <v/>
      </c>
      <c r="J131" s="57"/>
    </row>
    <row r="132" customFormat="false" ht="30" hidden="false" customHeight="true" outlineLevel="0" collapsed="false">
      <c r="B132" s="67"/>
      <c r="C132" s="56" t="str">
        <f aca="false">IF($B132="","",IFERROR(INDEX('Risk Register'!$F$9:$F$158,MATCH($B132,'Risk Register'!$C$9:$C$158,0)),"Risk ID not found"))</f>
        <v/>
      </c>
      <c r="D132" s="66"/>
      <c r="E132" s="66"/>
      <c r="F132" s="67"/>
      <c r="G132" s="73"/>
      <c r="H132" s="55" t="str">
        <f aca="true">IF(OR($B132="",$G132=""),"",$G132-TODAY())</f>
        <v/>
      </c>
      <c r="I132" s="59" t="str">
        <f aca="true">IF($B132="","",IF($F132="Complete","Done",IF($F132="Cancelled","Cancelled",IF($G132="","No date",IF($G132&lt;TODAY(),"Overdue",IF($G132-TODAY()&lt;=14,"Due soon","On track"))))))</f>
        <v/>
      </c>
      <c r="J132" s="66"/>
    </row>
    <row r="133" customFormat="false" ht="30" hidden="false" customHeight="true" outlineLevel="0" collapsed="false">
      <c r="B133" s="58"/>
      <c r="C133" s="56" t="str">
        <f aca="false">IF($B133="","",IFERROR(INDEX('Risk Register'!$F$9:$F$158,MATCH($B133,'Risk Register'!$C$9:$C$158,0)),"Risk ID not found"))</f>
        <v/>
      </c>
      <c r="D133" s="57"/>
      <c r="E133" s="57"/>
      <c r="F133" s="58"/>
      <c r="G133" s="72"/>
      <c r="H133" s="55" t="str">
        <f aca="true">IF(OR($B133="",$G133=""),"",$G133-TODAY())</f>
        <v/>
      </c>
      <c r="I133" s="59" t="str">
        <f aca="true">IF($B133="","",IF($F133="Complete","Done",IF($F133="Cancelled","Cancelled",IF($G133="","No date",IF($G133&lt;TODAY(),"Overdue",IF($G133-TODAY()&lt;=14,"Due soon","On track"))))))</f>
        <v/>
      </c>
      <c r="J133" s="57"/>
    </row>
    <row r="134" customFormat="false" ht="30" hidden="false" customHeight="true" outlineLevel="0" collapsed="false">
      <c r="B134" s="67"/>
      <c r="C134" s="56" t="str">
        <f aca="false">IF($B134="","",IFERROR(INDEX('Risk Register'!$F$9:$F$158,MATCH($B134,'Risk Register'!$C$9:$C$158,0)),"Risk ID not found"))</f>
        <v/>
      </c>
      <c r="D134" s="66"/>
      <c r="E134" s="66"/>
      <c r="F134" s="67"/>
      <c r="G134" s="73"/>
      <c r="H134" s="55" t="str">
        <f aca="true">IF(OR($B134="",$G134=""),"",$G134-TODAY())</f>
        <v/>
      </c>
      <c r="I134" s="59" t="str">
        <f aca="true">IF($B134="","",IF($F134="Complete","Done",IF($F134="Cancelled","Cancelled",IF($G134="","No date",IF($G134&lt;TODAY(),"Overdue",IF($G134-TODAY()&lt;=14,"Due soon","On track"))))))</f>
        <v/>
      </c>
      <c r="J134" s="66"/>
    </row>
    <row r="135" customFormat="false" ht="30" hidden="false" customHeight="true" outlineLevel="0" collapsed="false">
      <c r="B135" s="58"/>
      <c r="C135" s="56" t="str">
        <f aca="false">IF($B135="","",IFERROR(INDEX('Risk Register'!$F$9:$F$158,MATCH($B135,'Risk Register'!$C$9:$C$158,0)),"Risk ID not found"))</f>
        <v/>
      </c>
      <c r="D135" s="57"/>
      <c r="E135" s="57"/>
      <c r="F135" s="58"/>
      <c r="G135" s="72"/>
      <c r="H135" s="55" t="str">
        <f aca="true">IF(OR($B135="",$G135=""),"",$G135-TODAY())</f>
        <v/>
      </c>
      <c r="I135" s="59" t="str">
        <f aca="true">IF($B135="","",IF($F135="Complete","Done",IF($F135="Cancelled","Cancelled",IF($G135="","No date",IF($G135&lt;TODAY(),"Overdue",IF($G135-TODAY()&lt;=14,"Due soon","On track"))))))</f>
        <v/>
      </c>
      <c r="J135" s="57"/>
    </row>
    <row r="136" customFormat="false" ht="30" hidden="false" customHeight="true" outlineLevel="0" collapsed="false">
      <c r="B136" s="67"/>
      <c r="C136" s="56" t="str">
        <f aca="false">IF($B136="","",IFERROR(INDEX('Risk Register'!$F$9:$F$158,MATCH($B136,'Risk Register'!$C$9:$C$158,0)),"Risk ID not found"))</f>
        <v/>
      </c>
      <c r="D136" s="66"/>
      <c r="E136" s="66"/>
      <c r="F136" s="67"/>
      <c r="G136" s="73"/>
      <c r="H136" s="55" t="str">
        <f aca="true">IF(OR($B136="",$G136=""),"",$G136-TODAY())</f>
        <v/>
      </c>
      <c r="I136" s="59" t="str">
        <f aca="true">IF($B136="","",IF($F136="Complete","Done",IF($F136="Cancelled","Cancelled",IF($G136="","No date",IF($G136&lt;TODAY(),"Overdue",IF($G136-TODAY()&lt;=14,"Due soon","On track"))))))</f>
        <v/>
      </c>
      <c r="J136" s="66"/>
    </row>
    <row r="137" customFormat="false" ht="30" hidden="false" customHeight="true" outlineLevel="0" collapsed="false">
      <c r="B137" s="58"/>
      <c r="C137" s="56" t="str">
        <f aca="false">IF($B137="","",IFERROR(INDEX('Risk Register'!$F$9:$F$158,MATCH($B137,'Risk Register'!$C$9:$C$158,0)),"Risk ID not found"))</f>
        <v/>
      </c>
      <c r="D137" s="57"/>
      <c r="E137" s="57"/>
      <c r="F137" s="58"/>
      <c r="G137" s="72"/>
      <c r="H137" s="55" t="str">
        <f aca="true">IF(OR($B137="",$G137=""),"",$G137-TODAY())</f>
        <v/>
      </c>
      <c r="I137" s="59" t="str">
        <f aca="true">IF($B137="","",IF($F137="Complete","Done",IF($F137="Cancelled","Cancelled",IF($G137="","No date",IF($G137&lt;TODAY(),"Overdue",IF($G137-TODAY()&lt;=14,"Due soon","On track"))))))</f>
        <v/>
      </c>
      <c r="J137" s="57"/>
    </row>
    <row r="138" customFormat="false" ht="30" hidden="false" customHeight="true" outlineLevel="0" collapsed="false">
      <c r="B138" s="67"/>
      <c r="C138" s="56" t="str">
        <f aca="false">IF($B138="","",IFERROR(INDEX('Risk Register'!$F$9:$F$158,MATCH($B138,'Risk Register'!$C$9:$C$158,0)),"Risk ID not found"))</f>
        <v/>
      </c>
      <c r="D138" s="66"/>
      <c r="E138" s="66"/>
      <c r="F138" s="67"/>
      <c r="G138" s="73"/>
      <c r="H138" s="55" t="str">
        <f aca="true">IF(OR($B138="",$G138=""),"",$G138-TODAY())</f>
        <v/>
      </c>
      <c r="I138" s="59" t="str">
        <f aca="true">IF($B138="","",IF($F138="Complete","Done",IF($F138="Cancelled","Cancelled",IF($G138="","No date",IF($G138&lt;TODAY(),"Overdue",IF($G138-TODAY()&lt;=14,"Due soon","On track"))))))</f>
        <v/>
      </c>
      <c r="J138" s="66"/>
    </row>
    <row r="139" customFormat="false" ht="30" hidden="false" customHeight="true" outlineLevel="0" collapsed="false">
      <c r="B139" s="58"/>
      <c r="C139" s="56" t="str">
        <f aca="false">IF($B139="","",IFERROR(INDEX('Risk Register'!$F$9:$F$158,MATCH($B139,'Risk Register'!$C$9:$C$158,0)),"Risk ID not found"))</f>
        <v/>
      </c>
      <c r="D139" s="57"/>
      <c r="E139" s="57"/>
      <c r="F139" s="58"/>
      <c r="G139" s="72"/>
      <c r="H139" s="55" t="str">
        <f aca="true">IF(OR($B139="",$G139=""),"",$G139-TODAY())</f>
        <v/>
      </c>
      <c r="I139" s="59" t="str">
        <f aca="true">IF($B139="","",IF($F139="Complete","Done",IF($F139="Cancelled","Cancelled",IF($G139="","No date",IF($G139&lt;TODAY(),"Overdue",IF($G139-TODAY()&lt;=14,"Due soon","On track"))))))</f>
        <v/>
      </c>
      <c r="J139" s="57"/>
    </row>
    <row r="140" customFormat="false" ht="30" hidden="false" customHeight="true" outlineLevel="0" collapsed="false">
      <c r="B140" s="67"/>
      <c r="C140" s="56" t="str">
        <f aca="false">IF($B140="","",IFERROR(INDEX('Risk Register'!$F$9:$F$158,MATCH($B140,'Risk Register'!$C$9:$C$158,0)),"Risk ID not found"))</f>
        <v/>
      </c>
      <c r="D140" s="66"/>
      <c r="E140" s="66"/>
      <c r="F140" s="67"/>
      <c r="G140" s="73"/>
      <c r="H140" s="55" t="str">
        <f aca="true">IF(OR($B140="",$G140=""),"",$G140-TODAY())</f>
        <v/>
      </c>
      <c r="I140" s="59" t="str">
        <f aca="true">IF($B140="","",IF($F140="Complete","Done",IF($F140="Cancelled","Cancelled",IF($G140="","No date",IF($G140&lt;TODAY(),"Overdue",IF($G140-TODAY()&lt;=14,"Due soon","On track"))))))</f>
        <v/>
      </c>
      <c r="J140" s="66"/>
    </row>
    <row r="141" customFormat="false" ht="30" hidden="false" customHeight="true" outlineLevel="0" collapsed="false">
      <c r="B141" s="58"/>
      <c r="C141" s="56" t="str">
        <f aca="false">IF($B141="","",IFERROR(INDEX('Risk Register'!$F$9:$F$158,MATCH($B141,'Risk Register'!$C$9:$C$158,0)),"Risk ID not found"))</f>
        <v/>
      </c>
      <c r="D141" s="57"/>
      <c r="E141" s="57"/>
      <c r="F141" s="58"/>
      <c r="G141" s="72"/>
      <c r="H141" s="55" t="str">
        <f aca="true">IF(OR($B141="",$G141=""),"",$G141-TODAY())</f>
        <v/>
      </c>
      <c r="I141" s="59" t="str">
        <f aca="true">IF($B141="","",IF($F141="Complete","Done",IF($F141="Cancelled","Cancelled",IF($G141="","No date",IF($G141&lt;TODAY(),"Overdue",IF($G141-TODAY()&lt;=14,"Due soon","On track"))))))</f>
        <v/>
      </c>
      <c r="J141" s="57"/>
    </row>
    <row r="142" customFormat="false" ht="30" hidden="false" customHeight="true" outlineLevel="0" collapsed="false">
      <c r="B142" s="67"/>
      <c r="C142" s="56" t="str">
        <f aca="false">IF($B142="","",IFERROR(INDEX('Risk Register'!$F$9:$F$158,MATCH($B142,'Risk Register'!$C$9:$C$158,0)),"Risk ID not found"))</f>
        <v/>
      </c>
      <c r="D142" s="66"/>
      <c r="E142" s="66"/>
      <c r="F142" s="67"/>
      <c r="G142" s="73"/>
      <c r="H142" s="55" t="str">
        <f aca="true">IF(OR($B142="",$G142=""),"",$G142-TODAY())</f>
        <v/>
      </c>
      <c r="I142" s="59" t="str">
        <f aca="true">IF($B142="","",IF($F142="Complete","Done",IF($F142="Cancelled","Cancelled",IF($G142="","No date",IF($G142&lt;TODAY(),"Overdue",IF($G142-TODAY()&lt;=14,"Due soon","On track"))))))</f>
        <v/>
      </c>
      <c r="J142" s="66"/>
    </row>
    <row r="143" customFormat="false" ht="30" hidden="false" customHeight="true" outlineLevel="0" collapsed="false">
      <c r="B143" s="58"/>
      <c r="C143" s="56" t="str">
        <f aca="false">IF($B143="","",IFERROR(INDEX('Risk Register'!$F$9:$F$158,MATCH($B143,'Risk Register'!$C$9:$C$158,0)),"Risk ID not found"))</f>
        <v/>
      </c>
      <c r="D143" s="57"/>
      <c r="E143" s="57"/>
      <c r="F143" s="58"/>
      <c r="G143" s="72"/>
      <c r="H143" s="55" t="str">
        <f aca="true">IF(OR($B143="",$G143=""),"",$G143-TODAY())</f>
        <v/>
      </c>
      <c r="I143" s="59" t="str">
        <f aca="true">IF($B143="","",IF($F143="Complete","Done",IF($F143="Cancelled","Cancelled",IF($G143="","No date",IF($G143&lt;TODAY(),"Overdue",IF($G143-TODAY()&lt;=14,"Due soon","On track"))))))</f>
        <v/>
      </c>
      <c r="J143" s="57"/>
    </row>
    <row r="144" customFormat="false" ht="30" hidden="false" customHeight="true" outlineLevel="0" collapsed="false">
      <c r="B144" s="67"/>
      <c r="C144" s="56" t="str">
        <f aca="false">IF($B144="","",IFERROR(INDEX('Risk Register'!$F$9:$F$158,MATCH($B144,'Risk Register'!$C$9:$C$158,0)),"Risk ID not found"))</f>
        <v/>
      </c>
      <c r="D144" s="66"/>
      <c r="E144" s="66"/>
      <c r="F144" s="67"/>
      <c r="G144" s="73"/>
      <c r="H144" s="55" t="str">
        <f aca="true">IF(OR($B144="",$G144=""),"",$G144-TODAY())</f>
        <v/>
      </c>
      <c r="I144" s="59" t="str">
        <f aca="true">IF($B144="","",IF($F144="Complete","Done",IF($F144="Cancelled","Cancelled",IF($G144="","No date",IF($G144&lt;TODAY(),"Overdue",IF($G144-TODAY()&lt;=14,"Due soon","On track"))))))</f>
        <v/>
      </c>
      <c r="J144" s="66"/>
    </row>
    <row r="145" customFormat="false" ht="30" hidden="false" customHeight="true" outlineLevel="0" collapsed="false">
      <c r="B145" s="58"/>
      <c r="C145" s="56" t="str">
        <f aca="false">IF($B145="","",IFERROR(INDEX('Risk Register'!$F$9:$F$158,MATCH($B145,'Risk Register'!$C$9:$C$158,0)),"Risk ID not found"))</f>
        <v/>
      </c>
      <c r="D145" s="57"/>
      <c r="E145" s="57"/>
      <c r="F145" s="58"/>
      <c r="G145" s="72"/>
      <c r="H145" s="55" t="str">
        <f aca="true">IF(OR($B145="",$G145=""),"",$G145-TODAY())</f>
        <v/>
      </c>
      <c r="I145" s="59" t="str">
        <f aca="true">IF($B145="","",IF($F145="Complete","Done",IF($F145="Cancelled","Cancelled",IF($G145="","No date",IF($G145&lt;TODAY(),"Overdue",IF($G145-TODAY()&lt;=14,"Due soon","On track"))))))</f>
        <v/>
      </c>
      <c r="J145" s="57"/>
    </row>
    <row r="146" customFormat="false" ht="30" hidden="false" customHeight="true" outlineLevel="0" collapsed="false">
      <c r="B146" s="67"/>
      <c r="C146" s="56" t="str">
        <f aca="false">IF($B146="","",IFERROR(INDEX('Risk Register'!$F$9:$F$158,MATCH($B146,'Risk Register'!$C$9:$C$158,0)),"Risk ID not found"))</f>
        <v/>
      </c>
      <c r="D146" s="66"/>
      <c r="E146" s="66"/>
      <c r="F146" s="67"/>
      <c r="G146" s="73"/>
      <c r="H146" s="55" t="str">
        <f aca="true">IF(OR($B146="",$G146=""),"",$G146-TODAY())</f>
        <v/>
      </c>
      <c r="I146" s="59" t="str">
        <f aca="true">IF($B146="","",IF($F146="Complete","Done",IF($F146="Cancelled","Cancelled",IF($G146="","No date",IF($G146&lt;TODAY(),"Overdue",IF($G146-TODAY()&lt;=14,"Due soon","On track"))))))</f>
        <v/>
      </c>
      <c r="J146" s="66"/>
    </row>
    <row r="147" customFormat="false" ht="30" hidden="false" customHeight="true" outlineLevel="0" collapsed="false">
      <c r="B147" s="58"/>
      <c r="C147" s="56" t="str">
        <f aca="false">IF($B147="","",IFERROR(INDEX('Risk Register'!$F$9:$F$158,MATCH($B147,'Risk Register'!$C$9:$C$158,0)),"Risk ID not found"))</f>
        <v/>
      </c>
      <c r="D147" s="57"/>
      <c r="E147" s="57"/>
      <c r="F147" s="58"/>
      <c r="G147" s="72"/>
      <c r="H147" s="55" t="str">
        <f aca="true">IF(OR($B147="",$G147=""),"",$G147-TODAY())</f>
        <v/>
      </c>
      <c r="I147" s="59" t="str">
        <f aca="true">IF($B147="","",IF($F147="Complete","Done",IF($F147="Cancelled","Cancelled",IF($G147="","No date",IF($G147&lt;TODAY(),"Overdue",IF($G147-TODAY()&lt;=14,"Due soon","On track"))))))</f>
        <v/>
      </c>
      <c r="J147" s="57"/>
    </row>
    <row r="148" customFormat="false" ht="30" hidden="false" customHeight="true" outlineLevel="0" collapsed="false">
      <c r="B148" s="67"/>
      <c r="C148" s="56" t="str">
        <f aca="false">IF($B148="","",IFERROR(INDEX('Risk Register'!$F$9:$F$158,MATCH($B148,'Risk Register'!$C$9:$C$158,0)),"Risk ID not found"))</f>
        <v/>
      </c>
      <c r="D148" s="66"/>
      <c r="E148" s="66"/>
      <c r="F148" s="67"/>
      <c r="G148" s="73"/>
      <c r="H148" s="55" t="str">
        <f aca="true">IF(OR($B148="",$G148=""),"",$G148-TODAY())</f>
        <v/>
      </c>
      <c r="I148" s="59" t="str">
        <f aca="true">IF($B148="","",IF($F148="Complete","Done",IF($F148="Cancelled","Cancelled",IF($G148="","No date",IF($G148&lt;TODAY(),"Overdue",IF($G148-TODAY()&lt;=14,"Due soon","On track"))))))</f>
        <v/>
      </c>
      <c r="J148" s="66"/>
    </row>
    <row r="149" customFormat="false" ht="30" hidden="false" customHeight="true" outlineLevel="0" collapsed="false">
      <c r="B149" s="58"/>
      <c r="C149" s="56" t="str">
        <f aca="false">IF($B149="","",IFERROR(INDEX('Risk Register'!$F$9:$F$158,MATCH($B149,'Risk Register'!$C$9:$C$158,0)),"Risk ID not found"))</f>
        <v/>
      </c>
      <c r="D149" s="57"/>
      <c r="E149" s="57"/>
      <c r="F149" s="58"/>
      <c r="G149" s="72"/>
      <c r="H149" s="55" t="str">
        <f aca="true">IF(OR($B149="",$G149=""),"",$G149-TODAY())</f>
        <v/>
      </c>
      <c r="I149" s="59" t="str">
        <f aca="true">IF($B149="","",IF($F149="Complete","Done",IF($F149="Cancelled","Cancelled",IF($G149="","No date",IF($G149&lt;TODAY(),"Overdue",IF($G149-TODAY()&lt;=14,"Due soon","On track"))))))</f>
        <v/>
      </c>
      <c r="J149" s="57"/>
    </row>
    <row r="150" customFormat="false" ht="30" hidden="false" customHeight="true" outlineLevel="0" collapsed="false">
      <c r="B150" s="67"/>
      <c r="C150" s="56" t="str">
        <f aca="false">IF($B150="","",IFERROR(INDEX('Risk Register'!$F$9:$F$158,MATCH($B150,'Risk Register'!$C$9:$C$158,0)),"Risk ID not found"))</f>
        <v/>
      </c>
      <c r="D150" s="66"/>
      <c r="E150" s="66"/>
      <c r="F150" s="67"/>
      <c r="G150" s="73"/>
      <c r="H150" s="55" t="str">
        <f aca="true">IF(OR($B150="",$G150=""),"",$G150-TODAY())</f>
        <v/>
      </c>
      <c r="I150" s="59" t="str">
        <f aca="true">IF($B150="","",IF($F150="Complete","Done",IF($F150="Cancelled","Cancelled",IF($G150="","No date",IF($G150&lt;TODAY(),"Overdue",IF($G150-TODAY()&lt;=14,"Due soon","On track"))))))</f>
        <v/>
      </c>
      <c r="J150" s="66"/>
    </row>
    <row r="151" customFormat="false" ht="30" hidden="false" customHeight="true" outlineLevel="0" collapsed="false">
      <c r="B151" s="58"/>
      <c r="C151" s="56" t="str">
        <f aca="false">IF($B151="","",IFERROR(INDEX('Risk Register'!$F$9:$F$158,MATCH($B151,'Risk Register'!$C$9:$C$158,0)),"Risk ID not found"))</f>
        <v/>
      </c>
      <c r="D151" s="57"/>
      <c r="E151" s="57"/>
      <c r="F151" s="58"/>
      <c r="G151" s="72"/>
      <c r="H151" s="55" t="str">
        <f aca="true">IF(OR($B151="",$G151=""),"",$G151-TODAY())</f>
        <v/>
      </c>
      <c r="I151" s="59" t="str">
        <f aca="true">IF($B151="","",IF($F151="Complete","Done",IF($F151="Cancelled","Cancelled",IF($G151="","No date",IF($G151&lt;TODAY(),"Overdue",IF($G151-TODAY()&lt;=14,"Due soon","On track"))))))</f>
        <v/>
      </c>
      <c r="J151" s="57"/>
    </row>
    <row r="152" customFormat="false" ht="30" hidden="false" customHeight="true" outlineLevel="0" collapsed="false">
      <c r="B152" s="67"/>
      <c r="C152" s="56" t="str">
        <f aca="false">IF($B152="","",IFERROR(INDEX('Risk Register'!$F$9:$F$158,MATCH($B152,'Risk Register'!$C$9:$C$158,0)),"Risk ID not found"))</f>
        <v/>
      </c>
      <c r="D152" s="66"/>
      <c r="E152" s="66"/>
      <c r="F152" s="67"/>
      <c r="G152" s="73"/>
      <c r="H152" s="55" t="str">
        <f aca="true">IF(OR($B152="",$G152=""),"",$G152-TODAY())</f>
        <v/>
      </c>
      <c r="I152" s="59" t="str">
        <f aca="true">IF($B152="","",IF($F152="Complete","Done",IF($F152="Cancelled","Cancelled",IF($G152="","No date",IF($G152&lt;TODAY(),"Overdue",IF($G152-TODAY()&lt;=14,"Due soon","On track"))))))</f>
        <v/>
      </c>
      <c r="J152" s="66"/>
    </row>
    <row r="153" customFormat="false" ht="30" hidden="false" customHeight="true" outlineLevel="0" collapsed="false">
      <c r="B153" s="58"/>
      <c r="C153" s="56" t="str">
        <f aca="false">IF($B153="","",IFERROR(INDEX('Risk Register'!$F$9:$F$158,MATCH($B153,'Risk Register'!$C$9:$C$158,0)),"Risk ID not found"))</f>
        <v/>
      </c>
      <c r="D153" s="57"/>
      <c r="E153" s="57"/>
      <c r="F153" s="58"/>
      <c r="G153" s="72"/>
      <c r="H153" s="55" t="str">
        <f aca="true">IF(OR($B153="",$G153=""),"",$G153-TODAY())</f>
        <v/>
      </c>
      <c r="I153" s="59" t="str">
        <f aca="true">IF($B153="","",IF($F153="Complete","Done",IF($F153="Cancelled","Cancelled",IF($G153="","No date",IF($G153&lt;TODAY(),"Overdue",IF($G153-TODAY()&lt;=14,"Due soon","On track"))))))</f>
        <v/>
      </c>
      <c r="J153" s="57"/>
    </row>
    <row r="154" customFormat="false" ht="30" hidden="false" customHeight="true" outlineLevel="0" collapsed="false">
      <c r="B154" s="67"/>
      <c r="C154" s="56" t="str">
        <f aca="false">IF($B154="","",IFERROR(INDEX('Risk Register'!$F$9:$F$158,MATCH($B154,'Risk Register'!$C$9:$C$158,0)),"Risk ID not found"))</f>
        <v/>
      </c>
      <c r="D154" s="66"/>
      <c r="E154" s="66"/>
      <c r="F154" s="67"/>
      <c r="G154" s="73"/>
      <c r="H154" s="55" t="str">
        <f aca="true">IF(OR($B154="",$G154=""),"",$G154-TODAY())</f>
        <v/>
      </c>
      <c r="I154" s="59" t="str">
        <f aca="true">IF($B154="","",IF($F154="Complete","Done",IF($F154="Cancelled","Cancelled",IF($G154="","No date",IF($G154&lt;TODAY(),"Overdue",IF($G154-TODAY()&lt;=14,"Due soon","On track"))))))</f>
        <v/>
      </c>
      <c r="J154" s="66"/>
    </row>
    <row r="155" customFormat="false" ht="30" hidden="false" customHeight="true" outlineLevel="0" collapsed="false">
      <c r="B155" s="58"/>
      <c r="C155" s="56" t="str">
        <f aca="false">IF($B155="","",IFERROR(INDEX('Risk Register'!$F$9:$F$158,MATCH($B155,'Risk Register'!$C$9:$C$158,0)),"Risk ID not found"))</f>
        <v/>
      </c>
      <c r="D155" s="57"/>
      <c r="E155" s="57"/>
      <c r="F155" s="58"/>
      <c r="G155" s="72"/>
      <c r="H155" s="55" t="str">
        <f aca="true">IF(OR($B155="",$G155=""),"",$G155-TODAY())</f>
        <v/>
      </c>
      <c r="I155" s="59" t="str">
        <f aca="true">IF($B155="","",IF($F155="Complete","Done",IF($F155="Cancelled","Cancelled",IF($G155="","No date",IF($G155&lt;TODAY(),"Overdue",IF($G155-TODAY()&lt;=14,"Due soon","On track"))))))</f>
        <v/>
      </c>
      <c r="J155" s="57"/>
    </row>
    <row r="156" customFormat="false" ht="30" hidden="false" customHeight="true" outlineLevel="0" collapsed="false">
      <c r="B156" s="67"/>
      <c r="C156" s="56" t="str">
        <f aca="false">IF($B156="","",IFERROR(INDEX('Risk Register'!$F$9:$F$158,MATCH($B156,'Risk Register'!$C$9:$C$158,0)),"Risk ID not found"))</f>
        <v/>
      </c>
      <c r="D156" s="66"/>
      <c r="E156" s="66"/>
      <c r="F156" s="67"/>
      <c r="G156" s="73"/>
      <c r="H156" s="55" t="str">
        <f aca="true">IF(OR($B156="",$G156=""),"",$G156-TODAY())</f>
        <v/>
      </c>
      <c r="I156" s="59" t="str">
        <f aca="true">IF($B156="","",IF($F156="Complete","Done",IF($F156="Cancelled","Cancelled",IF($G156="","No date",IF($G156&lt;TODAY(),"Overdue",IF($G156-TODAY()&lt;=14,"Due soon","On track"))))))</f>
        <v/>
      </c>
      <c r="J156" s="66"/>
    </row>
    <row r="157" customFormat="false" ht="30" hidden="false" customHeight="true" outlineLevel="0" collapsed="false">
      <c r="B157" s="58"/>
      <c r="C157" s="56" t="str">
        <f aca="false">IF($B157="","",IFERROR(INDEX('Risk Register'!$F$9:$F$158,MATCH($B157,'Risk Register'!$C$9:$C$158,0)),"Risk ID not found"))</f>
        <v/>
      </c>
      <c r="D157" s="57"/>
      <c r="E157" s="57"/>
      <c r="F157" s="58"/>
      <c r="G157" s="72"/>
      <c r="H157" s="55" t="str">
        <f aca="true">IF(OR($B157="",$G157=""),"",$G157-TODAY())</f>
        <v/>
      </c>
      <c r="I157" s="59" t="str">
        <f aca="true">IF($B157="","",IF($F157="Complete","Done",IF($F157="Cancelled","Cancelled",IF($G157="","No date",IF($G157&lt;TODAY(),"Overdue",IF($G157-TODAY()&lt;=14,"Due soon","On track"))))))</f>
        <v/>
      </c>
      <c r="J157" s="57"/>
    </row>
    <row r="158" customFormat="false" ht="30" hidden="false" customHeight="true" outlineLevel="0" collapsed="false">
      <c r="B158" s="67"/>
      <c r="C158" s="56" t="str">
        <f aca="false">IF($B158="","",IFERROR(INDEX('Risk Register'!$F$9:$F$158,MATCH($B158,'Risk Register'!$C$9:$C$158,0)),"Risk ID not found"))</f>
        <v/>
      </c>
      <c r="D158" s="66"/>
      <c r="E158" s="66"/>
      <c r="F158" s="67"/>
      <c r="G158" s="73"/>
      <c r="H158" s="55" t="str">
        <f aca="true">IF(OR($B158="",$G158=""),"",$G158-TODAY())</f>
        <v/>
      </c>
      <c r="I158" s="59" t="str">
        <f aca="true">IF($B158="","",IF($F158="Complete","Done",IF($F158="Cancelled","Cancelled",IF($G158="","No date",IF($G158&lt;TODAY(),"Overdue",IF($G158-TODAY()&lt;=14,"Due soon","On track"))))))</f>
        <v/>
      </c>
      <c r="J158" s="66"/>
    </row>
    <row r="159" customFormat="false" ht="30" hidden="false" customHeight="true" outlineLevel="0" collapsed="false">
      <c r="B159" s="58"/>
      <c r="C159" s="56" t="str">
        <f aca="false">IF($B159="","",IFERROR(INDEX('Risk Register'!$F$9:$F$158,MATCH($B159,'Risk Register'!$C$9:$C$158,0)),"Risk ID not found"))</f>
        <v/>
      </c>
      <c r="D159" s="57"/>
      <c r="E159" s="57"/>
      <c r="F159" s="58"/>
      <c r="G159" s="72"/>
      <c r="H159" s="55" t="str">
        <f aca="true">IF(OR($B159="",$G159=""),"",$G159-TODAY())</f>
        <v/>
      </c>
      <c r="I159" s="59" t="str">
        <f aca="true">IF($B159="","",IF($F159="Complete","Done",IF($F159="Cancelled","Cancelled",IF($G159="","No date",IF($G159&lt;TODAY(),"Overdue",IF($G159-TODAY()&lt;=14,"Due soon","On track"))))))</f>
        <v/>
      </c>
      <c r="J159" s="57"/>
    </row>
    <row r="160" customFormat="false" ht="30" hidden="false" customHeight="true" outlineLevel="0" collapsed="false">
      <c r="B160" s="67"/>
      <c r="C160" s="56" t="str">
        <f aca="false">IF($B160="","",IFERROR(INDEX('Risk Register'!$F$9:$F$158,MATCH($B160,'Risk Register'!$C$9:$C$158,0)),"Risk ID not found"))</f>
        <v/>
      </c>
      <c r="D160" s="66"/>
      <c r="E160" s="66"/>
      <c r="F160" s="67"/>
      <c r="G160" s="73"/>
      <c r="H160" s="55" t="str">
        <f aca="true">IF(OR($B160="",$G160=""),"",$G160-TODAY())</f>
        <v/>
      </c>
      <c r="I160" s="59" t="str">
        <f aca="true">IF($B160="","",IF($F160="Complete","Done",IF($F160="Cancelled","Cancelled",IF($G160="","No date",IF($G160&lt;TODAY(),"Overdue",IF($G160-TODAY()&lt;=14,"Due soon","On track"))))))</f>
        <v/>
      </c>
      <c r="J160" s="66"/>
    </row>
    <row r="161" customFormat="false" ht="30" hidden="false" customHeight="true" outlineLevel="0" collapsed="false">
      <c r="B161" s="58"/>
      <c r="C161" s="56" t="str">
        <f aca="false">IF($B161="","",IFERROR(INDEX('Risk Register'!$F$9:$F$158,MATCH($B161,'Risk Register'!$C$9:$C$158,0)),"Risk ID not found"))</f>
        <v/>
      </c>
      <c r="D161" s="57"/>
      <c r="E161" s="57"/>
      <c r="F161" s="58"/>
      <c r="G161" s="72"/>
      <c r="H161" s="55" t="str">
        <f aca="true">IF(OR($B161="",$G161=""),"",$G161-TODAY())</f>
        <v/>
      </c>
      <c r="I161" s="59" t="str">
        <f aca="true">IF($B161="","",IF($F161="Complete","Done",IF($F161="Cancelled","Cancelled",IF($G161="","No date",IF($G161&lt;TODAY(),"Overdue",IF($G161-TODAY()&lt;=14,"Due soon","On track"))))))</f>
        <v/>
      </c>
      <c r="J161" s="57"/>
    </row>
    <row r="162" customFormat="false" ht="30" hidden="false" customHeight="true" outlineLevel="0" collapsed="false">
      <c r="B162" s="67"/>
      <c r="C162" s="56" t="str">
        <f aca="false">IF($B162="","",IFERROR(INDEX('Risk Register'!$F$9:$F$158,MATCH($B162,'Risk Register'!$C$9:$C$158,0)),"Risk ID not found"))</f>
        <v/>
      </c>
      <c r="D162" s="66"/>
      <c r="E162" s="66"/>
      <c r="F162" s="67"/>
      <c r="G162" s="73"/>
      <c r="H162" s="55" t="str">
        <f aca="true">IF(OR($B162="",$G162=""),"",$G162-TODAY())</f>
        <v/>
      </c>
      <c r="I162" s="59" t="str">
        <f aca="true">IF($B162="","",IF($F162="Complete","Done",IF($F162="Cancelled","Cancelled",IF($G162="","No date",IF($G162&lt;TODAY(),"Overdue",IF($G162-TODAY()&lt;=14,"Due soon","On track"))))))</f>
        <v/>
      </c>
      <c r="J162" s="66"/>
    </row>
    <row r="163" customFormat="false" ht="30" hidden="false" customHeight="true" outlineLevel="0" collapsed="false">
      <c r="B163" s="58"/>
      <c r="C163" s="56" t="str">
        <f aca="false">IF($B163="","",IFERROR(INDEX('Risk Register'!$F$9:$F$158,MATCH($B163,'Risk Register'!$C$9:$C$158,0)),"Risk ID not found"))</f>
        <v/>
      </c>
      <c r="D163" s="57"/>
      <c r="E163" s="57"/>
      <c r="F163" s="58"/>
      <c r="G163" s="72"/>
      <c r="H163" s="55" t="str">
        <f aca="true">IF(OR($B163="",$G163=""),"",$G163-TODAY())</f>
        <v/>
      </c>
      <c r="I163" s="59" t="str">
        <f aca="true">IF($B163="","",IF($F163="Complete","Done",IF($F163="Cancelled","Cancelled",IF($G163="","No date",IF($G163&lt;TODAY(),"Overdue",IF($G163-TODAY()&lt;=14,"Due soon","On track"))))))</f>
        <v/>
      </c>
      <c r="J163" s="57"/>
    </row>
    <row r="164" customFormat="false" ht="30" hidden="false" customHeight="true" outlineLevel="0" collapsed="false">
      <c r="B164" s="67"/>
      <c r="C164" s="56" t="str">
        <f aca="false">IF($B164="","",IFERROR(INDEX('Risk Register'!$F$9:$F$158,MATCH($B164,'Risk Register'!$C$9:$C$158,0)),"Risk ID not found"))</f>
        <v/>
      </c>
      <c r="D164" s="66"/>
      <c r="E164" s="66"/>
      <c r="F164" s="67"/>
      <c r="G164" s="73"/>
      <c r="H164" s="55" t="str">
        <f aca="true">IF(OR($B164="",$G164=""),"",$G164-TODAY())</f>
        <v/>
      </c>
      <c r="I164" s="59" t="str">
        <f aca="true">IF($B164="","",IF($F164="Complete","Done",IF($F164="Cancelled","Cancelled",IF($G164="","No date",IF($G164&lt;TODAY(),"Overdue",IF($G164-TODAY()&lt;=14,"Due soon","On track"))))))</f>
        <v/>
      </c>
      <c r="J164" s="66"/>
    </row>
    <row r="165" customFormat="false" ht="30" hidden="false" customHeight="true" outlineLevel="0" collapsed="false">
      <c r="B165" s="58"/>
      <c r="C165" s="56" t="str">
        <f aca="false">IF($B165="","",IFERROR(INDEX('Risk Register'!$F$9:$F$158,MATCH($B165,'Risk Register'!$C$9:$C$158,0)),"Risk ID not found"))</f>
        <v/>
      </c>
      <c r="D165" s="57"/>
      <c r="E165" s="57"/>
      <c r="F165" s="58"/>
      <c r="G165" s="72"/>
      <c r="H165" s="55" t="str">
        <f aca="true">IF(OR($B165="",$G165=""),"",$G165-TODAY())</f>
        <v/>
      </c>
      <c r="I165" s="59" t="str">
        <f aca="true">IF($B165="","",IF($F165="Complete","Done",IF($F165="Cancelled","Cancelled",IF($G165="","No date",IF($G165&lt;TODAY(),"Overdue",IF($G165-TODAY()&lt;=14,"Due soon","On track"))))))</f>
        <v/>
      </c>
      <c r="J165" s="57"/>
    </row>
    <row r="166" customFormat="false" ht="30" hidden="false" customHeight="true" outlineLevel="0" collapsed="false">
      <c r="B166" s="67"/>
      <c r="C166" s="56" t="str">
        <f aca="false">IF($B166="","",IFERROR(INDEX('Risk Register'!$F$9:$F$158,MATCH($B166,'Risk Register'!$C$9:$C$158,0)),"Risk ID not found"))</f>
        <v/>
      </c>
      <c r="D166" s="66"/>
      <c r="E166" s="66"/>
      <c r="F166" s="67"/>
      <c r="G166" s="73"/>
      <c r="H166" s="55" t="str">
        <f aca="true">IF(OR($B166="",$G166=""),"",$G166-TODAY())</f>
        <v/>
      </c>
      <c r="I166" s="59" t="str">
        <f aca="true">IF($B166="","",IF($F166="Complete","Done",IF($F166="Cancelled","Cancelled",IF($G166="","No date",IF($G166&lt;TODAY(),"Overdue",IF($G166-TODAY()&lt;=14,"Due soon","On track"))))))</f>
        <v/>
      </c>
      <c r="J166" s="66"/>
    </row>
    <row r="167" customFormat="false" ht="30" hidden="false" customHeight="true" outlineLevel="0" collapsed="false">
      <c r="B167" s="58"/>
      <c r="C167" s="56" t="str">
        <f aca="false">IF($B167="","",IFERROR(INDEX('Risk Register'!$F$9:$F$158,MATCH($B167,'Risk Register'!$C$9:$C$158,0)),"Risk ID not found"))</f>
        <v/>
      </c>
      <c r="D167" s="57"/>
      <c r="E167" s="57"/>
      <c r="F167" s="58"/>
      <c r="G167" s="72"/>
      <c r="H167" s="55" t="str">
        <f aca="true">IF(OR($B167="",$G167=""),"",$G167-TODAY())</f>
        <v/>
      </c>
      <c r="I167" s="59" t="str">
        <f aca="true">IF($B167="","",IF($F167="Complete","Done",IF($F167="Cancelled","Cancelled",IF($G167="","No date",IF($G167&lt;TODAY(),"Overdue",IF($G167-TODAY()&lt;=14,"Due soon","On track"))))))</f>
        <v/>
      </c>
      <c r="J167" s="57"/>
    </row>
    <row r="168" customFormat="false" ht="30" hidden="false" customHeight="true" outlineLevel="0" collapsed="false">
      <c r="B168" s="67"/>
      <c r="C168" s="56" t="str">
        <f aca="false">IF($B168="","",IFERROR(INDEX('Risk Register'!$F$9:$F$158,MATCH($B168,'Risk Register'!$C$9:$C$158,0)),"Risk ID not found"))</f>
        <v/>
      </c>
      <c r="D168" s="66"/>
      <c r="E168" s="66"/>
      <c r="F168" s="67"/>
      <c r="G168" s="73"/>
      <c r="H168" s="55" t="str">
        <f aca="true">IF(OR($B168="",$G168=""),"",$G168-TODAY())</f>
        <v/>
      </c>
      <c r="I168" s="59" t="str">
        <f aca="true">IF($B168="","",IF($F168="Complete","Done",IF($F168="Cancelled","Cancelled",IF($G168="","No date",IF($G168&lt;TODAY(),"Overdue",IF($G168-TODAY()&lt;=14,"Due soon","On track"))))))</f>
        <v/>
      </c>
      <c r="J168" s="66"/>
    </row>
    <row r="169" customFormat="false" ht="30" hidden="false" customHeight="true" outlineLevel="0" collapsed="false">
      <c r="B169" s="58"/>
      <c r="C169" s="56" t="str">
        <f aca="false">IF($B169="","",IFERROR(INDEX('Risk Register'!$F$9:$F$158,MATCH($B169,'Risk Register'!$C$9:$C$158,0)),"Risk ID not found"))</f>
        <v/>
      </c>
      <c r="D169" s="57"/>
      <c r="E169" s="57"/>
      <c r="F169" s="58"/>
      <c r="G169" s="72"/>
      <c r="H169" s="55" t="str">
        <f aca="true">IF(OR($B169="",$G169=""),"",$G169-TODAY())</f>
        <v/>
      </c>
      <c r="I169" s="59" t="str">
        <f aca="true">IF($B169="","",IF($F169="Complete","Done",IF($F169="Cancelled","Cancelled",IF($G169="","No date",IF($G169&lt;TODAY(),"Overdue",IF($G169-TODAY()&lt;=14,"Due soon","On track"))))))</f>
        <v/>
      </c>
      <c r="J169" s="57"/>
    </row>
    <row r="170" customFormat="false" ht="30" hidden="false" customHeight="true" outlineLevel="0" collapsed="false">
      <c r="B170" s="67"/>
      <c r="C170" s="56" t="str">
        <f aca="false">IF($B170="","",IFERROR(INDEX('Risk Register'!$F$9:$F$158,MATCH($B170,'Risk Register'!$C$9:$C$158,0)),"Risk ID not found"))</f>
        <v/>
      </c>
      <c r="D170" s="66"/>
      <c r="E170" s="66"/>
      <c r="F170" s="67"/>
      <c r="G170" s="73"/>
      <c r="H170" s="55" t="str">
        <f aca="true">IF(OR($B170="",$G170=""),"",$G170-TODAY())</f>
        <v/>
      </c>
      <c r="I170" s="59" t="str">
        <f aca="true">IF($B170="","",IF($F170="Complete","Done",IF($F170="Cancelled","Cancelled",IF($G170="","No date",IF($G170&lt;TODAY(),"Overdue",IF($G170-TODAY()&lt;=14,"Due soon","On track"))))))</f>
        <v/>
      </c>
      <c r="J170" s="66"/>
    </row>
    <row r="171" customFormat="false" ht="30" hidden="false" customHeight="true" outlineLevel="0" collapsed="false">
      <c r="B171" s="58"/>
      <c r="C171" s="56" t="str">
        <f aca="false">IF($B171="","",IFERROR(INDEX('Risk Register'!$F$9:$F$158,MATCH($B171,'Risk Register'!$C$9:$C$158,0)),"Risk ID not found"))</f>
        <v/>
      </c>
      <c r="D171" s="57"/>
      <c r="E171" s="57"/>
      <c r="F171" s="58"/>
      <c r="G171" s="72"/>
      <c r="H171" s="55" t="str">
        <f aca="true">IF(OR($B171="",$G171=""),"",$G171-TODAY())</f>
        <v/>
      </c>
      <c r="I171" s="59" t="str">
        <f aca="true">IF($B171="","",IF($F171="Complete","Done",IF($F171="Cancelled","Cancelled",IF($G171="","No date",IF($G171&lt;TODAY(),"Overdue",IF($G171-TODAY()&lt;=14,"Due soon","On track"))))))</f>
        <v/>
      </c>
      <c r="J171" s="57"/>
    </row>
    <row r="172" customFormat="false" ht="30" hidden="false" customHeight="true" outlineLevel="0" collapsed="false">
      <c r="B172" s="67"/>
      <c r="C172" s="56" t="str">
        <f aca="false">IF($B172="","",IFERROR(INDEX('Risk Register'!$F$9:$F$158,MATCH($B172,'Risk Register'!$C$9:$C$158,0)),"Risk ID not found"))</f>
        <v/>
      </c>
      <c r="D172" s="66"/>
      <c r="E172" s="66"/>
      <c r="F172" s="67"/>
      <c r="G172" s="73"/>
      <c r="H172" s="55" t="str">
        <f aca="true">IF(OR($B172="",$G172=""),"",$G172-TODAY())</f>
        <v/>
      </c>
      <c r="I172" s="59" t="str">
        <f aca="true">IF($B172="","",IF($F172="Complete","Done",IF($F172="Cancelled","Cancelled",IF($G172="","No date",IF($G172&lt;TODAY(),"Overdue",IF($G172-TODAY()&lt;=14,"Due soon","On track"))))))</f>
        <v/>
      </c>
      <c r="J172" s="66"/>
    </row>
    <row r="173" customFormat="false" ht="30" hidden="false" customHeight="true" outlineLevel="0" collapsed="false">
      <c r="B173" s="58"/>
      <c r="C173" s="56" t="str">
        <f aca="false">IF($B173="","",IFERROR(INDEX('Risk Register'!$F$9:$F$158,MATCH($B173,'Risk Register'!$C$9:$C$158,0)),"Risk ID not found"))</f>
        <v/>
      </c>
      <c r="D173" s="57"/>
      <c r="E173" s="57"/>
      <c r="F173" s="58"/>
      <c r="G173" s="72"/>
      <c r="H173" s="55" t="str">
        <f aca="true">IF(OR($B173="",$G173=""),"",$G173-TODAY())</f>
        <v/>
      </c>
      <c r="I173" s="59" t="str">
        <f aca="true">IF($B173="","",IF($F173="Complete","Done",IF($F173="Cancelled","Cancelled",IF($G173="","No date",IF($G173&lt;TODAY(),"Overdue",IF($G173-TODAY()&lt;=14,"Due soon","On track"))))))</f>
        <v/>
      </c>
      <c r="J173" s="57"/>
    </row>
    <row r="174" customFormat="false" ht="30" hidden="false" customHeight="true" outlineLevel="0" collapsed="false">
      <c r="B174" s="67"/>
      <c r="C174" s="56" t="str">
        <f aca="false">IF($B174="","",IFERROR(INDEX('Risk Register'!$F$9:$F$158,MATCH($B174,'Risk Register'!$C$9:$C$158,0)),"Risk ID not found"))</f>
        <v/>
      </c>
      <c r="D174" s="66"/>
      <c r="E174" s="66"/>
      <c r="F174" s="67"/>
      <c r="G174" s="73"/>
      <c r="H174" s="55" t="str">
        <f aca="true">IF(OR($B174="",$G174=""),"",$G174-TODAY())</f>
        <v/>
      </c>
      <c r="I174" s="59" t="str">
        <f aca="true">IF($B174="","",IF($F174="Complete","Done",IF($F174="Cancelled","Cancelled",IF($G174="","No date",IF($G174&lt;TODAY(),"Overdue",IF($G174-TODAY()&lt;=14,"Due soon","On track"))))))</f>
        <v/>
      </c>
      <c r="J174" s="66"/>
    </row>
    <row r="175" customFormat="false" ht="30" hidden="false" customHeight="true" outlineLevel="0" collapsed="false">
      <c r="B175" s="58"/>
      <c r="C175" s="56" t="str">
        <f aca="false">IF($B175="","",IFERROR(INDEX('Risk Register'!$F$9:$F$158,MATCH($B175,'Risk Register'!$C$9:$C$158,0)),"Risk ID not found"))</f>
        <v/>
      </c>
      <c r="D175" s="57"/>
      <c r="E175" s="57"/>
      <c r="F175" s="58"/>
      <c r="G175" s="72"/>
      <c r="H175" s="55" t="str">
        <f aca="true">IF(OR($B175="",$G175=""),"",$G175-TODAY())</f>
        <v/>
      </c>
      <c r="I175" s="59" t="str">
        <f aca="true">IF($B175="","",IF($F175="Complete","Done",IF($F175="Cancelled","Cancelled",IF($G175="","No date",IF($G175&lt;TODAY(),"Overdue",IF($G175-TODAY()&lt;=14,"Due soon","On track"))))))</f>
        <v/>
      </c>
      <c r="J175" s="57"/>
    </row>
    <row r="176" customFormat="false" ht="30" hidden="false" customHeight="true" outlineLevel="0" collapsed="false">
      <c r="B176" s="67"/>
      <c r="C176" s="56" t="str">
        <f aca="false">IF($B176="","",IFERROR(INDEX('Risk Register'!$F$9:$F$158,MATCH($B176,'Risk Register'!$C$9:$C$158,0)),"Risk ID not found"))</f>
        <v/>
      </c>
      <c r="D176" s="66"/>
      <c r="E176" s="66"/>
      <c r="F176" s="67"/>
      <c r="G176" s="73"/>
      <c r="H176" s="55" t="str">
        <f aca="true">IF(OR($B176="",$G176=""),"",$G176-TODAY())</f>
        <v/>
      </c>
      <c r="I176" s="59" t="str">
        <f aca="true">IF($B176="","",IF($F176="Complete","Done",IF($F176="Cancelled","Cancelled",IF($G176="","No date",IF($G176&lt;TODAY(),"Overdue",IF($G176-TODAY()&lt;=14,"Due soon","On track"))))))</f>
        <v/>
      </c>
      <c r="J176" s="66"/>
    </row>
    <row r="177" customFormat="false" ht="30" hidden="false" customHeight="true" outlineLevel="0" collapsed="false">
      <c r="B177" s="58"/>
      <c r="C177" s="56" t="str">
        <f aca="false">IF($B177="","",IFERROR(INDEX('Risk Register'!$F$9:$F$158,MATCH($B177,'Risk Register'!$C$9:$C$158,0)),"Risk ID not found"))</f>
        <v/>
      </c>
      <c r="D177" s="57"/>
      <c r="E177" s="57"/>
      <c r="F177" s="58"/>
      <c r="G177" s="72"/>
      <c r="H177" s="55" t="str">
        <f aca="true">IF(OR($B177="",$G177=""),"",$G177-TODAY())</f>
        <v/>
      </c>
      <c r="I177" s="59" t="str">
        <f aca="true">IF($B177="","",IF($F177="Complete","Done",IF($F177="Cancelled","Cancelled",IF($G177="","No date",IF($G177&lt;TODAY(),"Overdue",IF($G177-TODAY()&lt;=14,"Due soon","On track"))))))</f>
        <v/>
      </c>
      <c r="J177" s="57"/>
    </row>
    <row r="178" customFormat="false" ht="30" hidden="false" customHeight="true" outlineLevel="0" collapsed="false">
      <c r="B178" s="67"/>
      <c r="C178" s="56" t="str">
        <f aca="false">IF($B178="","",IFERROR(INDEX('Risk Register'!$F$9:$F$158,MATCH($B178,'Risk Register'!$C$9:$C$158,0)),"Risk ID not found"))</f>
        <v/>
      </c>
      <c r="D178" s="66"/>
      <c r="E178" s="66"/>
      <c r="F178" s="67"/>
      <c r="G178" s="73"/>
      <c r="H178" s="55" t="str">
        <f aca="true">IF(OR($B178="",$G178=""),"",$G178-TODAY())</f>
        <v/>
      </c>
      <c r="I178" s="59" t="str">
        <f aca="true">IF($B178="","",IF($F178="Complete","Done",IF($F178="Cancelled","Cancelled",IF($G178="","No date",IF($G178&lt;TODAY(),"Overdue",IF($G178-TODAY()&lt;=14,"Due soon","On track"))))))</f>
        <v/>
      </c>
      <c r="J178" s="66"/>
    </row>
    <row r="179" customFormat="false" ht="30" hidden="false" customHeight="true" outlineLevel="0" collapsed="false">
      <c r="B179" s="58"/>
      <c r="C179" s="56" t="str">
        <f aca="false">IF($B179="","",IFERROR(INDEX('Risk Register'!$F$9:$F$158,MATCH($B179,'Risk Register'!$C$9:$C$158,0)),"Risk ID not found"))</f>
        <v/>
      </c>
      <c r="D179" s="57"/>
      <c r="E179" s="57"/>
      <c r="F179" s="58"/>
      <c r="G179" s="72"/>
      <c r="H179" s="55" t="str">
        <f aca="true">IF(OR($B179="",$G179=""),"",$G179-TODAY())</f>
        <v/>
      </c>
      <c r="I179" s="59" t="str">
        <f aca="true">IF($B179="","",IF($F179="Complete","Done",IF($F179="Cancelled","Cancelled",IF($G179="","No date",IF($G179&lt;TODAY(),"Overdue",IF($G179-TODAY()&lt;=14,"Due soon","On track"))))))</f>
        <v/>
      </c>
      <c r="J179" s="57"/>
    </row>
    <row r="180" customFormat="false" ht="30" hidden="false" customHeight="true" outlineLevel="0" collapsed="false">
      <c r="B180" s="67"/>
      <c r="C180" s="56" t="str">
        <f aca="false">IF($B180="","",IFERROR(INDEX('Risk Register'!$F$9:$F$158,MATCH($B180,'Risk Register'!$C$9:$C$158,0)),"Risk ID not found"))</f>
        <v/>
      </c>
      <c r="D180" s="66"/>
      <c r="E180" s="66"/>
      <c r="F180" s="67"/>
      <c r="G180" s="73"/>
      <c r="H180" s="55" t="str">
        <f aca="true">IF(OR($B180="",$G180=""),"",$G180-TODAY())</f>
        <v/>
      </c>
      <c r="I180" s="59" t="str">
        <f aca="true">IF($B180="","",IF($F180="Complete","Done",IF($F180="Cancelled","Cancelled",IF($G180="","No date",IF($G180&lt;TODAY(),"Overdue",IF($G180-TODAY()&lt;=14,"Due soon","On track"))))))</f>
        <v/>
      </c>
      <c r="J180" s="66"/>
    </row>
    <row r="181" customFormat="false" ht="30" hidden="false" customHeight="true" outlineLevel="0" collapsed="false">
      <c r="B181" s="58"/>
      <c r="C181" s="56" t="str">
        <f aca="false">IF($B181="","",IFERROR(INDEX('Risk Register'!$F$9:$F$158,MATCH($B181,'Risk Register'!$C$9:$C$158,0)),"Risk ID not found"))</f>
        <v/>
      </c>
      <c r="D181" s="57"/>
      <c r="E181" s="57"/>
      <c r="F181" s="58"/>
      <c r="G181" s="72"/>
      <c r="H181" s="55" t="str">
        <f aca="true">IF(OR($B181="",$G181=""),"",$G181-TODAY())</f>
        <v/>
      </c>
      <c r="I181" s="59" t="str">
        <f aca="true">IF($B181="","",IF($F181="Complete","Done",IF($F181="Cancelled","Cancelled",IF($G181="","No date",IF($G181&lt;TODAY(),"Overdue",IF($G181-TODAY()&lt;=14,"Due soon","On track"))))))</f>
        <v/>
      </c>
      <c r="J181" s="57"/>
    </row>
    <row r="182" customFormat="false" ht="30" hidden="false" customHeight="true" outlineLevel="0" collapsed="false">
      <c r="B182" s="67"/>
      <c r="C182" s="56" t="str">
        <f aca="false">IF($B182="","",IFERROR(INDEX('Risk Register'!$F$9:$F$158,MATCH($B182,'Risk Register'!$C$9:$C$158,0)),"Risk ID not found"))</f>
        <v/>
      </c>
      <c r="D182" s="66"/>
      <c r="E182" s="66"/>
      <c r="F182" s="67"/>
      <c r="G182" s="73"/>
      <c r="H182" s="55" t="str">
        <f aca="true">IF(OR($B182="",$G182=""),"",$G182-TODAY())</f>
        <v/>
      </c>
      <c r="I182" s="59" t="str">
        <f aca="true">IF($B182="","",IF($F182="Complete","Done",IF($F182="Cancelled","Cancelled",IF($G182="","No date",IF($G182&lt;TODAY(),"Overdue",IF($G182-TODAY()&lt;=14,"Due soon","On track"))))))</f>
        <v/>
      </c>
      <c r="J182" s="66"/>
    </row>
    <row r="183" customFormat="false" ht="30" hidden="false" customHeight="true" outlineLevel="0" collapsed="false">
      <c r="B183" s="58"/>
      <c r="C183" s="56" t="str">
        <f aca="false">IF($B183="","",IFERROR(INDEX('Risk Register'!$F$9:$F$158,MATCH($B183,'Risk Register'!$C$9:$C$158,0)),"Risk ID not found"))</f>
        <v/>
      </c>
      <c r="D183" s="57"/>
      <c r="E183" s="57"/>
      <c r="F183" s="58"/>
      <c r="G183" s="72"/>
      <c r="H183" s="55" t="str">
        <f aca="true">IF(OR($B183="",$G183=""),"",$G183-TODAY())</f>
        <v/>
      </c>
      <c r="I183" s="59" t="str">
        <f aca="true">IF($B183="","",IF($F183="Complete","Done",IF($F183="Cancelled","Cancelled",IF($G183="","No date",IF($G183&lt;TODAY(),"Overdue",IF($G183-TODAY()&lt;=14,"Due soon","On track"))))))</f>
        <v/>
      </c>
      <c r="J183" s="57"/>
    </row>
    <row r="184" customFormat="false" ht="30" hidden="false" customHeight="true" outlineLevel="0" collapsed="false">
      <c r="B184" s="67"/>
      <c r="C184" s="56" t="str">
        <f aca="false">IF($B184="","",IFERROR(INDEX('Risk Register'!$F$9:$F$158,MATCH($B184,'Risk Register'!$C$9:$C$158,0)),"Risk ID not found"))</f>
        <v/>
      </c>
      <c r="D184" s="66"/>
      <c r="E184" s="66"/>
      <c r="F184" s="67"/>
      <c r="G184" s="73"/>
      <c r="H184" s="55" t="str">
        <f aca="true">IF(OR($B184="",$G184=""),"",$G184-TODAY())</f>
        <v/>
      </c>
      <c r="I184" s="59" t="str">
        <f aca="true">IF($B184="","",IF($F184="Complete","Done",IF($F184="Cancelled","Cancelled",IF($G184="","No date",IF($G184&lt;TODAY(),"Overdue",IF($G184-TODAY()&lt;=14,"Due soon","On track"))))))</f>
        <v/>
      </c>
      <c r="J184" s="66"/>
    </row>
    <row r="185" customFormat="false" ht="30" hidden="false" customHeight="true" outlineLevel="0" collapsed="false">
      <c r="B185" s="58"/>
      <c r="C185" s="56" t="str">
        <f aca="false">IF($B185="","",IFERROR(INDEX('Risk Register'!$F$9:$F$158,MATCH($B185,'Risk Register'!$C$9:$C$158,0)),"Risk ID not found"))</f>
        <v/>
      </c>
      <c r="D185" s="57"/>
      <c r="E185" s="57"/>
      <c r="F185" s="58"/>
      <c r="G185" s="72"/>
      <c r="H185" s="55" t="str">
        <f aca="true">IF(OR($B185="",$G185=""),"",$G185-TODAY())</f>
        <v/>
      </c>
      <c r="I185" s="59" t="str">
        <f aca="true">IF($B185="","",IF($F185="Complete","Done",IF($F185="Cancelled","Cancelled",IF($G185="","No date",IF($G185&lt;TODAY(),"Overdue",IF($G185-TODAY()&lt;=14,"Due soon","On track"))))))</f>
        <v/>
      </c>
      <c r="J185" s="57"/>
    </row>
    <row r="186" customFormat="false" ht="30" hidden="false" customHeight="true" outlineLevel="0" collapsed="false">
      <c r="B186" s="67"/>
      <c r="C186" s="56" t="str">
        <f aca="false">IF($B186="","",IFERROR(INDEX('Risk Register'!$F$9:$F$158,MATCH($B186,'Risk Register'!$C$9:$C$158,0)),"Risk ID not found"))</f>
        <v/>
      </c>
      <c r="D186" s="66"/>
      <c r="E186" s="66"/>
      <c r="F186" s="67"/>
      <c r="G186" s="73"/>
      <c r="H186" s="55" t="str">
        <f aca="true">IF(OR($B186="",$G186=""),"",$G186-TODAY())</f>
        <v/>
      </c>
      <c r="I186" s="59" t="str">
        <f aca="true">IF($B186="","",IF($F186="Complete","Done",IF($F186="Cancelled","Cancelled",IF($G186="","No date",IF($G186&lt;TODAY(),"Overdue",IF($G186-TODAY()&lt;=14,"Due soon","On track"))))))</f>
        <v/>
      </c>
      <c r="J186" s="66"/>
    </row>
    <row r="187" customFormat="false" ht="30" hidden="false" customHeight="true" outlineLevel="0" collapsed="false">
      <c r="B187" s="58"/>
      <c r="C187" s="56" t="str">
        <f aca="false">IF($B187="","",IFERROR(INDEX('Risk Register'!$F$9:$F$158,MATCH($B187,'Risk Register'!$C$9:$C$158,0)),"Risk ID not found"))</f>
        <v/>
      </c>
      <c r="D187" s="57"/>
      <c r="E187" s="57"/>
      <c r="F187" s="58"/>
      <c r="G187" s="72"/>
      <c r="H187" s="55" t="str">
        <f aca="true">IF(OR($B187="",$G187=""),"",$G187-TODAY())</f>
        <v/>
      </c>
      <c r="I187" s="59" t="str">
        <f aca="true">IF($B187="","",IF($F187="Complete","Done",IF($F187="Cancelled","Cancelled",IF($G187="","No date",IF($G187&lt;TODAY(),"Overdue",IF($G187-TODAY()&lt;=14,"Due soon","On track"))))))</f>
        <v/>
      </c>
      <c r="J187" s="57"/>
    </row>
    <row r="188" customFormat="false" ht="30" hidden="false" customHeight="true" outlineLevel="0" collapsed="false">
      <c r="B188" s="67"/>
      <c r="C188" s="56" t="str">
        <f aca="false">IF($B188="","",IFERROR(INDEX('Risk Register'!$F$9:$F$158,MATCH($B188,'Risk Register'!$C$9:$C$158,0)),"Risk ID not found"))</f>
        <v/>
      </c>
      <c r="D188" s="66"/>
      <c r="E188" s="66"/>
      <c r="F188" s="67"/>
      <c r="G188" s="73"/>
      <c r="H188" s="55" t="str">
        <f aca="true">IF(OR($B188="",$G188=""),"",$G188-TODAY())</f>
        <v/>
      </c>
      <c r="I188" s="59" t="str">
        <f aca="true">IF($B188="","",IF($F188="Complete","Done",IF($F188="Cancelled","Cancelled",IF($G188="","No date",IF($G188&lt;TODAY(),"Overdue",IF($G188-TODAY()&lt;=14,"Due soon","On track"))))))</f>
        <v/>
      </c>
      <c r="J188" s="66"/>
    </row>
    <row r="189" customFormat="false" ht="30" hidden="false" customHeight="true" outlineLevel="0" collapsed="false">
      <c r="B189" s="58"/>
      <c r="C189" s="56" t="str">
        <f aca="false">IF($B189="","",IFERROR(INDEX('Risk Register'!$F$9:$F$158,MATCH($B189,'Risk Register'!$C$9:$C$158,0)),"Risk ID not found"))</f>
        <v/>
      </c>
      <c r="D189" s="57"/>
      <c r="E189" s="57"/>
      <c r="F189" s="58"/>
      <c r="G189" s="72"/>
      <c r="H189" s="55" t="str">
        <f aca="true">IF(OR($B189="",$G189=""),"",$G189-TODAY())</f>
        <v/>
      </c>
      <c r="I189" s="59" t="str">
        <f aca="true">IF($B189="","",IF($F189="Complete","Done",IF($F189="Cancelled","Cancelled",IF($G189="","No date",IF($G189&lt;TODAY(),"Overdue",IF($G189-TODAY()&lt;=14,"Due soon","On track"))))))</f>
        <v/>
      </c>
      <c r="J189" s="57"/>
    </row>
    <row r="190" customFormat="false" ht="30" hidden="false" customHeight="true" outlineLevel="0" collapsed="false">
      <c r="B190" s="67"/>
      <c r="C190" s="56" t="str">
        <f aca="false">IF($B190="","",IFERROR(INDEX('Risk Register'!$F$9:$F$158,MATCH($B190,'Risk Register'!$C$9:$C$158,0)),"Risk ID not found"))</f>
        <v/>
      </c>
      <c r="D190" s="66"/>
      <c r="E190" s="66"/>
      <c r="F190" s="67"/>
      <c r="G190" s="73"/>
      <c r="H190" s="55" t="str">
        <f aca="true">IF(OR($B190="",$G190=""),"",$G190-TODAY())</f>
        <v/>
      </c>
      <c r="I190" s="59" t="str">
        <f aca="true">IF($B190="","",IF($F190="Complete","Done",IF($F190="Cancelled","Cancelled",IF($G190="","No date",IF($G190&lt;TODAY(),"Overdue",IF($G190-TODAY()&lt;=14,"Due soon","On track"))))))</f>
        <v/>
      </c>
      <c r="J190" s="66"/>
    </row>
    <row r="191" customFormat="false" ht="30" hidden="false" customHeight="true" outlineLevel="0" collapsed="false">
      <c r="B191" s="58"/>
      <c r="C191" s="56" t="str">
        <f aca="false">IF($B191="","",IFERROR(INDEX('Risk Register'!$F$9:$F$158,MATCH($B191,'Risk Register'!$C$9:$C$158,0)),"Risk ID not found"))</f>
        <v/>
      </c>
      <c r="D191" s="57"/>
      <c r="E191" s="57"/>
      <c r="F191" s="58"/>
      <c r="G191" s="72"/>
      <c r="H191" s="55" t="str">
        <f aca="true">IF(OR($B191="",$G191=""),"",$G191-TODAY())</f>
        <v/>
      </c>
      <c r="I191" s="59" t="str">
        <f aca="true">IF($B191="","",IF($F191="Complete","Done",IF($F191="Cancelled","Cancelled",IF($G191="","No date",IF($G191&lt;TODAY(),"Overdue",IF($G191-TODAY()&lt;=14,"Due soon","On track"))))))</f>
        <v/>
      </c>
      <c r="J191" s="57"/>
    </row>
    <row r="192" customFormat="false" ht="30" hidden="false" customHeight="true" outlineLevel="0" collapsed="false">
      <c r="B192" s="67"/>
      <c r="C192" s="56" t="str">
        <f aca="false">IF($B192="","",IFERROR(INDEX('Risk Register'!$F$9:$F$158,MATCH($B192,'Risk Register'!$C$9:$C$158,0)),"Risk ID not found"))</f>
        <v/>
      </c>
      <c r="D192" s="66"/>
      <c r="E192" s="66"/>
      <c r="F192" s="67"/>
      <c r="G192" s="73"/>
      <c r="H192" s="55" t="str">
        <f aca="true">IF(OR($B192="",$G192=""),"",$G192-TODAY())</f>
        <v/>
      </c>
      <c r="I192" s="59" t="str">
        <f aca="true">IF($B192="","",IF($F192="Complete","Done",IF($F192="Cancelled","Cancelled",IF($G192="","No date",IF($G192&lt;TODAY(),"Overdue",IF($G192-TODAY()&lt;=14,"Due soon","On track"))))))</f>
        <v/>
      </c>
      <c r="J192" s="66"/>
    </row>
    <row r="193" customFormat="false" ht="30" hidden="false" customHeight="true" outlineLevel="0" collapsed="false">
      <c r="B193" s="58"/>
      <c r="C193" s="56" t="str">
        <f aca="false">IF($B193="","",IFERROR(INDEX('Risk Register'!$F$9:$F$158,MATCH($B193,'Risk Register'!$C$9:$C$158,0)),"Risk ID not found"))</f>
        <v/>
      </c>
      <c r="D193" s="57"/>
      <c r="E193" s="57"/>
      <c r="F193" s="58"/>
      <c r="G193" s="72"/>
      <c r="H193" s="55" t="str">
        <f aca="true">IF(OR($B193="",$G193=""),"",$G193-TODAY())</f>
        <v/>
      </c>
      <c r="I193" s="59" t="str">
        <f aca="true">IF($B193="","",IF($F193="Complete","Done",IF($F193="Cancelled","Cancelled",IF($G193="","No date",IF($G193&lt;TODAY(),"Overdue",IF($G193-TODAY()&lt;=14,"Due soon","On track"))))))</f>
        <v/>
      </c>
      <c r="J193" s="57"/>
    </row>
    <row r="194" customFormat="false" ht="30" hidden="false" customHeight="true" outlineLevel="0" collapsed="false">
      <c r="B194" s="67"/>
      <c r="C194" s="56" t="str">
        <f aca="false">IF($B194="","",IFERROR(INDEX('Risk Register'!$F$9:$F$158,MATCH($B194,'Risk Register'!$C$9:$C$158,0)),"Risk ID not found"))</f>
        <v/>
      </c>
      <c r="D194" s="66"/>
      <c r="E194" s="66"/>
      <c r="F194" s="67"/>
      <c r="G194" s="73"/>
      <c r="H194" s="55" t="str">
        <f aca="true">IF(OR($B194="",$G194=""),"",$G194-TODAY())</f>
        <v/>
      </c>
      <c r="I194" s="59" t="str">
        <f aca="true">IF($B194="","",IF($F194="Complete","Done",IF($F194="Cancelled","Cancelled",IF($G194="","No date",IF($G194&lt;TODAY(),"Overdue",IF($G194-TODAY()&lt;=14,"Due soon","On track"))))))</f>
        <v/>
      </c>
      <c r="J194" s="66"/>
    </row>
    <row r="195" customFormat="false" ht="30" hidden="false" customHeight="true" outlineLevel="0" collapsed="false">
      <c r="B195" s="58"/>
      <c r="C195" s="56" t="str">
        <f aca="false">IF($B195="","",IFERROR(INDEX('Risk Register'!$F$9:$F$158,MATCH($B195,'Risk Register'!$C$9:$C$158,0)),"Risk ID not found"))</f>
        <v/>
      </c>
      <c r="D195" s="57"/>
      <c r="E195" s="57"/>
      <c r="F195" s="58"/>
      <c r="G195" s="72"/>
      <c r="H195" s="55" t="str">
        <f aca="true">IF(OR($B195="",$G195=""),"",$G195-TODAY())</f>
        <v/>
      </c>
      <c r="I195" s="59" t="str">
        <f aca="true">IF($B195="","",IF($F195="Complete","Done",IF($F195="Cancelled","Cancelled",IF($G195="","No date",IF($G195&lt;TODAY(),"Overdue",IF($G195-TODAY()&lt;=14,"Due soon","On track"))))))</f>
        <v/>
      </c>
      <c r="J195" s="57"/>
    </row>
    <row r="196" customFormat="false" ht="30" hidden="false" customHeight="true" outlineLevel="0" collapsed="false">
      <c r="B196" s="67"/>
      <c r="C196" s="56" t="str">
        <f aca="false">IF($B196="","",IFERROR(INDEX('Risk Register'!$F$9:$F$158,MATCH($B196,'Risk Register'!$C$9:$C$158,0)),"Risk ID not found"))</f>
        <v/>
      </c>
      <c r="D196" s="66"/>
      <c r="E196" s="66"/>
      <c r="F196" s="67"/>
      <c r="G196" s="73"/>
      <c r="H196" s="55" t="str">
        <f aca="true">IF(OR($B196="",$G196=""),"",$G196-TODAY())</f>
        <v/>
      </c>
      <c r="I196" s="59" t="str">
        <f aca="true">IF($B196="","",IF($F196="Complete","Done",IF($F196="Cancelled","Cancelled",IF($G196="","No date",IF($G196&lt;TODAY(),"Overdue",IF($G196-TODAY()&lt;=14,"Due soon","On track"))))))</f>
        <v/>
      </c>
      <c r="J196" s="66"/>
    </row>
    <row r="197" customFormat="false" ht="30" hidden="false" customHeight="true" outlineLevel="0" collapsed="false">
      <c r="B197" s="58"/>
      <c r="C197" s="56" t="str">
        <f aca="false">IF($B197="","",IFERROR(INDEX('Risk Register'!$F$9:$F$158,MATCH($B197,'Risk Register'!$C$9:$C$158,0)),"Risk ID not found"))</f>
        <v/>
      </c>
      <c r="D197" s="57"/>
      <c r="E197" s="57"/>
      <c r="F197" s="58"/>
      <c r="G197" s="72"/>
      <c r="H197" s="55" t="str">
        <f aca="true">IF(OR($B197="",$G197=""),"",$G197-TODAY())</f>
        <v/>
      </c>
      <c r="I197" s="59" t="str">
        <f aca="true">IF($B197="","",IF($F197="Complete","Done",IF($F197="Cancelled","Cancelled",IF($G197="","No date",IF($G197&lt;TODAY(),"Overdue",IF($G197-TODAY()&lt;=14,"Due soon","On track"))))))</f>
        <v/>
      </c>
      <c r="J197" s="57"/>
    </row>
    <row r="198" customFormat="false" ht="30" hidden="false" customHeight="true" outlineLevel="0" collapsed="false">
      <c r="B198" s="67"/>
      <c r="C198" s="56" t="str">
        <f aca="false">IF($B198="","",IFERROR(INDEX('Risk Register'!$F$9:$F$158,MATCH($B198,'Risk Register'!$C$9:$C$158,0)),"Risk ID not found"))</f>
        <v/>
      </c>
      <c r="D198" s="66"/>
      <c r="E198" s="66"/>
      <c r="F198" s="67"/>
      <c r="G198" s="73"/>
      <c r="H198" s="55" t="str">
        <f aca="true">IF(OR($B198="",$G198=""),"",$G198-TODAY())</f>
        <v/>
      </c>
      <c r="I198" s="59" t="str">
        <f aca="true">IF($B198="","",IF($F198="Complete","Done",IF($F198="Cancelled","Cancelled",IF($G198="","No date",IF($G198&lt;TODAY(),"Overdue",IF($G198-TODAY()&lt;=14,"Due soon","On track"))))))</f>
        <v/>
      </c>
      <c r="J198" s="66"/>
    </row>
    <row r="199" customFormat="false" ht="30" hidden="false" customHeight="true" outlineLevel="0" collapsed="false">
      <c r="B199" s="58"/>
      <c r="C199" s="56" t="str">
        <f aca="false">IF($B199="","",IFERROR(INDEX('Risk Register'!$F$9:$F$158,MATCH($B199,'Risk Register'!$C$9:$C$158,0)),"Risk ID not found"))</f>
        <v/>
      </c>
      <c r="D199" s="57"/>
      <c r="E199" s="57"/>
      <c r="F199" s="58"/>
      <c r="G199" s="72"/>
      <c r="H199" s="55" t="str">
        <f aca="true">IF(OR($B199="",$G199=""),"",$G199-TODAY())</f>
        <v/>
      </c>
      <c r="I199" s="59" t="str">
        <f aca="true">IF($B199="","",IF($F199="Complete","Done",IF($F199="Cancelled","Cancelled",IF($G199="","No date",IF($G199&lt;TODAY(),"Overdue",IF($G199-TODAY()&lt;=14,"Due soon","On track"))))))</f>
        <v/>
      </c>
      <c r="J199" s="57"/>
    </row>
    <row r="200" customFormat="false" ht="30" hidden="false" customHeight="true" outlineLevel="0" collapsed="false">
      <c r="B200" s="67"/>
      <c r="C200" s="56" t="str">
        <f aca="false">IF($B200="","",IFERROR(INDEX('Risk Register'!$F$9:$F$158,MATCH($B200,'Risk Register'!$C$9:$C$158,0)),"Risk ID not found"))</f>
        <v/>
      </c>
      <c r="D200" s="66"/>
      <c r="E200" s="66"/>
      <c r="F200" s="67"/>
      <c r="G200" s="73"/>
      <c r="H200" s="55" t="str">
        <f aca="true">IF(OR($B200="",$G200=""),"",$G200-TODAY())</f>
        <v/>
      </c>
      <c r="I200" s="59" t="str">
        <f aca="true">IF($B200="","",IF($F200="Complete","Done",IF($F200="Cancelled","Cancelled",IF($G200="","No date",IF($G200&lt;TODAY(),"Overdue",IF($G200-TODAY()&lt;=14,"Due soon","On track"))))))</f>
        <v/>
      </c>
      <c r="J200" s="66"/>
    </row>
    <row r="201" customFormat="false" ht="30" hidden="false" customHeight="true" outlineLevel="0" collapsed="false">
      <c r="B201" s="58"/>
      <c r="C201" s="56" t="str">
        <f aca="false">IF($B201="","",IFERROR(INDEX('Risk Register'!$F$9:$F$158,MATCH($B201,'Risk Register'!$C$9:$C$158,0)),"Risk ID not found"))</f>
        <v/>
      </c>
      <c r="D201" s="57"/>
      <c r="E201" s="57"/>
      <c r="F201" s="58"/>
      <c r="G201" s="72"/>
      <c r="H201" s="55" t="str">
        <f aca="true">IF(OR($B201="",$G201=""),"",$G201-TODAY())</f>
        <v/>
      </c>
      <c r="I201" s="59" t="str">
        <f aca="true">IF($B201="","",IF($F201="Complete","Done",IF($F201="Cancelled","Cancelled",IF($G201="","No date",IF($G201&lt;TODAY(),"Overdue",IF($G201-TODAY()&lt;=14,"Due soon","On track"))))))</f>
        <v/>
      </c>
      <c r="J201" s="57"/>
    </row>
    <row r="202" customFormat="false" ht="30" hidden="false" customHeight="true" outlineLevel="0" collapsed="false">
      <c r="B202" s="67"/>
      <c r="C202" s="56" t="str">
        <f aca="false">IF($B202="","",IFERROR(INDEX('Risk Register'!$F$9:$F$158,MATCH($B202,'Risk Register'!$C$9:$C$158,0)),"Risk ID not found"))</f>
        <v/>
      </c>
      <c r="D202" s="66"/>
      <c r="E202" s="66"/>
      <c r="F202" s="67"/>
      <c r="G202" s="73"/>
      <c r="H202" s="55" t="str">
        <f aca="true">IF(OR($B202="",$G202=""),"",$G202-TODAY())</f>
        <v/>
      </c>
      <c r="I202" s="59" t="str">
        <f aca="true">IF($B202="","",IF($F202="Complete","Done",IF($F202="Cancelled","Cancelled",IF($G202="","No date",IF($G202&lt;TODAY(),"Overdue",IF($G202-TODAY()&lt;=14,"Due soon","On track"))))))</f>
        <v/>
      </c>
      <c r="J202" s="66"/>
    </row>
    <row r="203" customFormat="false" ht="30" hidden="false" customHeight="true" outlineLevel="0" collapsed="false">
      <c r="B203" s="58"/>
      <c r="C203" s="56" t="str">
        <f aca="false">IF($B203="","",IFERROR(INDEX('Risk Register'!$F$9:$F$158,MATCH($B203,'Risk Register'!$C$9:$C$158,0)),"Risk ID not found"))</f>
        <v/>
      </c>
      <c r="D203" s="57"/>
      <c r="E203" s="57"/>
      <c r="F203" s="58"/>
      <c r="G203" s="72"/>
      <c r="H203" s="55" t="str">
        <f aca="true">IF(OR($B203="",$G203=""),"",$G203-TODAY())</f>
        <v/>
      </c>
      <c r="I203" s="59" t="str">
        <f aca="true">IF($B203="","",IF($F203="Complete","Done",IF($F203="Cancelled","Cancelled",IF($G203="","No date",IF($G203&lt;TODAY(),"Overdue",IF($G203-TODAY()&lt;=14,"Due soon","On track"))))))</f>
        <v/>
      </c>
      <c r="J203" s="57"/>
    </row>
    <row r="204" customFormat="false" ht="30" hidden="false" customHeight="true" outlineLevel="0" collapsed="false">
      <c r="B204" s="67"/>
      <c r="C204" s="56" t="str">
        <f aca="false">IF($B204="","",IFERROR(INDEX('Risk Register'!$F$9:$F$158,MATCH($B204,'Risk Register'!$C$9:$C$158,0)),"Risk ID not found"))</f>
        <v/>
      </c>
      <c r="D204" s="66"/>
      <c r="E204" s="66"/>
      <c r="F204" s="67"/>
      <c r="G204" s="73"/>
      <c r="H204" s="55" t="str">
        <f aca="true">IF(OR($B204="",$G204=""),"",$G204-TODAY())</f>
        <v/>
      </c>
      <c r="I204" s="59" t="str">
        <f aca="true">IF($B204="","",IF($F204="Complete","Done",IF($F204="Cancelled","Cancelled",IF($G204="","No date",IF($G204&lt;TODAY(),"Overdue",IF($G204-TODAY()&lt;=14,"Due soon","On track"))))))</f>
        <v/>
      </c>
      <c r="J204" s="66"/>
    </row>
    <row r="205" customFormat="false" ht="30" hidden="false" customHeight="true" outlineLevel="0" collapsed="false">
      <c r="B205" s="58"/>
      <c r="C205" s="56" t="str">
        <f aca="false">IF($B205="","",IFERROR(INDEX('Risk Register'!$F$9:$F$158,MATCH($B205,'Risk Register'!$C$9:$C$158,0)),"Risk ID not found"))</f>
        <v/>
      </c>
      <c r="D205" s="57"/>
      <c r="E205" s="57"/>
      <c r="F205" s="58"/>
      <c r="G205" s="72"/>
      <c r="H205" s="55" t="str">
        <f aca="true">IF(OR($B205="",$G205=""),"",$G205-TODAY())</f>
        <v/>
      </c>
      <c r="I205" s="59" t="str">
        <f aca="true">IF($B205="","",IF($F205="Complete","Done",IF($F205="Cancelled","Cancelled",IF($G205="","No date",IF($G205&lt;TODAY(),"Overdue",IF($G205-TODAY()&lt;=14,"Due soon","On track"))))))</f>
        <v/>
      </c>
      <c r="J205" s="57"/>
    </row>
    <row r="206" customFormat="false" ht="30" hidden="false" customHeight="true" outlineLevel="0" collapsed="false">
      <c r="B206" s="67"/>
      <c r="C206" s="56" t="str">
        <f aca="false">IF($B206="","",IFERROR(INDEX('Risk Register'!$F$9:$F$158,MATCH($B206,'Risk Register'!$C$9:$C$158,0)),"Risk ID not found"))</f>
        <v/>
      </c>
      <c r="D206" s="66"/>
      <c r="E206" s="66"/>
      <c r="F206" s="67"/>
      <c r="G206" s="73"/>
      <c r="H206" s="55" t="str">
        <f aca="true">IF(OR($B206="",$G206=""),"",$G206-TODAY())</f>
        <v/>
      </c>
      <c r="I206" s="59" t="str">
        <f aca="true">IF($B206="","",IF($F206="Complete","Done",IF($F206="Cancelled","Cancelled",IF($G206="","No date",IF($G206&lt;TODAY(),"Overdue",IF($G206-TODAY()&lt;=14,"Due soon","On track"))))))</f>
        <v/>
      </c>
      <c r="J206" s="66"/>
    </row>
    <row r="207" customFormat="false" ht="30" hidden="false" customHeight="true" outlineLevel="0" collapsed="false">
      <c r="B207" s="58"/>
      <c r="C207" s="56" t="str">
        <f aca="false">IF($B207="","",IFERROR(INDEX('Risk Register'!$F$9:$F$158,MATCH($B207,'Risk Register'!$C$9:$C$158,0)),"Risk ID not found"))</f>
        <v/>
      </c>
      <c r="D207" s="57"/>
      <c r="E207" s="57"/>
      <c r="F207" s="58"/>
      <c r="G207" s="72"/>
      <c r="H207" s="55" t="str">
        <f aca="true">IF(OR($B207="",$G207=""),"",$G207-TODAY())</f>
        <v/>
      </c>
      <c r="I207" s="59" t="str">
        <f aca="true">IF($B207="","",IF($F207="Complete","Done",IF($F207="Cancelled","Cancelled",IF($G207="","No date",IF($G207&lt;TODAY(),"Overdue",IF($G207-TODAY()&lt;=14,"Due soon","On track"))))))</f>
        <v/>
      </c>
      <c r="J207" s="57"/>
    </row>
    <row r="208" customFormat="false" ht="30" hidden="false" customHeight="true" outlineLevel="0" collapsed="false">
      <c r="B208" s="67"/>
      <c r="C208" s="56" t="str">
        <f aca="false">IF($B208="","",IFERROR(INDEX('Risk Register'!$F$9:$F$158,MATCH($B208,'Risk Register'!$C$9:$C$158,0)),"Risk ID not found"))</f>
        <v/>
      </c>
      <c r="D208" s="66"/>
      <c r="E208" s="66"/>
      <c r="F208" s="67"/>
      <c r="G208" s="73"/>
      <c r="H208" s="55" t="str">
        <f aca="true">IF(OR($B208="",$G208=""),"",$G208-TODAY())</f>
        <v/>
      </c>
      <c r="I208" s="59" t="str">
        <f aca="true">IF($B208="","",IF($F208="Complete","Done",IF($F208="Cancelled","Cancelled",IF($G208="","No date",IF($G208&lt;TODAY(),"Overdue",IF($G208-TODAY()&lt;=14,"Due soon","On track"))))))</f>
        <v/>
      </c>
      <c r="J208" s="66"/>
    </row>
    <row r="210" customFormat="false" ht="15" hidden="false" customHeight="true" outlineLevel="0" collapsed="false">
      <c r="B210" s="22" t="s">
        <v>340</v>
      </c>
      <c r="C210" s="22"/>
      <c r="D210" s="22"/>
      <c r="E210" s="22"/>
      <c r="F210" s="22"/>
      <c r="G210" s="22"/>
      <c r="H210" s="22"/>
      <c r="I210" s="22"/>
      <c r="J210" s="22"/>
    </row>
    <row r="211" customFormat="false" ht="15" hidden="false" customHeight="false" outlineLevel="0" collapsed="false">
      <c r="B211" s="22"/>
      <c r="C211" s="22"/>
      <c r="D211" s="22"/>
      <c r="E211" s="22"/>
      <c r="F211" s="22"/>
      <c r="G211" s="22"/>
      <c r="H211" s="22"/>
      <c r="I211" s="22"/>
      <c r="J211" s="22"/>
    </row>
  </sheetData>
  <autoFilter ref="B8:J208"/>
  <mergeCells count="4">
    <mergeCell ref="B1:J1"/>
    <mergeCell ref="B2:J2"/>
    <mergeCell ref="B4:J4"/>
    <mergeCell ref="B210:J211"/>
  </mergeCells>
  <conditionalFormatting sqref="F9:F208">
    <cfRule type="cellIs" priority="2" operator="equal" aboveAverage="0" equalAverage="0" bottom="0" percent="0" rank="0" text="" dxfId="20">
      <formula>"Not started"</formula>
    </cfRule>
    <cfRule type="cellIs" priority="3" operator="equal" aboveAverage="0" equalAverage="0" bottom="0" percent="0" rank="0" text="" dxfId="21">
      <formula>"In progress"</formula>
    </cfRule>
    <cfRule type="cellIs" priority="4" operator="equal" aboveAverage="0" equalAverage="0" bottom="0" percent="0" rank="0" text="" dxfId="19">
      <formula>"Complete"</formula>
    </cfRule>
    <cfRule type="cellIs" priority="5" operator="equal" aboveAverage="0" equalAverage="0" bottom="0" percent="0" rank="0" text="" dxfId="23">
      <formula>"Cancelled"</formula>
    </cfRule>
  </conditionalFormatting>
  <conditionalFormatting sqref="I9:I208">
    <cfRule type="cellIs" priority="6" operator="equal" aboveAverage="0" equalAverage="0" bottom="0" percent="0" rank="0" text="" dxfId="16">
      <formula>"Overdue"</formula>
    </cfRule>
    <cfRule type="cellIs" priority="7" operator="equal" aboveAverage="0" equalAverage="0" bottom="0" percent="0" rank="0" text="" dxfId="18">
      <formula>"Due soon"</formula>
    </cfRule>
    <cfRule type="cellIs" priority="8" operator="equal" aboveAverage="0" equalAverage="0" bottom="0" percent="0" rank="0" text="" dxfId="21">
      <formula>"On track"</formula>
    </cfRule>
    <cfRule type="cellIs" priority="9" operator="equal" aboveAverage="0" equalAverage="0" bottom="0" percent="0" rank="0" text="" dxfId="19">
      <formula>"Done"</formula>
    </cfRule>
    <cfRule type="cellIs" priority="10" operator="equal" aboveAverage="0" equalAverage="0" bottom="0" percent="0" rank="0" text="" dxfId="17">
      <formula>"No date"</formula>
    </cfRule>
    <cfRule type="cellIs" priority="11" operator="equal" aboveAverage="0" equalAverage="0" bottom="0" percent="0" rank="0" text="" dxfId="23">
      <formula>"Cancelled"</formula>
    </cfRule>
  </conditionalFormatting>
  <conditionalFormatting sqref="C9:C208">
    <cfRule type="cellIs" priority="12" operator="equal" aboveAverage="0" equalAverage="0" bottom="0" percent="0" rank="0" text="" dxfId="16">
      <formula>"Risk ID not found"</formula>
    </cfRule>
  </conditionalFormatting>
  <dataValidations count="2">
    <dataValidation allowBlank="true" error="Pick a value from the list." errorStyle="stop" errorTitle="Not on the list" operator="between" prompt="Not started, In progress, Complete or Cancelled. The register counts the completed ones." promptTitle="Action status" showDropDown="false" showErrorMessage="true" showInputMessage="true" sqref="F9:F208" type="list">
      <formula1>Reference!$F$31:$F$34</formula1>
      <formula2>0</formula2>
    </dataValidation>
    <dataValidation allowBlank="true" error="Use a Risk ID that exists on the register." errorStyle="stop" errorTitle="Unknown risk" operator="between" prompt="Pick the risk this action treats. The risk event pulls through." promptTitle="Risk ID" showDropDown="false" showErrorMessage="true" showInputMessage="true" sqref="B9:B208" type="list">
      <formula1>'Risk Register'!$C$9:$C$158</formula1>
      <formula2>0</formula2>
    </dataValidation>
  </dataValidations>
  <printOptions headings="false" gridLines="false" gridLinesSet="true" horizontalCentered="false" verticalCentered="false"/>
  <pageMargins left="0.3" right="0.3"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J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4" min="3" style="0" width="8"/>
    <col collapsed="false" customWidth="true" hidden="false" outlineLevel="0" max="5" min="5" style="0" width="12"/>
    <col collapsed="false" customWidth="true" hidden="false" outlineLevel="0" max="6" min="6" style="0" width="2"/>
    <col collapsed="false" customWidth="true" hidden="false" outlineLevel="0" max="7" min="7" style="0" width="26"/>
    <col collapsed="false" customWidth="true" hidden="false" outlineLevel="0" max="9" min="8" style="0" width="8"/>
    <col collapsed="false" customWidth="true" hidden="false" outlineLevel="0" max="10" min="10" style="0" width="10"/>
    <col collapsed="false" customWidth="true" hidden="false" outlineLevel="0" max="11" min="11" style="0" width="2.2"/>
  </cols>
  <sheetData>
    <row r="1" customFormat="false" ht="33.75" hidden="false" customHeight="true" outlineLevel="0" collapsed="false">
      <c r="B1" s="20" t="s">
        <v>341</v>
      </c>
      <c r="C1" s="20"/>
      <c r="D1" s="20"/>
      <c r="E1" s="20"/>
      <c r="F1" s="20"/>
      <c r="G1" s="20"/>
      <c r="H1" s="20"/>
      <c r="I1" s="20"/>
      <c r="J1" s="20"/>
    </row>
    <row r="2" customFormat="false" ht="4.5" hidden="false" customHeight="true" outlineLevel="0" collapsed="false">
      <c r="B2" s="21"/>
      <c r="C2" s="21"/>
      <c r="D2" s="21"/>
      <c r="E2" s="21"/>
      <c r="F2" s="21"/>
      <c r="G2" s="21"/>
      <c r="H2" s="21"/>
      <c r="I2" s="21"/>
      <c r="J2" s="21"/>
    </row>
    <row r="3" customFormat="false" ht="16.5" hidden="false" customHeight="true" outlineLevel="0" collapsed="false">
      <c r="B3" s="53" t="str">
        <f aca="false">IF(COUNTIF('Risk Register'!$AI$9:$AI$158,"EXAMPLE*")=0,"","EXAMPLE DATA - 12 risks and 13 actions are worked examples. Delete them and this banner clears.")</f>
        <v>EXAMPLE DATA - 12 risks and 13 actions are worked examples. Delete them and this banner clears.</v>
      </c>
      <c r="C3" s="53"/>
      <c r="D3" s="53"/>
      <c r="E3" s="53"/>
      <c r="F3" s="53"/>
      <c r="G3" s="53"/>
      <c r="H3" s="53"/>
      <c r="I3" s="53"/>
      <c r="J3" s="53"/>
    </row>
    <row r="4" customFormat="false" ht="42" hidden="false" customHeight="true" outlineLevel="0" collapsed="false">
      <c r="B4" s="22" t="s">
        <v>342</v>
      </c>
      <c r="C4" s="22"/>
      <c r="D4" s="22"/>
      <c r="E4" s="22"/>
      <c r="F4" s="22"/>
      <c r="G4" s="22"/>
      <c r="H4" s="22"/>
      <c r="I4" s="22"/>
      <c r="J4" s="22"/>
    </row>
    <row r="6" customFormat="false" ht="21.75" hidden="false" customHeight="true" outlineLevel="0" collapsed="false">
      <c r="B6" s="5" t="s">
        <v>343</v>
      </c>
      <c r="C6" s="5"/>
      <c r="D6" s="5"/>
      <c r="E6" s="5"/>
      <c r="F6" s="5"/>
      <c r="G6" s="5"/>
      <c r="H6" s="5"/>
      <c r="I6" s="5"/>
      <c r="J6" s="5"/>
    </row>
    <row r="7" customFormat="false" ht="24.75" hidden="false" customHeight="true" outlineLevel="0" collapsed="false">
      <c r="B7" s="49" t="s">
        <v>222</v>
      </c>
      <c r="C7" s="49"/>
      <c r="D7" s="50" t="n">
        <f aca="false">COUNTIF('Risk Register'!$F$9:$F$158,"?*")</f>
        <v>12</v>
      </c>
      <c r="E7" s="50"/>
      <c r="G7" s="49" t="s">
        <v>344</v>
      </c>
      <c r="H7" s="49"/>
      <c r="I7" s="50" t="n">
        <f aca="false">COUNTIFS('Risk Register'!$P$9:$P$158,"Extreme",'Risk Register'!$AB$9:$AB$158,"&lt;&gt;Closed")</f>
        <v>1</v>
      </c>
      <c r="J7" s="50"/>
    </row>
    <row r="8" customFormat="false" ht="24.75" hidden="false" customHeight="true" outlineLevel="0" collapsed="false">
      <c r="B8" s="49" t="s">
        <v>54</v>
      </c>
      <c r="C8" s="49"/>
      <c r="D8" s="50" t="n">
        <f aca="false">COUNTIFS('Risk Register'!$F$9:$F$158,"?*",'Risk Register'!$AB$9:$AB$158,"&lt;&gt;Closed")</f>
        <v>12</v>
      </c>
      <c r="E8" s="50"/>
      <c r="G8" s="49" t="s">
        <v>345</v>
      </c>
      <c r="H8" s="49"/>
      <c r="I8" s="50" t="n">
        <f aca="false">COUNTIFS('Risk Register'!$P$9:$P$158,"High",'Risk Register'!$AB$9:$AB$158,"&lt;&gt;Closed")</f>
        <v>5</v>
      </c>
      <c r="J8" s="50"/>
    </row>
    <row r="9" customFormat="false" ht="24.75" hidden="false" customHeight="true" outlineLevel="0" collapsed="false">
      <c r="B9" s="49" t="s">
        <v>346</v>
      </c>
      <c r="C9" s="49"/>
      <c r="D9" s="50" t="n">
        <f aca="false">COUNTIFS('Risk Register'!$E$9:$E$158,"Threat")</f>
        <v>11</v>
      </c>
      <c r="E9" s="50"/>
      <c r="G9" s="49" t="s">
        <v>347</v>
      </c>
      <c r="H9" s="49"/>
      <c r="I9" s="50" t="n">
        <f aca="false">COUNTIFS('Risk Register'!$AF$9:$AF$158,"Overdue")</f>
        <v>0</v>
      </c>
      <c r="J9" s="50"/>
    </row>
    <row r="10" customFormat="false" ht="24.75" hidden="false" customHeight="true" outlineLevel="0" collapsed="false">
      <c r="B10" s="49" t="s">
        <v>348</v>
      </c>
      <c r="C10" s="49"/>
      <c r="D10" s="50" t="n">
        <f aca="false">COUNTIFS('Risk Register'!$E$9:$E$158,"Opportunity")</f>
        <v>1</v>
      </c>
      <c r="E10" s="50"/>
      <c r="G10" s="49" t="s">
        <v>65</v>
      </c>
      <c r="H10" s="49"/>
      <c r="I10" s="50" t="n">
        <f aca="false">COUNTIFS('Risk Register'!$AB$9:$AB$158,"Escalated")</f>
        <v>1</v>
      </c>
      <c r="J10" s="50"/>
    </row>
    <row r="11" customFormat="false" ht="24.75" hidden="false" customHeight="true" outlineLevel="0" collapsed="false">
      <c r="B11" s="49" t="s">
        <v>226</v>
      </c>
      <c r="C11" s="49"/>
      <c r="D11" s="51" t="n">
        <f aca="false">SUMIFS('Risk Register'!$Q$9:$Q$158,'Risk Register'!$E$9:$E$158,"Threat",'Risk Register'!$AB$9:$AB$158,"&lt;&gt;Closed")</f>
        <v>19512812.5</v>
      </c>
      <c r="E11" s="51"/>
      <c r="G11" s="49" t="s">
        <v>349</v>
      </c>
      <c r="H11" s="49"/>
      <c r="I11" s="51" t="n">
        <f aca="false">Plan!$D$18</f>
        <v>8500000</v>
      </c>
      <c r="J11" s="51"/>
    </row>
    <row r="12" customFormat="false" ht="24.75" hidden="false" customHeight="true" outlineLevel="0" collapsed="false">
      <c r="B12" s="49" t="s">
        <v>350</v>
      </c>
      <c r="C12" s="49"/>
      <c r="D12" s="51" t="n">
        <f aca="false">SUMIFS('Risk Register'!$Q$9:$Q$158,'Risk Register'!$E$9:$E$158,"Opportunity",'Risk Register'!$AB$9:$AB$158,"&lt;&gt;Closed")</f>
        <v>520625</v>
      </c>
      <c r="E12" s="51"/>
      <c r="G12" s="49" t="s">
        <v>351</v>
      </c>
      <c r="H12" s="49"/>
      <c r="I12" s="52" t="n">
        <f aca="false">IFERROR(SUMIFS('Risk Register'!$Q$9:$Q$158,'Risk Register'!$E$9:$E$158,"Threat",'Risk Register'!$AB$9:$AB$158,"&lt;&gt;Closed")/Plan!$D$18,0)</f>
        <v>2.295625</v>
      </c>
      <c r="J12" s="52"/>
    </row>
    <row r="13" customFormat="false" ht="13.5" hidden="false" customHeight="true" outlineLevel="0" collapsed="false">
      <c r="B13" s="22" t="s">
        <v>228</v>
      </c>
      <c r="C13" s="22"/>
      <c r="D13" s="22"/>
      <c r="E13" s="22"/>
      <c r="F13" s="22"/>
      <c r="G13" s="22"/>
      <c r="H13" s="22"/>
      <c r="I13" s="22"/>
      <c r="J13" s="22"/>
    </row>
    <row r="14" customFormat="false" ht="13.5" hidden="false" customHeight="true" outlineLevel="0" collapsed="false">
      <c r="B14" s="22"/>
      <c r="C14" s="22"/>
      <c r="D14" s="22"/>
      <c r="E14" s="22"/>
      <c r="F14" s="22"/>
      <c r="G14" s="22"/>
      <c r="H14" s="22"/>
      <c r="I14" s="22"/>
      <c r="J14" s="22"/>
    </row>
    <row r="15" customFormat="false" ht="13.5" hidden="false" customHeight="true" outlineLevel="0" collapsed="false">
      <c r="B15" s="22"/>
      <c r="C15" s="22"/>
      <c r="D15" s="22"/>
      <c r="E15" s="22"/>
      <c r="F15" s="22"/>
      <c r="G15" s="22"/>
      <c r="H15" s="22"/>
      <c r="I15" s="22"/>
      <c r="J15" s="22"/>
    </row>
    <row r="16" customFormat="false" ht="13.5" hidden="false" customHeight="true" outlineLevel="0" collapsed="false">
      <c r="B16" s="22"/>
      <c r="C16" s="22"/>
      <c r="D16" s="22"/>
      <c r="E16" s="22"/>
      <c r="F16" s="22"/>
      <c r="G16" s="22"/>
      <c r="H16" s="22"/>
      <c r="I16" s="22"/>
      <c r="J16" s="22"/>
    </row>
    <row r="17" customFormat="false" ht="13.5" hidden="false" customHeight="true" outlineLevel="0" collapsed="false">
      <c r="B17" s="22"/>
      <c r="C17" s="22"/>
      <c r="D17" s="22"/>
      <c r="E17" s="22"/>
      <c r="F17" s="22"/>
      <c r="G17" s="22"/>
      <c r="H17" s="22"/>
      <c r="I17" s="22"/>
      <c r="J17" s="22"/>
    </row>
    <row r="18" customFormat="false" ht="15" hidden="false" customHeight="true" outlineLevel="0" collapsed="false">
      <c r="G18" s="22" t="s">
        <v>352</v>
      </c>
      <c r="H18" s="22"/>
      <c r="I18" s="22"/>
      <c r="J18" s="22"/>
    </row>
    <row r="19" customFormat="false" ht="19.5" hidden="false" customHeight="true" outlineLevel="0" collapsed="false">
      <c r="B19" s="24" t="s">
        <v>353</v>
      </c>
      <c r="C19" s="24"/>
      <c r="D19" s="24"/>
      <c r="E19" s="24"/>
      <c r="G19" s="24" t="s">
        <v>354</v>
      </c>
      <c r="H19" s="24"/>
      <c r="I19" s="24"/>
      <c r="J19" s="24"/>
    </row>
    <row r="20" customFormat="false" ht="18.75" hidden="false" customHeight="true" outlineLevel="0" collapsed="false">
      <c r="B20" s="9" t="s">
        <v>355</v>
      </c>
      <c r="C20" s="9" t="s">
        <v>356</v>
      </c>
      <c r="D20" s="9" t="s">
        <v>127</v>
      </c>
      <c r="E20" s="9"/>
      <c r="G20" s="9" t="s">
        <v>233</v>
      </c>
      <c r="H20" s="9" t="s">
        <v>356</v>
      </c>
      <c r="I20" s="9" t="s">
        <v>127</v>
      </c>
      <c r="J20" s="9"/>
    </row>
    <row r="21" customFormat="false" ht="25.5" hidden="false" customHeight="true" outlineLevel="0" collapsed="false">
      <c r="B21" s="12" t="s">
        <v>116</v>
      </c>
      <c r="C21" s="74" t="n">
        <f aca="false">COUNTIFS('Risk Register'!$P$9:$P$158,"Extreme")</f>
        <v>1</v>
      </c>
      <c r="D21" s="75" t="n">
        <f aca="false">IFERROR(COUNTIFS('Risk Register'!$P$9:$P$158,"Extreme")/COUNTIF('Risk Register'!$F$9:$F$158,"?*"),0)</f>
        <v>0.0833333333333333</v>
      </c>
      <c r="E21" s="76" t="str">
        <f aca="false">IF(COUNTIFS('Risk Register'!$P$9:$P$158,"Extreme")=0,"",REPT("|",ROUND(IFERROR(COUNTIFS('Risk Register'!$P$9:$P$158,"Extreme")/COUNTIF('Risk Register'!$F$9:$F$158,"?*"),0)*12,0)))</f>
        <v>|</v>
      </c>
      <c r="G21" s="12" t="s">
        <v>53</v>
      </c>
      <c r="H21" s="74" t="n">
        <f aca="false">COUNTIFS('Risk Register'!$D$9:$D$158,"Strategic and business case",'Risk Register'!$AB$9:$AB$158,"&lt;&gt;Closed")</f>
        <v>0</v>
      </c>
      <c r="I21" s="75" t="n">
        <f aca="false">IFERROR(COUNTIFS('Risk Register'!$D$9:$D$158,"Strategic and business case",'Risk Register'!$AB$9:$AB$158,"&lt;&gt;Closed")/COUNTIF('Risk Register'!$F$9:$F$158,"?*"),0)</f>
        <v>0</v>
      </c>
      <c r="J21" s="76" t="str">
        <f aca="false">IF(COUNTIFS('Risk Register'!$D$9:$D$158,"Strategic and business case",'Risk Register'!$AB$9:$AB$158,"&lt;&gt;Closed")=0,"",REPT("|",ROUND(IFERROR(COUNTIFS('Risk Register'!$D$9:$D$158,"Strategic and business case",'Risk Register'!$AB$9:$AB$158,"&lt;&gt;Closed")/COUNTIF('Risk Register'!$F$9:$F$158,"?*"),0)*12,0)))</f>
        <v/>
      </c>
    </row>
    <row r="22" customFormat="false" ht="25.5" hidden="false" customHeight="true" outlineLevel="0" collapsed="false">
      <c r="B22" s="15" t="s">
        <v>118</v>
      </c>
      <c r="C22" s="77" t="n">
        <f aca="false">COUNTIFS('Risk Register'!$P$9:$P$158,"High")</f>
        <v>5</v>
      </c>
      <c r="D22" s="78" t="n">
        <f aca="false">IFERROR(COUNTIFS('Risk Register'!$P$9:$P$158,"High")/COUNTIF('Risk Register'!$F$9:$F$158,"?*"),0)</f>
        <v>0.416666666666667</v>
      </c>
      <c r="E22" s="79" t="str">
        <f aca="false">IF(COUNTIFS('Risk Register'!$P$9:$P$158,"High")=0,"",REPT("|",ROUND(IFERROR(COUNTIFS('Risk Register'!$P$9:$P$158,"High")/COUNTIF('Risk Register'!$F$9:$F$158,"?*"),0)*12,0)))</f>
        <v>|||||</v>
      </c>
      <c r="G22" s="15" t="s">
        <v>57</v>
      </c>
      <c r="H22" s="77" t="n">
        <f aca="false">COUNTIFS('Risk Register'!$D$9:$D$158,"Stakeholder and community",'Risk Register'!$AB$9:$AB$158,"&lt;&gt;Closed")</f>
        <v>1</v>
      </c>
      <c r="I22" s="78" t="n">
        <f aca="false">IFERROR(COUNTIFS('Risk Register'!$D$9:$D$158,"Stakeholder and community",'Risk Register'!$AB$9:$AB$158,"&lt;&gt;Closed")/COUNTIF('Risk Register'!$F$9:$F$158,"?*"),0)</f>
        <v>0.0833333333333333</v>
      </c>
      <c r="J22" s="79" t="str">
        <f aca="false">IF(COUNTIFS('Risk Register'!$D$9:$D$158,"Stakeholder and community",'Risk Register'!$AB$9:$AB$158,"&lt;&gt;Closed")=0,"",REPT("|",ROUND(IFERROR(COUNTIFS('Risk Register'!$D$9:$D$158,"Stakeholder and community",'Risk Register'!$AB$9:$AB$158,"&lt;&gt;Closed")/COUNTIF('Risk Register'!$F$9:$F$158,"?*"),0)*12,0)))</f>
        <v>|</v>
      </c>
    </row>
    <row r="23" customFormat="false" ht="16.5" hidden="false" customHeight="true" outlineLevel="0" collapsed="false">
      <c r="B23" s="12" t="s">
        <v>120</v>
      </c>
      <c r="C23" s="74" t="n">
        <f aca="false">COUNTIFS('Risk Register'!$P$9:$P$158,"Medium")</f>
        <v>6</v>
      </c>
      <c r="D23" s="75" t="n">
        <f aca="false">IFERROR(COUNTIFS('Risk Register'!$P$9:$P$158,"Medium")/COUNTIF('Risk Register'!$F$9:$F$158,"?*"),0)</f>
        <v>0.5</v>
      </c>
      <c r="E23" s="76" t="str">
        <f aca="false">IF(COUNTIFS('Risk Register'!$P$9:$P$158,"Medium")=0,"",REPT("|",ROUND(IFERROR(COUNTIFS('Risk Register'!$P$9:$P$158,"Medium")/COUNTIF('Risk Register'!$F$9:$F$158,"?*"),0)*12,0)))</f>
        <v>||||||</v>
      </c>
      <c r="G23" s="12" t="s">
        <v>60</v>
      </c>
      <c r="H23" s="74" t="n">
        <f aca="false">COUNTIFS('Risk Register'!$D$9:$D$158,"Planning and approvals",'Risk Register'!$AB$9:$AB$158,"&lt;&gt;Closed")</f>
        <v>1</v>
      </c>
      <c r="I23" s="75" t="n">
        <f aca="false">IFERROR(COUNTIFS('Risk Register'!$D$9:$D$158,"Planning and approvals",'Risk Register'!$AB$9:$AB$158,"&lt;&gt;Closed")/COUNTIF('Risk Register'!$F$9:$F$158,"?*"),0)</f>
        <v>0.0833333333333333</v>
      </c>
      <c r="J23" s="76" t="str">
        <f aca="false">IF(COUNTIFS('Risk Register'!$D$9:$D$158,"Planning and approvals",'Risk Register'!$AB$9:$AB$158,"&lt;&gt;Closed")=0,"",REPT("|",ROUND(IFERROR(COUNTIFS('Risk Register'!$D$9:$D$158,"Planning and approvals",'Risk Register'!$AB$9:$AB$158,"&lt;&gt;Closed")/COUNTIF('Risk Register'!$F$9:$F$158,"?*"),0)*12,0)))</f>
        <v>|</v>
      </c>
    </row>
    <row r="24" customFormat="false" ht="25.5" hidden="false" customHeight="true" outlineLevel="0" collapsed="false">
      <c r="B24" s="15" t="s">
        <v>122</v>
      </c>
      <c r="C24" s="77" t="n">
        <f aca="false">COUNTIFS('Risk Register'!$P$9:$P$158,"Low")</f>
        <v>0</v>
      </c>
      <c r="D24" s="78" t="n">
        <f aca="false">IFERROR(COUNTIFS('Risk Register'!$P$9:$P$158,"Low")/COUNTIF('Risk Register'!$F$9:$F$158,"?*"),0)</f>
        <v>0</v>
      </c>
      <c r="E24" s="79" t="str">
        <f aca="false">IF(COUNTIFS('Risk Register'!$P$9:$P$158,"Low")=0,"",REPT("|",ROUND(IFERROR(COUNTIFS('Risk Register'!$P$9:$P$158,"Low")/COUNTIF('Risk Register'!$F$9:$F$158,"?*"),0)*12,0)))</f>
        <v/>
      </c>
      <c r="G24" s="15" t="s">
        <v>64</v>
      </c>
      <c r="H24" s="77" t="n">
        <f aca="false">COUNTIFS('Risk Register'!$D$9:$D$158,"Land and property acquisition",'Risk Register'!$AB$9:$AB$158,"&lt;&gt;Closed")</f>
        <v>0</v>
      </c>
      <c r="I24" s="78" t="n">
        <f aca="false">IFERROR(COUNTIFS('Risk Register'!$D$9:$D$158,"Land and property acquisition",'Risk Register'!$AB$9:$AB$158,"&lt;&gt;Closed")/COUNTIF('Risk Register'!$F$9:$F$158,"?*"),0)</f>
        <v>0</v>
      </c>
      <c r="J24" s="79" t="str">
        <f aca="false">IF(COUNTIFS('Risk Register'!$D$9:$D$158,"Land and property acquisition",'Risk Register'!$AB$9:$AB$158,"&lt;&gt;Closed")=0,"",REPT("|",ROUND(IFERROR(COUNTIFS('Risk Register'!$D$9:$D$158,"Land and property acquisition",'Risk Register'!$AB$9:$AB$158,"&lt;&gt;Closed")/COUNTIF('Risk Register'!$F$9:$F$158,"?*"),0)*12,0)))</f>
        <v/>
      </c>
    </row>
    <row r="25" customFormat="false" ht="25.5" hidden="false" customHeight="true" outlineLevel="0" collapsed="false">
      <c r="G25" s="12" t="s">
        <v>68</v>
      </c>
      <c r="H25" s="74" t="n">
        <f aca="false">COUNTIFS('Risk Register'!$D$9:$D$158,"Environmental and heritage",'Risk Register'!$AB$9:$AB$158,"&lt;&gt;Closed")</f>
        <v>0</v>
      </c>
      <c r="I25" s="75" t="n">
        <f aca="false">IFERROR(COUNTIFS('Risk Register'!$D$9:$D$158,"Environmental and heritage",'Risk Register'!$AB$9:$AB$158,"&lt;&gt;Closed")/COUNTIF('Risk Register'!$F$9:$F$158,"?*"),0)</f>
        <v>0</v>
      </c>
      <c r="J25" s="76" t="str">
        <f aca="false">IF(COUNTIFS('Risk Register'!$D$9:$D$158,"Environmental and heritage",'Risk Register'!$AB$9:$AB$158,"&lt;&gt;Closed")=0,"",REPT("|",ROUND(IFERROR(COUNTIFS('Risk Register'!$D$9:$D$158,"Environmental and heritage",'Risk Register'!$AB$9:$AB$158,"&lt;&gt;Closed")/COUNTIF('Risk Register'!$F$9:$F$158,"?*"),0)*12,0)))</f>
        <v/>
      </c>
    </row>
    <row r="26" customFormat="false" ht="16.5" hidden="false" customHeight="true" outlineLevel="0" collapsed="false">
      <c r="B26" s="24" t="s">
        <v>357</v>
      </c>
      <c r="C26" s="24"/>
      <c r="D26" s="24"/>
      <c r="E26" s="24"/>
      <c r="G26" s="15" t="s">
        <v>72</v>
      </c>
      <c r="H26" s="77" t="n">
        <f aca="false">COUNTIFS('Risk Register'!$D$9:$D$158,"Design and technical",'Risk Register'!$AB$9:$AB$158,"&lt;&gt;Closed")</f>
        <v>1</v>
      </c>
      <c r="I26" s="78" t="n">
        <f aca="false">IFERROR(COUNTIFS('Risk Register'!$D$9:$D$158,"Design and technical",'Risk Register'!$AB$9:$AB$158,"&lt;&gt;Closed")/COUNTIF('Risk Register'!$F$9:$F$158,"?*"),0)</f>
        <v>0.0833333333333333</v>
      </c>
      <c r="J26" s="79" t="str">
        <f aca="false">IF(COUNTIFS('Risk Register'!$D$9:$D$158,"Design and technical",'Risk Register'!$AB$9:$AB$158,"&lt;&gt;Closed")=0,"",REPT("|",ROUND(IFERROR(COUNTIFS('Risk Register'!$D$9:$D$158,"Design and technical",'Risk Register'!$AB$9:$AB$158,"&lt;&gt;Closed")/COUNTIF('Risk Register'!$F$9:$F$158,"?*"),0)*12,0)))</f>
        <v>|</v>
      </c>
    </row>
    <row r="27" customFormat="false" ht="25.5" hidden="false" customHeight="true" outlineLevel="0" collapsed="false">
      <c r="B27" s="9" t="s">
        <v>50</v>
      </c>
      <c r="C27" s="9" t="s">
        <v>356</v>
      </c>
      <c r="D27" s="9" t="s">
        <v>127</v>
      </c>
      <c r="E27" s="9"/>
      <c r="G27" s="12" t="s">
        <v>76</v>
      </c>
      <c r="H27" s="74" t="n">
        <f aca="false">COUNTIFS('Risk Register'!$D$9:$D$158,"Geotechnical and ground conditions",'Risk Register'!$AB$9:$AB$158,"&lt;&gt;Closed")</f>
        <v>1</v>
      </c>
      <c r="I27" s="75" t="n">
        <f aca="false">IFERROR(COUNTIFS('Risk Register'!$D$9:$D$158,"Geotechnical and ground conditions",'Risk Register'!$AB$9:$AB$158,"&lt;&gt;Closed")/COUNTIF('Risk Register'!$F$9:$F$158,"?*"),0)</f>
        <v>0.0833333333333333</v>
      </c>
      <c r="J27" s="76" t="str">
        <f aca="false">IF(COUNTIFS('Risk Register'!$D$9:$D$158,"Geotechnical and ground conditions",'Risk Register'!$AB$9:$AB$158,"&lt;&gt;Closed")=0,"",REPT("|",ROUND(IFERROR(COUNTIFS('Risk Register'!$D$9:$D$158,"Geotechnical and ground conditions",'Risk Register'!$AB$9:$AB$158,"&lt;&gt;Closed")/COUNTIF('Risk Register'!$F$9:$F$158,"?*"),0)*12,0)))</f>
        <v>|</v>
      </c>
    </row>
    <row r="28" customFormat="false" ht="25.5" hidden="false" customHeight="true" outlineLevel="0" collapsed="false">
      <c r="B28" s="12" t="s">
        <v>54</v>
      </c>
      <c r="C28" s="74" t="n">
        <f aca="false">COUNTIFS('Risk Register'!$AB$9:$AB$158,"Open")</f>
        <v>2</v>
      </c>
      <c r="D28" s="75" t="n">
        <f aca="false">IFERROR(COUNTIFS('Risk Register'!$AB$9:$AB$158,"Open")/COUNTIF('Risk Register'!$F$9:$F$158,"?*"),0)</f>
        <v>0.166666666666667</v>
      </c>
      <c r="E28" s="76" t="str">
        <f aca="false">IF(COUNTIFS('Risk Register'!$AB$9:$AB$158,"Open")=0,"",REPT("|",ROUND(IFERROR(COUNTIFS('Risk Register'!$AB$9:$AB$158,"Open")/COUNTIF('Risk Register'!$F$9:$F$158,"?*"),0)*12,0)))</f>
        <v>||</v>
      </c>
      <c r="G28" s="15" t="s">
        <v>78</v>
      </c>
      <c r="H28" s="77" t="n">
        <f aca="false">COUNTIFS('Risk Register'!$D$9:$D$158,"Existing conditions and services",'Risk Register'!$AB$9:$AB$158,"&lt;&gt;Closed")</f>
        <v>1</v>
      </c>
      <c r="I28" s="78" t="n">
        <f aca="false">IFERROR(COUNTIFS('Risk Register'!$D$9:$D$158,"Existing conditions and services",'Risk Register'!$AB$9:$AB$158,"&lt;&gt;Closed")/COUNTIF('Risk Register'!$F$9:$F$158,"?*"),0)</f>
        <v>0.0833333333333333</v>
      </c>
      <c r="J28" s="79" t="str">
        <f aca="false">IF(COUNTIFS('Risk Register'!$D$9:$D$158,"Existing conditions and services",'Risk Register'!$AB$9:$AB$158,"&lt;&gt;Closed")=0,"",REPT("|",ROUND(IFERROR(COUNTIFS('Risk Register'!$D$9:$D$158,"Existing conditions and services",'Risk Register'!$AB$9:$AB$158,"&lt;&gt;Closed")/COUNTIF('Risk Register'!$F$9:$F$158,"?*"),0)*12,0)))</f>
        <v>|</v>
      </c>
    </row>
    <row r="29" customFormat="false" ht="16.5" hidden="false" customHeight="true" outlineLevel="0" collapsed="false">
      <c r="B29" s="15" t="s">
        <v>58</v>
      </c>
      <c r="C29" s="77" t="n">
        <f aca="false">COUNTIFS('Risk Register'!$AB$9:$AB$158,"Treating")</f>
        <v>5</v>
      </c>
      <c r="D29" s="78" t="n">
        <f aca="false">IFERROR(COUNTIFS('Risk Register'!$AB$9:$AB$158,"Treating")/COUNTIF('Risk Register'!$F$9:$F$158,"?*"),0)</f>
        <v>0.416666666666667</v>
      </c>
      <c r="E29" s="79" t="str">
        <f aca="false">IF(COUNTIFS('Risk Register'!$AB$9:$AB$158,"Treating")=0,"",REPT("|",ROUND(IFERROR(COUNTIFS('Risk Register'!$AB$9:$AB$158,"Treating")/COUNTIF('Risk Register'!$F$9:$F$158,"?*"),0)*12,0)))</f>
        <v>|||||</v>
      </c>
      <c r="G29" s="12" t="s">
        <v>79</v>
      </c>
      <c r="H29" s="74" t="n">
        <f aca="false">COUNTIFS('Risk Register'!$D$9:$D$158,"Procurement and contract",'Risk Register'!$AB$9:$AB$158,"&lt;&gt;Closed")</f>
        <v>0</v>
      </c>
      <c r="I29" s="75" t="n">
        <f aca="false">IFERROR(COUNTIFS('Risk Register'!$D$9:$D$158,"Procurement and contract",'Risk Register'!$AB$9:$AB$158,"&lt;&gt;Closed")/COUNTIF('Risk Register'!$F$9:$F$158,"?*"),0)</f>
        <v>0</v>
      </c>
      <c r="J29" s="76" t="str">
        <f aca="false">IF(COUNTIFS('Risk Register'!$D$9:$D$158,"Procurement and contract",'Risk Register'!$AB$9:$AB$158,"&lt;&gt;Closed")=0,"",REPT("|",ROUND(IFERROR(COUNTIFS('Risk Register'!$D$9:$D$158,"Procurement and contract",'Risk Register'!$AB$9:$AB$158,"&lt;&gt;Closed")/COUNTIF('Risk Register'!$F$9:$F$158,"?*"),0)*12,0)))</f>
        <v/>
      </c>
    </row>
    <row r="30" customFormat="false" ht="25.5" hidden="false" customHeight="true" outlineLevel="0" collapsed="false">
      <c r="B30" s="12" t="s">
        <v>61</v>
      </c>
      <c r="C30" s="74" t="n">
        <f aca="false">COUNTIFS('Risk Register'!$AB$9:$AB$158,"Monitoring")</f>
        <v>4</v>
      </c>
      <c r="D30" s="75" t="n">
        <f aca="false">IFERROR(COUNTIFS('Risk Register'!$AB$9:$AB$158,"Monitoring")/COUNTIF('Risk Register'!$F$9:$F$158,"?*"),0)</f>
        <v>0.333333333333333</v>
      </c>
      <c r="E30" s="76" t="str">
        <f aca="false">IF(COUNTIFS('Risk Register'!$AB$9:$AB$158,"Monitoring")=0,"",REPT("|",ROUND(IFERROR(COUNTIFS('Risk Register'!$AB$9:$AB$158,"Monitoring")/COUNTIF('Risk Register'!$F$9:$F$158,"?*"),0)*12,0)))</f>
        <v>||||</v>
      </c>
      <c r="G30" s="15" t="s">
        <v>80</v>
      </c>
      <c r="H30" s="77" t="n">
        <f aca="false">COUNTIFS('Risk Register'!$D$9:$D$158,"Contractor performance and capability",'Risk Register'!$AB$9:$AB$158,"&lt;&gt;Closed")</f>
        <v>1</v>
      </c>
      <c r="I30" s="78" t="n">
        <f aca="false">IFERROR(COUNTIFS('Risk Register'!$D$9:$D$158,"Contractor performance and capability",'Risk Register'!$AB$9:$AB$158,"&lt;&gt;Closed")/COUNTIF('Risk Register'!$F$9:$F$158,"?*"),0)</f>
        <v>0.0833333333333333</v>
      </c>
      <c r="J30" s="79" t="str">
        <f aca="false">IF(COUNTIFS('Risk Register'!$D$9:$D$158,"Contractor performance and capability",'Risk Register'!$AB$9:$AB$158,"&lt;&gt;Closed")=0,"",REPT("|",ROUND(IFERROR(COUNTIFS('Risk Register'!$D$9:$D$158,"Contractor performance and capability",'Risk Register'!$AB$9:$AB$158,"&lt;&gt;Closed")/COUNTIF('Risk Register'!$F$9:$F$158,"?*"),0)*12,0)))</f>
        <v>|</v>
      </c>
    </row>
    <row r="31" customFormat="false" ht="25.5" hidden="false" customHeight="true" outlineLevel="0" collapsed="false">
      <c r="B31" s="15" t="s">
        <v>65</v>
      </c>
      <c r="C31" s="77" t="n">
        <f aca="false">COUNTIFS('Risk Register'!$AB$9:$AB$158,"Escalated")</f>
        <v>1</v>
      </c>
      <c r="D31" s="78" t="n">
        <f aca="false">IFERROR(COUNTIFS('Risk Register'!$AB$9:$AB$158,"Escalated")/COUNTIF('Risk Register'!$F$9:$F$158,"?*"),0)</f>
        <v>0.0833333333333333</v>
      </c>
      <c r="E31" s="79" t="str">
        <f aca="false">IF(COUNTIFS('Risk Register'!$AB$9:$AB$158,"Escalated")=0,"",REPT("|",ROUND(IFERROR(COUNTIFS('Risk Register'!$AB$9:$AB$158,"Escalated")/COUNTIF('Risk Register'!$F$9:$F$158,"?*"),0)*12,0)))</f>
        <v>|</v>
      </c>
      <c r="G31" s="12" t="s">
        <v>81</v>
      </c>
      <c r="H31" s="74" t="n">
        <f aca="false">COUNTIFS('Risk Register'!$D$9:$D$158,"Market, supply chain and escalation",'Risk Register'!$AB$9:$AB$158,"&lt;&gt;Closed")</f>
        <v>1</v>
      </c>
      <c r="I31" s="75" t="n">
        <f aca="false">IFERROR(COUNTIFS('Risk Register'!$D$9:$D$158,"Market, supply chain and escalation",'Risk Register'!$AB$9:$AB$158,"&lt;&gt;Closed")/COUNTIF('Risk Register'!$F$9:$F$158,"?*"),0)</f>
        <v>0.0833333333333333</v>
      </c>
      <c r="J31" s="76" t="str">
        <f aca="false">IF(COUNTIFS('Risk Register'!$D$9:$D$158,"Market, supply chain and escalation",'Risk Register'!$AB$9:$AB$158,"&lt;&gt;Closed")=0,"",REPT("|",ROUND(IFERROR(COUNTIFS('Risk Register'!$D$9:$D$158,"Market, supply chain and escalation",'Risk Register'!$AB$9:$AB$158,"&lt;&gt;Closed")/COUNTIF('Risk Register'!$F$9:$F$158,"?*"),0)*12,0)))</f>
        <v>|</v>
      </c>
    </row>
    <row r="32" customFormat="false" ht="16.5" hidden="false" customHeight="true" outlineLevel="0" collapsed="false">
      <c r="B32" s="12" t="s">
        <v>69</v>
      </c>
      <c r="C32" s="74" t="n">
        <f aca="false">COUNTIFS('Risk Register'!$AB$9:$AB$158,"Occurred")</f>
        <v>0</v>
      </c>
      <c r="D32" s="75" t="n">
        <f aca="false">IFERROR(COUNTIFS('Risk Register'!$AB$9:$AB$158,"Occurred")/COUNTIF('Risk Register'!$F$9:$F$158,"?*"),0)</f>
        <v>0</v>
      </c>
      <c r="E32" s="76" t="str">
        <f aca="false">IF(COUNTIFS('Risk Register'!$AB$9:$AB$158,"Occurred")=0,"",REPT("|",ROUND(IFERROR(COUNTIFS('Risk Register'!$AB$9:$AB$158,"Occurred")/COUNTIF('Risk Register'!$F$9:$F$158,"?*"),0)*12,0)))</f>
        <v/>
      </c>
      <c r="G32" s="15" t="s">
        <v>82</v>
      </c>
      <c r="H32" s="77" t="n">
        <f aca="false">COUNTIFS('Risk Register'!$D$9:$D$158,"Cost and funding",'Risk Register'!$AB$9:$AB$158,"&lt;&gt;Closed")</f>
        <v>1</v>
      </c>
      <c r="I32" s="78" t="n">
        <f aca="false">IFERROR(COUNTIFS('Risk Register'!$D$9:$D$158,"Cost and funding",'Risk Register'!$AB$9:$AB$158,"&lt;&gt;Closed")/COUNTIF('Risk Register'!$F$9:$F$158,"?*"),0)</f>
        <v>0.0833333333333333</v>
      </c>
      <c r="J32" s="79" t="str">
        <f aca="false">IF(COUNTIFS('Risk Register'!$D$9:$D$158,"Cost and funding",'Risk Register'!$AB$9:$AB$158,"&lt;&gt;Closed")=0,"",REPT("|",ROUND(IFERROR(COUNTIFS('Risk Register'!$D$9:$D$158,"Cost and funding",'Risk Register'!$AB$9:$AB$158,"&lt;&gt;Closed")/COUNTIF('Risk Register'!$F$9:$F$158,"?*"),0)*12,0)))</f>
        <v>|</v>
      </c>
    </row>
    <row r="33" customFormat="false" ht="16.5" hidden="false" customHeight="true" outlineLevel="0" collapsed="false">
      <c r="B33" s="15" t="s">
        <v>73</v>
      </c>
      <c r="C33" s="77" t="n">
        <f aca="false">COUNTIFS('Risk Register'!$AB$9:$AB$158,"Closed")</f>
        <v>0</v>
      </c>
      <c r="D33" s="78" t="n">
        <f aca="false">IFERROR(COUNTIFS('Risk Register'!$AB$9:$AB$158,"Closed")/COUNTIF('Risk Register'!$F$9:$F$158,"?*"),0)</f>
        <v>0</v>
      </c>
      <c r="E33" s="79" t="str">
        <f aca="false">IF(COUNTIFS('Risk Register'!$AB$9:$AB$158,"Closed")=0,"",REPT("|",ROUND(IFERROR(COUNTIFS('Risk Register'!$AB$9:$AB$158,"Closed")/COUNTIF('Risk Register'!$F$9:$F$158,"?*"),0)*12,0)))</f>
        <v/>
      </c>
      <c r="G33" s="12" t="s">
        <v>83</v>
      </c>
      <c r="H33" s="74" t="n">
        <f aca="false">COUNTIFS('Risk Register'!$D$9:$D$158,"Program and schedule",'Risk Register'!$AB$9:$AB$158,"&lt;&gt;Closed")</f>
        <v>0</v>
      </c>
      <c r="I33" s="75" t="n">
        <f aca="false">IFERROR(COUNTIFS('Risk Register'!$D$9:$D$158,"Program and schedule",'Risk Register'!$AB$9:$AB$158,"&lt;&gt;Closed")/COUNTIF('Risk Register'!$F$9:$F$158,"?*"),0)</f>
        <v>0</v>
      </c>
      <c r="J33" s="76" t="str">
        <f aca="false">IF(COUNTIFS('Risk Register'!$D$9:$D$158,"Program and schedule",'Risk Register'!$AB$9:$AB$158,"&lt;&gt;Closed")=0,"",REPT("|",ROUND(IFERROR(COUNTIFS('Risk Register'!$D$9:$D$158,"Program and schedule",'Risk Register'!$AB$9:$AB$158,"&lt;&gt;Closed")/COUNTIF('Risk Register'!$F$9:$F$158,"?*"),0)*12,0)))</f>
        <v/>
      </c>
    </row>
    <row r="34" customFormat="false" ht="16.5" hidden="false" customHeight="true" outlineLevel="0" collapsed="false">
      <c r="G34" s="15" t="s">
        <v>84</v>
      </c>
      <c r="H34" s="77" t="n">
        <f aca="false">COUNTIFS('Risk Register'!$D$9:$D$158,"Construction delivery",'Risk Register'!$AB$9:$AB$158,"&lt;&gt;Closed")</f>
        <v>0</v>
      </c>
      <c r="I34" s="78" t="n">
        <f aca="false">IFERROR(COUNTIFS('Risk Register'!$D$9:$D$158,"Construction delivery",'Risk Register'!$AB$9:$AB$158,"&lt;&gt;Closed")/COUNTIF('Risk Register'!$F$9:$F$158,"?*"),0)</f>
        <v>0</v>
      </c>
      <c r="J34" s="79" t="str">
        <f aca="false">IF(COUNTIFS('Risk Register'!$D$9:$D$158,"Construction delivery",'Risk Register'!$AB$9:$AB$158,"&lt;&gt;Closed")=0,"",REPT("|",ROUND(IFERROR(COUNTIFS('Risk Register'!$D$9:$D$158,"Construction delivery",'Risk Register'!$AB$9:$AB$158,"&lt;&gt;Closed")/COUNTIF('Risk Register'!$F$9:$F$158,"?*"),0)*12,0)))</f>
        <v/>
      </c>
    </row>
    <row r="35" customFormat="false" ht="25.5" hidden="false" customHeight="true" outlineLevel="0" collapsed="false">
      <c r="B35" s="24" t="s">
        <v>358</v>
      </c>
      <c r="C35" s="24"/>
      <c r="D35" s="24"/>
      <c r="E35" s="24"/>
      <c r="G35" s="12" t="s">
        <v>85</v>
      </c>
      <c r="H35" s="74" t="n">
        <f aca="false">COUNTIFS('Risk Register'!$D$9:$D$158,"Health, safety and wellbeing",'Risk Register'!$AB$9:$AB$158,"&lt;&gt;Closed")</f>
        <v>1</v>
      </c>
      <c r="I35" s="75" t="n">
        <f aca="false">IFERROR(COUNTIFS('Risk Register'!$D$9:$D$158,"Health, safety and wellbeing",'Risk Register'!$AB$9:$AB$158,"&lt;&gt;Closed")/COUNTIF('Risk Register'!$F$9:$F$158,"?*"),0)</f>
        <v>0.0833333333333333</v>
      </c>
      <c r="J35" s="76" t="str">
        <f aca="false">IF(COUNTIFS('Risk Register'!$D$9:$D$158,"Health, safety and wellbeing",'Risk Register'!$AB$9:$AB$158,"&lt;&gt;Closed")=0,"",REPT("|",ROUND(IFERROR(COUNTIFS('Risk Register'!$D$9:$D$158,"Health, safety and wellbeing",'Risk Register'!$AB$9:$AB$158,"&lt;&gt;Closed")/COUNTIF('Risk Register'!$F$9:$F$158,"?*"),0)*12,0)))</f>
        <v>|</v>
      </c>
    </row>
    <row r="36" customFormat="false" ht="16.5" hidden="false" customHeight="true" outlineLevel="0" collapsed="false">
      <c r="B36" s="9" t="s">
        <v>95</v>
      </c>
      <c r="C36" s="9" t="s">
        <v>356</v>
      </c>
      <c r="D36" s="9" t="s">
        <v>127</v>
      </c>
      <c r="E36" s="9"/>
      <c r="G36" s="15" t="s">
        <v>86</v>
      </c>
      <c r="H36" s="77" t="n">
        <f aca="false">COUNTIFS('Risk Register'!$D$9:$D$158,"Quality and defects",'Risk Register'!$AB$9:$AB$158,"&lt;&gt;Closed")</f>
        <v>0</v>
      </c>
      <c r="I36" s="78" t="n">
        <f aca="false">IFERROR(COUNTIFS('Risk Register'!$D$9:$D$158,"Quality and defects",'Risk Register'!$AB$9:$AB$158,"&lt;&gt;Closed")/COUNTIF('Risk Register'!$F$9:$F$158,"?*"),0)</f>
        <v>0</v>
      </c>
      <c r="J36" s="79" t="str">
        <f aca="false">IF(COUNTIFS('Risk Register'!$D$9:$D$158,"Quality and defects",'Risk Register'!$AB$9:$AB$158,"&lt;&gt;Closed")=0,"",REPT("|",ROUND(IFERROR(COUNTIFS('Risk Register'!$D$9:$D$158,"Quality and defects",'Risk Register'!$AB$9:$AB$158,"&lt;&gt;Closed")/COUNTIF('Risk Register'!$F$9:$F$158,"?*"),0)*12,0)))</f>
        <v/>
      </c>
    </row>
    <row r="37" customFormat="false" ht="25.5" hidden="false" customHeight="true" outlineLevel="0" collapsed="false">
      <c r="B37" s="12" t="s">
        <v>99</v>
      </c>
      <c r="C37" s="74" t="n">
        <f aca="false">COUNTIFS('Risk Register'!$E$9:$E$158,"Threat")</f>
        <v>11</v>
      </c>
      <c r="D37" s="75" t="n">
        <f aca="false">IFERROR(COUNTIFS('Risk Register'!$E$9:$E$158,"Threat")/COUNTIF('Risk Register'!$F$9:$F$158,"?*"),0)</f>
        <v>0.916666666666667</v>
      </c>
      <c r="E37" s="76" t="str">
        <f aca="false">IF(COUNTIFS('Risk Register'!$E$9:$E$158,"Threat")=0,"",REPT("|",ROUND(IFERROR(COUNTIFS('Risk Register'!$E$9:$E$158,"Threat")/COUNTIF('Risk Register'!$F$9:$F$158,"?*"),0)*12,0)))</f>
        <v>|||||||||||</v>
      </c>
      <c r="G37" s="12" t="s">
        <v>75</v>
      </c>
      <c r="H37" s="74" t="n">
        <f aca="false">COUNTIFS('Risk Register'!$D$9:$D$158,"Commissioning and handover",'Risk Register'!$AB$9:$AB$158,"&lt;&gt;Closed")</f>
        <v>1</v>
      </c>
      <c r="I37" s="75" t="n">
        <f aca="false">IFERROR(COUNTIFS('Risk Register'!$D$9:$D$158,"Commissioning and handover",'Risk Register'!$AB$9:$AB$158,"&lt;&gt;Closed")/COUNTIF('Risk Register'!$F$9:$F$158,"?*"),0)</f>
        <v>0.0833333333333333</v>
      </c>
      <c r="J37" s="76" t="str">
        <f aca="false">IF(COUNTIFS('Risk Register'!$D$9:$D$158,"Commissioning and handover",'Risk Register'!$AB$9:$AB$158,"&lt;&gt;Closed")=0,"",REPT("|",ROUND(IFERROR(COUNTIFS('Risk Register'!$D$9:$D$158,"Commissioning and handover",'Risk Register'!$AB$9:$AB$158,"&lt;&gt;Closed")/COUNTIF('Risk Register'!$F$9:$F$158,"?*"),0)*12,0)))</f>
        <v>|</v>
      </c>
    </row>
    <row r="38" customFormat="false" ht="25.5" hidden="false" customHeight="true" outlineLevel="0" collapsed="false">
      <c r="B38" s="15" t="s">
        <v>103</v>
      </c>
      <c r="C38" s="77" t="n">
        <f aca="false">COUNTIFS('Risk Register'!$E$9:$E$158,"Opportunity")</f>
        <v>1</v>
      </c>
      <c r="D38" s="78" t="n">
        <f aca="false">IFERROR(COUNTIFS('Risk Register'!$E$9:$E$158,"Opportunity")/COUNTIF('Risk Register'!$F$9:$F$158,"?*"),0)</f>
        <v>0.0833333333333333</v>
      </c>
      <c r="E38" s="79" t="str">
        <f aca="false">IF(COUNTIFS('Risk Register'!$E$9:$E$158,"Opportunity")=0,"",REPT("|",ROUND(IFERROR(COUNTIFS('Risk Register'!$E$9:$E$158,"Opportunity")/COUNTIF('Risk Register'!$F$9:$F$158,"?*"),0)*12,0)))</f>
        <v>|</v>
      </c>
      <c r="G38" s="15" t="s">
        <v>87</v>
      </c>
      <c r="H38" s="77" t="n">
        <f aca="false">COUNTIFS('Risk Register'!$D$9:$D$158,"Operations and maintenance readiness",'Risk Register'!$AB$9:$AB$158,"&lt;&gt;Closed")</f>
        <v>0</v>
      </c>
      <c r="I38" s="78" t="n">
        <f aca="false">IFERROR(COUNTIFS('Risk Register'!$D$9:$D$158,"Operations and maintenance readiness",'Risk Register'!$AB$9:$AB$158,"&lt;&gt;Closed")/COUNTIF('Risk Register'!$F$9:$F$158,"?*"),0)</f>
        <v>0</v>
      </c>
      <c r="J38" s="79" t="str">
        <f aca="false">IF(COUNTIFS('Risk Register'!$D$9:$D$158,"Operations and maintenance readiness",'Risk Register'!$AB$9:$AB$158,"&lt;&gt;Closed")=0,"",REPT("|",ROUND(IFERROR(COUNTIFS('Risk Register'!$D$9:$D$158,"Operations and maintenance readiness",'Risk Register'!$AB$9:$AB$158,"&lt;&gt;Closed")/COUNTIF('Risk Register'!$F$9:$F$158,"?*"),0)*12,0)))</f>
        <v/>
      </c>
    </row>
    <row r="39" customFormat="false" ht="25.5" hidden="false" customHeight="true" outlineLevel="0" collapsed="false">
      <c r="G39" s="12" t="s">
        <v>88</v>
      </c>
      <c r="H39" s="74" t="n">
        <f aca="false">COUNTIFS('Risk Register'!$D$9:$D$158,"Industrial relations and resourcing",'Risk Register'!$AB$9:$AB$158,"&lt;&gt;Closed")</f>
        <v>0</v>
      </c>
      <c r="I39" s="75" t="n">
        <f aca="false">IFERROR(COUNTIFS('Risk Register'!$D$9:$D$158,"Industrial relations and resourcing",'Risk Register'!$AB$9:$AB$158,"&lt;&gt;Closed")/COUNTIF('Risk Register'!$F$9:$F$158,"?*"),0)</f>
        <v>0</v>
      </c>
      <c r="J39" s="76" t="str">
        <f aca="false">IF(COUNTIFS('Risk Register'!$D$9:$D$158,"Industrial relations and resourcing",'Risk Register'!$AB$9:$AB$158,"&lt;&gt;Closed")=0,"",REPT("|",ROUND(IFERROR(COUNTIFS('Risk Register'!$D$9:$D$158,"Industrial relations and resourcing",'Risk Register'!$AB$9:$AB$158,"&lt;&gt;Closed")/COUNTIF('Risk Register'!$F$9:$F$158,"?*"),0)*12,0)))</f>
        <v/>
      </c>
    </row>
    <row r="40" customFormat="false" ht="19.5" hidden="false" customHeight="true" outlineLevel="0" collapsed="false">
      <c r="B40" s="24" t="s">
        <v>359</v>
      </c>
      <c r="C40" s="24"/>
      <c r="D40" s="24"/>
      <c r="E40" s="24"/>
      <c r="G40" s="15" t="s">
        <v>89</v>
      </c>
      <c r="H40" s="77" t="n">
        <f aca="false">COUNTIFS('Risk Register'!$D$9:$D$158,"Weather and force majeure",'Risk Register'!$AB$9:$AB$158,"&lt;&gt;Closed")</f>
        <v>1</v>
      </c>
      <c r="I40" s="78" t="n">
        <f aca="false">IFERROR(COUNTIFS('Risk Register'!$D$9:$D$158,"Weather and force majeure",'Risk Register'!$AB$9:$AB$158,"&lt;&gt;Closed")/COUNTIF('Risk Register'!$F$9:$F$158,"?*"),0)</f>
        <v>0.0833333333333333</v>
      </c>
      <c r="J40" s="79" t="str">
        <f aca="false">IF(COUNTIFS('Risk Register'!$D$9:$D$158,"Weather and force majeure",'Risk Register'!$AB$9:$AB$158,"&lt;&gt;Closed")=0,"",REPT("|",ROUND(IFERROR(COUNTIFS('Risk Register'!$D$9:$D$158,"Weather and force majeure",'Risk Register'!$AB$9:$AB$158,"&lt;&gt;Closed")/COUNTIF('Risk Register'!$F$9:$F$158,"?*"),0)*12,0)))</f>
        <v>|</v>
      </c>
    </row>
    <row r="41" customFormat="false" ht="18.75" hidden="false" customHeight="true" outlineLevel="0" collapsed="false">
      <c r="B41" s="9" t="s">
        <v>233</v>
      </c>
      <c r="C41" s="9" t="s">
        <v>360</v>
      </c>
      <c r="D41" s="9" t="s">
        <v>244</v>
      </c>
      <c r="E41" s="9"/>
      <c r="G41" s="12" t="s">
        <v>90</v>
      </c>
      <c r="H41" s="74" t="n">
        <f aca="false">COUNTIFS('Risk Register'!$D$9:$D$158,"Regulatory and compliance",'Risk Register'!$AB$9:$AB$158,"&lt;&gt;Closed")</f>
        <v>0</v>
      </c>
      <c r="I41" s="75" t="n">
        <f aca="false">IFERROR(COUNTIFS('Risk Register'!$D$9:$D$158,"Regulatory and compliance",'Risk Register'!$AB$9:$AB$158,"&lt;&gt;Closed")/COUNTIF('Risk Register'!$F$9:$F$158,"?*"),0)</f>
        <v>0</v>
      </c>
      <c r="J41" s="76" t="str">
        <f aca="false">IF(COUNTIFS('Risk Register'!$D$9:$D$158,"Regulatory and compliance",'Risk Register'!$AB$9:$AB$158,"&lt;&gt;Closed")=0,"",REPT("|",ROUND(IFERROR(COUNTIFS('Risk Register'!$D$9:$D$158,"Regulatory and compliance",'Risk Register'!$AB$9:$AB$158,"&lt;&gt;Closed")/COUNTIF('Risk Register'!$F$9:$F$158,"?*"),0)*12,0)))</f>
        <v/>
      </c>
    </row>
    <row r="42" customFormat="false" ht="25.5" hidden="false" customHeight="true" outlineLevel="0" collapsed="false">
      <c r="B42" s="12" t="s">
        <v>53</v>
      </c>
      <c r="C42" s="74" t="n">
        <f aca="false">COUNTIFS('Risk Register'!$D$9:$D$158,"Strategic and business case",'Risk Register'!$E$9:$E$158,"Threat",'Risk Register'!$AB$9:$AB$158,"&lt;&gt;Closed")</f>
        <v>0</v>
      </c>
      <c r="D42" s="80" t="n">
        <f aca="false">SUMIFS('Risk Register'!$Q$9:$Q$158,'Risk Register'!$D$9:$D$158,"Strategic and business case",'Risk Register'!$E$9:$E$158,"Threat",'Risk Register'!$AB$9:$AB$158,"&lt;&gt;Closed")</f>
        <v>0</v>
      </c>
      <c r="E42" s="80"/>
      <c r="G42" s="15" t="s">
        <v>91</v>
      </c>
      <c r="H42" s="77" t="n">
        <f aca="false">COUNTIFS('Risk Register'!$D$9:$D$158,"Governance and assurance",'Risk Register'!$AB$9:$AB$158,"&lt;&gt;Closed")</f>
        <v>1</v>
      </c>
      <c r="I42" s="78" t="n">
        <f aca="false">IFERROR(COUNTIFS('Risk Register'!$D$9:$D$158,"Governance and assurance",'Risk Register'!$AB$9:$AB$158,"&lt;&gt;Closed")/COUNTIF('Risk Register'!$F$9:$F$158,"?*"),0)</f>
        <v>0.0833333333333333</v>
      </c>
      <c r="J42" s="79" t="str">
        <f aca="false">IF(COUNTIFS('Risk Register'!$D$9:$D$158,"Governance and assurance",'Risk Register'!$AB$9:$AB$158,"&lt;&gt;Closed")=0,"",REPT("|",ROUND(IFERROR(COUNTIFS('Risk Register'!$D$9:$D$158,"Governance and assurance",'Risk Register'!$AB$9:$AB$158,"&lt;&gt;Closed")/COUNTIF('Risk Register'!$F$9:$F$158,"?*"),0)*12,0)))</f>
        <v>|</v>
      </c>
    </row>
    <row r="43" customFormat="false" ht="25.5" hidden="false" customHeight="true" outlineLevel="0" collapsed="false">
      <c r="B43" s="15" t="s">
        <v>57</v>
      </c>
      <c r="C43" s="77" t="n">
        <f aca="false">COUNTIFS('Risk Register'!$D$9:$D$158,"Stakeholder and community",'Risk Register'!$E$9:$E$158,"Threat",'Risk Register'!$AB$9:$AB$158,"&lt;&gt;Closed")</f>
        <v>1</v>
      </c>
      <c r="D43" s="81" t="n">
        <f aca="false">SUMIFS('Risk Register'!$Q$9:$Q$158,'Risk Register'!$D$9:$D$158,"Stakeholder and community",'Risk Register'!$E$9:$E$158,"Threat",'Risk Register'!$AB$9:$AB$158,"&lt;&gt;Closed")</f>
        <v>185937.5</v>
      </c>
      <c r="E43" s="81"/>
    </row>
    <row r="44" customFormat="false" ht="16.5" hidden="false" customHeight="true" outlineLevel="0" collapsed="false">
      <c r="B44" s="12" t="s">
        <v>60</v>
      </c>
      <c r="C44" s="74" t="n">
        <f aca="false">COUNTIFS('Risk Register'!$D$9:$D$158,"Planning and approvals",'Risk Register'!$E$9:$E$158,"Threat",'Risk Register'!$AB$9:$AB$158,"&lt;&gt;Closed")</f>
        <v>1</v>
      </c>
      <c r="D44" s="80" t="n">
        <f aca="false">SUMIFS('Risk Register'!$Q$9:$Q$158,'Risk Register'!$D$9:$D$158,"Planning and approvals",'Risk Register'!$E$9:$E$158,"Threat",'Risk Register'!$AB$9:$AB$158,"&lt;&gt;Closed")</f>
        <v>1487500</v>
      </c>
      <c r="E44" s="80"/>
    </row>
    <row r="45" customFormat="false" ht="25.5" hidden="false" customHeight="true" outlineLevel="0" collapsed="false">
      <c r="B45" s="15" t="s">
        <v>64</v>
      </c>
      <c r="C45" s="77" t="n">
        <f aca="false">COUNTIFS('Risk Register'!$D$9:$D$158,"Land and property acquisition",'Risk Register'!$E$9:$E$158,"Threat",'Risk Register'!$AB$9:$AB$158,"&lt;&gt;Closed")</f>
        <v>0</v>
      </c>
      <c r="D45" s="81" t="n">
        <f aca="false">SUMIFS('Risk Register'!$Q$9:$Q$158,'Risk Register'!$D$9:$D$158,"Land and property acquisition",'Risk Register'!$E$9:$E$158,"Threat",'Risk Register'!$AB$9:$AB$158,"&lt;&gt;Closed")</f>
        <v>0</v>
      </c>
      <c r="E45" s="81"/>
    </row>
    <row r="46" customFormat="false" ht="25.5" hidden="false" customHeight="true" outlineLevel="0" collapsed="false">
      <c r="B46" s="12" t="s">
        <v>68</v>
      </c>
      <c r="C46" s="74" t="n">
        <f aca="false">COUNTIFS('Risk Register'!$D$9:$D$158,"Environmental and heritage",'Risk Register'!$E$9:$E$158,"Threat",'Risk Register'!$AB$9:$AB$158,"&lt;&gt;Closed")</f>
        <v>0</v>
      </c>
      <c r="D46" s="80" t="n">
        <f aca="false">SUMIFS('Risk Register'!$Q$9:$Q$158,'Risk Register'!$D$9:$D$158,"Environmental and heritage",'Risk Register'!$E$9:$E$158,"Threat",'Risk Register'!$AB$9:$AB$158,"&lt;&gt;Closed")</f>
        <v>0</v>
      </c>
      <c r="E46" s="80"/>
    </row>
    <row r="47" customFormat="false" ht="16.5" hidden="false" customHeight="true" outlineLevel="0" collapsed="false">
      <c r="B47" s="15" t="s">
        <v>72</v>
      </c>
      <c r="C47" s="77" t="n">
        <f aca="false">COUNTIFS('Risk Register'!$D$9:$D$158,"Design and technical",'Risk Register'!$E$9:$E$158,"Threat",'Risk Register'!$AB$9:$AB$158,"&lt;&gt;Closed")</f>
        <v>1</v>
      </c>
      <c r="D47" s="81" t="n">
        <f aca="false">SUMIFS('Risk Register'!$Q$9:$Q$158,'Risk Register'!$D$9:$D$158,"Design and technical",'Risk Register'!$E$9:$E$158,"Threat",'Risk Register'!$AB$9:$AB$158,"&lt;&gt;Closed")</f>
        <v>520625</v>
      </c>
      <c r="E47" s="81"/>
    </row>
    <row r="48" customFormat="false" ht="25.5" hidden="false" customHeight="true" outlineLevel="0" collapsed="false">
      <c r="B48" s="12" t="s">
        <v>76</v>
      </c>
      <c r="C48" s="74" t="n">
        <f aca="false">COUNTIFS('Risk Register'!$D$9:$D$158,"Geotechnical and ground conditions",'Risk Register'!$E$9:$E$158,"Threat",'Risk Register'!$AB$9:$AB$158,"&lt;&gt;Closed")</f>
        <v>1</v>
      </c>
      <c r="D48" s="80" t="n">
        <f aca="false">SUMIFS('Risk Register'!$Q$9:$Q$158,'Risk Register'!$D$9:$D$158,"Geotechnical and ground conditions",'Risk Register'!$E$9:$E$158,"Threat",'Risk Register'!$AB$9:$AB$158,"&lt;&gt;Closed")</f>
        <v>3187500</v>
      </c>
      <c r="E48" s="80"/>
    </row>
    <row r="49" customFormat="false" ht="25.5" hidden="false" customHeight="true" outlineLevel="0" collapsed="false">
      <c r="B49" s="15" t="s">
        <v>78</v>
      </c>
      <c r="C49" s="77" t="n">
        <f aca="false">COUNTIFS('Risk Register'!$D$9:$D$158,"Existing conditions and services",'Risk Register'!$E$9:$E$158,"Threat",'Risk Register'!$AB$9:$AB$158,"&lt;&gt;Closed")</f>
        <v>1</v>
      </c>
      <c r="D49" s="81" t="n">
        <f aca="false">SUMIFS('Risk Register'!$Q$9:$Q$158,'Risk Register'!$D$9:$D$158,"Existing conditions and services",'Risk Register'!$E$9:$E$158,"Threat",'Risk Register'!$AB$9:$AB$158,"&lt;&gt;Closed")</f>
        <v>520625</v>
      </c>
      <c r="E49" s="81"/>
    </row>
    <row r="50" customFormat="false" ht="16.5" hidden="false" customHeight="true" outlineLevel="0" collapsed="false">
      <c r="B50" s="12" t="s">
        <v>79</v>
      </c>
      <c r="C50" s="74" t="n">
        <f aca="false">COUNTIFS('Risk Register'!$D$9:$D$158,"Procurement and contract",'Risk Register'!$E$9:$E$158,"Threat",'Risk Register'!$AB$9:$AB$158,"&lt;&gt;Closed")</f>
        <v>0</v>
      </c>
      <c r="D50" s="80" t="n">
        <f aca="false">SUMIFS('Risk Register'!$Q$9:$Q$158,'Risk Register'!$D$9:$D$158,"Procurement and contract",'Risk Register'!$E$9:$E$158,"Threat",'Risk Register'!$AB$9:$AB$158,"&lt;&gt;Closed")</f>
        <v>0</v>
      </c>
      <c r="E50" s="80"/>
    </row>
    <row r="51" customFormat="false" ht="25.5" hidden="false" customHeight="true" outlineLevel="0" collapsed="false">
      <c r="B51" s="15" t="s">
        <v>80</v>
      </c>
      <c r="C51" s="77" t="n">
        <f aca="false">COUNTIFS('Risk Register'!$D$9:$D$158,"Contractor performance and capability",'Risk Register'!$E$9:$E$158,"Threat",'Risk Register'!$AB$9:$AB$158,"&lt;&gt;Closed")</f>
        <v>1</v>
      </c>
      <c r="D51" s="81" t="n">
        <f aca="false">SUMIFS('Risk Register'!$Q$9:$Q$158,'Risk Register'!$D$9:$D$158,"Contractor performance and capability",'Risk Register'!$E$9:$E$158,"Threat",'Risk Register'!$AB$9:$AB$158,"&lt;&gt;Closed")</f>
        <v>3187500</v>
      </c>
      <c r="E51" s="81"/>
    </row>
    <row r="52" customFormat="false" ht="25.5" hidden="false" customHeight="true" outlineLevel="0" collapsed="false">
      <c r="B52" s="12" t="s">
        <v>81</v>
      </c>
      <c r="C52" s="74" t="n">
        <f aca="false">COUNTIFS('Risk Register'!$D$9:$D$158,"Market, supply chain and escalation",'Risk Register'!$E$9:$E$158,"Threat",'Risk Register'!$AB$9:$AB$158,"&lt;&gt;Closed")</f>
        <v>1</v>
      </c>
      <c r="D52" s="80" t="n">
        <f aca="false">SUMIFS('Risk Register'!$Q$9:$Q$158,'Risk Register'!$D$9:$D$158,"Market, supply chain and escalation",'Risk Register'!$E$9:$E$158,"Threat",'Risk Register'!$AB$9:$AB$158,"&lt;&gt;Closed")</f>
        <v>1115625</v>
      </c>
      <c r="E52" s="80"/>
    </row>
    <row r="53" customFormat="false" ht="16.5" hidden="false" customHeight="true" outlineLevel="0" collapsed="false">
      <c r="B53" s="15" t="s">
        <v>82</v>
      </c>
      <c r="C53" s="77" t="n">
        <f aca="false">COUNTIFS('Risk Register'!$D$9:$D$158,"Cost and funding",'Risk Register'!$E$9:$E$158,"Threat",'Risk Register'!$AB$9:$AB$158,"&lt;&gt;Closed")</f>
        <v>0</v>
      </c>
      <c r="D53" s="81" t="n">
        <f aca="false">SUMIFS('Risk Register'!$Q$9:$Q$158,'Risk Register'!$D$9:$D$158,"Cost and funding",'Risk Register'!$E$9:$E$158,"Threat",'Risk Register'!$AB$9:$AB$158,"&lt;&gt;Closed")</f>
        <v>0</v>
      </c>
      <c r="E53" s="81"/>
    </row>
    <row r="54" customFormat="false" ht="16.5" hidden="false" customHeight="true" outlineLevel="0" collapsed="false">
      <c r="B54" s="12" t="s">
        <v>83</v>
      </c>
      <c r="C54" s="74" t="n">
        <f aca="false">COUNTIFS('Risk Register'!$D$9:$D$158,"Program and schedule",'Risk Register'!$E$9:$E$158,"Threat",'Risk Register'!$AB$9:$AB$158,"&lt;&gt;Closed")</f>
        <v>0</v>
      </c>
      <c r="D54" s="80" t="n">
        <f aca="false">SUMIFS('Risk Register'!$Q$9:$Q$158,'Risk Register'!$D$9:$D$158,"Program and schedule",'Risk Register'!$E$9:$E$158,"Threat",'Risk Register'!$AB$9:$AB$158,"&lt;&gt;Closed")</f>
        <v>0</v>
      </c>
      <c r="E54" s="80"/>
    </row>
    <row r="55" customFormat="false" ht="16.5" hidden="false" customHeight="true" outlineLevel="0" collapsed="false">
      <c r="B55" s="15" t="s">
        <v>84</v>
      </c>
      <c r="C55" s="77" t="n">
        <f aca="false">COUNTIFS('Risk Register'!$D$9:$D$158,"Construction delivery",'Risk Register'!$E$9:$E$158,"Threat",'Risk Register'!$AB$9:$AB$158,"&lt;&gt;Closed")</f>
        <v>0</v>
      </c>
      <c r="D55" s="81" t="n">
        <f aca="false">SUMIFS('Risk Register'!$Q$9:$Q$158,'Risk Register'!$D$9:$D$158,"Construction delivery",'Risk Register'!$E$9:$E$158,"Threat",'Risk Register'!$AB$9:$AB$158,"&lt;&gt;Closed")</f>
        <v>0</v>
      </c>
      <c r="E55" s="81"/>
    </row>
    <row r="56" customFormat="false" ht="25.5" hidden="false" customHeight="true" outlineLevel="0" collapsed="false">
      <c r="B56" s="12" t="s">
        <v>85</v>
      </c>
      <c r="C56" s="74" t="n">
        <f aca="false">COUNTIFS('Risk Register'!$D$9:$D$158,"Health, safety and wellbeing",'Risk Register'!$E$9:$E$158,"Threat",'Risk Register'!$AB$9:$AB$158,"&lt;&gt;Closed")</f>
        <v>1</v>
      </c>
      <c r="D56" s="80" t="n">
        <f aca="false">SUMIFS('Risk Register'!$Q$9:$Q$158,'Risk Register'!$D$9:$D$158,"Health, safety and wellbeing",'Risk Register'!$E$9:$E$158,"Threat",'Risk Register'!$AB$9:$AB$158,"&lt;&gt;Closed")</f>
        <v>818125</v>
      </c>
      <c r="E56" s="80"/>
    </row>
    <row r="57" customFormat="false" ht="16.5" hidden="false" customHeight="true" outlineLevel="0" collapsed="false">
      <c r="B57" s="15" t="s">
        <v>86</v>
      </c>
      <c r="C57" s="77" t="n">
        <f aca="false">COUNTIFS('Risk Register'!$D$9:$D$158,"Quality and defects",'Risk Register'!$E$9:$E$158,"Threat",'Risk Register'!$AB$9:$AB$158,"&lt;&gt;Closed")</f>
        <v>0</v>
      </c>
      <c r="D57" s="81" t="n">
        <f aca="false">SUMIFS('Risk Register'!$Q$9:$Q$158,'Risk Register'!$D$9:$D$158,"Quality and defects",'Risk Register'!$E$9:$E$158,"Threat",'Risk Register'!$AB$9:$AB$158,"&lt;&gt;Closed")</f>
        <v>0</v>
      </c>
      <c r="E57" s="81"/>
    </row>
    <row r="58" customFormat="false" ht="25.5" hidden="false" customHeight="true" outlineLevel="0" collapsed="false">
      <c r="B58" s="12" t="s">
        <v>75</v>
      </c>
      <c r="C58" s="74" t="n">
        <f aca="false">COUNTIFS('Risk Register'!$D$9:$D$158,"Commissioning and handover",'Risk Register'!$E$9:$E$158,"Threat",'Risk Register'!$AB$9:$AB$158,"&lt;&gt;Closed")</f>
        <v>1</v>
      </c>
      <c r="D58" s="80" t="n">
        <f aca="false">SUMIFS('Risk Register'!$Q$9:$Q$158,'Risk Register'!$D$9:$D$158,"Commissioning and handover",'Risk Register'!$E$9:$E$158,"Threat",'Risk Register'!$AB$9:$AB$158,"&lt;&gt;Closed")</f>
        <v>520625</v>
      </c>
      <c r="E58" s="80"/>
    </row>
    <row r="59" customFormat="false" ht="25.5" hidden="false" customHeight="true" outlineLevel="0" collapsed="false">
      <c r="B59" s="15" t="s">
        <v>87</v>
      </c>
      <c r="C59" s="77" t="n">
        <f aca="false">COUNTIFS('Risk Register'!$D$9:$D$158,"Operations and maintenance readiness",'Risk Register'!$E$9:$E$158,"Threat",'Risk Register'!$AB$9:$AB$158,"&lt;&gt;Closed")</f>
        <v>0</v>
      </c>
      <c r="D59" s="81" t="n">
        <f aca="false">SUMIFS('Risk Register'!$Q$9:$Q$158,'Risk Register'!$D$9:$D$158,"Operations and maintenance readiness",'Risk Register'!$E$9:$E$158,"Threat",'Risk Register'!$AB$9:$AB$158,"&lt;&gt;Closed")</f>
        <v>0</v>
      </c>
      <c r="E59" s="81"/>
    </row>
    <row r="60" customFormat="false" ht="25.5" hidden="false" customHeight="true" outlineLevel="0" collapsed="false">
      <c r="B60" s="12" t="s">
        <v>88</v>
      </c>
      <c r="C60" s="74" t="n">
        <f aca="false">COUNTIFS('Risk Register'!$D$9:$D$158,"Industrial relations and resourcing",'Risk Register'!$E$9:$E$158,"Threat",'Risk Register'!$AB$9:$AB$158,"&lt;&gt;Closed")</f>
        <v>0</v>
      </c>
      <c r="D60" s="80" t="n">
        <f aca="false">SUMIFS('Risk Register'!$Q$9:$Q$158,'Risk Register'!$D$9:$D$158,"Industrial relations and resourcing",'Risk Register'!$E$9:$E$158,"Threat",'Risk Register'!$AB$9:$AB$158,"&lt;&gt;Closed")</f>
        <v>0</v>
      </c>
      <c r="E60" s="80"/>
    </row>
    <row r="61" customFormat="false" ht="25.5" hidden="false" customHeight="true" outlineLevel="0" collapsed="false">
      <c r="B61" s="15" t="s">
        <v>89</v>
      </c>
      <c r="C61" s="77" t="n">
        <f aca="false">COUNTIFS('Risk Register'!$D$9:$D$158,"Weather and force majeure",'Risk Register'!$E$9:$E$158,"Threat",'Risk Register'!$AB$9:$AB$158,"&lt;&gt;Closed")</f>
        <v>1</v>
      </c>
      <c r="D61" s="81" t="n">
        <f aca="false">SUMIFS('Risk Register'!$Q$9:$Q$158,'Risk Register'!$D$9:$D$158,"Weather and force majeure",'Risk Register'!$E$9:$E$158,"Threat",'Risk Register'!$AB$9:$AB$158,"&lt;&gt;Closed")</f>
        <v>531250</v>
      </c>
      <c r="E61" s="81"/>
    </row>
    <row r="62" customFormat="false" ht="25.5" hidden="false" customHeight="true" outlineLevel="0" collapsed="false">
      <c r="B62" s="12" t="s">
        <v>90</v>
      </c>
      <c r="C62" s="74" t="n">
        <f aca="false">COUNTIFS('Risk Register'!$D$9:$D$158,"Regulatory and compliance",'Risk Register'!$E$9:$E$158,"Threat",'Risk Register'!$AB$9:$AB$158,"&lt;&gt;Closed")</f>
        <v>0</v>
      </c>
      <c r="D62" s="80" t="n">
        <f aca="false">SUMIFS('Risk Register'!$Q$9:$Q$158,'Risk Register'!$D$9:$D$158,"Regulatory and compliance",'Risk Register'!$E$9:$E$158,"Threat",'Risk Register'!$AB$9:$AB$158,"&lt;&gt;Closed")</f>
        <v>0</v>
      </c>
      <c r="E62" s="80"/>
    </row>
    <row r="63" customFormat="false" ht="16.5" hidden="false" customHeight="true" outlineLevel="0" collapsed="false">
      <c r="B63" s="15" t="s">
        <v>91</v>
      </c>
      <c r="C63" s="77" t="n">
        <f aca="false">COUNTIFS('Risk Register'!$D$9:$D$158,"Governance and assurance",'Risk Register'!$E$9:$E$158,"Threat",'Risk Register'!$AB$9:$AB$158,"&lt;&gt;Closed")</f>
        <v>1</v>
      </c>
      <c r="D63" s="81" t="n">
        <f aca="false">SUMIFS('Risk Register'!$Q$9:$Q$158,'Risk Register'!$D$9:$D$158,"Governance and assurance",'Risk Register'!$E$9:$E$158,"Threat",'Risk Register'!$AB$9:$AB$158,"&lt;&gt;Closed")</f>
        <v>7437500</v>
      </c>
      <c r="E63" s="81"/>
    </row>
    <row r="64" customFormat="false" ht="15" hidden="false" customHeight="false" outlineLevel="0" collapsed="false">
      <c r="B64" s="82" t="s">
        <v>361</v>
      </c>
      <c r="C64" s="83" t="n">
        <f aca="false">COUNTIFS('Risk Register'!$E$9:$E$158,"Threat",'Risk Register'!$AB$9:$AB$158,"&lt;&gt;Closed")</f>
        <v>11</v>
      </c>
      <c r="D64" s="84" t="n">
        <f aca="false">SUMIFS('Risk Register'!$Q$9:$Q$158,'Risk Register'!$E$9:$E$158,"Threat",'Risk Register'!$AB$9:$AB$158,"&lt;&gt;Closed")</f>
        <v>19512812.5</v>
      </c>
      <c r="E64" s="84"/>
    </row>
    <row r="66" customFormat="false" ht="15" hidden="false" customHeight="true" outlineLevel="0" collapsed="false">
      <c r="B66" s="22" t="s">
        <v>362</v>
      </c>
      <c r="C66" s="22"/>
      <c r="D66" s="22"/>
      <c r="E66" s="22"/>
      <c r="F66" s="22"/>
      <c r="G66" s="22"/>
      <c r="H66" s="22"/>
      <c r="I66" s="22"/>
      <c r="J66" s="22"/>
    </row>
    <row r="67" customFormat="false" ht="15" hidden="false" customHeight="false" outlineLevel="0" collapsed="false">
      <c r="B67" s="22"/>
      <c r="C67" s="22"/>
      <c r="D67" s="22"/>
      <c r="E67" s="22"/>
      <c r="F67" s="22"/>
      <c r="G67" s="22"/>
      <c r="H67" s="22"/>
      <c r="I67" s="22"/>
      <c r="J67" s="22"/>
    </row>
    <row r="68" customFormat="false" ht="15" hidden="false" customHeight="false" outlineLevel="0" collapsed="false">
      <c r="B68" s="22"/>
      <c r="C68" s="22"/>
      <c r="D68" s="22"/>
      <c r="E68" s="22"/>
      <c r="F68" s="22"/>
      <c r="G68" s="22"/>
      <c r="H68" s="22"/>
      <c r="I68" s="22"/>
      <c r="J68" s="22"/>
    </row>
  </sheetData>
  <mergeCells count="61">
    <mergeCell ref="B1:J1"/>
    <mergeCell ref="B2:J2"/>
    <mergeCell ref="B3:J3"/>
    <mergeCell ref="B4:J4"/>
    <mergeCell ref="B6:J6"/>
    <mergeCell ref="B7:C7"/>
    <mergeCell ref="D7:E7"/>
    <mergeCell ref="G7:H7"/>
    <mergeCell ref="I7:J7"/>
    <mergeCell ref="B8:C8"/>
    <mergeCell ref="D8:E8"/>
    <mergeCell ref="G8:H8"/>
    <mergeCell ref="I8:J8"/>
    <mergeCell ref="B9:C9"/>
    <mergeCell ref="D9:E9"/>
    <mergeCell ref="G9:H9"/>
    <mergeCell ref="I9:J9"/>
    <mergeCell ref="B10:C10"/>
    <mergeCell ref="D10:E10"/>
    <mergeCell ref="G10:H10"/>
    <mergeCell ref="I10:J10"/>
    <mergeCell ref="B11:C11"/>
    <mergeCell ref="D11:E11"/>
    <mergeCell ref="G11:H11"/>
    <mergeCell ref="I11:J11"/>
    <mergeCell ref="B12:C12"/>
    <mergeCell ref="D12:E12"/>
    <mergeCell ref="G12:H12"/>
    <mergeCell ref="I12:J12"/>
    <mergeCell ref="B13:J17"/>
    <mergeCell ref="G18:J18"/>
    <mergeCell ref="B19:E19"/>
    <mergeCell ref="G19:J19"/>
    <mergeCell ref="B26:E26"/>
    <mergeCell ref="B35:E35"/>
    <mergeCell ref="B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B66:J68"/>
  </mergeCells>
  <conditionalFormatting sqref="B3:J3">
    <cfRule type="expression" priority="2" aboveAverage="0" equalAverage="0" bottom="0" percent="0" rank="0" text="" dxfId="15">
      <formula>LEN($B$3)&gt;0</formula>
    </cfRule>
  </conditionalFormatting>
  <conditionalFormatting sqref="I7">
    <cfRule type="cellIs" priority="3" operator="greaterThan" aboveAverage="0" equalAverage="0" bottom="0" percent="0" rank="0" text="" dxfId="0">
      <formula>0</formula>
    </cfRule>
  </conditionalFormatting>
  <conditionalFormatting sqref="I12">
    <cfRule type="cellIs" priority="4" operator="greaterThan" aboveAverage="0" equalAverage="0" bottom="0" percent="0" rank="0" text="" dxfId="0">
      <formula>1</formula>
    </cfRule>
  </conditionalFormatting>
  <conditionalFormatting sqref="D42:D63">
    <cfRule type="dataBar" priority="5">
      <dataBar showValue="1" minLength="10" maxLength="90">
        <cfvo type="num" val="0"/>
        <cfvo type="max" val="0"/>
        <color rgb="FF64B6F7"/>
      </dataBar>
      <extLst>
        <ext xmlns:x14="http://schemas.microsoft.com/office/spreadsheetml/2009/9/main" uri="{B025F937-C7B1-47D3-B67F-A62EFF666E3E}">
          <x14:id>{C7D816BC-809C-44EC-ACF3-B38B6ECC8C58}</x14:id>
        </ext>
      </extLst>
    </cfRule>
  </conditionalFormatting>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C7D816BC-809C-44EC-ACF3-B38B6ECC8C58}">
            <x14:dataBar minLength="10" maxLength="90" axisPosition="none" gradient="true">
              <x14:cfvo type="num">
                <xm:f>0</xm:f>
              </x14:cfvo>
              <x14:cfvo type="max"/>
              <x14:negativeFillColor rgb="FF64B6F7"/>
              <x14:axisColor rgb="FF000000"/>
            </x14:dataBar>
          </x14:cfRule>
          <xm:sqref>D42:D63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2026-08-13T01:50:10Z</dcterms:created>
  <dc:creator>openpyxl</dc:creator>
  <dc:description/>
  <dc:language>en-US</dc:language>
  <cp:lastModifiedBy/>
  <dcterms:modified xsi:type="dcterms:W3CDTF">2026-08-13T01:50:12Z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