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5.xml.rels" ContentType="application/vnd.openxmlformats-package.relationships+xml"/>
  <Override PartName="/xl/worksheets/_rels/sheet11.xml.rels" ContentType="application/vnd.openxmlformats-package.relationships+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10.xml.rels" ContentType="application/vnd.openxmlformats-package.relationships+xml"/>
  <Override PartName="/xl/worksheets/_rels/sheet12.xml.rels" ContentType="application/vnd.openxmlformats-package.relationships+xml"/>
  <Override PartName="/xl/worksheets/_rels/sheet6.xml.rels" ContentType="application/vnd.openxmlformats-package.relationships+xml"/>
  <Override PartName="/xl/worksheets/_rels/sheet7.xml.rels" ContentType="application/vnd.openxmlformats-package.relationships+xml"/>
  <Override PartName="/xl/worksheets/_rels/sheet13.xml.rels" ContentType="application/vnd.openxmlformats-package.relationships+xml"/>
  <Override PartName="/xl/worksheets/_rels/sheet8.xml.rels" ContentType="application/vnd.openxmlformats-package.relationships+xml"/>
  <Override PartName="/xl/worksheets/_rels/sheet14.xml.rels" ContentType="application/vnd.openxmlformats-package.relationships+xml"/>
  <Override PartName="/xl/worksheets/_rels/sheet9.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12.xml" ContentType="application/vnd.openxmlformats-officedocument.spreadsheetml.worksheet+xml"/>
  <Override PartName="/xl/worksheets/sheet7.xml" ContentType="application/vnd.openxmlformats-officedocument.spreadsheetml.worksheet+xml"/>
  <Override PartName="/xl/worksheets/sheet13.xml" ContentType="application/vnd.openxmlformats-officedocument.spreadsheetml.worksheet+xml"/>
  <Override PartName="/xl/worksheets/sheet8.xml" ContentType="application/vnd.openxmlformats-officedocument.spreadsheetml.worksheet+xml"/>
  <Override PartName="/xl/worksheets/sheet14.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drawing1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10.xml" ContentType="application/vnd.openxmlformats-officedocument.drawing+xml"/>
  <Override PartName="/xl/drawings/drawing1.xml" ContentType="application/vnd.openxmlformats-officedocument.drawing+xml"/>
  <Override PartName="/xl/drawings/drawing7.xml" ContentType="application/vnd.openxmlformats-officedocument.drawing+xml"/>
  <Override PartName="/xl/drawings/drawing11.xml" ContentType="application/vnd.openxmlformats-officedocument.drawing+xml"/>
  <Override PartName="/xl/drawings/drawing2.xml" ContentType="application/vnd.openxmlformats-officedocument.drawing+xml"/>
  <Override PartName="/xl/drawings/drawing8.xml" ContentType="application/vnd.openxmlformats-officedocument.drawing+xml"/>
  <Override PartName="/xl/drawings/_rels/drawing4.xml.rels" ContentType="application/vnd.openxmlformats-package.relationships+xml"/>
  <Override PartName="/xl/drawings/_rels/drawing13.xml.rels" ContentType="application/vnd.openxmlformats-package.relationships+xml"/>
  <Override PartName="/xl/drawings/_rels/drawing8.xml.rels" ContentType="application/vnd.openxmlformats-package.relationships+xml"/>
  <Override PartName="/xl/drawings/_rels/drawing14.xml.rels" ContentType="application/vnd.openxmlformats-package.relationships+xml"/>
  <Override PartName="/xl/drawings/_rels/drawing9.xml.rels" ContentType="application/vnd.openxmlformats-package.relationships+xml"/>
  <Override PartName="/xl/drawings/_rels/drawing5.xml.rels" ContentType="application/vnd.openxmlformats-package.relationships+xml"/>
  <Override PartName="/xl/drawings/_rels/drawing10.xml.rels" ContentType="application/vnd.openxmlformats-package.relationships+xml"/>
  <Override PartName="/xl/drawings/_rels/drawing6.xml.rels" ContentType="application/vnd.openxmlformats-package.relationships+xml"/>
  <Override PartName="/xl/drawings/_rels/drawing11.xml.rels" ContentType="application/vnd.openxmlformats-package.relationships+xml"/>
  <Override PartName="/xl/drawings/_rels/drawing1.xml.rels" ContentType="application/vnd.openxmlformats-package.relationships+xml"/>
  <Override PartName="/xl/drawings/_rels/drawing7.xml.rels" ContentType="application/vnd.openxmlformats-package.relationships+xml"/>
  <Override PartName="/xl/drawings/_rels/drawing12.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drawings/drawing12.xml" ContentType="application/vnd.openxmlformats-officedocument.drawing+xml"/>
  <Override PartName="/xl/drawings/drawing3.xml" ContentType="application/vnd.openxmlformats-officedocument.drawing+xml"/>
  <Override PartName="/xl/drawings/drawing9.xml" ContentType="application/vnd.openxmlformats-officedocument.drawing+xml"/>
  <Override PartName="/xl/drawings/drawing13.xml" ContentType="application/vnd.openxmlformats-officedocument.drawing+xml"/>
  <Override PartName="/xl/drawings/drawing4.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Id="1" state="visible" r:id="rId3"/>
    <sheet name="Instructions" sheetId="2" state="visible" r:id="rId4"/>
    <sheet name="Handover Dashboard" sheetId="3" state="visible" r:id="rId5"/>
    <sheet name="Handover Checklist" sheetId="4" state="visible" r:id="rId6"/>
    <sheet name="Systems Commissioning Register" sheetId="5" state="visible" r:id="rId7"/>
    <sheet name="Asset Register (Handover)" sheetId="6" state="visible" r:id="rId8"/>
    <sheet name="O&amp;M Documentation Register" sheetId="7" state="visible" r:id="rId9"/>
    <sheet name="Training Register" sheetId="8" state="visible" r:id="rId10"/>
    <sheet name="Warranty &amp; Defects Schedule" sheetId="9" state="visible" r:id="rId11"/>
    <sheet name="Spares, Keys &amp; Attic Stock" sheetId="10" state="visible" r:id="rId12"/>
    <sheet name="Outstanding Works &amp; Defects" sheetId="11" state="visible" r:id="rId13"/>
    <sheet name="Soft Landings &amp; Aftercare" sheetId="12" state="visible" r:id="rId14"/>
    <sheet name="Handover Acceptance &amp; Sign-off" sheetId="13" state="visible" r:id="rId15"/>
    <sheet name="Lists" sheetId="14" state="visible" r:id="rId16"/>
  </sheets>
  <definedNames>
    <definedName function="false" hidden="false" localSheetId="5" name="_xlnm.Print_Titles" vbProcedure="false">'Asset Register (Handover)'!$11:$11</definedName>
    <definedName function="false" hidden="true" localSheetId="5" name="_xlnm._FilterDatabase" vbProcedure="false">'Asset Register (Handover)'!$B$11:$S$51</definedName>
    <definedName function="false" hidden="false" localSheetId="12" name="_xlnm.Print_Area" vbProcedure="false">'Handover Acceptance &amp; Sign-off'!$B$1:$G$87</definedName>
    <definedName function="false" hidden="false" localSheetId="3" name="_xlnm.Print_Titles" vbProcedure="false">'Handover Checklist'!$8:$8</definedName>
    <definedName function="false" hidden="true" localSheetId="3" name="_xlnm._FilterDatabase" vbProcedure="false">'Handover Checklist'!$B$8:$N$245</definedName>
    <definedName function="false" hidden="false" localSheetId="6" name="_xlnm.Print_Titles" vbProcedure="false">'O&amp;M Documentation Register'!$11:$11</definedName>
    <definedName function="false" hidden="true" localSheetId="6" name="_xlnm._FilterDatabase" vbProcedure="false">'O&amp;M Documentation Register'!$B$11:$M$46</definedName>
    <definedName function="false" hidden="false" localSheetId="10" name="_xlnm.Print_Titles" vbProcedure="false">'Outstanding Works &amp; Defects'!$11:$11</definedName>
    <definedName function="false" hidden="true" localSheetId="10" name="_xlnm._FilterDatabase" vbProcedure="false">'Outstanding Works &amp; Defects'!$B$11:$O$41</definedName>
    <definedName function="false" hidden="false" localSheetId="11" name="_xlnm.Print_Titles" vbProcedure="false">'Soft Landings &amp; Aftercare'!$11:$11</definedName>
    <definedName function="false" hidden="true" localSheetId="11" name="_xlnm._FilterDatabase" vbProcedure="false">'Soft Landings &amp; Aftercare'!$B$11:$J$38</definedName>
    <definedName function="false" hidden="false" localSheetId="9" name="_xlnm.Print_Titles" vbProcedure="false">'Spares, Keys &amp; Attic Stock'!$11:$11</definedName>
    <definedName function="false" hidden="true" localSheetId="9" name="_xlnm._FilterDatabase" vbProcedure="false">'Spares, Keys &amp; Attic Stock'!$B$11:$K$40</definedName>
    <definedName function="false" hidden="false" localSheetId="4" name="_xlnm.Print_Titles" vbProcedure="false">'Systems Commissioning Register'!$11:$11</definedName>
    <definedName function="false" hidden="true" localSheetId="4" name="_xlnm._FilterDatabase" vbProcedure="false">'Systems Commissioning Register'!$B$11:$M$59</definedName>
    <definedName function="false" hidden="false" localSheetId="7" name="_xlnm.Print_Titles" vbProcedure="false">'Training Register'!$11:$11</definedName>
    <definedName function="false" hidden="true" localSheetId="7" name="_xlnm._FilterDatabase" vbProcedure="false">'Training Register'!$B$11:$M$37</definedName>
    <definedName function="false" hidden="false" localSheetId="8" name="_xlnm.Print_Titles" vbProcedure="false">'Warranty &amp; Defects Schedule'!$11:$11</definedName>
    <definedName function="false" hidden="true" localSheetId="8" name="_xlnm._FilterDatabase" vbProcedure="false">'Warranty &amp; Defects Schedule'!$B$11:$K$41</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<sst xmlns="http://schemas.openxmlformats.org/spreadsheetml/2006/main" count="3927" uniqueCount="1664">
  <si>
    <t xml:space="preserve">Construction Project Handover Checklist</t>
  </si>
  <si>
    <t xml:space="preserve">Global edition  ·  Transfer of the completed asset to the owner, operator and end users</t>
  </si>
  <si>
    <t xml:space="preserve">Purpose</t>
  </si>
  <si>
    <t xml:space="preserve">A jurisdiction-neutral, auditable checklist for the physical, operational and informational transfer of a completed construction asset to its owner, operator and end users. It covers completion and certification, commissioning, asset data, O&amp;M and record information, warranties, training, FM service transition, occupancy readiness, soft landings aftercare and formal acceptance - across 237 checklist items in 16 categories, supported by nine working registers and a live readiness dashboard.</t>
  </si>
  <si>
    <t xml:space="preserve">How to use this template</t>
  </si>
  <si>
    <t xml:space="preserve">•   Complete the document control block below, then work through the Handover Checklist sheet. Set Status, Criticality, Gate, target dates and evidence references for every row.</t>
  </si>
  <si>
    <t xml:space="preserve">•   Mark items that do not apply as N/A rather than deleting them - the dashboard excludes N/A items from all completion percentages so your reporting stays honest.</t>
  </si>
  <si>
    <t xml:space="preserve">•   Use the supporting registers (commissioning, assets, O&amp;M, training, warranties, spares, outstanding works, aftercare) as the evidence behind the checklist rows.</t>
  </si>
  <si>
    <t xml:space="preserve">•   Watch the Handover Dashboard. It recalculates automatically and shows category performance, critical outstanding items, overdue items and the three readiness gates.</t>
  </si>
  <si>
    <t xml:space="preserve">•   Record the formal transfer on the Handover Acceptance &amp; Sign-off sheet, which pulls project details from this Cover sheet automatically.</t>
  </si>
  <si>
    <t xml:space="preserve">Scope, standards and jurisdiction</t>
  </si>
  <si>
    <t xml:space="preserve">•   Handover is distinct from project closeout. Final account, contract close-out, archiving, lessons learned and governance closure belong in the companion Mastt Construction Project Closeout Checklist; cross-references are flagged in this workbook.</t>
  </si>
  <si>
    <t xml:space="preserve">•   Anchored to international good practice: BSRIA Soft Landings and Government Soft Landings principles, RIBA Plan of Work Stages 5-7, ISO 19650 information management (AIR / AIM), ISO 55000 asset management and CIBSE commissioning codes.</t>
  </si>
  <si>
    <t xml:space="preserve">•   Contractual language is generic and drawn from concepts common to FIDIC and NEC style contracts - Tests on Completion, Taking-Over Certificate and Defects Notification Period. Substitute your own contract's defined terms before use.</t>
  </si>
  <si>
    <t xml:space="preserve">•   Statutory steps are phrased generically, for example 'Statutory occupancy/use approval issued (as applicable in your jurisdiction)'. Confirm the actual approvals, certificates and inspections required in your country, state or municipality.</t>
  </si>
  <si>
    <t xml:space="preserve">•   Roles are expressed as functions, not job titles. Map them to your own project organisation chart before issuing the checklist to the delivery team.</t>
  </si>
  <si>
    <t xml:space="preserve">Document control</t>
  </si>
  <si>
    <t xml:space="preserve">Field</t>
  </si>
  <si>
    <t xml:space="preserve">Detail</t>
  </si>
  <si>
    <t xml:space="preserve">Template name</t>
  </si>
  <si>
    <t xml:space="preserve">Template version</t>
  </si>
  <si>
    <t xml:space="preserve">1.0</t>
  </si>
  <si>
    <t xml:space="preserve">Project name</t>
  </si>
  <si>
    <t xml:space="preserve">Project number</t>
  </si>
  <si>
    <t xml:space="preserve">Client / asset owner</t>
  </si>
  <si>
    <t xml:space="preserve">Prepared by</t>
  </si>
  <si>
    <t xml:space="preserve">Date prepared</t>
  </si>
  <si>
    <t xml:space="preserve">Reviewed by</t>
  </si>
  <si>
    <t xml:space="preserve">Revision</t>
  </si>
  <si>
    <t xml:space="preserve">Approved by</t>
  </si>
  <si>
    <t xml:space="preserve">Disclaimer</t>
  </si>
  <si>
    <t xml:space="preserve">This template is provided by Mastt as general guidance for capital project delivery. It is not legal, financial or professional advice. Users must adapt it to the contract, jurisdiction, statutory regime and organisational policies applicable to their project, and should obtain independent professional advice where appropriate. Mastt accepts no liability arising from use of this template.</t>
  </si>
  <si>
    <t xml:space="preserve">Built for capital project teams - plan, track and report with Mastt.</t>
  </si>
  <si>
    <t xml:space="preserve">Visit mastt.com  ↗</t>
  </si>
  <si>
    <t xml:space="preserve">How to use this workbook</t>
  </si>
  <si>
    <t xml:space="preserve">1. What this workbook is for</t>
  </si>
  <si>
    <t xml:space="preserve">•   This workbook tracks the handover of a completed asset: the physical transfer of the building and its systems, the operational transfer of maintenance and service responsibility, and the informational transfer of records, models and asset data.</t>
  </si>
  <si>
    <t xml:space="preserve">•   It is deliberately separate from project closeout. Where the two touch - retention and security for performance, financial reconciliation of the asset register, lessons learned - the checklist row carries a '(see Closeout Checklist)' note so you do not duplicate effort or reporting.</t>
  </si>
  <si>
    <t xml:space="preserve">•   Every checklist row is written to be auditable: it names the evidence required, the responsible and accountable roles, its criticality and the readiness gate it belongs to.</t>
  </si>
  <si>
    <t xml:space="preserve">2. Working through the checklist</t>
  </si>
  <si>
    <t xml:space="preserve">•   Do not delete rows. Mark anything out of scope as N/A. The dashboard excludes N/A rows from the applicable count and from every completion percentage, so scoping decisions are visible rather than hidden.</t>
  </si>
  <si>
    <t xml:space="preserve">•   Set a target date for every applicable row. Target dates drive the overdue counters on the dashboard and the amber highlight in the Target date column.</t>
  </si>
  <si>
    <t xml:space="preserve">•   Record a document reference in the Evidence / document reference column for every item you mark Complete. An item marked Complete with no evidence reference will not survive an audit or a handover dispute.</t>
  </si>
  <si>
    <t xml:space="preserve">•   Use the Comments column for conditions, qualifications and agreed departures. If an item is accepted conditionally, say so and record the condition and its owner.</t>
  </si>
  <si>
    <t xml:space="preserve">3. RACI convention</t>
  </si>
  <si>
    <t xml:space="preserve">•   Responsible - the role that does the work and produces the evidence. One role only.</t>
  </si>
  <si>
    <t xml:space="preserve">•   Accountable - the role that owns the outcome, accepts the evidence and answers for it at the gate review. One role only, and it should not be the same as Responsible.</t>
  </si>
  <si>
    <t xml:space="preserve">•   Consulted and Informed parties are not columns in this workbook; capture them in your project RACI matrix and reference it from the Comments column where it matters.</t>
  </si>
  <si>
    <t xml:space="preserve">•   The roles supplied are functional. Replace them with your project's own role names on the Lists sheet and the dropdowns will update everywhere.</t>
  </si>
  <si>
    <t xml:space="preserve">4. Criticality and gate logic</t>
  </si>
  <si>
    <t xml:space="preserve">•   Criticality is weighted for the readiness score: Critical = 5, High = 3, Medium = 2, Low = 1. The weights sit on the Lists sheet and can be tuned.</t>
  </si>
  <si>
    <t xml:space="preserve">•   Critical items are those that prevent safe, lawful or effective operation if incomplete. A gate cannot be declared ready while any Critical item mapped to it is outstanding.</t>
  </si>
  <si>
    <t xml:space="preserve">•   Gate 1 - Ready for Commissioning Review: planning, commissioning management and pre-commissioning evidence in place.</t>
  </si>
  <si>
    <t xml:space="preserve">•   Gate 2 - Ready for Handover: completion certification, commissioning results, asset data, O&amp;M and record information, warranties and acceptance evidence in place.</t>
  </si>
  <si>
    <t xml:space="preserve">•   Gate 3 - Ready for Occupancy: statutory approvals, life safety, FM and service transition, security, migration and formal acceptance in place.</t>
  </si>
  <si>
    <t xml:space="preserve">•   Post-handover items are tracked but excluded from the three gates - they belong to the aftercare and defects liability period.</t>
  </si>
  <si>
    <t xml:space="preserve">5. How the dashboard reads</t>
  </si>
  <si>
    <t xml:space="preserve">•   Every dashboard figure is a live formula over the Handover Checklist sheet. Nothing is typed in. Refresh happens on recalculation - if figures look stale, press F9.</t>
  </si>
  <si>
    <t xml:space="preserve">•   Applicable = total rows less rows marked N/A. Percentages are always calculated on applicable items only and are wrapped in IFERROR so an empty sheet shows 0%, not an error.</t>
  </si>
  <si>
    <t xml:space="preserve">•   Handover readiness is a criticality-weighted percentage: the weight of all Complete items divided by the weight of all applicable items. It moves more when a Critical item closes than when a Low item does.</t>
  </si>
  <si>
    <t xml:space="preserve">•   Overdue counts rows where the target date has passed and the status is neither Complete nor N/A. It is computed by a hidden helper column on the checklist sheet.</t>
  </si>
  <si>
    <t xml:space="preserve">6. Inserting rows safely</t>
  </si>
  <si>
    <t xml:space="preserve">•   Insert new checklist rows inside the existing block - never above the header row or below the last row - so the dashboard ranges expand with them.</t>
  </si>
  <si>
    <t xml:space="preserve">•   Copy an adjacent row first so borders, banding, dropdowns, conditional formatting and the hidden helper formulas in columns O and P come with it.</t>
  </si>
  <si>
    <t xml:space="preserve">•   Columns O and P on the Handover Checklist are hidden helper columns (criticality weight and overdue flag). Do not delete them; the dashboard depends on them.</t>
  </si>
  <si>
    <t xml:space="preserve">•   If you add a row at the very bottom, check that the dashboard formulas still end at the new last row, and extend them if not.</t>
  </si>
  <si>
    <t xml:space="preserve">7. Filtering, sorting and printing</t>
  </si>
  <si>
    <t xml:space="preserve">•   The checklist and every register carry an AutoFilter on the header row and frozen panes, so you can filter by category, gate, criticality, responsible role or status.</t>
  </si>
  <si>
    <t xml:space="preserve">•   Always filter rather than sort where possible. If you must sort, select the whole table including the hidden helper columns.</t>
  </si>
  <si>
    <t xml:space="preserve">•   Print setup is A4, fit to one page wide, with the header row repeating on every page and a Mastt footer. Set your own print area if you only need part of a register.</t>
  </si>
  <si>
    <t xml:space="preserve">•   The Handover Acceptance &amp; Sign-off sheet is formatted portrait as a standalone printable certificate and pulls project details from the Cover sheet automatically.</t>
  </si>
  <si>
    <t xml:space="preserve">8. Status legend and conditional formatting</t>
  </si>
  <si>
    <t xml:space="preserve">Status</t>
  </si>
  <si>
    <t xml:space="preserve">Colour</t>
  </si>
  <si>
    <t xml:space="preserve">Meaning</t>
  </si>
  <si>
    <t xml:space="preserve">Counts as applicable?</t>
  </si>
  <si>
    <t xml:space="preserve">Counts as complete?</t>
  </si>
  <si>
    <t xml:space="preserve">Not started</t>
  </si>
  <si>
    <t xml:space="preserve">Work has not commenced. Default state for a new checklist.</t>
  </si>
  <si>
    <t xml:space="preserve">Yes</t>
  </si>
  <si>
    <t xml:space="preserve">No</t>
  </si>
  <si>
    <t xml:space="preserve">In progress</t>
  </si>
  <si>
    <t xml:space="preserve">Work has commenced but the evidence is not yet complete or accepted.</t>
  </si>
  <si>
    <t xml:space="preserve">Complete</t>
  </si>
  <si>
    <t xml:space="preserve">Work done, evidence produced, referenced and accepted by the accountable role.</t>
  </si>
  <si>
    <t xml:space="preserve">Blocked</t>
  </si>
  <si>
    <t xml:space="preserve">Cannot progress. Requires escalation - record the blocker in Comments.</t>
  </si>
  <si>
    <t xml:space="preserve">N/A</t>
  </si>
  <si>
    <t xml:space="preserve">Not applicable to this project. Excluded from all completion percentages.</t>
  </si>
  <si>
    <t xml:space="preserve">Target dates highlight amber automatically once they pass while the item is not Complete or N/A. Warranty expiry dates highlight amber within 90 days and red once expired.</t>
  </si>
  <si>
    <t xml:space="preserve">Handover Dashboard</t>
  </si>
  <si>
    <t xml:space="preserve">Every figure on this sheet is a live formula reading the Handover Checklist. Percentages are calculated on applicable items only (items marked N/A are excluded) and are wrapped in IFERROR. Press F9 if figures look stale.</t>
  </si>
  <si>
    <t xml:space="preserve">Headline metrics</t>
  </si>
  <si>
    <t xml:space="preserve">Live from the Handover Checklist</t>
  </si>
  <si>
    <t xml:space="preserve">TOTAL ITEMS</t>
  </si>
  <si>
    <t xml:space="preserve">APPLICABLE</t>
  </si>
  <si>
    <t xml:space="preserve">COMPLETE</t>
  </si>
  <si>
    <t xml:space="preserve">IN PROGRESS</t>
  </si>
  <si>
    <t xml:space="preserve">BLOCKED</t>
  </si>
  <si>
    <t xml:space="preserve">NOT STARTED</t>
  </si>
  <si>
    <t xml:space="preserve">% COMPLETE (APPLICABLE)</t>
  </si>
  <si>
    <t xml:space="preserve">CRITICAL OUTSTANDING</t>
  </si>
  <si>
    <t xml:space="preserve">OVERDUE</t>
  </si>
  <si>
    <t xml:space="preserve">HANDOVER READINESS</t>
  </si>
  <si>
    <t xml:space="preserve">Readiness gates</t>
  </si>
  <si>
    <t xml:space="preserve">A gate is Ready only when every Critical item mapped to it is Complete</t>
  </si>
  <si>
    <t xml:space="preserve">Gate</t>
  </si>
  <si>
    <t xml:space="preserve">Scope assessed</t>
  </si>
  <si>
    <t xml:space="preserve">Critical items</t>
  </si>
  <si>
    <t xml:space="preserve">Critical outstanding</t>
  </si>
  <si>
    <t xml:space="preserve">Gate status</t>
  </si>
  <si>
    <t xml:space="preserve">Gate 1 - Ready for Commissioning Review</t>
  </si>
  <si>
    <t xml:space="preserve">Handover planning, commissioning management, pre-commissioning and static commissioning evidence in place.</t>
  </si>
  <si>
    <t xml:space="preserve">Gate 2 - Ready for Handover</t>
  </si>
  <si>
    <t xml:space="preserve">Cumulative: Gate 1 plus completion certification, dynamic commissioning and IST, asset data, O&amp;M and record information, warranties and acceptance evidence.</t>
  </si>
  <si>
    <t xml:space="preserve">Gate 3 - Ready for Occupancy</t>
  </si>
  <si>
    <t xml:space="preserve">Cumulative: Gates 1 and 2 plus statutory approvals, fire and life safety, FM and service transition, security, migration and formal acceptance.</t>
  </si>
  <si>
    <t xml:space="preserve">Category performance</t>
  </si>
  <si>
    <t xml:space="preserve">COUNTIFS across all 16 categories</t>
  </si>
  <si>
    <t xml:space="preserve">Category</t>
  </si>
  <si>
    <t xml:space="preserve">Items</t>
  </si>
  <si>
    <t xml:space="preserve">Applicable</t>
  </si>
  <si>
    <t xml:space="preserve">% complete</t>
  </si>
  <si>
    <t xml:space="preserve">Overdue</t>
  </si>
  <si>
    <t xml:space="preserve">1. Handover Readiness &amp; Planning</t>
  </si>
  <si>
    <t xml:space="preserve">2. Completion &amp; Certification</t>
  </si>
  <si>
    <t xml:space="preserve">3. Commissioning, Testing &amp; Balancing</t>
  </si>
  <si>
    <t xml:space="preserve">4. Building Systems &amp; Services Handover</t>
  </si>
  <si>
    <t xml:space="preserve">5. Asset Register &amp; Asset Data</t>
  </si>
  <si>
    <t xml:space="preserve">6. Operation &amp; Maintenance Documentation</t>
  </si>
  <si>
    <t xml:space="preserve">7. Record Documentation &amp; Information Exchange</t>
  </si>
  <si>
    <t xml:space="preserve">8. Warranties, Guarantees &amp; Defects Liability</t>
  </si>
  <si>
    <t xml:space="preserve">9. Spares, Consumables, Tools &amp; Attic Stock</t>
  </si>
  <si>
    <t xml:space="preserve">10. Training &amp; Knowledge Transfer</t>
  </si>
  <si>
    <t xml:space="preserve">11. FM, Operations &amp; Service Transition</t>
  </si>
  <si>
    <t xml:space="preserve">12. Occupancy, Migration &amp; End User Readiness</t>
  </si>
  <si>
    <t xml:space="preserve">13. Security, Access &amp; Digital Systems</t>
  </si>
  <si>
    <t xml:space="preserve">14. Environmental, Sustainability &amp; Certification</t>
  </si>
  <si>
    <t xml:space="preserve">15. Soft Landings &amp; Aftercare</t>
  </si>
  <si>
    <t xml:space="preserve">16. Handover Acceptance &amp; Sign-off</t>
  </si>
  <si>
    <t xml:space="preserve">TOTAL</t>
  </si>
  <si>
    <t xml:space="preserve">Reading the dashboard: Applicable excludes items marked N/A. Handover readiness is criticality-weighted (Critical 5, High 3, Medium 2, Low 1) so closing a Critical item moves the number further than closing a Low one. Overdue counts items whose target date has passed while the status is neither Complete nor N/A.</t>
  </si>
  <si>
    <t xml:space="preserve">Handover Checklist</t>
  </si>
  <si>
    <t xml:space="preserve">237 auditable items across 16 categories. Mark out-of-scope rows as N/A rather than deleting them. Columns O and P are hidden helper columns (criticality weight and overdue flag) used by the dashboard - do not delete them.</t>
  </si>
  <si>
    <t xml:space="preserve">Ref</t>
  </si>
  <si>
    <t xml:space="preserve">Checklist item</t>
  </si>
  <si>
    <t xml:space="preserve">Acceptance evidence required</t>
  </si>
  <si>
    <t xml:space="preserve">Responsible (role)</t>
  </si>
  <si>
    <t xml:space="preserve">Accountable (role)</t>
  </si>
  <si>
    <t xml:space="preserve">Criticality</t>
  </si>
  <si>
    <t xml:space="preserve">Target date</t>
  </si>
  <si>
    <t xml:space="preserve">Completed date</t>
  </si>
  <si>
    <t xml:space="preserve">Evidence / document reference</t>
  </si>
  <si>
    <t xml:space="preserve">Comments</t>
  </si>
  <si>
    <t xml:space="preserve">Wt</t>
  </si>
  <si>
    <t xml:space="preserve">Ovd</t>
  </si>
  <si>
    <t xml:space="preserve">1.01</t>
  </si>
  <si>
    <t xml:space="preserve">Handover strategy defined and agreed with client, operator and end users</t>
  </si>
  <si>
    <t xml:space="preserve">Approved handover strategy document with client endorsement</t>
  </si>
  <si>
    <t xml:space="preserve">Project Manager</t>
  </si>
  <si>
    <t xml:space="preserve">Client Project Director</t>
  </si>
  <si>
    <t xml:space="preserve">Critical</t>
  </si>
  <si>
    <t xml:space="preserve">G1 Commissioning Review</t>
  </si>
  <si>
    <t xml:space="preserve">1.02</t>
  </si>
  <si>
    <t xml:space="preserve">Handover plan issued setting out milestones, responsibilities and deliverable dates</t>
  </si>
  <si>
    <t xml:space="preserve">Baselined handover plan issued under transmittal</t>
  </si>
  <si>
    <t xml:space="preserve">1.03</t>
  </si>
  <si>
    <t xml:space="preserve">Soft landings approach adopted and embedded in the delivery programme (BSRIA / Government Soft Landings principles)</t>
  </si>
  <si>
    <t xml:space="preserve">Soft landings strategy with stage gateway sign-off record</t>
  </si>
  <si>
    <t xml:space="preserve">Soft Landings Champion</t>
  </si>
  <si>
    <t xml:space="preserve">High</t>
  </si>
  <si>
    <t xml:space="preserve">1.04</t>
  </si>
  <si>
    <t xml:space="preserve">Soft landings champions appointed for both client and contractor organisations</t>
  </si>
  <si>
    <t xml:space="preserve">Appointment letters and role descriptions</t>
  </si>
  <si>
    <t xml:space="preserve">Asset Owner</t>
  </si>
  <si>
    <t xml:space="preserve">1.05</t>
  </si>
  <si>
    <t xml:space="preserve">Handover core team, responsibilities and RACI matrix agreed</t>
  </si>
  <si>
    <t xml:space="preserve">Signed RACI matrix distributed to all parties</t>
  </si>
  <si>
    <t xml:space="preserve">1.06</t>
  </si>
  <si>
    <t xml:space="preserve">Phased or sectional handover strategy defined with boundaries, dates and interfaces</t>
  </si>
  <si>
    <t xml:space="preserve">Sectional completion schedule and demarcation drawings</t>
  </si>
  <si>
    <t xml:space="preserve">Superintendent / Contract Administrator</t>
  </si>
  <si>
    <t xml:space="preserve">1.07</t>
  </si>
  <si>
    <t xml:space="preserve">Readiness gate criteria and evidence thresholds agreed for each handover gate</t>
  </si>
  <si>
    <t xml:space="preserve">Gate criteria register signed by the client</t>
  </si>
  <si>
    <t xml:space="preserve">1.08</t>
  </si>
  <si>
    <t xml:space="preserve">Handover readiness reviews scheduled at agreed intervals ahead of completion</t>
  </si>
  <si>
    <t xml:space="preserve">Review schedule and terms of reference</t>
  </si>
  <si>
    <t xml:space="preserve">Medium</t>
  </si>
  <si>
    <t xml:space="preserve">1.09</t>
  </si>
  <si>
    <t xml:space="preserve">Migration and occupation plan prepared covering sequence, dates and dependencies</t>
  </si>
  <si>
    <t xml:space="preserve">Approved migration / occupation plan</t>
  </si>
  <si>
    <t xml:space="preserve">FM / Operations Lead</t>
  </si>
  <si>
    <t xml:space="preserve">G2 Handover</t>
  </si>
  <si>
    <t xml:space="preserve">1.10</t>
  </si>
  <si>
    <t xml:space="preserve">Exclusion zones, shared occupancy and interface arrangements agreed where works continue</t>
  </si>
  <si>
    <t xml:space="preserve">Shared occupancy agreement, zone plans and safety controls</t>
  </si>
  <si>
    <t xml:space="preserve">Contractor</t>
  </si>
  <si>
    <t xml:space="preserve">1.11</t>
  </si>
  <si>
    <t xml:space="preserve">Beneficial use or early access arrangements documented, risk-assessed and insured</t>
  </si>
  <si>
    <t xml:space="preserve">Early access agreement and insurance endorsement</t>
  </si>
  <si>
    <t xml:space="preserve">1.12</t>
  </si>
  <si>
    <t xml:space="preserve">Handover information requirements issued to the contractor and supply chain</t>
  </si>
  <si>
    <t xml:space="preserve">Information requirements schedule (AIR / EIR extract) with acknowledgement</t>
  </si>
  <si>
    <t xml:space="preserve">Information Manager</t>
  </si>
  <si>
    <t xml:space="preserve">1.13</t>
  </si>
  <si>
    <t xml:space="preserve">Handover risk register maintained with owners, mitigations and review cadence</t>
  </si>
  <si>
    <t xml:space="preserve">Current handover risk register</t>
  </si>
  <si>
    <t xml:space="preserve">1.14</t>
  </si>
  <si>
    <t xml:space="preserve">Handover budget, resourcing and aftercare funding confirmed</t>
  </si>
  <si>
    <t xml:space="preserve">Approved budget allocation and resource plan</t>
  </si>
  <si>
    <t xml:space="preserve">1.15</t>
  </si>
  <si>
    <t xml:space="preserve">Interfaces with project closeout activities identified and de-duplicated (see Closeout Checklist)</t>
  </si>
  <si>
    <t xml:space="preserve">Cross-reference matrix between handover and closeout registers</t>
  </si>
  <si>
    <t xml:space="preserve">Low</t>
  </si>
  <si>
    <t xml:space="preserve">Post-handover</t>
  </si>
  <si>
    <t xml:space="preserve">2.01</t>
  </si>
  <si>
    <t xml:space="preserve">Inspection and test plans closed out with all hold and witness points released</t>
  </si>
  <si>
    <t xml:space="preserve">Signed ITP records with released hold points</t>
  </si>
  <si>
    <t xml:space="preserve">2.02</t>
  </si>
  <si>
    <t xml:space="preserve">Tests on completion carried out and passed in accordance with the contract</t>
  </si>
  <si>
    <t xml:space="preserve">Tests on completion results and pass certificates</t>
  </si>
  <si>
    <t xml:space="preserve">2.03</t>
  </si>
  <si>
    <t xml:space="preserve">Non-conformance reports raised during construction closed or formally dispositioned</t>
  </si>
  <si>
    <t xml:space="preserve">NCR register showing closure or accepted disposition</t>
  </si>
  <si>
    <t xml:space="preserve">2.04</t>
  </si>
  <si>
    <t xml:space="preserve">Practical / substantial completion certificate issued for the works</t>
  </si>
  <si>
    <t xml:space="preserve">Executed completion certificate</t>
  </si>
  <si>
    <t xml:space="preserve">2.05</t>
  </si>
  <si>
    <t xml:space="preserve">Taking-over certificate (or contract equivalent) issued for each completed section</t>
  </si>
  <si>
    <t xml:space="preserve">Executed taking-over certificates per section</t>
  </si>
  <si>
    <t xml:space="preserve">2.06</t>
  </si>
  <si>
    <t xml:space="preserve">Statutory occupancy / use approval issued (as applicable in your jurisdiction)</t>
  </si>
  <si>
    <t xml:space="preserve">Occupancy or use approval document from the approving authority</t>
  </si>
  <si>
    <t xml:space="preserve">Certifier / Approving Authority</t>
  </si>
  <si>
    <t xml:space="preserve">G3 Occupancy</t>
  </si>
  <si>
    <t xml:space="preserve">2.07</t>
  </si>
  <si>
    <t xml:space="preserve">Fire and life-safety certification issued by the responsible certifier</t>
  </si>
  <si>
    <t xml:space="preserve">Fire safety certificate or statement of compliance</t>
  </si>
  <si>
    <t xml:space="preserve">Fire Engineer</t>
  </si>
  <si>
    <t xml:space="preserve">2.08</t>
  </si>
  <si>
    <t xml:space="preserve">Fire system installation and verification certificates obtained for all fire services</t>
  </si>
  <si>
    <t xml:space="preserve">Detection, suppression, pressurisation and passive protection certificates</t>
  </si>
  <si>
    <t xml:space="preserve">2.09</t>
  </si>
  <si>
    <t xml:space="preserve">Statutory registration and inspection of lifts and vertical transportation completed (as applicable)</t>
  </si>
  <si>
    <t xml:space="preserve">Registration and inspection certificates</t>
  </si>
  <si>
    <t xml:space="preserve">2.10</t>
  </si>
  <si>
    <t xml:space="preserve">Statutory registration and inspection of pressure vessels and plant completed (as applicable)</t>
  </si>
  <si>
    <t xml:space="preserve">Plant registration numbers and inspection reports</t>
  </si>
  <si>
    <t xml:space="preserve">2.11</t>
  </si>
  <si>
    <t xml:space="preserve">Electrical installation compliance certification issued with test results</t>
  </si>
  <si>
    <t xml:space="preserve">Certificate of electrical compliance and test result schedules</t>
  </si>
  <si>
    <t xml:space="preserve">2.12</t>
  </si>
  <si>
    <t xml:space="preserve">Hydraulic, plumbing and gas compliance certification issued</t>
  </si>
  <si>
    <t xml:space="preserve">Compliance certificates including backflow prevention testing</t>
  </si>
  <si>
    <t xml:space="preserve">2.13</t>
  </si>
  <si>
    <t xml:space="preserve">Structural, facade and waterproofing design compliance statements obtained</t>
  </si>
  <si>
    <t xml:space="preserve">Certifier and designer compliance statements</t>
  </si>
  <si>
    <t xml:space="preserve">Design Team</t>
  </si>
  <si>
    <t xml:space="preserve">2.14</t>
  </si>
  <si>
    <t xml:space="preserve">Accessibility compliance verified and certified (as applicable in your jurisdiction)</t>
  </si>
  <si>
    <t xml:space="preserve">Access consultant report or certificate of compliance</t>
  </si>
  <si>
    <t xml:space="preserve">2.15</t>
  </si>
  <si>
    <t xml:space="preserve">Conditions attached to development, planning or building approvals discharged</t>
  </si>
  <si>
    <t xml:space="preserve">Conditions discharge register with supporting evidence</t>
  </si>
  <si>
    <t xml:space="preserve">2.16</t>
  </si>
  <si>
    <t xml:space="preserve">All certifier, consultant and specialist sign-offs collated into a single certification register</t>
  </si>
  <si>
    <t xml:space="preserve">Certification register with document references</t>
  </si>
  <si>
    <t xml:space="preserve">3.01</t>
  </si>
  <si>
    <t xml:space="preserve">Commissioning management plan and programme approved before commissioning starts</t>
  </si>
  <si>
    <t xml:space="preserve">Approved commissioning plan aligned to CIBSE commissioning codes</t>
  </si>
  <si>
    <t xml:space="preserve">Commissioning Manager</t>
  </si>
  <si>
    <t xml:space="preserve">3.02</t>
  </si>
  <si>
    <t xml:space="preserve">Independent commissioning agent appointed where required by the brief</t>
  </si>
  <si>
    <t xml:space="preserve">Appointment and scope of services document</t>
  </si>
  <si>
    <t xml:space="preserve">3.03</t>
  </si>
  <si>
    <t xml:space="preserve">Pre-commissioning checks completed for all systems and signed off</t>
  </si>
  <si>
    <t xml:space="preserve">Signed pre-commissioning checklists per system</t>
  </si>
  <si>
    <t xml:space="preserve">3.04</t>
  </si>
  <si>
    <t xml:space="preserve">Static commissioning completed (installation, cleanliness, pressure and continuity testing)</t>
  </si>
  <si>
    <t xml:space="preserve">Static commissioning records and test certificates</t>
  </si>
  <si>
    <t xml:space="preserve">3.05</t>
  </si>
  <si>
    <t xml:space="preserve">Dynamic commissioning completed with plant operating under representative load</t>
  </si>
  <si>
    <t xml:space="preserve">Dynamic commissioning results against design criteria</t>
  </si>
  <si>
    <t xml:space="preserve">3.06</t>
  </si>
  <si>
    <t xml:space="preserve">Witnessed testing programme delivered with client and consultant attendance</t>
  </si>
  <si>
    <t xml:space="preserve">Witness test sheets signed by all attendees</t>
  </si>
  <si>
    <t xml:space="preserve">3.07</t>
  </si>
  <si>
    <t xml:space="preserve">Air balancing completed to design tolerances across all systems</t>
  </si>
  <si>
    <t xml:space="preserve">Air balance report compared against design schedules</t>
  </si>
  <si>
    <t xml:space="preserve">3.08</t>
  </si>
  <si>
    <t xml:space="preserve">Water balancing, flushing and chemical treatment completed and certified</t>
  </si>
  <si>
    <t xml:space="preserve">Water balance report and water treatment certificates</t>
  </si>
  <si>
    <t xml:space="preserve">3.09</t>
  </si>
  <si>
    <t xml:space="preserve">Integrated systems testing completed across all interfacing systems</t>
  </si>
  <si>
    <t xml:space="preserve">IST plan, scenario matrix and signed results</t>
  </si>
  <si>
    <t xml:space="preserve">3.10</t>
  </si>
  <si>
    <t xml:space="preserve">Black building test completed including generator changeover and UPS autonomy</t>
  </si>
  <si>
    <t xml:space="preserve">Black building test report with timings and observations</t>
  </si>
  <si>
    <t xml:space="preserve">3.11</t>
  </si>
  <si>
    <t xml:space="preserve">Fire alarm cause-and-effect matrix verified end to end</t>
  </si>
  <si>
    <t xml:space="preserve">Signed cause-and-effect verification matrix</t>
  </si>
  <si>
    <t xml:space="preserve">3.12</t>
  </si>
  <si>
    <t xml:space="preserve">Smoke control, pressurisation and egress systems tested under fire mode</t>
  </si>
  <si>
    <t xml:space="preserve">Fire mode test results and remedial closure record</t>
  </si>
  <si>
    <t xml:space="preserve">3.13</t>
  </si>
  <si>
    <t xml:space="preserve">BMS / BAS point-to-point verification completed and graphics validated</t>
  </si>
  <si>
    <t xml:space="preserve">Point-to-point schedule signed off, graphics acceptance record</t>
  </si>
  <si>
    <t xml:space="preserve">3.14</t>
  </si>
  <si>
    <t xml:space="preserve">Control strategies, set-points and time schedules verified against the control philosophy</t>
  </si>
  <si>
    <t xml:space="preserve">As-commissioned set-point and time schedule register</t>
  </si>
  <si>
    <t xml:space="preserve">3.15</t>
  </si>
  <si>
    <t xml:space="preserve">Metering and sub-metering verified, labelled and mapped to the metering strategy</t>
  </si>
  <si>
    <t xml:space="preserve">Meter schedule with verification and mapping records</t>
  </si>
  <si>
    <t xml:space="preserve">Sustainability Consultant</t>
  </si>
  <si>
    <t xml:space="preserve">3.16</t>
  </si>
  <si>
    <t xml:space="preserve">Energy and performance verification testing completed against design targets</t>
  </si>
  <si>
    <t xml:space="preserve">Performance verification report with variance commentary</t>
  </si>
  <si>
    <t xml:space="preserve">3.17</t>
  </si>
  <si>
    <t xml:space="preserve">Seasonal commissioning schedule agreed, diarised and resourced</t>
  </si>
  <si>
    <t xml:space="preserve">Seasonal commissioning plan with dates and owners</t>
  </si>
  <si>
    <t xml:space="preserve">3.18</t>
  </si>
  <si>
    <t xml:space="preserve">Commissioning records compiled, indexed and issued in the agreed structure</t>
  </si>
  <si>
    <t xml:space="preserve">Complete commissioning dossier accepted by the client</t>
  </si>
  <si>
    <t xml:space="preserve">4.01</t>
  </si>
  <si>
    <t xml:space="preserve">HVAC systems handed over with commissioning records, set-points and control philosophy</t>
  </si>
  <si>
    <t xml:space="preserve">HVAC handover pack accepted by operations</t>
  </si>
  <si>
    <t xml:space="preserve">4.02</t>
  </si>
  <si>
    <t xml:space="preserve">Electrical distribution handed over with schedules, protection settings and discrimination study</t>
  </si>
  <si>
    <t xml:space="preserve">Electrical handover pack and protection settings record</t>
  </si>
  <si>
    <t xml:space="preserve">4.03</t>
  </si>
  <si>
    <t xml:space="preserve">Standby power and UPS systems handed over with load test and autonomy records</t>
  </si>
  <si>
    <t xml:space="preserve">Generator and UPS handover pack with load test results</t>
  </si>
  <si>
    <t xml:space="preserve">4.04</t>
  </si>
  <si>
    <t xml:space="preserve">Hydraulic and plumbing systems handed over with isolation and valve schedules</t>
  </si>
  <si>
    <t xml:space="preserve">Hydraulic handover pack and verified valve schedule</t>
  </si>
  <si>
    <t xml:space="preserve">4.05</t>
  </si>
  <si>
    <t xml:space="preserve">Fire protection systems handed over with certification and ongoing maintenance obligations</t>
  </si>
  <si>
    <t xml:space="preserve">Fire systems handover pack and maintenance obligations schedule</t>
  </si>
  <si>
    <t xml:space="preserve">4.06</t>
  </si>
  <si>
    <t xml:space="preserve">Vertical transportation handed over with logbooks, keys and entrapment release procedures</t>
  </si>
  <si>
    <t xml:space="preserve">Lift handover pack and written rescue procedure</t>
  </si>
  <si>
    <t xml:space="preserve">4.07</t>
  </si>
  <si>
    <t xml:space="preserve">Security and access control systems handed over with device schedules and configuration</t>
  </si>
  <si>
    <t xml:space="preserve">Security handover pack and device schedule</t>
  </si>
  <si>
    <t xml:space="preserve">Security Manager</t>
  </si>
  <si>
    <t xml:space="preserve">4.08</t>
  </si>
  <si>
    <t xml:space="preserve">ICT and structured cabling handed over with test results and patching schedules</t>
  </si>
  <si>
    <t xml:space="preserve">Cabling test results, patching schedules and floor plans</t>
  </si>
  <si>
    <t xml:space="preserve">ICT Lead</t>
  </si>
  <si>
    <t xml:space="preserve">4.09</t>
  </si>
  <si>
    <t xml:space="preserve">Audio-visual systems handed over with configuration files and user guides</t>
  </si>
  <si>
    <t xml:space="preserve">AV handover pack and configuration backups</t>
  </si>
  <si>
    <t xml:space="preserve">End User Representative</t>
  </si>
  <si>
    <t xml:space="preserve">4.10</t>
  </si>
  <si>
    <t xml:space="preserve">BMS / BAS handed over with graphics, licences, backups and administrator accounts</t>
  </si>
  <si>
    <t xml:space="preserve">BMS handover pack, backup media and licence transfer</t>
  </si>
  <si>
    <t xml:space="preserve">4.11</t>
  </si>
  <si>
    <t xml:space="preserve">Alarm schedules, priorities and escalation routes configured and agreed with operations</t>
  </si>
  <si>
    <t xml:space="preserve">Alarm schedule and escalation matrix signed by FM</t>
  </si>
  <si>
    <t xml:space="preserve">4.12</t>
  </si>
  <si>
    <t xml:space="preserve">Specialist and process systems handed over (medical gases, laboratory, kitchen, cold rooms, etc.)</t>
  </si>
  <si>
    <t xml:space="preserve">Specialist system handover packs and certificates</t>
  </si>
  <si>
    <t xml:space="preserve">4.13</t>
  </si>
  <si>
    <t xml:space="preserve">Loading dock, goods handling and waste management systems demonstrated and handed over</t>
  </si>
  <si>
    <t xml:space="preserve">Demonstration record and operating instructions</t>
  </si>
  <si>
    <t xml:space="preserve">4.14</t>
  </si>
  <si>
    <t xml:space="preserve">Facade access, roof anchor and fall-arrest systems certified and demonstrated</t>
  </si>
  <si>
    <t xml:space="preserve">Certification, load test records and safe work procedures</t>
  </si>
  <si>
    <t xml:space="preserve">Health &amp; Safety Adviser</t>
  </si>
  <si>
    <t xml:space="preserve">4.15</t>
  </si>
  <si>
    <t xml:space="preserve">Landscape, irrigation and external works handed over with establishment regimes</t>
  </si>
  <si>
    <t xml:space="preserve">Landscape handover record and establishment maintenance regime</t>
  </si>
  <si>
    <t xml:space="preserve">4.16</t>
  </si>
  <si>
    <t xml:space="preserve">Building fabric, finishes and joinery inspected and handed over with care instructions</t>
  </si>
  <si>
    <t xml:space="preserve">Fabric handover record and finishes care schedule</t>
  </si>
  <si>
    <t xml:space="preserve">4.17</t>
  </si>
  <si>
    <t xml:space="preserve">System labelling, signage and colour coding verified on site against schedules</t>
  </si>
  <si>
    <t xml:space="preserve">Labelling verification audit record</t>
  </si>
  <si>
    <t xml:space="preserve">5.01</t>
  </si>
  <si>
    <t xml:space="preserve">Client asset data standard issued and applied by the supply chain</t>
  </si>
  <si>
    <t xml:space="preserve">Asset data standard and supply chain compliance statement</t>
  </si>
  <si>
    <t xml:space="preserve">5.02</t>
  </si>
  <si>
    <t xml:space="preserve">Asset register populated for all in-scope assets to the required attribute set</t>
  </si>
  <si>
    <t xml:space="preserve">Completed asset register in the agreed template</t>
  </si>
  <si>
    <t xml:space="preserve">5.03</t>
  </si>
  <si>
    <t xml:space="preserve">Asset hierarchy and classification aligned to the client structure (ISO 55000 aligned)</t>
  </si>
  <si>
    <t xml:space="preserve">Approved asset hierarchy and classification mapping</t>
  </si>
  <si>
    <t xml:space="preserve">5.04</t>
  </si>
  <si>
    <t xml:space="preserve">Asset tagging and physical labelling verified on site against the register</t>
  </si>
  <si>
    <t xml:space="preserve">Tagging verification audit with sample evidence</t>
  </si>
  <si>
    <t xml:space="preserve">5.05</t>
  </si>
  <si>
    <t xml:space="preserve">Asset criticality assigned and agreed with the operations team</t>
  </si>
  <si>
    <t xml:space="preserve">Criticality assessment record signed by operations</t>
  </si>
  <si>
    <t xml:space="preserve">5.06</t>
  </si>
  <si>
    <t xml:space="preserve">Asset attribute completeness validated (manufacturer, model, serial, capacity, location)</t>
  </si>
  <si>
    <t xml:space="preserve">Data quality report showing completeness by attribute</t>
  </si>
  <si>
    <t xml:space="preserve">5.07</t>
  </si>
  <si>
    <t xml:space="preserve">Structured data exchange delivered and validated (COBie-style or client equivalent)</t>
  </si>
  <si>
    <t xml:space="preserve">Validated data exchange file and validation report</t>
  </si>
  <si>
    <t xml:space="preserve">5.08</t>
  </si>
  <si>
    <t xml:space="preserve">CMMS / EAM upload completed and reconciled against the asset register</t>
  </si>
  <si>
    <t xml:space="preserve">Upload reconciliation report signed by FM</t>
  </si>
  <si>
    <t xml:space="preserve">5.09</t>
  </si>
  <si>
    <t xml:space="preserve">Warranty and lifecycle data attached to each asset record</t>
  </si>
  <si>
    <t xml:space="preserve">CMMS extract evidencing populated warranty fields</t>
  </si>
  <si>
    <t xml:space="preserve">5.10</t>
  </si>
  <si>
    <t xml:space="preserve">Spares and consumables linked to parent assets in the CMMS</t>
  </si>
  <si>
    <t xml:space="preserve">CMMS spares linkage report</t>
  </si>
  <si>
    <t xml:space="preserve">5.11</t>
  </si>
  <si>
    <t xml:space="preserve">Asset geolocation, floor plans and space data loaded to the operational systems</t>
  </si>
  <si>
    <t xml:space="preserve">Space and location data load confirmation</t>
  </si>
  <si>
    <t xml:space="preserve">5.12</t>
  </si>
  <si>
    <t xml:space="preserve">Expected life and replacement cost data provided to support lifecycle planning</t>
  </si>
  <si>
    <t xml:space="preserve">Lifecycle data set issued to the asset owner</t>
  </si>
  <si>
    <t xml:space="preserve">5.13</t>
  </si>
  <si>
    <t xml:space="preserve">Asset data governance, ownership and update process agreed for the operational phase</t>
  </si>
  <si>
    <t xml:space="preserve">Data governance procedure with named owners</t>
  </si>
  <si>
    <t xml:space="preserve">5.14</t>
  </si>
  <si>
    <t xml:space="preserve">Asset register reconciled with the financial fixed asset schedule (see Closeout Checklist)</t>
  </si>
  <si>
    <t xml:space="preserve">Reconciliation record signed by finance</t>
  </si>
  <si>
    <t xml:space="preserve">6.01</t>
  </si>
  <si>
    <t xml:space="preserve">O&amp;M manual structure, format and indexing agreed before drafting commences</t>
  </si>
  <si>
    <t xml:space="preserve">Approved O&amp;M content plan and template</t>
  </si>
  <si>
    <t xml:space="preserve">6.02</t>
  </si>
  <si>
    <t xml:space="preserve">Draft O&amp;M manuals received by the date required in the handover plan</t>
  </si>
  <si>
    <t xml:space="preserve">Draft O&amp;M submission transmittal</t>
  </si>
  <si>
    <t xml:space="preserve">6.03</t>
  </si>
  <si>
    <t xml:space="preserve">O&amp;M manuals reviewed by client, FM and consultants with consolidated comments issued</t>
  </si>
  <si>
    <t xml:space="preserve">Consolidated review comment schedule</t>
  </si>
  <si>
    <t xml:space="preserve">6.04</t>
  </si>
  <si>
    <t xml:space="preserve">O&amp;M review comments closed out and verified as incorporated</t>
  </si>
  <si>
    <t xml:space="preserve">Comment closure log with verification sign-off</t>
  </si>
  <si>
    <t xml:space="preserve">6.05</t>
  </si>
  <si>
    <t xml:space="preserve">Final O&amp;M manuals issued in native and portable formats to the agreed structure</t>
  </si>
  <si>
    <t xml:space="preserve">Final O&amp;M issue transmittal and acceptance</t>
  </si>
  <si>
    <t xml:space="preserve">6.06</t>
  </si>
  <si>
    <t xml:space="preserve">Maintenance strategy defined for each system (planned, condition-based, reactive, statutory)</t>
  </si>
  <si>
    <t xml:space="preserve">Maintenance strategy document approved by the asset owner</t>
  </si>
  <si>
    <t xml:space="preserve">6.07</t>
  </si>
  <si>
    <t xml:space="preserve">Planned maintenance schedules provided with frequencies, durations and task lists</t>
  </si>
  <si>
    <t xml:space="preserve">Planned preventive maintenance schedule</t>
  </si>
  <si>
    <t xml:space="preserve">6.08</t>
  </si>
  <si>
    <t xml:space="preserve">Statutory and mandatory maintenance obligations identified for every applicable asset</t>
  </si>
  <si>
    <t xml:space="preserve">Statutory maintenance schedule mapped to assets</t>
  </si>
  <si>
    <t xml:space="preserve">6.09</t>
  </si>
  <si>
    <t xml:space="preserve">Manufacturers' literature, technical data sheets and part numbers compiled</t>
  </si>
  <si>
    <t xml:space="preserve">Indexed manufacturer documentation set</t>
  </si>
  <si>
    <t xml:space="preserve">6.10</t>
  </si>
  <si>
    <t xml:space="preserve">Control philosophies and sequences of operation documented as-commissioned</t>
  </si>
  <si>
    <t xml:space="preserve">As-commissioned control philosophy document</t>
  </si>
  <si>
    <t xml:space="preserve">6.11</t>
  </si>
  <si>
    <t xml:space="preserve">Single-line diagrams, schematics and system topologies provided</t>
  </si>
  <si>
    <t xml:space="preserve">Schematic drawing set issued with the O&amp;M manuals</t>
  </si>
  <si>
    <t xml:space="preserve">6.12</t>
  </si>
  <si>
    <t xml:space="preserve">Valve, damper, isolation and emergency shutdown schedules provided and verified on site</t>
  </si>
  <si>
    <t xml:space="preserve">Verified schedules cross-checked against site labelling</t>
  </si>
  <si>
    <t xml:space="preserve">6.13</t>
  </si>
  <si>
    <t xml:space="preserve">Cleaning regimes and materials care instructions provided for all finishes</t>
  </si>
  <si>
    <t xml:space="preserve">Cleaning and materials care schedule</t>
  </si>
  <si>
    <t xml:space="preserve">6.14</t>
  </si>
  <si>
    <t xml:space="preserve">Building user guide produced in non-technical language for occupants</t>
  </si>
  <si>
    <t xml:space="preserve">Building user guide issued to occupants</t>
  </si>
  <si>
    <t xml:space="preserve">6.15</t>
  </si>
  <si>
    <t xml:space="preserve">Emergency, out-of-hours and business continuity procedures documented and issued</t>
  </si>
  <si>
    <t xml:space="preserve">Emergency procedures document and contact tree</t>
  </si>
  <si>
    <t xml:space="preserve">6.16</t>
  </si>
  <si>
    <t xml:space="preserve">O&amp;M documentation loaded to the client document management system with access rights set</t>
  </si>
  <si>
    <t xml:space="preserve">DMS load confirmation and access matrix</t>
  </si>
  <si>
    <t xml:space="preserve">7.01</t>
  </si>
  <si>
    <t xml:space="preserve">As-built drawings issued in the agreed formats and verified against the constructed works</t>
  </si>
  <si>
    <t xml:space="preserve">As-built drawing register and site verification record</t>
  </si>
  <si>
    <t xml:space="preserve">7.02</t>
  </si>
  <si>
    <t xml:space="preserve">As-built / record models delivered to the agreed level of information need</t>
  </si>
  <si>
    <t xml:space="preserve">Record model files with validation report</t>
  </si>
  <si>
    <t xml:space="preserve">7.03</t>
  </si>
  <si>
    <t xml:space="preserve">Information exchange at the handover milestone completed in accordance with ISO 19650</t>
  </si>
  <si>
    <t xml:space="preserve">Information exchange record and client acceptance</t>
  </si>
  <si>
    <t xml:space="preserve">7.04</t>
  </si>
  <si>
    <t xml:space="preserve">Asset Information Model populated and verified against the Asset Information Requirements</t>
  </si>
  <si>
    <t xml:space="preserve">AIM verification report against AIR</t>
  </si>
  <si>
    <t xml:space="preserve">7.05</t>
  </si>
  <si>
    <t xml:space="preserve">Model federation, naming and classification compliance checked and reported</t>
  </si>
  <si>
    <t xml:space="preserve">Model audit report with non-compliance closure</t>
  </si>
  <si>
    <t xml:space="preserve">7.06</t>
  </si>
  <si>
    <t xml:space="preserve">Common data environment content migrated to the client operational environment</t>
  </si>
  <si>
    <t xml:space="preserve">Migration completion record and access confirmation</t>
  </si>
  <si>
    <t xml:space="preserve">7.07</t>
  </si>
  <si>
    <t xml:space="preserve">Survey, setting-out and dilapidation records provided</t>
  </si>
  <si>
    <t xml:space="preserve">Survey record pack with coordinates and datum</t>
  </si>
  <si>
    <t xml:space="preserve">7.08</t>
  </si>
  <si>
    <t xml:space="preserve">Geotechnical, structural and foundation records provided</t>
  </si>
  <si>
    <t xml:space="preserve">Structural records pack including pile and slab records</t>
  </si>
  <si>
    <t xml:space="preserve">7.09</t>
  </si>
  <si>
    <t xml:space="preserve">Health and safety file / safety information compiled and issued to the client</t>
  </si>
  <si>
    <t xml:space="preserve">Health and safety file transmittal and acceptance</t>
  </si>
  <si>
    <t xml:space="preserve">7.10</t>
  </si>
  <si>
    <t xml:space="preserve">Residual hazards, restrictions and safe access information documented for operators</t>
  </si>
  <si>
    <t xml:space="preserve">Residual hazard register issued to FM</t>
  </si>
  <si>
    <t xml:space="preserve">7.11</t>
  </si>
  <si>
    <t xml:space="preserve">Fire safety information, strategy and evacuation plans issued to the responsible person</t>
  </si>
  <si>
    <t xml:space="preserve">Fire safety information pack with acknowledgement</t>
  </si>
  <si>
    <t xml:space="preserve">7.12</t>
  </si>
  <si>
    <t xml:space="preserve">Building information / golden thread record established and transferred where applicable</t>
  </si>
  <si>
    <t xml:space="preserve">Information transfer record and custody confirmation</t>
  </si>
  <si>
    <t xml:space="preserve">7.13</t>
  </si>
  <si>
    <t xml:space="preserve">Document register issued listing every handover document with revision and storage location</t>
  </si>
  <si>
    <t xml:space="preserve">Handover document register signed as complete</t>
  </si>
  <si>
    <t xml:space="preserve">7.14</t>
  </si>
  <si>
    <t xml:space="preserve">Software, model and document access rights transferred to client personnel</t>
  </si>
  <si>
    <t xml:space="preserve">Access rights transfer record</t>
  </si>
  <si>
    <t xml:space="preserve">7.15</t>
  </si>
  <si>
    <t xml:space="preserve">Intellectual property, licence and reuse rights for documentation confirmed</t>
  </si>
  <si>
    <t xml:space="preserve">IP and licence confirmation letter</t>
  </si>
  <si>
    <t xml:space="preserve">7.16</t>
  </si>
  <si>
    <t xml:space="preserve">Physical document, drawing and sample sets delivered where required by the contract</t>
  </si>
  <si>
    <t xml:space="preserve">Signed delivery receipt</t>
  </si>
  <si>
    <t xml:space="preserve">8.01</t>
  </si>
  <si>
    <t xml:space="preserve">Consolidated warranty schedule prepared showing start and expiry dates per element</t>
  </si>
  <si>
    <t xml:space="preserve">Warranty schedule cross-referenced to the asset register</t>
  </si>
  <si>
    <t xml:space="preserve">8.02</t>
  </si>
  <si>
    <t xml:space="preserve">Warranty commencement dates aligned to the completion / taking-over certificate</t>
  </si>
  <si>
    <t xml:space="preserve">Cross-check record between certificates and warranty schedule</t>
  </si>
  <si>
    <t xml:space="preserve">8.03</t>
  </si>
  <si>
    <t xml:space="preserve">Manufacturer warranties registered with suppliers in the owner's name</t>
  </si>
  <si>
    <t xml:space="preserve">Registration confirmations from manufacturers</t>
  </si>
  <si>
    <t xml:space="preserve">8.04</t>
  </si>
  <si>
    <t xml:space="preserve">Extended and system warranties obtained (roofing, facade, waterproofing, flooring, coatings)</t>
  </si>
  <si>
    <t xml:space="preserve">Executed extended warranty documents</t>
  </si>
  <si>
    <t xml:space="preserve">8.05</t>
  </si>
  <si>
    <t xml:space="preserve">Collateral warranties and third-party rights executed where required</t>
  </si>
  <si>
    <t xml:space="preserve">Executed collateral warranties and rights notices</t>
  </si>
  <si>
    <t xml:space="preserve">8.06</t>
  </si>
  <si>
    <t xml:space="preserve">Warranty conditions, exclusions and maintenance obligations communicated to operations</t>
  </si>
  <si>
    <t xml:space="preserve">Warranty obligations briefing note issued to FM</t>
  </si>
  <si>
    <t xml:space="preserve">8.07</t>
  </si>
  <si>
    <t xml:space="preserve">Defects liability / defects notification period start date confirmed and recorded</t>
  </si>
  <si>
    <t xml:space="preserve">Certificate confirming the period start date</t>
  </si>
  <si>
    <t xml:space="preserve">8.08</t>
  </si>
  <si>
    <t xml:space="preserve">Defects reporting, response and rectification process agreed with target response times</t>
  </si>
  <si>
    <t xml:space="preserve">Defects management procedure signed by both parties</t>
  </si>
  <si>
    <t xml:space="preserve">8.09</t>
  </si>
  <si>
    <t xml:space="preserve">Defects management system or register established with access granted to operations</t>
  </si>
  <si>
    <t xml:space="preserve">Live defects register with user access confirmed</t>
  </si>
  <si>
    <t xml:space="preserve">8.10</t>
  </si>
  <si>
    <t xml:space="preserve">Warranty claim process, contacts and escalation routes issued to operations</t>
  </si>
  <si>
    <t xml:space="preserve">Warranty claim procedure and contact directory</t>
  </si>
  <si>
    <t xml:space="preserve">8.11</t>
  </si>
  <si>
    <t xml:space="preserve">Security for performance or retention arrangements for the defects period confirmed (see Closeout Checklist)</t>
  </si>
  <si>
    <t xml:space="preserve">Security instrument details and expiry dates</t>
  </si>
  <si>
    <t xml:space="preserve">8.12</t>
  </si>
  <si>
    <t xml:space="preserve">Latent defects insurance or decennial cover arranged where applicable</t>
  </si>
  <si>
    <t xml:space="preserve">Policy documents and certificate of currency</t>
  </si>
  <si>
    <t xml:space="preserve">8.13</t>
  </si>
  <si>
    <t xml:space="preserve">Emergency and after-hours contractor call-out arrangements confirmed for the defects period</t>
  </si>
  <si>
    <t xml:space="preserve">Call-out schedule with names, numbers and response times</t>
  </si>
  <si>
    <t xml:space="preserve">8.14</t>
  </si>
  <si>
    <t xml:space="preserve">Warranty expiry review points diarised ahead of each expiry date</t>
  </si>
  <si>
    <t xml:space="preserve">Diarised review schedule in the operational calendar</t>
  </si>
  <si>
    <t xml:space="preserve">8.15</t>
  </si>
  <si>
    <t xml:space="preserve">Warranty and defects obligations transferred into the CMMS and compliance calendar</t>
  </si>
  <si>
    <t xml:space="preserve">CMMS records evidencing warranty obligations</t>
  </si>
  <si>
    <t xml:space="preserve">9.01</t>
  </si>
  <si>
    <t xml:space="preserve">Agreed spares list reviewed against asset criticality and supplier lead times</t>
  </si>
  <si>
    <t xml:space="preserve">Approved spares list endorsed by operations</t>
  </si>
  <si>
    <t xml:space="preserve">9.02</t>
  </si>
  <si>
    <t xml:space="preserve">Contract spares delivered, inspected and receipted</t>
  </si>
  <si>
    <t xml:space="preserve">Signed delivery receipts and inspection record</t>
  </si>
  <si>
    <t xml:space="preserve">9.03</t>
  </si>
  <si>
    <t xml:space="preserve">Special tools and proprietary test equipment delivered and demonstrated</t>
  </si>
  <si>
    <t xml:space="preserve">Tool register and signed receipt</t>
  </si>
  <si>
    <t xml:space="preserve">9.04</t>
  </si>
  <si>
    <t xml:space="preserve">Keys, key schedule and master key hierarchy handed over and receipted</t>
  </si>
  <si>
    <t xml:space="preserve">Key register and signed handover receipt</t>
  </si>
  <si>
    <t xml:space="preserve">9.05</t>
  </si>
  <si>
    <t xml:space="preserve">Access cards, fobs and security devices issued and recorded against holders</t>
  </si>
  <si>
    <t xml:space="preserve">Card issue register</t>
  </si>
  <si>
    <t xml:space="preserve">9.06</t>
  </si>
  <si>
    <t xml:space="preserve">Attic stock of finishes delivered (tiles, carpet, paint, ceiling tiles, cladding)</t>
  </si>
  <si>
    <t xml:space="preserve">Attic stock schedule and delivery receipt</t>
  </si>
  <si>
    <t xml:space="preserve">9.07</t>
  </si>
  <si>
    <t xml:space="preserve">Consumables for the initial operating period supplied (filters, lamps, chemicals, belts)</t>
  </si>
  <si>
    <t xml:space="preserve">Consumables delivery record</t>
  </si>
  <si>
    <t xml:space="preserve">9.08</t>
  </si>
  <si>
    <t xml:space="preserve">Spares storage location allocated, secure and environmentally suitable</t>
  </si>
  <si>
    <t xml:space="preserve">Storage allocation record and photographs</t>
  </si>
  <si>
    <t xml:space="preserve">9.09</t>
  </si>
  <si>
    <t xml:space="preserve">Spares and attic stock recorded in the CMMS with minimum and maximum levels</t>
  </si>
  <si>
    <t xml:space="preserve">CMMS spares records with reorder levels</t>
  </si>
  <si>
    <t xml:space="preserve">9.10</t>
  </si>
  <si>
    <t xml:space="preserve">Supply chain and reorder routes for consumables established</t>
  </si>
  <si>
    <t xml:space="preserve">Supplier contact list and reorder procedure</t>
  </si>
  <si>
    <t xml:space="preserve">9.11</t>
  </si>
  <si>
    <t xml:space="preserve">Software, firmware and configuration backups provided on durable media</t>
  </si>
  <si>
    <t xml:space="preserve">Backup media receipt and restore verification</t>
  </si>
  <si>
    <t xml:space="preserve">9.12</t>
  </si>
  <si>
    <t xml:space="preserve">Calibration certificates for instruments and test equipment handed over</t>
  </si>
  <si>
    <t xml:space="preserve">Calibration certificates with next due dates</t>
  </si>
  <si>
    <t xml:space="preserve">9.13</t>
  </si>
  <si>
    <t xml:space="preserve">Surplus materials, samples and mock-ups dispositioned as agreed</t>
  </si>
  <si>
    <t xml:space="preserve">Disposition record and removal confirmation</t>
  </si>
  <si>
    <t xml:space="preserve">10.01</t>
  </si>
  <si>
    <t xml:space="preserve">Training needs analysis completed for FM, operations and end user audiences</t>
  </si>
  <si>
    <t xml:space="preserve">Training needs analysis signed by operations</t>
  </si>
  <si>
    <t xml:space="preserve">10.02</t>
  </si>
  <si>
    <t xml:space="preserve">Training plan agreed with sessions, audiences, durations, dates and venues</t>
  </si>
  <si>
    <t xml:space="preserve">Approved training plan</t>
  </si>
  <si>
    <t xml:space="preserve">10.03</t>
  </si>
  <si>
    <t xml:space="preserve">Training materials issued in advance of delivery for review</t>
  </si>
  <si>
    <t xml:space="preserve">Training material register and issue record</t>
  </si>
  <si>
    <t xml:space="preserve">10.04</t>
  </si>
  <si>
    <t xml:space="preserve">Operator training delivered for all major plant and systems</t>
  </si>
  <si>
    <t xml:space="preserve">Signed attendance sheets and session records</t>
  </si>
  <si>
    <t xml:space="preserve">10.05</t>
  </si>
  <si>
    <t xml:space="preserve">Supplier-led specialist training delivered for proprietary systems</t>
  </si>
  <si>
    <t xml:space="preserve">Supplier training records and certificates</t>
  </si>
  <si>
    <t xml:space="preserve">10.06</t>
  </si>
  <si>
    <t xml:space="preserve">Competency verification completed and signed for critical systems</t>
  </si>
  <si>
    <t xml:space="preserve">Competency sign-off sheets per operator and system</t>
  </si>
  <si>
    <t xml:space="preserve">10.07</t>
  </si>
  <si>
    <t xml:space="preserve">Training sessions recorded and lodged for future reference and inductions</t>
  </si>
  <si>
    <t xml:space="preserve">Recordings lodged in the document management system</t>
  </si>
  <si>
    <t xml:space="preserve">10.08</t>
  </si>
  <si>
    <t xml:space="preserve">Familiarisation walkthroughs completed for plant rooms, risers and roof areas</t>
  </si>
  <si>
    <t xml:space="preserve">Walkthrough attendance record</t>
  </si>
  <si>
    <t xml:space="preserve">10.09</t>
  </si>
  <si>
    <t xml:space="preserve">Super-users identified for each system and briefed on escalation routes</t>
  </si>
  <si>
    <t xml:space="preserve">Super-user list with contact details</t>
  </si>
  <si>
    <t xml:space="preserve">10.10</t>
  </si>
  <si>
    <t xml:space="preserve">End user induction and building user briefing delivered before occupation</t>
  </si>
  <si>
    <t xml:space="preserve">Induction attendance records</t>
  </si>
  <si>
    <t xml:space="preserve">10.11</t>
  </si>
  <si>
    <t xml:space="preserve">Emergency response and evacuation training delivered including warden training</t>
  </si>
  <si>
    <t xml:space="preserve">Training records and first evacuation drill report</t>
  </si>
  <si>
    <t xml:space="preserve">10.12</t>
  </si>
  <si>
    <t xml:space="preserve">Refresher and seasonal training scheduled across the aftercare period</t>
  </si>
  <si>
    <t xml:space="preserve">Refresher training schedule with owners</t>
  </si>
  <si>
    <t xml:space="preserve">10.13</t>
  </si>
  <si>
    <t xml:space="preserve">Training effectiveness reviewed and identified gaps addressed</t>
  </si>
  <si>
    <t xml:space="preserve">Post-training review record and gap closure actions</t>
  </si>
  <si>
    <t xml:space="preserve">10.14</t>
  </si>
  <si>
    <t xml:space="preserve">Training records transferred to the client learning or compliance system</t>
  </si>
  <si>
    <t xml:space="preserve">Transfer confirmation from the client system</t>
  </si>
  <si>
    <t xml:space="preserve">11.01</t>
  </si>
  <si>
    <t xml:space="preserve">FM delivery model confirmed (in-house, outsourced or hybrid)</t>
  </si>
  <si>
    <t xml:space="preserve">FM operating model decision paper</t>
  </si>
  <si>
    <t xml:space="preserve">11.02</t>
  </si>
  <si>
    <t xml:space="preserve">FM contract awarded and mobilisation plan in place ahead of handover</t>
  </si>
  <si>
    <t xml:space="preserve">Executed FM contract and mobilisation programme</t>
  </si>
  <si>
    <t xml:space="preserve">11.03</t>
  </si>
  <si>
    <t xml:space="preserve">Service level agreements and KPIs agreed, measurable and baselined</t>
  </si>
  <si>
    <t xml:space="preserve">Signed SLA and KPI schedule</t>
  </si>
  <si>
    <t xml:space="preserve">11.04</t>
  </si>
  <si>
    <t xml:space="preserve">Helpdesk and fault reporting routes live and communicated to occupants</t>
  </si>
  <si>
    <t xml:space="preserve">Helpdesk go-live confirmation and user communication</t>
  </si>
  <si>
    <t xml:space="preserve">11.05</t>
  </si>
  <si>
    <t xml:space="preserve">Planned maintenance loaded into the CMMS with the first cycle scheduled</t>
  </si>
  <si>
    <t xml:space="preserve">CMMS planned maintenance schedule extract</t>
  </si>
  <si>
    <t xml:space="preserve">11.06</t>
  </si>
  <si>
    <t xml:space="preserve">Statutory compliance calendar loaded with inspection and testing obligations</t>
  </si>
  <si>
    <t xml:space="preserve">Compliance calendar with due dates and owners</t>
  </si>
  <si>
    <t xml:space="preserve">11.07</t>
  </si>
  <si>
    <t xml:space="preserve">Specialist maintenance subcontracts in place for proprietary systems</t>
  </si>
  <si>
    <t xml:space="preserve">Executed specialist maintenance subcontracts</t>
  </si>
  <si>
    <t xml:space="preserve">11.08</t>
  </si>
  <si>
    <t xml:space="preserve">Cleaning contract mobilised including transition from builder's clean to occupation clean</t>
  </si>
  <si>
    <t xml:space="preserve">Cleaning mobilisation record and scope</t>
  </si>
  <si>
    <t xml:space="preserve">11.09</t>
  </si>
  <si>
    <t xml:space="preserve">Waste, recycling and grounds maintenance services arranged and commenced</t>
  </si>
  <si>
    <t xml:space="preserve">Service commencement confirmations</t>
  </si>
  <si>
    <t xml:space="preserve">11.10</t>
  </si>
  <si>
    <t xml:space="preserve">Security operations, manning and reception services mobilised</t>
  </si>
  <si>
    <t xml:space="preserve">Security mobilisation record and post orders</t>
  </si>
  <si>
    <t xml:space="preserve">11.11</t>
  </si>
  <si>
    <t xml:space="preserve">Utility accounts transferred to the owner or operator with opening meter readings recorded</t>
  </si>
  <si>
    <t xml:space="preserve">Account transfer confirmations and photographed meter readings</t>
  </si>
  <si>
    <t xml:space="preserve">11.12</t>
  </si>
  <si>
    <t xml:space="preserve">Temporary services and construction utilities disconnected and reconciled</t>
  </si>
  <si>
    <t xml:space="preserve">Disconnection records and final reconciliation</t>
  </si>
  <si>
    <t xml:space="preserve">11.13</t>
  </si>
  <si>
    <t xml:space="preserve">Pest control, water hygiene and indoor air quality regimes commenced</t>
  </si>
  <si>
    <t xml:space="preserve">Service commencement records and initial reports</t>
  </si>
  <si>
    <t xml:space="preserve">11.14</t>
  </si>
  <si>
    <t xml:space="preserve">Water systems flushing, sampling and hygiene regime completed before occupation</t>
  </si>
  <si>
    <t xml:space="preserve">Water sampling results within acceptance limits</t>
  </si>
  <si>
    <t xml:space="preserve">11.15</t>
  </si>
  <si>
    <t xml:space="preserve">Operating budget for the first year of operation approved</t>
  </si>
  <si>
    <t xml:space="preserve">Approved operating budget</t>
  </si>
  <si>
    <t xml:space="preserve">11.16</t>
  </si>
  <si>
    <t xml:space="preserve">Service transition acceptance signed by the incoming FM provider</t>
  </si>
  <si>
    <t xml:space="preserve">FM acceptance record listing any qualifications</t>
  </si>
  <si>
    <t xml:space="preserve">12.01</t>
  </si>
  <si>
    <t xml:space="preserve">Occupancy permit or approval in force and displayed as required</t>
  </si>
  <si>
    <t xml:space="preserve">Approval document and display confirmation</t>
  </si>
  <si>
    <t xml:space="preserve">12.02</t>
  </si>
  <si>
    <t xml:space="preserve">Property and operational insurance in force from the transfer date</t>
  </si>
  <si>
    <t xml:space="preserve">Certificates of currency covering the asset</t>
  </si>
  <si>
    <t xml:space="preserve">12.03</t>
  </si>
  <si>
    <t xml:space="preserve">FF&amp;E procured, delivered, installed and inspected against the schedule</t>
  </si>
  <si>
    <t xml:space="preserve">FF&amp;E installation sign-off and snag closure</t>
  </si>
  <si>
    <t xml:space="preserve">12.04</t>
  </si>
  <si>
    <t xml:space="preserve">FF&amp;E asset tagging and register completed and loaded</t>
  </si>
  <si>
    <t xml:space="preserve">FF&amp;E register with tags and locations</t>
  </si>
  <si>
    <t xml:space="preserve">12.05</t>
  </si>
  <si>
    <t xml:space="preserve">ICT migration and cut-over plan executed with rollback provisions tested</t>
  </si>
  <si>
    <t xml:space="preserve">Cut-over report and rollback test evidence</t>
  </si>
  <si>
    <t xml:space="preserve">12.06</t>
  </si>
  <si>
    <t xml:space="preserve">Telephony, printing and end user devices operational and tested</t>
  </si>
  <si>
    <t xml:space="preserve">Service verification record</t>
  </si>
  <si>
    <t xml:space="preserve">12.07</t>
  </si>
  <si>
    <t xml:space="preserve">Wayfinding, statutory and room signage installed and verified</t>
  </si>
  <si>
    <t xml:space="preserve">Signage verification record against the signage schedule</t>
  </si>
  <si>
    <t xml:space="preserve">12.08</t>
  </si>
  <si>
    <t xml:space="preserve">User communications plan delivered including move guides and frequently asked questions</t>
  </si>
  <si>
    <t xml:space="preserve">Communications pack and distribution record</t>
  </si>
  <si>
    <t xml:space="preserve">12.09</t>
  </si>
  <si>
    <t xml:space="preserve">Move management plan executed with staging, sequencing and labelling</t>
  </si>
  <si>
    <t xml:space="preserve">Move plan and completion report</t>
  </si>
  <si>
    <t xml:space="preserve">12.10</t>
  </si>
  <si>
    <t xml:space="preserve">Day-one support arrangements mobilised with floor walkers and a visible help point</t>
  </si>
  <si>
    <t xml:space="preserve">Day-one support roster and briefing pack</t>
  </si>
  <si>
    <t xml:space="preserve">12.11</t>
  </si>
  <si>
    <t xml:space="preserve">Cleaning to occupation standard completed and inspected before move-in</t>
  </si>
  <si>
    <t xml:space="preserve">Occupation clean sign-off with inspection sheets</t>
  </si>
  <si>
    <t xml:space="preserve">12.12</t>
  </si>
  <si>
    <t xml:space="preserve">Accessibility, ergonomics and workplace setup verified for end users</t>
  </si>
  <si>
    <t xml:space="preserve">Workplace verification record</t>
  </si>
  <si>
    <t xml:space="preserve">12.13</t>
  </si>
  <si>
    <t xml:space="preserve">Legacy premises decant, decommissioning and make-good planned and resourced</t>
  </si>
  <si>
    <t xml:space="preserve">Decant and make-good plan</t>
  </si>
  <si>
    <t xml:space="preserve">12.14</t>
  </si>
  <si>
    <t xml:space="preserve">Occupancy loading, furniture layouts and egress capacity verified against the fire strategy</t>
  </si>
  <si>
    <t xml:space="preserve">Verification record signed by the fire engineer</t>
  </si>
  <si>
    <t xml:space="preserve">12.15</t>
  </si>
  <si>
    <t xml:space="preserve">First aid, welfare and emergency equipment installed, stocked and registered</t>
  </si>
  <si>
    <t xml:space="preserve">Equipment inspection and stocking record</t>
  </si>
  <si>
    <t xml:space="preserve">13.01</t>
  </si>
  <si>
    <t xml:space="preserve">Access control database configured with zones, schedules and permission groups</t>
  </si>
  <si>
    <t xml:space="preserve">Access control configuration record and zone plans</t>
  </si>
  <si>
    <t xml:space="preserve">13.02</t>
  </si>
  <si>
    <t xml:space="preserve">Access cards and credentials issued to authorised personnel and recorded</t>
  </si>
  <si>
    <t xml:space="preserve">Card issue register with authorisations</t>
  </si>
  <si>
    <t xml:space="preserve">13.03</t>
  </si>
  <si>
    <t xml:space="preserve">CCTV commissioned with camera schedule, retention settings and privacy compliance verified</t>
  </si>
  <si>
    <t xml:space="preserve">CCTV commissioning record and privacy impact assessment</t>
  </si>
  <si>
    <t xml:space="preserve">13.04</t>
  </si>
  <si>
    <t xml:space="preserve">Intruder alarm and monitoring contract in place and tested end to end</t>
  </si>
  <si>
    <t xml:space="preserve">Monitoring contract and signal test record</t>
  </si>
  <si>
    <t xml:space="preserve">13.05</t>
  </si>
  <si>
    <t xml:space="preserve">Cyber security review of operational technology and BMS systems completed</t>
  </si>
  <si>
    <t xml:space="preserve">Security review report with remediation closure</t>
  </si>
  <si>
    <t xml:space="preserve">13.06</t>
  </si>
  <si>
    <t xml:space="preserve">Default passwords changed and credentials handed over through a secure channel</t>
  </si>
  <si>
    <t xml:space="preserve">Credential handover record and password policy confirmation</t>
  </si>
  <si>
    <t xml:space="preserve">13.07</t>
  </si>
  <si>
    <t xml:space="preserve">Network segregation between operational technology and corporate IT verified</t>
  </si>
  <si>
    <t xml:space="preserve">Network architecture verification and test evidence</t>
  </si>
  <si>
    <t xml:space="preserve">13.08</t>
  </si>
  <si>
    <t xml:space="preserve">Remote access arrangements for vendors documented, approved and controlled</t>
  </si>
  <si>
    <t xml:space="preserve">Remote access policy, approvals and access log</t>
  </si>
  <si>
    <t xml:space="preserve">13.09</t>
  </si>
  <si>
    <t xml:space="preserve">Administrator accounts, licences and software keys transferred to the owner</t>
  </si>
  <si>
    <t xml:space="preserve">Licence and account transfer schedule</t>
  </si>
  <si>
    <t xml:space="preserve">13.10</t>
  </si>
  <si>
    <t xml:space="preserve">Software subscriptions and support agreements assigned with renewal dates recorded</t>
  </si>
  <si>
    <t xml:space="preserve">Subscription register with renewal diary entries</t>
  </si>
  <si>
    <t xml:space="preserve">13.11</t>
  </si>
  <si>
    <t xml:space="preserve">System backups configured, tested and the restore procedure documented</t>
  </si>
  <si>
    <t xml:space="preserve">Backup configuration and successful restore test record</t>
  </si>
  <si>
    <t xml:space="preserve">13.12</t>
  </si>
  <si>
    <t xml:space="preserve">Digital twin or analytics platform populated and access granted where applicable</t>
  </si>
  <si>
    <t xml:space="preserve">Platform handover record and user access list</t>
  </si>
  <si>
    <t xml:space="preserve">13.13</t>
  </si>
  <si>
    <t xml:space="preserve">Key management, restricted area and lockdown protocols agreed and issued</t>
  </si>
  <si>
    <t xml:space="preserve">Key management procedure and restricted area register</t>
  </si>
  <si>
    <t xml:space="preserve">14.01</t>
  </si>
  <si>
    <t xml:space="preserve">Sustainability rating evidence compiled and submitted for certification</t>
  </si>
  <si>
    <t xml:space="preserve">Submission pack and assessor correspondence</t>
  </si>
  <si>
    <t xml:space="preserve">14.02</t>
  </si>
  <si>
    <t xml:space="preserve">As-built sustainability certification achieved or provisional rating confirmed</t>
  </si>
  <si>
    <t xml:space="preserve">Certificate or provisional rating letter</t>
  </si>
  <si>
    <t xml:space="preserve">14.03</t>
  </si>
  <si>
    <t xml:space="preserve">Energy performance baseline established and documented for operational benchmarking</t>
  </si>
  <si>
    <t xml:space="preserve">Baseline energy model and initial metering data</t>
  </si>
  <si>
    <t xml:space="preserve">14.04</t>
  </si>
  <si>
    <t xml:space="preserve">Water performance baseline and leak detection strategy documented</t>
  </si>
  <si>
    <t xml:space="preserve">Baseline water consumption data and leak strategy</t>
  </si>
  <si>
    <t xml:space="preserve">14.05</t>
  </si>
  <si>
    <t xml:space="preserve">Measurement and verification plan agreed for the first year of operation</t>
  </si>
  <si>
    <t xml:space="preserve">Approved M&amp;V plan with responsibilities</t>
  </si>
  <si>
    <t xml:space="preserve">14.06</t>
  </si>
  <si>
    <t xml:space="preserve">Commissioning for performance activities scheduled beyond practical completion</t>
  </si>
  <si>
    <t xml:space="preserve">Performance commissioning schedule</t>
  </si>
  <si>
    <t xml:space="preserve">14.07</t>
  </si>
  <si>
    <t xml:space="preserve">Construction waste reporting closed and the operational waste regime commenced</t>
  </si>
  <si>
    <t xml:space="preserve">Final waste reports and operational waste plan</t>
  </si>
  <si>
    <t xml:space="preserve">14.08</t>
  </si>
  <si>
    <t xml:space="preserve">Environmental management plan transitioned to operational environmental controls</t>
  </si>
  <si>
    <t xml:space="preserve">Operational environmental management plan</t>
  </si>
  <si>
    <t xml:space="preserve">14.09</t>
  </si>
  <si>
    <t xml:space="preserve">Environmental approvals, licences and monitoring obligations transferred to the operator</t>
  </si>
  <si>
    <t xml:space="preserve">Licence transfer records and monitoring schedule</t>
  </si>
  <si>
    <t xml:space="preserve">14.10</t>
  </si>
  <si>
    <t xml:space="preserve">Contaminated land, asbestos and hazardous materials registers issued to the operator</t>
  </si>
  <si>
    <t xml:space="preserve">Registers and associated management plans</t>
  </si>
  <si>
    <t xml:space="preserve">14.11</t>
  </si>
  <si>
    <t xml:space="preserve">Indoor environmental quality testing completed before occupation</t>
  </si>
  <si>
    <t xml:space="preserve">IEQ test results against agreed criteria</t>
  </si>
  <si>
    <t xml:space="preserve">14.12</t>
  </si>
  <si>
    <t xml:space="preserve">Refrigerant, fuel and chemical inventories recorded with compliance obligations</t>
  </si>
  <si>
    <t xml:space="preserve">Inventory register and compliance obligation schedule</t>
  </si>
  <si>
    <t xml:space="preserve">14.13</t>
  </si>
  <si>
    <t xml:space="preserve">Embodied and operational carbon records handed over for lifecycle reporting</t>
  </si>
  <si>
    <t xml:space="preserve">Carbon data set and reporting methodology</t>
  </si>
  <si>
    <t xml:space="preserve">15.01</t>
  </si>
  <si>
    <t xml:space="preserve">Aftercare team, roles, duration and funding agreed and resourced</t>
  </si>
  <si>
    <t xml:space="preserve">Aftercare charter signed by client and contractor</t>
  </si>
  <si>
    <t xml:space="preserve">15.02</t>
  </si>
  <si>
    <t xml:space="preserve">On-site aftercare presence provided during the initial weeks of occupation</t>
  </si>
  <si>
    <t xml:space="preserve">Aftercare attendance log and issue register</t>
  </si>
  <si>
    <t xml:space="preserve">15.03</t>
  </si>
  <si>
    <t xml:space="preserve">Aftercare help point and single point of contact communicated to occupants</t>
  </si>
  <si>
    <t xml:space="preserve">Communication record and signage</t>
  </si>
  <si>
    <t xml:space="preserve">15.04</t>
  </si>
  <si>
    <t xml:space="preserve">Extended aftercare programme defined, typically running to three years</t>
  </si>
  <si>
    <t xml:space="preserve">Extended aftercare plan with milestones</t>
  </si>
  <si>
    <t xml:space="preserve">15.05</t>
  </si>
  <si>
    <t xml:space="preserve">Seasonal commissioning completed in the first heating and cooling seasons</t>
  </si>
  <si>
    <t xml:space="preserve">Seasonal commissioning reports and adjustments log</t>
  </si>
  <si>
    <t xml:space="preserve">15.06</t>
  </si>
  <si>
    <t xml:space="preserve">Fine-tuning and optimisation actions logged, prioritised and closed</t>
  </si>
  <si>
    <t xml:space="preserve">Optimisation log with closure evidence</t>
  </si>
  <si>
    <t xml:space="preserve">15.07</t>
  </si>
  <si>
    <t xml:space="preserve">Post-occupancy evaluation scoped, scheduled and funded</t>
  </si>
  <si>
    <t xml:space="preserve">POE scope, method and schedule</t>
  </si>
  <si>
    <t xml:space="preserve">15.08</t>
  </si>
  <si>
    <t xml:space="preserve">Occupant satisfaction survey issued and results analysed and communicated</t>
  </si>
  <si>
    <t xml:space="preserve">Survey results report and response plan</t>
  </si>
  <si>
    <t xml:space="preserve">15.09</t>
  </si>
  <si>
    <t xml:space="preserve">Energy and water consumption reviewed against targets at agreed intervals</t>
  </si>
  <si>
    <t xml:space="preserve">Performance review reports with variance analysis</t>
  </si>
  <si>
    <t xml:space="preserve">15.10</t>
  </si>
  <si>
    <t xml:space="preserve">Performance review meetings scheduled with agreed cadence, attendees and agenda</t>
  </si>
  <si>
    <t xml:space="preserve">Meeting schedule and terms of reference</t>
  </si>
  <si>
    <t xml:space="preserve">15.11</t>
  </si>
  <si>
    <t xml:space="preserve">Lessons from aftercare fed back into client design standards and briefs (see Closeout Checklist)</t>
  </si>
  <si>
    <t xml:space="preserve">Feedback record accepted by the client standards owner</t>
  </si>
  <si>
    <t xml:space="preserve">15.12</t>
  </si>
  <si>
    <t xml:space="preserve">Aftercare exit criteria agreed and the final aftercare report issued</t>
  </si>
  <si>
    <t xml:space="preserve">Final aftercare report and exit sign-off</t>
  </si>
  <si>
    <t xml:space="preserve">15.13</t>
  </si>
  <si>
    <t xml:space="preserve">Design intent reality-checked against measured operational performance</t>
  </si>
  <si>
    <t xml:space="preserve">Design intent review record</t>
  </si>
  <si>
    <t xml:space="preserve">16.01</t>
  </si>
  <si>
    <t xml:space="preserve">Handover documentation completeness review completed against the document register</t>
  </si>
  <si>
    <t xml:space="preserve">Completeness review record with exceptions listed</t>
  </si>
  <si>
    <t xml:space="preserve">16.02</t>
  </si>
  <si>
    <t xml:space="preserve">Acceptance criteria verified item by item against the agreed gate criteria</t>
  </si>
  <si>
    <t xml:space="preserve">Gate assessment record with evidence references</t>
  </si>
  <si>
    <t xml:space="preserve">16.03</t>
  </si>
  <si>
    <t xml:space="preserve">Outstanding works and defects list agreed and signed by both parties</t>
  </si>
  <si>
    <t xml:space="preserve">Agreed outstanding works and defects schedule</t>
  </si>
  <si>
    <t xml:space="preserve">16.04</t>
  </si>
  <si>
    <t xml:space="preserve">Programme and access arrangements for completing outstanding works agreed</t>
  </si>
  <si>
    <t xml:space="preserve">Rectification programme and access protocol</t>
  </si>
  <si>
    <t xml:space="preserve">16.05</t>
  </si>
  <si>
    <t xml:space="preserve">Items affecting occupancy identified and resolved or formally accepted in writing</t>
  </si>
  <si>
    <t xml:space="preserve">Occupancy impact assessment and acceptance record</t>
  </si>
  <si>
    <t xml:space="preserve">16.06</t>
  </si>
  <si>
    <t xml:space="preserve">Conditional or unconditional acceptance decision made and documented</t>
  </si>
  <si>
    <t xml:space="preserve">Acceptance decision record with conditions listed</t>
  </si>
  <si>
    <t xml:space="preserve">16.07</t>
  </si>
  <si>
    <t xml:space="preserve">Formal handover acceptance certificate executed by all required parties</t>
  </si>
  <si>
    <t xml:space="preserve">Executed acceptance certificate (see Acceptance &amp; Sign-off sheet)</t>
  </si>
  <si>
    <t xml:space="preserve">16.08</t>
  </si>
  <si>
    <t xml:space="preserve">Care, custody and control of the asset transferred with the date recorded</t>
  </si>
  <si>
    <t xml:space="preserve">Transfer of custody record</t>
  </si>
  <si>
    <t xml:space="preserve">16.09</t>
  </si>
  <si>
    <t xml:space="preserve">Risk of loss or damage transferred and confirmed in writing</t>
  </si>
  <si>
    <t xml:space="preserve">Risk transfer confirmation letter</t>
  </si>
  <si>
    <t xml:space="preserve">16.10</t>
  </si>
  <si>
    <t xml:space="preserve">Insurance transferred from contract works cover to the owner's operational policy</t>
  </si>
  <si>
    <t xml:space="preserve">Insurance transfer confirmation and certificates</t>
  </si>
  <si>
    <t xml:space="preserve">16.11</t>
  </si>
  <si>
    <t xml:space="preserve">Keys, credentials and site control formally handed over and receipted</t>
  </si>
  <si>
    <t xml:space="preserve">Signed handover receipt for keys and credentials</t>
  </si>
  <si>
    <t xml:space="preserve">16.12</t>
  </si>
  <si>
    <t xml:space="preserve">Post-handover obligations register issued listing residual contractor duties</t>
  </si>
  <si>
    <t xml:space="preserve">Post-handover obligations register</t>
  </si>
  <si>
    <t xml:space="preserve">16.13</t>
  </si>
  <si>
    <t xml:space="preserve">Handover close-out report issued and lessons transferred to project closeout (see Closeout Checklist)</t>
  </si>
  <si>
    <t xml:space="preserve">Handover close-out report accepted by the client</t>
  </si>
  <si>
    <t xml:space="preserve">Systems Commissioning Register</t>
  </si>
  <si>
    <t xml:space="preserve">One row per system or sub-system. Record each commissioning stage, the witnessed test, whether the system was included in integrated systems testing, and when seasonal commissioning falls due.</t>
  </si>
  <si>
    <t xml:space="preserve">SYSTEMS LISTED</t>
  </si>
  <si>
    <t xml:space="preserve">FULLY COMMISSIONED</t>
  </si>
  <si>
    <t xml:space="preserve">DYNAMIC COMPLETE</t>
  </si>
  <si>
    <t xml:space="preserve">INCLUDED IN IST</t>
  </si>
  <si>
    <t xml:space="preserve">OUTSTANDING</t>
  </si>
  <si>
    <t xml:space="preserve">System</t>
  </si>
  <si>
    <t xml:space="preserve">Sub-system</t>
  </si>
  <si>
    <t xml:space="preserve">Contractor / specialist</t>
  </si>
  <si>
    <t xml:space="preserve">Pre-commissioning</t>
  </si>
  <si>
    <t xml:space="preserve">Static commissioning</t>
  </si>
  <si>
    <t xml:space="preserve">Dynamic commissioning</t>
  </si>
  <si>
    <t xml:space="preserve">Witnessed test date</t>
  </si>
  <si>
    <t xml:space="preserve">Witnessed by</t>
  </si>
  <si>
    <t xml:space="preserve">IST included</t>
  </si>
  <si>
    <t xml:space="preserve">Certificate ref</t>
  </si>
  <si>
    <t xml:space="preserve">Seasonal commissioning due</t>
  </si>
  <si>
    <t xml:space="preserve">HVAC</t>
  </si>
  <si>
    <t xml:space="preserve">Chilled water plant and pumps</t>
  </si>
  <si>
    <t xml:space="preserve">Heating hot water plant and pumps</t>
  </si>
  <si>
    <t xml:space="preserve">Air handling units</t>
  </si>
  <si>
    <t xml:space="preserve">Fan coil and terminal units</t>
  </si>
  <si>
    <t xml:space="preserve">Ductwork and air distribution</t>
  </si>
  <si>
    <t xml:space="preserve">Car park and basement ventilation</t>
  </si>
  <si>
    <t xml:space="preserve">Split and VRF systems</t>
  </si>
  <si>
    <t xml:space="preserve">Kitchen and specialist exhaust</t>
  </si>
  <si>
    <t xml:space="preserve">Electrical</t>
  </si>
  <si>
    <t xml:space="preserve">Incoming supply and main switchboard</t>
  </si>
  <si>
    <t xml:space="preserve">Distribution boards and submains</t>
  </si>
  <si>
    <t xml:space="preserve">Standby generator and fuel system</t>
  </si>
  <si>
    <t xml:space="preserve">UPS and critical power</t>
  </si>
  <si>
    <t xml:space="preserve">Lighting and lighting control</t>
  </si>
  <si>
    <t xml:space="preserve">Emergency and exit lighting</t>
  </si>
  <si>
    <t xml:space="preserve">Earthing and lightning protection</t>
  </si>
  <si>
    <t xml:space="preserve">Hydraulic</t>
  </si>
  <si>
    <t xml:space="preserve">Cold water service and storage</t>
  </si>
  <si>
    <t xml:space="preserve">Hot water generation and reticulation</t>
  </si>
  <si>
    <t xml:space="preserve">Sanitary and trade waste drainage</t>
  </si>
  <si>
    <t xml:space="preserve">Stormwater and pump-out systems</t>
  </si>
  <si>
    <t xml:space="preserve">Backflow prevention devices</t>
  </si>
  <si>
    <t xml:space="preserve">Irrigation and external services</t>
  </si>
  <si>
    <t xml:space="preserve">Fire</t>
  </si>
  <si>
    <t xml:space="preserve">Fire detection and alarm</t>
  </si>
  <si>
    <t xml:space="preserve">Sprinkler and hydrant systems</t>
  </si>
  <si>
    <t xml:space="preserve">Fire pumps, tanks and boosters</t>
  </si>
  <si>
    <t xml:space="preserve">Gaseous and special hazard suppression</t>
  </si>
  <si>
    <t xml:space="preserve">Stair pressurisation and smoke control</t>
  </si>
  <si>
    <t xml:space="preserve">Passive fire protection and fire doors</t>
  </si>
  <si>
    <t xml:space="preserve">Emergency warning and intercom system</t>
  </si>
  <si>
    <t xml:space="preserve">Vertical transport</t>
  </si>
  <si>
    <t xml:space="preserve">Passenger lifts</t>
  </si>
  <si>
    <t xml:space="preserve">Goods and service lift</t>
  </si>
  <si>
    <t xml:space="preserve">Escalators and travelators</t>
  </si>
  <si>
    <t xml:space="preserve">Security</t>
  </si>
  <si>
    <t xml:space="preserve">Access control system</t>
  </si>
  <si>
    <t xml:space="preserve">CCTV and video management</t>
  </si>
  <si>
    <t xml:space="preserve">Intruder detection and monitoring</t>
  </si>
  <si>
    <t xml:space="preserve">Intercom and duress</t>
  </si>
  <si>
    <t xml:space="preserve">ICT</t>
  </si>
  <si>
    <t xml:space="preserve">Structured cabling and containment</t>
  </si>
  <si>
    <t xml:space="preserve">Active network equipment</t>
  </si>
  <si>
    <t xml:space="preserve">Wireless network and DAS</t>
  </si>
  <si>
    <t xml:space="preserve">Audio visual</t>
  </si>
  <si>
    <t xml:space="preserve">Meeting and conference room AV</t>
  </si>
  <si>
    <t xml:space="preserve">Digital signage and paging</t>
  </si>
  <si>
    <t xml:space="preserve">BMS / BAS</t>
  </si>
  <si>
    <t xml:space="preserve">Field devices and controllers</t>
  </si>
  <si>
    <t xml:space="preserve">Head end, graphics and reporting</t>
  </si>
  <si>
    <t xml:space="preserve">Third-party system integration</t>
  </si>
  <si>
    <t xml:space="preserve">Metering</t>
  </si>
  <si>
    <t xml:space="preserve">Energy and power quality metering</t>
  </si>
  <si>
    <t xml:space="preserve">Water and thermal metering</t>
  </si>
  <si>
    <t xml:space="preserve">Specialist</t>
  </si>
  <si>
    <t xml:space="preserve">Cold rooms and refrigeration</t>
  </si>
  <si>
    <t xml:space="preserve">Medical or laboratory gases</t>
  </si>
  <si>
    <t xml:space="preserve">Facade</t>
  </si>
  <si>
    <t xml:space="preserve">Building maintenance unit and anchors</t>
  </si>
  <si>
    <t xml:space="preserve">Asset Register (Handover)</t>
  </si>
  <si>
    <t xml:space="preserve">Populate to your organisation's asset data standard (ISO 55000 aligned) and reconcile against the CMMS / EAM upload. Warranty expiry and days to expiry are calculated - rows highlight amber within 90 days of expiry and red once expired. Three worked examples are provided.</t>
  </si>
  <si>
    <t xml:space="preserve">ASSETS LISTED</t>
  </si>
  <si>
    <t xml:space="preserve">UPLOADED TO CMMS</t>
  </si>
  <si>
    <t xml:space="preserve">CRITICAL ASSETS</t>
  </si>
  <si>
    <t xml:space="preserve">WARRANTIES EXPIRING &lt;90D</t>
  </si>
  <si>
    <t xml:space="preserve">REPLACEMENT VALUE</t>
  </si>
  <si>
    <t xml:space="preserve">Asset ID / tag</t>
  </si>
  <si>
    <t xml:space="preserve">Asset name</t>
  </si>
  <si>
    <t xml:space="preserve">Location (building / level / room)</t>
  </si>
  <si>
    <t xml:space="preserve">Manufacturer</t>
  </si>
  <si>
    <t xml:space="preserve">Model</t>
  </si>
  <si>
    <t xml:space="preserve">Serial number</t>
  </si>
  <si>
    <t xml:space="preserve">Install date</t>
  </si>
  <si>
    <t xml:space="preserve">Warranty start</t>
  </si>
  <si>
    <t xml:space="preserve">Warranty months</t>
  </si>
  <si>
    <t xml:space="preserve">Warranty expiry</t>
  </si>
  <si>
    <t xml:space="preserve">Days to expiry</t>
  </si>
  <si>
    <t xml:space="preserve">Expected life (yrs)</t>
  </si>
  <si>
    <t xml:space="preserve">Replacement cost (local currency)</t>
  </si>
  <si>
    <t xml:space="preserve">Maintenance strategy</t>
  </si>
  <si>
    <t xml:space="preserve">CMMS uploaded</t>
  </si>
  <si>
    <t xml:space="preserve">AST-001</t>
  </si>
  <si>
    <t xml:space="preserve">Chiller No.1</t>
  </si>
  <si>
    <t xml:space="preserve">Mechanical</t>
  </si>
  <si>
    <t xml:space="preserve">Chilled water</t>
  </si>
  <si>
    <t xml:space="preserve">Level 2 Plant Room / PR-02</t>
  </si>
  <si>
    <t xml:space="preserve">Trane</t>
  </si>
  <si>
    <t xml:space="preserve">RTAC-350</t>
  </si>
  <si>
    <t xml:space="preserve">TRN-2026-114857</t>
  </si>
  <si>
    <t xml:space="preserve">Planned preventive</t>
  </si>
  <si>
    <t xml:space="preserve">AST-002</t>
  </si>
  <si>
    <t xml:space="preserve">Chiller No.2</t>
  </si>
  <si>
    <t xml:space="preserve">TRN-2026-114858</t>
  </si>
  <si>
    <t xml:space="preserve">AST-003</t>
  </si>
  <si>
    <t xml:space="preserve">Primary chilled water pump set</t>
  </si>
  <si>
    <t xml:space="preserve">AST-004</t>
  </si>
  <si>
    <t xml:space="preserve">Cooling tower No.1</t>
  </si>
  <si>
    <t xml:space="preserve">Condenser water</t>
  </si>
  <si>
    <t xml:space="preserve">AST-005</t>
  </si>
  <si>
    <t xml:space="preserve">Boiler No.1</t>
  </si>
  <si>
    <t xml:space="preserve">Heating hot water</t>
  </si>
  <si>
    <t xml:space="preserve">AST-006</t>
  </si>
  <si>
    <t xml:space="preserve">Heating hot water pump set</t>
  </si>
  <si>
    <t xml:space="preserve">AST-007</t>
  </si>
  <si>
    <t xml:space="preserve">Air handling unit AHU-01</t>
  </si>
  <si>
    <t xml:space="preserve">Air side</t>
  </si>
  <si>
    <t xml:space="preserve">AST-008</t>
  </si>
  <si>
    <t xml:space="preserve">Air handling unit AHU-02</t>
  </si>
  <si>
    <t xml:space="preserve">AST-009</t>
  </si>
  <si>
    <t xml:space="preserve">Car park exhaust fan CPF-01</t>
  </si>
  <si>
    <t xml:space="preserve">Ventilation</t>
  </si>
  <si>
    <t xml:space="preserve">AST-010</t>
  </si>
  <si>
    <t xml:space="preserve">Kitchen exhaust fan KEF-01</t>
  </si>
  <si>
    <t xml:space="preserve">AST-011</t>
  </si>
  <si>
    <t xml:space="preserve">Stair pressurisation fan SPF-01</t>
  </si>
  <si>
    <t xml:space="preserve">Smoke control</t>
  </si>
  <si>
    <t xml:space="preserve">AST-012</t>
  </si>
  <si>
    <t xml:space="preserve">Main switchboard MSB-01</t>
  </si>
  <si>
    <t xml:space="preserve">LV distribution</t>
  </si>
  <si>
    <t xml:space="preserve">AST-013</t>
  </si>
  <si>
    <t xml:space="preserve">Distribution board DB-L01</t>
  </si>
  <si>
    <t xml:space="preserve">AST-014</t>
  </si>
  <si>
    <t xml:space="preserve">Standby generator GEN-01</t>
  </si>
  <si>
    <t xml:space="preserve">Standby power</t>
  </si>
  <si>
    <t xml:space="preserve">Basement 1 Generator Room / B1-GR</t>
  </si>
  <si>
    <t xml:space="preserve">Cummins</t>
  </si>
  <si>
    <t xml:space="preserve">C1100D5</t>
  </si>
  <si>
    <t xml:space="preserve">CUM-2026-77201</t>
  </si>
  <si>
    <t xml:space="preserve">AST-015</t>
  </si>
  <si>
    <t xml:space="preserve">Diesel fuel storage tank</t>
  </si>
  <si>
    <t xml:space="preserve">AST-016</t>
  </si>
  <si>
    <t xml:space="preserve">UPS-01 critical power</t>
  </si>
  <si>
    <t xml:space="preserve">Critical power</t>
  </si>
  <si>
    <t xml:space="preserve">AST-017</t>
  </si>
  <si>
    <t xml:space="preserve">Lighting control panel LCP-01</t>
  </si>
  <si>
    <t xml:space="preserve">Lighting</t>
  </si>
  <si>
    <t xml:space="preserve">AST-018</t>
  </si>
  <si>
    <t xml:space="preserve">Solar photovoltaic array</t>
  </si>
  <si>
    <t xml:space="preserve">Renewables</t>
  </si>
  <si>
    <t xml:space="preserve">AST-019</t>
  </si>
  <si>
    <t xml:space="preserve">Cold water booster pump set</t>
  </si>
  <si>
    <t xml:space="preserve">Cold water</t>
  </si>
  <si>
    <t xml:space="preserve">AST-020</t>
  </si>
  <si>
    <t xml:space="preserve">Domestic hot water plant</t>
  </si>
  <si>
    <t xml:space="preserve">Hot water</t>
  </si>
  <si>
    <t xml:space="preserve">AST-021</t>
  </si>
  <si>
    <t xml:space="preserve">Sewage ejection pump station</t>
  </si>
  <si>
    <t xml:space="preserve">Drainage</t>
  </si>
  <si>
    <t xml:space="preserve">AST-022</t>
  </si>
  <si>
    <t xml:space="preserve">Stormwater pump-out pit</t>
  </si>
  <si>
    <t xml:space="preserve">AST-023</t>
  </si>
  <si>
    <t xml:space="preserve">Rainwater harvesting tank</t>
  </si>
  <si>
    <t xml:space="preserve">Water reuse</t>
  </si>
  <si>
    <t xml:space="preserve">AST-024</t>
  </si>
  <si>
    <t xml:space="preserve">Backflow prevention device BF-01</t>
  </si>
  <si>
    <t xml:space="preserve">AST-025</t>
  </si>
  <si>
    <t xml:space="preserve">Fire indicator panel FIP-01</t>
  </si>
  <si>
    <t xml:space="preserve">Detection and alarm</t>
  </si>
  <si>
    <t xml:space="preserve">AST-026</t>
  </si>
  <si>
    <t xml:space="preserve">Electric fire pump FP-01</t>
  </si>
  <si>
    <t xml:space="preserve">Sprinkler and hydrant</t>
  </si>
  <si>
    <t xml:space="preserve">AST-027</t>
  </si>
  <si>
    <t xml:space="preserve">Diesel fire pump FP-02</t>
  </si>
  <si>
    <t xml:space="preserve">AST-028</t>
  </si>
  <si>
    <t xml:space="preserve">Fire water storage tank</t>
  </si>
  <si>
    <t xml:space="preserve">AST-029</t>
  </si>
  <si>
    <t xml:space="preserve">Sprinkler control valve set</t>
  </si>
  <si>
    <t xml:space="preserve">AST-030</t>
  </si>
  <si>
    <t xml:space="preserve">Gaseous suppression system</t>
  </si>
  <si>
    <t xml:space="preserve">Special hazard</t>
  </si>
  <si>
    <t xml:space="preserve">AST-031</t>
  </si>
  <si>
    <t xml:space="preserve">Passenger lift LIFT-01</t>
  </si>
  <si>
    <t xml:space="preserve">Lifts</t>
  </si>
  <si>
    <t xml:space="preserve">AST-032</t>
  </si>
  <si>
    <t xml:space="preserve">Passenger lift LIFT-02</t>
  </si>
  <si>
    <t xml:space="preserve">AST-033</t>
  </si>
  <si>
    <t xml:space="preserve">Goods lift LIFT-03</t>
  </si>
  <si>
    <t xml:space="preserve">AST-034</t>
  </si>
  <si>
    <t xml:space="preserve">Access control head end</t>
  </si>
  <si>
    <t xml:space="preserve">Access control</t>
  </si>
  <si>
    <t xml:space="preserve">AST-035</t>
  </si>
  <si>
    <t xml:space="preserve">CCTV network video recorder</t>
  </si>
  <si>
    <t xml:space="preserve">CCTV</t>
  </si>
  <si>
    <t xml:space="preserve">AST-036</t>
  </si>
  <si>
    <t xml:space="preserve">BMS head end server</t>
  </si>
  <si>
    <t xml:space="preserve">Head end</t>
  </si>
  <si>
    <t xml:space="preserve">AST-037</t>
  </si>
  <si>
    <t xml:space="preserve">BMS field controller FC-01</t>
  </si>
  <si>
    <t xml:space="preserve">Field devices</t>
  </si>
  <si>
    <t xml:space="preserve">AST-038</t>
  </si>
  <si>
    <t xml:space="preserve">Main network core switch</t>
  </si>
  <si>
    <t xml:space="preserve">Active equipment</t>
  </si>
  <si>
    <t xml:space="preserve">AST-039</t>
  </si>
  <si>
    <t xml:space="preserve">Building maintenance unit</t>
  </si>
  <si>
    <t xml:space="preserve">Facade access</t>
  </si>
  <si>
    <t xml:space="preserve">AST-040</t>
  </si>
  <si>
    <t xml:space="preserve">Main energy meter EM-01</t>
  </si>
  <si>
    <t xml:space="preserve">Energy metering</t>
  </si>
  <si>
    <t xml:space="preserve">O&amp;M Documentation Register</t>
  </si>
  <si>
    <t xml:space="preserve">Tracks every operation and maintenance document from draft to final acceptance. Completeness percentages at the top are live formulas and exclude documents marked N/A.</t>
  </si>
  <si>
    <t xml:space="preserve">DOCUMENTS LISTED</t>
  </si>
  <si>
    <t xml:space="preserve">DRAFT RECEIVED</t>
  </si>
  <si>
    <t xml:space="preserve">REVIEWED</t>
  </si>
  <si>
    <t xml:space="preserve">COMMENTS CLOSED</t>
  </si>
  <si>
    <t xml:space="preserve">FINAL RECEIVED</t>
  </si>
  <si>
    <t xml:space="preserve">ACCEPTED</t>
  </si>
  <si>
    <t xml:space="preserve">Doc ref</t>
  </si>
  <si>
    <t xml:space="preserve">Title</t>
  </si>
  <si>
    <t xml:space="preserve">System / discipline</t>
  </si>
  <si>
    <t xml:space="preserve">Author / originator</t>
  </si>
  <si>
    <t xml:space="preserve">Format</t>
  </si>
  <si>
    <t xml:space="preserve">Draft received</t>
  </si>
  <si>
    <t xml:space="preserve">Reviewed</t>
  </si>
  <si>
    <t xml:space="preserve">Comments closed</t>
  </si>
  <si>
    <t xml:space="preserve">Final received</t>
  </si>
  <si>
    <t xml:space="preserve">Location / system</t>
  </si>
  <si>
    <t xml:space="preserve">Verified by</t>
  </si>
  <si>
    <t xml:space="preserve">OM-001</t>
  </si>
  <si>
    <t xml:space="preserve">Mechanical services O&amp;M manual</t>
  </si>
  <si>
    <t xml:space="preserve">Not received</t>
  </si>
  <si>
    <t xml:space="preserve">OM-002</t>
  </si>
  <si>
    <t xml:space="preserve">Chilled water plant O&amp;M section</t>
  </si>
  <si>
    <t xml:space="preserve">OM-003</t>
  </si>
  <si>
    <t xml:space="preserve">Heating hot water plant O&amp;M section</t>
  </si>
  <si>
    <t xml:space="preserve">OM-004</t>
  </si>
  <si>
    <t xml:space="preserve">Air handling and ventilation O&amp;M section</t>
  </si>
  <si>
    <t xml:space="preserve">OM-005</t>
  </si>
  <si>
    <t xml:space="preserve">Mechanical control philosophy (as-commissioned)</t>
  </si>
  <si>
    <t xml:space="preserve">OM-006</t>
  </si>
  <si>
    <t xml:space="preserve">Electrical services O&amp;M manual</t>
  </si>
  <si>
    <t xml:space="preserve">OM-007</t>
  </si>
  <si>
    <t xml:space="preserve">Standby power and UPS O&amp;M section</t>
  </si>
  <si>
    <t xml:space="preserve">OM-008</t>
  </si>
  <si>
    <t xml:space="preserve">Lighting and lighting control O&amp;M section</t>
  </si>
  <si>
    <t xml:space="preserve">OM-009</t>
  </si>
  <si>
    <t xml:space="preserve">Protection settings and discrimination study</t>
  </si>
  <si>
    <t xml:space="preserve">OM-010</t>
  </si>
  <si>
    <t xml:space="preserve">Hydraulic services O&amp;M manual</t>
  </si>
  <si>
    <t xml:space="preserve">OM-011</t>
  </si>
  <si>
    <t xml:space="preserve">Water hygiene and treatment management plan</t>
  </si>
  <si>
    <t xml:space="preserve">OM-012</t>
  </si>
  <si>
    <t xml:space="preserve">Fire services O&amp;M manual</t>
  </si>
  <si>
    <t xml:space="preserve">OM-013</t>
  </si>
  <si>
    <t xml:space="preserve">Fire safety strategy and evacuation plan</t>
  </si>
  <si>
    <t xml:space="preserve">OM-014</t>
  </si>
  <si>
    <t xml:space="preserve">Cause and effect matrix (verified)</t>
  </si>
  <si>
    <t xml:space="preserve">OM-015</t>
  </si>
  <si>
    <t xml:space="preserve">Passive fire protection register</t>
  </si>
  <si>
    <t xml:space="preserve">OM-016</t>
  </si>
  <si>
    <t xml:space="preserve">Vertical transportation O&amp;M manual</t>
  </si>
  <si>
    <t xml:space="preserve">OM-017</t>
  </si>
  <si>
    <t xml:space="preserve">Lift entrapment and rescue procedure</t>
  </si>
  <si>
    <t xml:space="preserve">OM-018</t>
  </si>
  <si>
    <t xml:space="preserve">Security systems O&amp;M manual</t>
  </si>
  <si>
    <t xml:space="preserve">OM-019</t>
  </si>
  <si>
    <t xml:space="preserve">ICT and structured cabling O&amp;M manual</t>
  </si>
  <si>
    <t xml:space="preserve">OM-020</t>
  </si>
  <si>
    <t xml:space="preserve">Audio visual O&amp;M manual and user guide</t>
  </si>
  <si>
    <t xml:space="preserve">OM-021</t>
  </si>
  <si>
    <t xml:space="preserve">BMS / BAS O&amp;M manual and graphics guide</t>
  </si>
  <si>
    <t xml:space="preserve">OM-022</t>
  </si>
  <si>
    <t xml:space="preserve">Metering strategy and meter schedule</t>
  </si>
  <si>
    <t xml:space="preserve">OM-023</t>
  </si>
  <si>
    <t xml:space="preserve">Building fabric and finishes care manual</t>
  </si>
  <si>
    <t xml:space="preserve">Architectural</t>
  </si>
  <si>
    <t xml:space="preserve">OM-024</t>
  </si>
  <si>
    <t xml:space="preserve">Facade and waterproofing maintenance manual</t>
  </si>
  <si>
    <t xml:space="preserve">OM-025</t>
  </si>
  <si>
    <t xml:space="preserve">Facade access system operating manual</t>
  </si>
  <si>
    <t xml:space="preserve">OM-026</t>
  </si>
  <si>
    <t xml:space="preserve">Landscape and irrigation maintenance manual</t>
  </si>
  <si>
    <t xml:space="preserve">Landscape</t>
  </si>
  <si>
    <t xml:space="preserve">OM-027</t>
  </si>
  <si>
    <t xml:space="preserve">Structural record and design certification pack</t>
  </si>
  <si>
    <t xml:space="preserve">Structural</t>
  </si>
  <si>
    <t xml:space="preserve">OM-028</t>
  </si>
  <si>
    <t xml:space="preserve">Multi-discipline</t>
  </si>
  <si>
    <t xml:space="preserve">OM-029</t>
  </si>
  <si>
    <t xml:space="preserve">Statutory maintenance and compliance schedule</t>
  </si>
  <si>
    <t xml:space="preserve">OM-030</t>
  </si>
  <si>
    <t xml:space="preserve">Valve, damper and isolation schedules</t>
  </si>
  <si>
    <t xml:space="preserve">OM-031</t>
  </si>
  <si>
    <t xml:space="preserve">Single-line diagrams and schematics set</t>
  </si>
  <si>
    <t xml:space="preserve">OM-032</t>
  </si>
  <si>
    <t xml:space="preserve">Building user guide (non-technical)</t>
  </si>
  <si>
    <t xml:space="preserve">OM-033</t>
  </si>
  <si>
    <t xml:space="preserve">Emergency and out-of-hours procedures</t>
  </si>
  <si>
    <t xml:space="preserve">OM-034</t>
  </si>
  <si>
    <t xml:space="preserve">Health and safety file / safety information</t>
  </si>
  <si>
    <t xml:space="preserve">OM-035</t>
  </si>
  <si>
    <t xml:space="preserve">Warranty schedule and warranty documents</t>
  </si>
  <si>
    <t xml:space="preserve">Training Register</t>
  </si>
  <si>
    <t xml:space="preserve">Plan, deliver and evidence knowledge transfer to FM, operations, security, ICT and end users. Competency verification is the evidence a gate reviewer will ask for - not attendance alone.</t>
  </si>
  <si>
    <t xml:space="preserve">SESSIONS PLANNED</t>
  </si>
  <si>
    <t xml:space="preserve">DELIVERED</t>
  </si>
  <si>
    <t xml:space="preserve">COMPETENCY VERIFIED</t>
  </si>
  <si>
    <t xml:space="preserve">TOTAL ATTENDEES</t>
  </si>
  <si>
    <t xml:space="preserve">% DELIVERED</t>
  </si>
  <si>
    <t xml:space="preserve">Session</t>
  </si>
  <si>
    <t xml:space="preserve">System / topic</t>
  </si>
  <si>
    <t xml:space="preserve">Audience</t>
  </si>
  <si>
    <t xml:space="preserve">Trainer / provider</t>
  </si>
  <si>
    <t xml:space="preserve">Delivery method</t>
  </si>
  <si>
    <t xml:space="preserve">Duration (hrs)</t>
  </si>
  <si>
    <t xml:space="preserve">Planned date</t>
  </si>
  <si>
    <t xml:space="preserve">Delivered date</t>
  </si>
  <si>
    <t xml:space="preserve">Attendees</t>
  </si>
  <si>
    <t xml:space="preserve">Competency verified</t>
  </si>
  <si>
    <t xml:space="preserve">Recording / materials ref</t>
  </si>
  <si>
    <t xml:space="preserve">TR-001</t>
  </si>
  <si>
    <t xml:space="preserve">Chilled water plant operation and fault finding</t>
  </si>
  <si>
    <t xml:space="preserve">FM / operations</t>
  </si>
  <si>
    <t xml:space="preserve">Planned</t>
  </si>
  <si>
    <t xml:space="preserve">TR-002</t>
  </si>
  <si>
    <t xml:space="preserve">Heating hot water plant operation</t>
  </si>
  <si>
    <t xml:space="preserve">TR-003</t>
  </si>
  <si>
    <t xml:space="preserve">Air handling units and terminal units</t>
  </si>
  <si>
    <t xml:space="preserve">TR-004</t>
  </si>
  <si>
    <t xml:space="preserve">Ventilation and smoke exhaust systems</t>
  </si>
  <si>
    <t xml:space="preserve">TR-005</t>
  </si>
  <si>
    <t xml:space="preserve">Main switchboard and LV distribution safety</t>
  </si>
  <si>
    <t xml:space="preserve">TR-006</t>
  </si>
  <si>
    <t xml:space="preserve">Standby generator start, test and changeover</t>
  </si>
  <si>
    <t xml:space="preserve">TR-007</t>
  </si>
  <si>
    <t xml:space="preserve">UPS operation, bypass and battery care</t>
  </si>
  <si>
    <t xml:space="preserve">TR-008</t>
  </si>
  <si>
    <t xml:space="preserve">Lighting control system programming</t>
  </si>
  <si>
    <t xml:space="preserve">TR-009</t>
  </si>
  <si>
    <t xml:space="preserve">Cold and hot water systems and water hygiene</t>
  </si>
  <si>
    <t xml:space="preserve">TR-010</t>
  </si>
  <si>
    <t xml:space="preserve">Pump stations and drainage systems</t>
  </si>
  <si>
    <t xml:space="preserve">TR-011</t>
  </si>
  <si>
    <t xml:space="preserve">Fire indicator panel operation and isolation</t>
  </si>
  <si>
    <t xml:space="preserve">FM / operations and wardens</t>
  </si>
  <si>
    <t xml:space="preserve">TR-012</t>
  </si>
  <si>
    <t xml:space="preserve">Fire pumps and sprinkler valve sets</t>
  </si>
  <si>
    <t xml:space="preserve">TR-013</t>
  </si>
  <si>
    <t xml:space="preserve">Smoke control and stair pressurisation</t>
  </si>
  <si>
    <t xml:space="preserve">TR-014</t>
  </si>
  <si>
    <t xml:space="preserve">Lift operation, logbooks and entrapment release</t>
  </si>
  <si>
    <t xml:space="preserve">TR-015</t>
  </si>
  <si>
    <t xml:space="preserve">Access control administration and card issue</t>
  </si>
  <si>
    <t xml:space="preserve">Security team</t>
  </si>
  <si>
    <t xml:space="preserve">TR-016</t>
  </si>
  <si>
    <t xml:space="preserve">CCTV operation, export and privacy obligations</t>
  </si>
  <si>
    <t xml:space="preserve">TR-017</t>
  </si>
  <si>
    <t xml:space="preserve">BMS graphics, alarms and set-point adjustment</t>
  </si>
  <si>
    <t xml:space="preserve">TR-018</t>
  </si>
  <si>
    <t xml:space="preserve">BMS trending, reporting and energy analysis</t>
  </si>
  <si>
    <t xml:space="preserve">TR-019</t>
  </si>
  <si>
    <t xml:space="preserve">Network, wireless and remote access management</t>
  </si>
  <si>
    <t xml:space="preserve">ICT team</t>
  </si>
  <si>
    <t xml:space="preserve">TR-020</t>
  </si>
  <si>
    <t xml:space="preserve">Audio visual room systems operation</t>
  </si>
  <si>
    <t xml:space="preserve">End users</t>
  </si>
  <si>
    <t xml:space="preserve">TR-021</t>
  </si>
  <si>
    <t xml:space="preserve">Building user induction and building user guide</t>
  </si>
  <si>
    <t xml:space="preserve">TR-022</t>
  </si>
  <si>
    <t xml:space="preserve">Emergency response, evacuation and warden duties</t>
  </si>
  <si>
    <t xml:space="preserve">All occupants</t>
  </si>
  <si>
    <t xml:space="preserve">TR-023</t>
  </si>
  <si>
    <t xml:space="preserve">CMMS use, work orders and asset records</t>
  </si>
  <si>
    <t xml:space="preserve">TR-024</t>
  </si>
  <si>
    <t xml:space="preserve">Facade access system safe operation</t>
  </si>
  <si>
    <t xml:space="preserve">FM / operations and contractors</t>
  </si>
  <si>
    <t xml:space="preserve">TR-025</t>
  </si>
  <si>
    <t xml:space="preserve">Waste, recycling and cleaning regimes</t>
  </si>
  <si>
    <t xml:space="preserve">Cleaning and FM</t>
  </si>
  <si>
    <t xml:space="preserve">TR-026</t>
  </si>
  <si>
    <t xml:space="preserve">Seasonal commissioning refresher</t>
  </si>
  <si>
    <t xml:space="preserve">Warranty &amp; Defects Liability Schedule</t>
  </si>
  <si>
    <t xml:space="preserve">Expiry is calculated with EDATE from the start date and duration. Status is calculated: Expired, Expiring soon (within 90 days) or Active. Set the defects liability / defects notification period start to the date on the completion or taking-over certificate.</t>
  </si>
  <si>
    <t xml:space="preserve">WARRANTIES LISTED</t>
  </si>
  <si>
    <t xml:space="preserve">ACTIVE</t>
  </si>
  <si>
    <t xml:space="preserve">EXPIRING SOON</t>
  </si>
  <si>
    <t xml:space="preserve">EXPIRED</t>
  </si>
  <si>
    <t xml:space="preserve">START DATES SET</t>
  </si>
  <si>
    <t xml:space="preserve">Element / system</t>
  </si>
  <si>
    <t xml:space="preserve">Contractor / supplier</t>
  </si>
  <si>
    <t xml:space="preserve">Warranty type</t>
  </si>
  <si>
    <t xml:space="preserve">Start date</t>
  </si>
  <si>
    <t xml:space="preserve">Duration (months)</t>
  </si>
  <si>
    <t xml:space="preserve">Expiry</t>
  </si>
  <si>
    <t xml:space="preserve">Claim process</t>
  </si>
  <si>
    <t xml:space="preserve">Contact</t>
  </si>
  <si>
    <t xml:space="preserve">Document ref</t>
  </si>
  <si>
    <t xml:space="preserve">Main works - general building</t>
  </si>
  <si>
    <t xml:space="preserve">Contractor defects liability</t>
  </si>
  <si>
    <t xml:space="preserve">Structural frame and substructure</t>
  </si>
  <si>
    <t xml:space="preserve">Roofing membrane and flashings</t>
  </si>
  <si>
    <t xml:space="preserve">Extended system warranty</t>
  </si>
  <si>
    <t xml:space="preserve">Facade, curtain wall and glazing</t>
  </si>
  <si>
    <t xml:space="preserve">Waterproofing - wet areas and podium</t>
  </si>
  <si>
    <t xml:space="preserve">External cladding and coatings</t>
  </si>
  <si>
    <t xml:space="preserve">Windows, doors and hardware</t>
  </si>
  <si>
    <t xml:space="preserve">Manufacturer warranty</t>
  </si>
  <si>
    <t xml:space="preserve">Internal finishes and joinery</t>
  </si>
  <si>
    <t xml:space="preserve">Floor coverings and carpet</t>
  </si>
  <si>
    <t xml:space="preserve">Chillers</t>
  </si>
  <si>
    <t xml:space="preserve">Boilers and heat generation</t>
  </si>
  <si>
    <t xml:space="preserve">Pumps and drives</t>
  </si>
  <si>
    <t xml:space="preserve">Main switchboard and distribution</t>
  </si>
  <si>
    <t xml:space="preserve">Standby generator</t>
  </si>
  <si>
    <t xml:space="preserve">UPS and batteries</t>
  </si>
  <si>
    <t xml:space="preserve">Luminaires and lighting control</t>
  </si>
  <si>
    <t xml:space="preserve">Solar photovoltaic array and inverters</t>
  </si>
  <si>
    <t xml:space="preserve">Hot water plant and storage</t>
  </si>
  <si>
    <t xml:space="preserve">Booster and sewage pump sets</t>
  </si>
  <si>
    <t xml:space="preserve">Fire detection and alarm system</t>
  </si>
  <si>
    <t xml:space="preserve">Fire pumps and sprinkler installation</t>
  </si>
  <si>
    <t xml:space="preserve">Lifts and vertical transportation</t>
  </si>
  <si>
    <t xml:space="preserve">Access control and CCTV systems</t>
  </si>
  <si>
    <t xml:space="preserve">BMS / BAS controls and head end</t>
  </si>
  <si>
    <t xml:space="preserve">Structured cabling installation</t>
  </si>
  <si>
    <t xml:space="preserve">Audio visual equipment</t>
  </si>
  <si>
    <t xml:space="preserve">Landscape establishment and irrigation</t>
  </si>
  <si>
    <t xml:space="preserve">Whole-of-works latent defects cover</t>
  </si>
  <si>
    <t xml:space="preserve">Latent defects insurance</t>
  </si>
  <si>
    <t xml:space="preserve">Spares, Keys &amp; Attic Stock</t>
  </si>
  <si>
    <t xml:space="preserve">Variance is calculated as delivered less required - a negative variance is a shortfall and should be reflected on the Outstanding Works &amp; Defects sheet. Receipt every delivery; unreceipted spares are the most commonly disputed handover item.</t>
  </si>
  <si>
    <t xml:space="preserve">LINE ITEMS</t>
  </si>
  <si>
    <t xml:space="preserve">FULLY DELIVERED</t>
  </si>
  <si>
    <t xml:space="preserve">SHORTFALLS</t>
  </si>
  <si>
    <t xml:space="preserve">RECEIPTED</t>
  </si>
  <si>
    <t xml:space="preserve">Item</t>
  </si>
  <si>
    <t xml:space="preserve">Specification / part reference</t>
  </si>
  <si>
    <t xml:space="preserve">Qty required</t>
  </si>
  <si>
    <t xml:space="preserve">Qty delivered</t>
  </si>
  <si>
    <t xml:space="preserve">Variance</t>
  </si>
  <si>
    <t xml:space="preserve">Receipted by</t>
  </si>
  <si>
    <t xml:space="preserve">Date received</t>
  </si>
  <si>
    <t xml:space="preserve">Storage location</t>
  </si>
  <si>
    <t xml:space="preserve">Notes</t>
  </si>
  <si>
    <t xml:space="preserve">Air filters - AHU primary and secondary</t>
  </si>
  <si>
    <t xml:space="preserve">Full set per unit</t>
  </si>
  <si>
    <t xml:space="preserve">Fan and pump drive belts</t>
  </si>
  <si>
    <t xml:space="preserve">One set per drive</t>
  </si>
  <si>
    <t xml:space="preserve">Chiller refrigerant charge (top-up)</t>
  </si>
  <si>
    <t xml:space="preserve">As specified</t>
  </si>
  <si>
    <t xml:space="preserve">Chilled and heating water treatment chemicals</t>
  </si>
  <si>
    <t xml:space="preserve">3 months supply</t>
  </si>
  <si>
    <t xml:space="preserve">Terminal unit actuators</t>
  </si>
  <si>
    <t xml:space="preserve">2% of installed</t>
  </si>
  <si>
    <t xml:space="preserve">Temperature and pressure sensors</t>
  </si>
  <si>
    <t xml:space="preserve">BMS controller spare module</t>
  </si>
  <si>
    <t xml:space="preserve">1 per controller type</t>
  </si>
  <si>
    <t xml:space="preserve">Circuit breakers - each frame size</t>
  </si>
  <si>
    <t xml:space="preserve">2 per type</t>
  </si>
  <si>
    <t xml:space="preserve">Fuses and fuse links</t>
  </si>
  <si>
    <t xml:space="preserve">5 per type</t>
  </si>
  <si>
    <t xml:space="preserve">Luminaires and LED drivers</t>
  </si>
  <si>
    <t xml:space="preserve">Emergency lighting batteries</t>
  </si>
  <si>
    <t xml:space="preserve">Generator service kit (filters, oils)</t>
  </si>
  <si>
    <t xml:space="preserve">1 service interval</t>
  </si>
  <si>
    <t xml:space="preserve">UPS battery module</t>
  </si>
  <si>
    <t xml:space="preserve">1 module</t>
  </si>
  <si>
    <t xml:space="preserve">Tap sets, cartridges and washers</t>
  </si>
  <si>
    <t xml:space="preserve">Pump mechanical seals</t>
  </si>
  <si>
    <t xml:space="preserve">1 per pump type</t>
  </si>
  <si>
    <t xml:space="preserve">Backflow device repair kits</t>
  </si>
  <si>
    <t xml:space="preserve">1 per device type</t>
  </si>
  <si>
    <t xml:space="preserve">Sprinkler heads - each type and rating</t>
  </si>
  <si>
    <t xml:space="preserve">6 per type</t>
  </si>
  <si>
    <t xml:space="preserve">Fire detectors - each type</t>
  </si>
  <si>
    <t xml:space="preserve">Fire alarm panel spare cards</t>
  </si>
  <si>
    <t xml:space="preserve">1 per card type</t>
  </si>
  <si>
    <t xml:space="preserve">Access control readers and cards</t>
  </si>
  <si>
    <t xml:space="preserve">2% plus 100 cards</t>
  </si>
  <si>
    <t xml:space="preserve">CCTV camera - each type</t>
  </si>
  <si>
    <t xml:space="preserve">1 per type</t>
  </si>
  <si>
    <t xml:space="preserve">Ceiling tiles</t>
  </si>
  <si>
    <t xml:space="preserve">Attic stock</t>
  </si>
  <si>
    <t xml:space="preserve">2% of installed area</t>
  </si>
  <si>
    <t xml:space="preserve">Floor and wall tiles - each type</t>
  </si>
  <si>
    <t xml:space="preserve">Carpet tiles / broadloom</t>
  </si>
  <si>
    <t xml:space="preserve">Paint - each colour and finish</t>
  </si>
  <si>
    <t xml:space="preserve">10 litres per colour</t>
  </si>
  <si>
    <t xml:space="preserve">Facade panels and gaskets</t>
  </si>
  <si>
    <t xml:space="preserve">1% of installed</t>
  </si>
  <si>
    <t xml:space="preserve">Master key set and key blanks</t>
  </si>
  <si>
    <t xml:space="preserve">Per key schedule</t>
  </si>
  <si>
    <t xml:space="preserve">Special tools and proprietary keys</t>
  </si>
  <si>
    <t xml:space="preserve">Per O&amp;M manuals</t>
  </si>
  <si>
    <t xml:space="preserve">Software, firmware and config backups</t>
  </si>
  <si>
    <t xml:space="preserve">1 set durable media</t>
  </si>
  <si>
    <t xml:space="preserve">Outstanding Works &amp; Defects at Handover</t>
  </si>
  <si>
    <t xml:space="preserve">The agreed list of works and defects carried past handover. Days open is calculated - it runs to today while the item is open and stops at the date closed. Anything with an occupancy impact of Yes must be resolved or formally accepted before Gate 3. Two worked examples are provided.</t>
  </si>
  <si>
    <t xml:space="preserve">ITEMS RAISED</t>
  </si>
  <si>
    <t xml:space="preserve">OPEN</t>
  </si>
  <si>
    <t xml:space="preserve">CLOSED</t>
  </si>
  <si>
    <t xml:space="preserve">P1 CRITICAL OPEN</t>
  </si>
  <si>
    <t xml:space="preserve">OCCUPANCY IMPACTING</t>
  </si>
  <si>
    <t xml:space="preserve">Location</t>
  </si>
  <si>
    <t xml:space="preserve">Description</t>
  </si>
  <si>
    <t xml:space="preserve">Raised by</t>
  </si>
  <si>
    <t xml:space="preserve">Date raised</t>
  </si>
  <si>
    <t xml:space="preserve">Responsible</t>
  </si>
  <si>
    <t xml:space="preserve">Priority</t>
  </si>
  <si>
    <t xml:space="preserve">Agreed completion date</t>
  </si>
  <si>
    <t xml:space="preserve">Date closed</t>
  </si>
  <si>
    <t xml:space="preserve">Days open</t>
  </si>
  <si>
    <t xml:space="preserve">Impact on occupancy</t>
  </si>
  <si>
    <t xml:space="preserve">OW-001</t>
  </si>
  <si>
    <t xml:space="preserve">Level 3 / Open office north</t>
  </si>
  <si>
    <t xml:space="preserve">Ceiling tile grid distorted around AHU-02 supply diffusers; tiles do not sit flush.</t>
  </si>
  <si>
    <t xml:space="preserve">Defect</t>
  </si>
  <si>
    <t xml:space="preserve">P3 Medium</t>
  </si>
  <si>
    <t xml:space="preserve">Access outside occupied hours agreed with the tenant.</t>
  </si>
  <si>
    <t xml:space="preserve">OW-002</t>
  </si>
  <si>
    <t xml:space="preserve">Basement 1 / Generator room</t>
  </si>
  <si>
    <t xml:space="preserve">Acoustic louvre to generator exhaust not installed - material on order, 6 week lead time.</t>
  </si>
  <si>
    <t xml:space="preserve">Incomplete work</t>
  </si>
  <si>
    <t xml:space="preserve">P1 Critical</t>
  </si>
  <si>
    <t xml:space="preserve">Awaiting access</t>
  </si>
  <si>
    <t xml:space="preserve">Noise limit compliance evidence required before unrestricted generator testing.</t>
  </si>
  <si>
    <t xml:space="preserve">OW-003</t>
  </si>
  <si>
    <t xml:space="preserve">OW-004</t>
  </si>
  <si>
    <t xml:space="preserve">OW-005</t>
  </si>
  <si>
    <t xml:space="preserve">OW-006</t>
  </si>
  <si>
    <t xml:space="preserve">OW-007</t>
  </si>
  <si>
    <t xml:space="preserve">OW-008</t>
  </si>
  <si>
    <t xml:space="preserve">OW-009</t>
  </si>
  <si>
    <t xml:space="preserve">OW-010</t>
  </si>
  <si>
    <t xml:space="preserve">OW-011</t>
  </si>
  <si>
    <t xml:space="preserve">OW-012</t>
  </si>
  <si>
    <t xml:space="preserve">OW-013</t>
  </si>
  <si>
    <t xml:space="preserve">OW-014</t>
  </si>
  <si>
    <t xml:space="preserve">OW-015</t>
  </si>
  <si>
    <t xml:space="preserve">OW-016</t>
  </si>
  <si>
    <t xml:space="preserve">OW-017</t>
  </si>
  <si>
    <t xml:space="preserve">OW-018</t>
  </si>
  <si>
    <t xml:space="preserve">OW-019</t>
  </si>
  <si>
    <t xml:space="preserve">OW-020</t>
  </si>
  <si>
    <t xml:space="preserve">OW-021</t>
  </si>
  <si>
    <t xml:space="preserve">OW-022</t>
  </si>
  <si>
    <t xml:space="preserve">OW-023</t>
  </si>
  <si>
    <t xml:space="preserve">OW-024</t>
  </si>
  <si>
    <t xml:space="preserve">OW-025</t>
  </si>
  <si>
    <t xml:space="preserve">OW-026</t>
  </si>
  <si>
    <t xml:space="preserve">OW-027</t>
  </si>
  <si>
    <t xml:space="preserve">OW-028</t>
  </si>
  <si>
    <t xml:space="preserve">OW-029</t>
  </si>
  <si>
    <t xml:space="preserve">OW-030</t>
  </si>
  <si>
    <t xml:space="preserve">Soft Landings &amp; Aftercare Plan</t>
  </si>
  <si>
    <t xml:space="preserve">Aftercare typically runs to three years under BSRIA Soft Landings and Government Soft Landings principles: intensive initial aftercare, then months 2-6, then annual reviews to Year 3. Each activity needs a named owner and a deliverable.</t>
  </si>
  <si>
    <t xml:space="preserve">ACTIVITIES</t>
  </si>
  <si>
    <t xml:space="preserve">WEEKS 1-4</t>
  </si>
  <si>
    <t xml:space="preserve">MONTHS 2-6</t>
  </si>
  <si>
    <t xml:space="preserve">YEAR 1</t>
  </si>
  <si>
    <t xml:space="preserve">Activity</t>
  </si>
  <si>
    <t xml:space="preserve">Aftercare period</t>
  </si>
  <si>
    <t xml:space="preserve">Owner</t>
  </si>
  <si>
    <t xml:space="preserve">Frequency</t>
  </si>
  <si>
    <t xml:space="preserve">Start</t>
  </si>
  <si>
    <t xml:space="preserve">End</t>
  </si>
  <si>
    <t xml:space="preserve">Deliverable</t>
  </si>
  <si>
    <t xml:space="preserve">AC-001</t>
  </si>
  <si>
    <t xml:space="preserve">Aftercare team mobilised and help point communicated</t>
  </si>
  <si>
    <t xml:space="preserve">Weeks 1-4</t>
  </si>
  <si>
    <t xml:space="preserve">One-off</t>
  </si>
  <si>
    <t xml:space="preserve">AC-002</t>
  </si>
  <si>
    <t xml:space="preserve">Daily on-site aftercare presence (floor walkers)</t>
  </si>
  <si>
    <t xml:space="preserve">Weekly</t>
  </si>
  <si>
    <t xml:space="preserve">AC-003</t>
  </si>
  <si>
    <t xml:space="preserve">Daily building walkround and issue capture</t>
  </si>
  <si>
    <t xml:space="preserve">AC-004</t>
  </si>
  <si>
    <t xml:space="preserve">Weekly aftercare issue review with contractor</t>
  </si>
  <si>
    <t xml:space="preserve">AC-005</t>
  </si>
  <si>
    <t xml:space="preserve">BMS set-point and comfort fine-tuning</t>
  </si>
  <si>
    <t xml:space="preserve">AC-006</t>
  </si>
  <si>
    <t xml:space="preserve">Occupant comfort feedback capture (pulse check)</t>
  </si>
  <si>
    <t xml:space="preserve">AC-007</t>
  </si>
  <si>
    <t xml:space="preserve">Handover documentation gap closure</t>
  </si>
  <si>
    <t xml:space="preserve">AC-008</t>
  </si>
  <si>
    <t xml:space="preserve">Monthly aftercare performance meeting</t>
  </si>
  <si>
    <t xml:space="preserve">Months 2-6</t>
  </si>
  <si>
    <t xml:space="preserve">Monthly</t>
  </si>
  <si>
    <t xml:space="preserve">AC-009</t>
  </si>
  <si>
    <t xml:space="preserve">Energy and water consumption review against baseline</t>
  </si>
  <si>
    <t xml:space="preserve">AC-010</t>
  </si>
  <si>
    <t xml:space="preserve">Defects and outstanding works progress review</t>
  </si>
  <si>
    <t xml:space="preserve">AC-011</t>
  </si>
  <si>
    <t xml:space="preserve">Refresher training for FM and operations</t>
  </si>
  <si>
    <t xml:space="preserve">Quarterly</t>
  </si>
  <si>
    <t xml:space="preserve">AC-012</t>
  </si>
  <si>
    <t xml:space="preserve">First seasonal commissioning (heating or cooling)</t>
  </si>
  <si>
    <t xml:space="preserve">AC-013</t>
  </si>
  <si>
    <t xml:space="preserve">Metering data validation and reporting setup</t>
  </si>
  <si>
    <t xml:space="preserve">AC-014</t>
  </si>
  <si>
    <t xml:space="preserve">Occupant satisfaction survey - first round</t>
  </si>
  <si>
    <t xml:space="preserve">AC-015</t>
  </si>
  <si>
    <t xml:space="preserve">Second seasonal commissioning (opposite season)</t>
  </si>
  <si>
    <t xml:space="preserve">Year 1</t>
  </si>
  <si>
    <t xml:space="preserve">AC-016</t>
  </si>
  <si>
    <t xml:space="preserve">Quarterly performance review meeting</t>
  </si>
  <si>
    <t xml:space="preserve">AC-017</t>
  </si>
  <si>
    <t xml:space="preserve">Post-occupancy evaluation - year one</t>
  </si>
  <si>
    <t xml:space="preserve">AC-018</t>
  </si>
  <si>
    <t xml:space="preserve">Warranty expiry review ahead of 12-month expiries</t>
  </si>
  <si>
    <t xml:space="preserve">AC-019</t>
  </si>
  <si>
    <t xml:space="preserve">End of defects liability inspection and close-out</t>
  </si>
  <si>
    <t xml:space="preserve">AC-020</t>
  </si>
  <si>
    <t xml:space="preserve">Fine-tuning and optimisation actions review</t>
  </si>
  <si>
    <t xml:space="preserve">AC-021</t>
  </si>
  <si>
    <t xml:space="preserve">Six-monthly performance review meeting</t>
  </si>
  <si>
    <t xml:space="preserve">Year 2</t>
  </si>
  <si>
    <t xml:space="preserve">Six-monthly</t>
  </si>
  <si>
    <t xml:space="preserve">AC-022</t>
  </si>
  <si>
    <t xml:space="preserve">Energy performance verification against targets</t>
  </si>
  <si>
    <t xml:space="preserve">AC-023</t>
  </si>
  <si>
    <t xml:space="preserve">Occupant satisfaction survey - second round</t>
  </si>
  <si>
    <t xml:space="preserve">AC-024</t>
  </si>
  <si>
    <t xml:space="preserve">Lifecycle plan update from operational experience</t>
  </si>
  <si>
    <t xml:space="preserve">AC-025</t>
  </si>
  <si>
    <t xml:space="preserve">Final post-occupancy evaluation and benchmarking</t>
  </si>
  <si>
    <t xml:space="preserve">Year 3</t>
  </si>
  <si>
    <t xml:space="preserve">AC-026</t>
  </si>
  <si>
    <t xml:space="preserve">Lessons learned feedback to client design standards</t>
  </si>
  <si>
    <t xml:space="preserve">AC-027</t>
  </si>
  <si>
    <t xml:space="preserve">Aftercare exit review and final aftercare report</t>
  </si>
  <si>
    <t xml:space="preserve">Handover Acceptance &amp; Sign-off</t>
  </si>
  <si>
    <t xml:space="preserve">Printable acceptance certificate. Project details populate automatically from the Cover sheet. Execute one certificate per handover or per section where sectional handover applies.</t>
  </si>
  <si>
    <t xml:space="preserve">1.  Project and asset details</t>
  </si>
  <si>
    <t xml:space="preserve">Template / revision</t>
  </si>
  <si>
    <t xml:space="preserve">Asset / facility handed over</t>
  </si>
  <si>
    <t xml:space="preserve">Section or stage (if sectional handover)</t>
  </si>
  <si>
    <t xml:space="preserve">Date of practical / substantial completion</t>
  </si>
  <si>
    <t xml:space="preserve">Date of handover / transfer of custody</t>
  </si>
  <si>
    <t xml:space="preserve">Defects liability / notification period ends</t>
  </si>
  <si>
    <t xml:space="preserve">2.  Position at the date of acceptance</t>
  </si>
  <si>
    <t xml:space="preserve">Live from the checklist and registers</t>
  </si>
  <si>
    <t xml:space="preserve">Checklist items applicable</t>
  </si>
  <si>
    <t xml:space="preserve">Checklist items complete</t>
  </si>
  <si>
    <t xml:space="preserve">Checklist completion</t>
  </si>
  <si>
    <t xml:space="preserve">Critical items outstanding</t>
  </si>
  <si>
    <t xml:space="preserve">Outstanding works / defects open</t>
  </si>
  <si>
    <t xml:space="preserve">Occupancy impacting items open</t>
  </si>
  <si>
    <t xml:space="preserve">3.  Acceptance statements</t>
  </si>
  <si>
    <t xml:space="preserve">Statement</t>
  </si>
  <si>
    <t xml:space="preserve">Confirmed</t>
  </si>
  <si>
    <t xml:space="preserve">Reference / comment</t>
  </si>
  <si>
    <t xml:space="preserve">A01</t>
  </si>
  <si>
    <t xml:space="preserve">The works described above have reached practical / substantial completion and a completion or taking-over certificate (or contract equivalent) has been issued.</t>
  </si>
  <si>
    <t xml:space="preserve">A02</t>
  </si>
  <si>
    <t xml:space="preserve">Statutory occupancy / use approval has been issued as applicable in the relevant jurisdiction, and all approval conditions relevant to occupation have been discharged.</t>
  </si>
  <si>
    <t xml:space="preserve">A03</t>
  </si>
  <si>
    <t xml:space="preserve">Fire and life-safety systems have been installed, commissioned, verified and certified, and the fire safety information and evacuation strategy have been issued to the responsible person.</t>
  </si>
  <si>
    <t xml:space="preserve">A04</t>
  </si>
  <si>
    <t xml:space="preserve">Tests on completion, commissioning, balancing and integrated systems testing have been completed and the commissioning dossier has been issued and accepted.</t>
  </si>
  <si>
    <t xml:space="preserve">A05</t>
  </si>
  <si>
    <t xml:space="preserve">As-built drawings, record models, the Asset Information Model and the structured asset data exchange have been delivered and verified against the Asset Information Requirements.</t>
  </si>
  <si>
    <t xml:space="preserve">A06</t>
  </si>
  <si>
    <t xml:space="preserve">Operation and maintenance manuals, maintenance schedules, statutory maintenance obligations and the building user guide have been issued in final form and accepted.</t>
  </si>
  <si>
    <t xml:space="preserve">A07</t>
  </si>
  <si>
    <t xml:space="preserve">The health and safety file / safety information, including residual hazards and safe access information, has been issued to the client.</t>
  </si>
  <si>
    <t xml:space="preserve">A08</t>
  </si>
  <si>
    <t xml:space="preserve">The asset register has been delivered to the client asset data standard and uploaded to and reconciled with the CMMS / EAM.</t>
  </si>
  <si>
    <t xml:space="preserve">A09</t>
  </si>
  <si>
    <t xml:space="preserve">Warranties, guarantees and collateral warranties have been provided, registered and scheduled, and the defects liability / defects notification period start date is confirmed.</t>
  </si>
  <si>
    <t xml:space="preserve">A10</t>
  </si>
  <si>
    <t xml:space="preserve">Spares, special tools, keys, credentials, attic stock and consumables have been delivered and receipted, and software, firmware and configuration backups have been provided.</t>
  </si>
  <si>
    <t xml:space="preserve">A11</t>
  </si>
  <si>
    <t xml:space="preserve">Training has been delivered to the agreed plan and competency has been verified for all critical systems.</t>
  </si>
  <si>
    <t xml:space="preserve">A12</t>
  </si>
  <si>
    <t xml:space="preserve">Facilities management and service transition are complete: helpdesk live, planned and statutory maintenance loaded, and utility accounts transferred with opening meter readings.</t>
  </si>
  <si>
    <t xml:space="preserve">A13</t>
  </si>
  <si>
    <t xml:space="preserve">The outstanding works and defects list has been agreed, programmed and signed by both parties, and no open item prevents safe and lawful occupation.</t>
  </si>
  <si>
    <t xml:space="preserve">A14</t>
  </si>
  <si>
    <t xml:space="preserve">The soft landings aftercare team, duration, seasonal commissioning and post-occupancy evaluation arrangements have been agreed and resourced.</t>
  </si>
  <si>
    <t xml:space="preserve">A15</t>
  </si>
  <si>
    <t xml:space="preserve">Care, custody and control of the asset, and the risk of loss or damage, transfer to the client / asset owner on the handover date stated above.</t>
  </si>
  <si>
    <t xml:space="preserve">A16</t>
  </si>
  <si>
    <t xml:space="preserve">Insurance has been transferred from contract works cover to the owner's operational policy with effect from the handover date, and is in force.</t>
  </si>
  <si>
    <t xml:space="preserve">4.  Acceptance decision, conditions and exclusions</t>
  </si>
  <si>
    <t xml:space="preserve">Acceptance decision</t>
  </si>
  <si>
    <t xml:space="preserve">Sections / areas excluded from this handover</t>
  </si>
  <si>
    <t xml:space="preserve">Condition 1</t>
  </si>
  <si>
    <t xml:space="preserve">Condition 2</t>
  </si>
  <si>
    <t xml:space="preserve">Condition 3</t>
  </si>
  <si>
    <t xml:space="preserve">Condition 4</t>
  </si>
  <si>
    <t xml:space="preserve">Exclusion 1</t>
  </si>
  <si>
    <t xml:space="preserve">Exclusion 2</t>
  </si>
  <si>
    <t xml:space="preserve">5.  Documents and items transferred</t>
  </si>
  <si>
    <t xml:space="preserve">Document / item set</t>
  </si>
  <si>
    <t xml:space="preserve">Transferred</t>
  </si>
  <si>
    <t xml:space="preserve">Reference / location</t>
  </si>
  <si>
    <t xml:space="preserve">Date</t>
  </si>
  <si>
    <t xml:space="preserve">Completion, taking-over and statutory approval certificates</t>
  </si>
  <si>
    <t xml:space="preserve">Fire and life-safety certification and fire safety information</t>
  </si>
  <si>
    <t xml:space="preserve">Commissioning dossier, test results and balancing reports</t>
  </si>
  <si>
    <t xml:space="preserve">As-built drawings, record models and Asset Information Model</t>
  </si>
  <si>
    <t xml:space="preserve">Operation and maintenance manuals and maintenance schedules</t>
  </si>
  <si>
    <t xml:space="preserve">Building user guide and emergency / out-of-hours procedures</t>
  </si>
  <si>
    <t xml:space="preserve">Asset register and CMMS / EAM upload reconciliation</t>
  </si>
  <si>
    <t xml:space="preserve">Warranty schedule, warranties and collateral warranties</t>
  </si>
  <si>
    <t xml:space="preserve">Training records, materials and competency sign-offs</t>
  </si>
  <si>
    <t xml:space="preserve">Spares, special tools, attic stock and consumables</t>
  </si>
  <si>
    <t xml:space="preserve">Keys, access credentials and security devices</t>
  </si>
  <si>
    <t xml:space="preserve">Software licences, administrator credentials and backups</t>
  </si>
  <si>
    <t xml:space="preserve">Utility account transfers and opening meter readings</t>
  </si>
  <si>
    <t xml:space="preserve">6.  Signatures</t>
  </si>
  <si>
    <t xml:space="preserve">Role</t>
  </si>
  <si>
    <t xml:space="preserve">Name</t>
  </si>
  <si>
    <t xml:space="preserve">Organisation</t>
  </si>
  <si>
    <t xml:space="preserve">Signature</t>
  </si>
  <si>
    <t xml:space="preserve">Contractor's Representative</t>
  </si>
  <si>
    <t xml:space="preserve">Execution of this certificate records the transfer of the asset described above. It does not of itself discharge the contractor's obligations during the defects liability / defects notification period, nor does it complete the commercial closeout of the contract - see the Mastt Construction Project Closeout Checklist.</t>
  </si>
  <si>
    <t xml:space="preserve">Lists &amp; dropdown sources</t>
  </si>
  <si>
    <t xml:space="preserve">Every dropdown in this workbook reads from the labelled columns below. Add or amend values here - extend a column downwards and the corresponding dropdown range in the source sheet will need widening.</t>
  </si>
  <si>
    <t xml:space="preserve">Roles (Responsible / Accountable)</t>
  </si>
  <si>
    <t xml:space="preserve">Yes / No</t>
  </si>
  <si>
    <t xml:space="preserve">Commissioning stage status</t>
  </si>
  <si>
    <t xml:space="preserve">Document format</t>
  </si>
  <si>
    <t xml:space="preserve">Document status</t>
  </si>
  <si>
    <t xml:space="preserve">Training status</t>
  </si>
  <si>
    <t xml:space="preserve">Works category</t>
  </si>
  <si>
    <t xml:space="preserve">Works status</t>
  </si>
  <si>
    <t xml:space="preserve">Criticality (weights)</t>
  </si>
  <si>
    <t xml:space="preserve">Weight</t>
  </si>
  <si>
    <t xml:space="preserve">PDF</t>
  </si>
  <si>
    <t xml:space="preserve">Open</t>
  </si>
  <si>
    <t xml:space="preserve">Native + PDF</t>
  </si>
  <si>
    <t xml:space="preserve">Scheduled</t>
  </si>
  <si>
    <t xml:space="preserve">P2 High</t>
  </si>
  <si>
    <t xml:space="preserve">Condition-based</t>
  </si>
  <si>
    <t xml:space="preserve">Hard copy</t>
  </si>
  <si>
    <t xml:space="preserve">Under review</t>
  </si>
  <si>
    <t xml:space="preserve">Delivered</t>
  </si>
  <si>
    <t xml:space="preserve">Omission</t>
  </si>
  <si>
    <t xml:space="preserve">Fortnightly</t>
  </si>
  <si>
    <t xml:space="preserve">Statutory</t>
  </si>
  <si>
    <t xml:space="preserve">Witnessed</t>
  </si>
  <si>
    <t xml:space="preserve">Digital model</t>
  </si>
  <si>
    <t xml:space="preserve">Comments issued</t>
  </si>
  <si>
    <t xml:space="preserve">Collateral warranty</t>
  </si>
  <si>
    <t xml:space="preserve">P4 Low</t>
  </si>
  <si>
    <t xml:space="preserve">Damage</t>
  </si>
  <si>
    <t xml:space="preserve">Reactive</t>
  </si>
  <si>
    <t xml:space="preserve">Resolved</t>
  </si>
  <si>
    <t xml:space="preserve">Structured data</t>
  </si>
  <si>
    <t xml:space="preserve">Deferred</t>
  </si>
  <si>
    <t xml:space="preserve">Performance guarantee</t>
  </si>
  <si>
    <t xml:space="preserve">Non-conformance</t>
  </si>
  <si>
    <t xml:space="preserve">Run to failure</t>
  </si>
  <si>
    <t xml:space="preserve">Closed</t>
  </si>
  <si>
    <t xml:space="preserve">Video</t>
  </si>
  <si>
    <t xml:space="preserve">Accepted</t>
  </si>
  <si>
    <t xml:space="preserve">Cancelled</t>
  </si>
  <si>
    <t xml:space="preserve">Rejected</t>
  </si>
  <si>
    <t xml:space="preserve">Independent Commissioning Agent</t>
  </si>
  <si>
    <t xml:space="preserve">Annually</t>
  </si>
  <si>
    <t xml:space="preserve">Supplier / Manufacturer</t>
  </si>
  <si>
    <t xml:space="preserve">Cost Manager</t>
  </si>
</sst>
</file>

<file path=xl/styles.xml><?xml version="1.0" encoding="utf-8"?>
<styleSheet xmlns="http://schemas.openxmlformats.org/spreadsheetml/2006/main">
  <numFmts count="7">
    <numFmt numFmtId="164" formatCode="General"/>
    <numFmt numFmtId="165" formatCode="0"/>
    <numFmt numFmtId="166" formatCode="0.0%"/>
    <numFmt numFmtId="167" formatCode="dd\ mmm\ yyyy"/>
    <numFmt numFmtId="168" formatCode="General"/>
    <numFmt numFmtId="169" formatCode="#,##0"/>
    <numFmt numFmtId="170" formatCode="0.0"/>
  </numFmts>
  <fonts count="32">
    <font>
      <sz val="11"/>
      <color theme="1"/>
      <name val="Calibri"/>
      <family val="2"/>
      <charset val="1"/>
    </font>
    <font>
      <sz val="10"/>
      <name val="Arial"/>
      <family val="0"/>
    </font>
    <font>
      <sz val="10"/>
      <name val="Arial"/>
      <family val="0"/>
    </font>
    <font>
      <sz val="10"/>
      <name val="Arial"/>
      <family val="0"/>
    </font>
    <font>
      <b val="true"/>
      <sz val="20"/>
      <color rgb="FFFFFFFF"/>
      <name val="Segoe UI Semibold"/>
      <family val="0"/>
      <charset val="1"/>
    </font>
    <font>
      <sz val="10.5"/>
      <color rgb="FF8E98A2"/>
      <name val="Segoe UI"/>
      <family val="0"/>
      <charset val="1"/>
    </font>
    <font>
      <b val="true"/>
      <sz val="11"/>
      <color rgb="FFFFFFFF"/>
      <name val="Segoe UI Semibold"/>
      <family val="0"/>
      <charset val="1"/>
    </font>
    <font>
      <sz val="10.5"/>
      <color rgb="FF1D3245"/>
      <name val="Segoe UI"/>
      <family val="0"/>
      <charset val="1"/>
    </font>
    <font>
      <sz val="10"/>
      <color rgb="FF1D3245"/>
      <name val="Segoe UI"/>
      <family val="0"/>
      <charset val="1"/>
    </font>
    <font>
      <b val="true"/>
      <sz val="9.5"/>
      <color rgb="FFFFFFFF"/>
      <name val="Segoe UI Semibold"/>
      <family val="0"/>
      <charset val="1"/>
    </font>
    <font>
      <b val="true"/>
      <sz val="10"/>
      <color rgb="FF1D3245"/>
      <name val="Segoe UI"/>
      <family val="0"/>
      <charset val="1"/>
    </font>
    <font>
      <sz val="9"/>
      <color rgb="FF8E98A2"/>
      <name val="Segoe UI"/>
      <family val="0"/>
      <charset val="1"/>
    </font>
    <font>
      <b val="true"/>
      <u val="single"/>
      <sz val="9"/>
      <color rgb="FF3480BC"/>
      <name val="Segoe UI"/>
      <family val="0"/>
      <charset val="1"/>
    </font>
    <font>
      <b val="true"/>
      <sz val="10"/>
      <color rgb="FF6B7684"/>
      <name val="Segoe UI"/>
      <family val="0"/>
      <charset val="1"/>
    </font>
    <font>
      <b val="true"/>
      <sz val="10"/>
      <color rgb="FFB26B00"/>
      <name val="Segoe UI"/>
      <family val="0"/>
      <charset val="1"/>
    </font>
    <font>
      <b val="true"/>
      <sz val="10"/>
      <color rgb="FF1E7A5A"/>
      <name val="Segoe UI"/>
      <family val="0"/>
      <charset val="1"/>
    </font>
    <font>
      <b val="true"/>
      <sz val="10"/>
      <color rgb="FFB3261E"/>
      <name val="Segoe UI"/>
      <family val="0"/>
      <charset val="1"/>
    </font>
    <font>
      <i val="true"/>
      <sz val="9.5"/>
      <color rgb="FF1D3245"/>
      <name val="Segoe UI"/>
      <family val="0"/>
      <charset val="1"/>
    </font>
    <font>
      <sz val="9"/>
      <color rgb="FFE6EFF7"/>
      <name val="Segoe UI"/>
      <family val="0"/>
      <charset val="1"/>
    </font>
    <font>
      <b val="true"/>
      <sz val="8.5"/>
      <color rgb="FF3480BC"/>
      <name val="Segoe UI Semibold"/>
      <family val="0"/>
      <charset val="1"/>
    </font>
    <font>
      <b val="true"/>
      <sz val="18"/>
      <color rgb="FFFFFFFF"/>
      <name val="Segoe UI Semibold"/>
      <family val="0"/>
      <charset val="1"/>
    </font>
    <font>
      <b val="true"/>
      <sz val="16"/>
      <color rgb="FFFFFFFF"/>
      <name val="Segoe UI Semibold"/>
      <family val="0"/>
      <charset val="1"/>
    </font>
    <font>
      <b val="true"/>
      <sz val="10"/>
      <color rgb="FF0D3C61"/>
      <name val="Segoe UI"/>
      <family val="0"/>
      <charset val="1"/>
    </font>
    <font>
      <sz val="9"/>
      <color rgb="FF1D3245"/>
      <name val="Segoe UI"/>
      <family val="0"/>
      <charset val="1"/>
    </font>
    <font>
      <b val="true"/>
      <sz val="9.5"/>
      <color rgb="FF1D3245"/>
      <name val="Segoe UI"/>
      <family val="0"/>
      <charset val="1"/>
    </font>
    <font>
      <b val="true"/>
      <sz val="10"/>
      <color rgb="FFFFFFFF"/>
      <name val="Segoe UI"/>
      <family val="0"/>
      <charset val="1"/>
    </font>
    <font>
      <b val="true"/>
      <sz val="9.5"/>
      <color rgb="FF0D3C61"/>
      <name val="Segoe UI"/>
      <family val="0"/>
      <charset val="1"/>
    </font>
    <font>
      <sz val="9.5"/>
      <color rgb="FF1D3245"/>
      <name val="Segoe UI"/>
      <family val="0"/>
      <charset val="1"/>
    </font>
    <font>
      <sz val="9.5"/>
      <color rgb="FF8E98A2"/>
      <name val="Segoe UI"/>
      <family val="0"/>
      <charset val="1"/>
    </font>
    <font>
      <b val="true"/>
      <sz val="8.5"/>
      <color rgb="FF0D3C61"/>
      <name val="Segoe UI Semibold"/>
      <family val="0"/>
      <charset val="1"/>
    </font>
    <font>
      <b val="true"/>
      <sz val="15"/>
      <color rgb="FF1D3245"/>
      <name val="Segoe UI Semibold"/>
      <family val="0"/>
      <charset val="1"/>
    </font>
    <font>
      <b val="true"/>
      <sz val="9.5"/>
      <color rgb="FF0D3C61"/>
      <name val="Segoe UI Semibold"/>
      <family val="0"/>
      <charset val="1"/>
    </font>
  </fonts>
  <fills count="12">
    <fill>
      <patternFill patternType="none"/>
    </fill>
    <fill>
      <patternFill patternType="gray125"/>
    </fill>
    <fill>
      <patternFill patternType="solid">
        <fgColor rgb="FF0C1628"/>
        <bgColor rgb="FF0C2029"/>
      </patternFill>
    </fill>
    <fill>
      <patternFill patternType="solid">
        <fgColor rgb="FF0D3C61"/>
        <bgColor rgb="FF1D3245"/>
      </patternFill>
    </fill>
    <fill>
      <patternFill patternType="solid">
        <fgColor rgb="FF1D3245"/>
        <bgColor rgb="FF0D3C61"/>
      </patternFill>
    </fill>
    <fill>
      <patternFill patternType="solid">
        <fgColor rgb="FFF6F9FC"/>
        <bgColor rgb="FFFFFFFF"/>
      </patternFill>
    </fill>
    <fill>
      <patternFill patternType="solid">
        <fgColor rgb="FFFFFFFF"/>
        <bgColor rgb="FFF6F9FC"/>
      </patternFill>
    </fill>
    <fill>
      <patternFill patternType="solid">
        <fgColor rgb="FFEFF2F5"/>
        <bgColor rgb="FFE6EFF7"/>
      </patternFill>
    </fill>
    <fill>
      <patternFill patternType="solid">
        <fgColor rgb="FFFBF0DE"/>
        <bgColor rgb="FFFAE4E2"/>
      </patternFill>
    </fill>
    <fill>
      <patternFill patternType="solid">
        <fgColor rgb="FFE4F2EC"/>
        <bgColor rgb="FFE6EFF7"/>
      </patternFill>
    </fill>
    <fill>
      <patternFill patternType="solid">
        <fgColor rgb="FFFAE4E2"/>
        <bgColor rgb="FFFBF0DE"/>
      </patternFill>
    </fill>
    <fill>
      <patternFill patternType="solid">
        <fgColor rgb="FFE6EFF7"/>
        <bgColor rgb="FFE4F2EC"/>
      </patternFill>
    </fill>
  </fills>
  <borders count="3">
    <border diagonalUp="false" diagonalDown="false">
      <left/>
      <right/>
      <top/>
      <bottom/>
      <diagonal/>
    </border>
    <border diagonalUp="false" diagonalDown="false">
      <left style="thin">
        <color rgb="FF1D3245"/>
      </left>
      <right style="thin">
        <color rgb="FF1D3245"/>
      </right>
      <top style="thin">
        <color rgb="FF1D3245"/>
      </top>
      <bottom style="thin">
        <color rgb="FF1D3245"/>
      </bottom>
      <diagonal/>
    </border>
    <border diagonalUp="false" diagonalDown="false">
      <left style="thin">
        <color rgb="FFC9D4E0"/>
      </left>
      <right style="thin">
        <color rgb="FFC9D4E0"/>
      </right>
      <top style="thin">
        <color rgb="FFC9D4E0"/>
      </top>
      <bottom style="thin">
        <color rgb="FFC9D4E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0" fillId="2"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left" vertical="center" textRotation="0" wrapText="false" indent="0" shrinkToFit="false"/>
      <protection locked="true" hidden="false"/>
    </xf>
    <xf numFmtId="164" fontId="5" fillId="2" borderId="0" xfId="0" applyFont="true" applyBorder="false" applyAlignment="true" applyProtection="false">
      <alignment horizontal="left" vertical="top" textRotation="0" wrapText="false" indent="0" shrinkToFit="false"/>
      <protection locked="true" hidden="false"/>
    </xf>
    <xf numFmtId="164" fontId="6" fillId="3" borderId="0" xfId="0" applyFont="true" applyBorder="false" applyAlignment="true" applyProtection="false">
      <alignment horizontal="left" vertical="center" textRotation="0" wrapText="false" indent="1" shrinkToFit="false"/>
      <protection locked="true" hidden="false"/>
    </xf>
    <xf numFmtId="164" fontId="0" fillId="3" borderId="0" xfId="0" applyFont="false" applyBorder="false" applyAlignment="tru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left" vertical="top" textRotation="0" wrapText="true" indent="1" shrinkToFit="false"/>
      <protection locked="true" hidden="false"/>
    </xf>
    <xf numFmtId="164" fontId="8" fillId="0" borderId="0" xfId="0" applyFont="true" applyBorder="true" applyAlignment="true" applyProtection="false">
      <alignment horizontal="left" vertical="top" textRotation="0" wrapText="true" indent="1" shrinkToFit="false"/>
      <protection locked="true" hidden="false"/>
    </xf>
    <xf numFmtId="164" fontId="9" fillId="4" borderId="1" xfId="0" applyFont="true" applyBorder="true" applyAlignment="true" applyProtection="false">
      <alignment horizontal="left" vertical="center" textRotation="0" wrapText="true" indent="1" shrinkToFit="false"/>
      <protection locked="true" hidden="false"/>
    </xf>
    <xf numFmtId="164" fontId="10" fillId="5" borderId="2" xfId="0" applyFont="true" applyBorder="true" applyAlignment="true" applyProtection="false">
      <alignment horizontal="left" vertical="top" textRotation="0" wrapText="false" indent="1" shrinkToFit="false"/>
      <protection locked="true" hidden="false"/>
    </xf>
    <xf numFmtId="164" fontId="8" fillId="6" borderId="2" xfId="0" applyFont="true" applyBorder="true" applyAlignment="true" applyProtection="false">
      <alignment horizontal="left" vertical="top" textRotation="0" wrapText="false" indent="1" shrinkToFit="false"/>
      <protection locked="true" hidden="false"/>
    </xf>
    <xf numFmtId="164" fontId="11" fillId="0" borderId="0" xfId="0" applyFont="true" applyBorder="true" applyAlignment="true" applyProtection="false">
      <alignment horizontal="left" vertical="top" textRotation="0" wrapText="true" indent="1" shrinkToFit="false"/>
      <protection locked="true" hidden="false"/>
    </xf>
    <xf numFmtId="164" fontId="11" fillId="5" borderId="0" xfId="0" applyFont="true" applyBorder="false" applyAlignment="true" applyProtection="false">
      <alignment horizontal="left" vertical="center" textRotation="0" wrapText="false" indent="1" shrinkToFit="false"/>
      <protection locked="true" hidden="false"/>
    </xf>
    <xf numFmtId="164" fontId="0" fillId="5" borderId="0" xfId="0" applyFont="false" applyBorder="false" applyAlignment="true" applyProtection="false">
      <alignment horizontal="general" vertical="bottom" textRotation="0" wrapText="false" indent="0" shrinkToFit="false"/>
      <protection locked="true" hidden="false"/>
    </xf>
    <xf numFmtId="164" fontId="12" fillId="5" borderId="0" xfId="0" applyFont="true" applyBorder="false" applyAlignment="true" applyProtection="false">
      <alignment horizontal="right" vertical="center" textRotation="0" wrapText="false" indent="0" shrinkToFit="false"/>
      <protection locked="true" hidden="false"/>
    </xf>
    <xf numFmtId="164" fontId="10" fillId="0" borderId="2" xfId="0" applyFont="true" applyBorder="true" applyAlignment="true" applyProtection="false">
      <alignment horizontal="left" vertical="top" textRotation="0" wrapText="false" indent="1" shrinkToFit="false"/>
      <protection locked="true" hidden="false"/>
    </xf>
    <xf numFmtId="164" fontId="13" fillId="7" borderId="2" xfId="0" applyFont="true" applyBorder="true" applyAlignment="true" applyProtection="false">
      <alignment horizontal="center" vertical="top" textRotation="0" wrapText="false" indent="0" shrinkToFit="false"/>
      <protection locked="true" hidden="false"/>
    </xf>
    <xf numFmtId="164" fontId="8" fillId="0" borderId="2" xfId="0" applyFont="true" applyBorder="true" applyAlignment="true" applyProtection="false">
      <alignment horizontal="left" vertical="top" textRotation="0" wrapText="true" indent="1" shrinkToFit="false"/>
      <protection locked="true" hidden="false"/>
    </xf>
    <xf numFmtId="164" fontId="8" fillId="0" borderId="2" xfId="0" applyFont="true" applyBorder="true" applyAlignment="true" applyProtection="false">
      <alignment horizontal="center" vertical="top" textRotation="0" wrapText="false" indent="0" shrinkToFit="false"/>
      <protection locked="true" hidden="false"/>
    </xf>
    <xf numFmtId="164" fontId="14" fillId="8" borderId="2" xfId="0" applyFont="true" applyBorder="true" applyAlignment="true" applyProtection="false">
      <alignment horizontal="center" vertical="top" textRotation="0" wrapText="false" indent="0" shrinkToFit="false"/>
      <protection locked="true" hidden="false"/>
    </xf>
    <xf numFmtId="164" fontId="15" fillId="9" borderId="2" xfId="0" applyFont="true" applyBorder="true" applyAlignment="true" applyProtection="false">
      <alignment horizontal="center" vertical="top" textRotation="0" wrapText="false" indent="0" shrinkToFit="false"/>
      <protection locked="true" hidden="false"/>
    </xf>
    <xf numFmtId="164" fontId="16" fillId="10" borderId="2" xfId="0" applyFont="true" applyBorder="true" applyAlignment="true" applyProtection="false">
      <alignment horizontal="center" vertical="top" textRotation="0" wrapText="false" indent="0" shrinkToFit="false"/>
      <protection locked="true" hidden="false"/>
    </xf>
    <xf numFmtId="164" fontId="17" fillId="11" borderId="0" xfId="0" applyFont="true" applyBorder="true" applyAlignment="true" applyProtection="false">
      <alignment horizontal="left" vertical="center" textRotation="0" wrapText="true" indent="1" shrinkToFit="false"/>
      <protection locked="true" hidden="false"/>
    </xf>
    <xf numFmtId="164" fontId="6" fillId="3" borderId="0" xfId="0" applyFont="true" applyBorder="true" applyAlignment="true" applyProtection="false">
      <alignment horizontal="left" vertical="center" textRotation="0" wrapText="false" indent="1" shrinkToFit="false"/>
      <protection locked="true" hidden="false"/>
    </xf>
    <xf numFmtId="164" fontId="18" fillId="3" borderId="0" xfId="0" applyFont="true" applyBorder="true" applyAlignment="true" applyProtection="false">
      <alignment horizontal="right" vertical="center" textRotation="0" wrapText="false" indent="0" shrinkToFit="false"/>
      <protection locked="true" hidden="false"/>
    </xf>
    <xf numFmtId="164" fontId="19" fillId="2" borderId="0" xfId="0" applyFont="true" applyBorder="true" applyAlignment="true" applyProtection="false">
      <alignment horizontal="left" vertical="bottom" textRotation="0" wrapText="false" indent="1" shrinkToFit="false"/>
      <protection locked="true" hidden="false"/>
    </xf>
    <xf numFmtId="165" fontId="20" fillId="2" borderId="0" xfId="0" applyFont="true" applyBorder="true" applyAlignment="true" applyProtection="false">
      <alignment horizontal="left" vertical="top" textRotation="0" wrapText="false" indent="1" shrinkToFit="false"/>
      <protection locked="true" hidden="false"/>
    </xf>
    <xf numFmtId="166" fontId="21" fillId="2" borderId="0" xfId="0" applyFont="true" applyBorder="true" applyAlignment="true" applyProtection="false">
      <alignment horizontal="left" vertical="top" textRotation="0" wrapText="false" indent="1" shrinkToFit="false"/>
      <protection locked="true" hidden="false"/>
    </xf>
    <xf numFmtId="164" fontId="22" fillId="0" borderId="2" xfId="0" applyFont="true" applyBorder="true" applyAlignment="true" applyProtection="false">
      <alignment horizontal="left" vertical="top" textRotation="0" wrapText="true" indent="1" shrinkToFit="false"/>
      <protection locked="true" hidden="false"/>
    </xf>
    <xf numFmtId="164" fontId="23" fillId="0" borderId="2" xfId="0" applyFont="true" applyBorder="true" applyAlignment="true" applyProtection="false">
      <alignment horizontal="left" vertical="top" textRotation="0" wrapText="true" indent="1" shrinkToFit="false"/>
      <protection locked="true" hidden="false"/>
    </xf>
    <xf numFmtId="165" fontId="8" fillId="0" borderId="2" xfId="0" applyFont="true" applyBorder="true" applyAlignment="true" applyProtection="false">
      <alignment horizontal="center" vertical="top" textRotation="0" wrapText="false" indent="0" shrinkToFit="false"/>
      <protection locked="true" hidden="false"/>
    </xf>
    <xf numFmtId="165" fontId="10" fillId="0" borderId="2" xfId="0" applyFont="true" applyBorder="true" applyAlignment="true" applyProtection="false">
      <alignment horizontal="center" vertical="top" textRotation="0" wrapText="false" indent="0" shrinkToFit="false"/>
      <protection locked="true" hidden="false"/>
    </xf>
    <xf numFmtId="164" fontId="10" fillId="0" borderId="2" xfId="0" applyFont="true" applyBorder="true" applyAlignment="true" applyProtection="false">
      <alignment horizontal="center" vertical="top" textRotation="0" wrapText="false" indent="0" shrinkToFit="false"/>
      <protection locked="true" hidden="false"/>
    </xf>
    <xf numFmtId="164" fontId="22" fillId="5" borderId="2" xfId="0" applyFont="true" applyBorder="true" applyAlignment="true" applyProtection="false">
      <alignment horizontal="left" vertical="top" textRotation="0" wrapText="true" indent="1" shrinkToFit="false"/>
      <protection locked="true" hidden="false"/>
    </xf>
    <xf numFmtId="164" fontId="23" fillId="5" borderId="2" xfId="0" applyFont="true" applyBorder="true" applyAlignment="true" applyProtection="false">
      <alignment horizontal="left" vertical="top" textRotation="0" wrapText="true" indent="1" shrinkToFit="false"/>
      <protection locked="true" hidden="false"/>
    </xf>
    <xf numFmtId="165" fontId="8" fillId="5" borderId="2" xfId="0" applyFont="true" applyBorder="true" applyAlignment="true" applyProtection="false">
      <alignment horizontal="center" vertical="top" textRotation="0" wrapText="false" indent="0" shrinkToFit="false"/>
      <protection locked="true" hidden="false"/>
    </xf>
    <xf numFmtId="165" fontId="10" fillId="5" borderId="2" xfId="0" applyFont="true" applyBorder="true" applyAlignment="true" applyProtection="false">
      <alignment horizontal="center" vertical="top" textRotation="0" wrapText="false" indent="0" shrinkToFit="false"/>
      <protection locked="true" hidden="false"/>
    </xf>
    <xf numFmtId="164" fontId="10" fillId="5" borderId="2" xfId="0" applyFont="true" applyBorder="true" applyAlignment="true" applyProtection="false">
      <alignment horizontal="center" vertical="top" textRotation="0" wrapText="false" indent="0" shrinkToFit="false"/>
      <protection locked="true" hidden="false"/>
    </xf>
    <xf numFmtId="164" fontId="24" fillId="0" borderId="2" xfId="0" applyFont="true" applyBorder="true" applyAlignment="true" applyProtection="false">
      <alignment horizontal="left" vertical="top" textRotation="0" wrapText="true" indent="1" shrinkToFit="false"/>
      <protection locked="true" hidden="false"/>
    </xf>
    <xf numFmtId="166" fontId="10" fillId="0" borderId="2" xfId="0" applyFont="true" applyBorder="true" applyAlignment="true" applyProtection="false">
      <alignment horizontal="center" vertical="top" textRotation="0" wrapText="false" indent="0" shrinkToFit="false"/>
      <protection locked="true" hidden="false"/>
    </xf>
    <xf numFmtId="164" fontId="24" fillId="5" borderId="2" xfId="0" applyFont="true" applyBorder="true" applyAlignment="true" applyProtection="false">
      <alignment horizontal="left" vertical="top" textRotation="0" wrapText="true" indent="1" shrinkToFit="false"/>
      <protection locked="true" hidden="false"/>
    </xf>
    <xf numFmtId="166" fontId="10" fillId="5" borderId="2" xfId="0" applyFont="true" applyBorder="true" applyAlignment="true" applyProtection="false">
      <alignment horizontal="center" vertical="top" textRotation="0" wrapText="false" indent="0" shrinkToFit="false"/>
      <protection locked="true" hidden="false"/>
    </xf>
    <xf numFmtId="164" fontId="25" fillId="4" borderId="2" xfId="0" applyFont="true" applyBorder="true" applyAlignment="true" applyProtection="false">
      <alignment horizontal="left" vertical="top" textRotation="0" wrapText="false" indent="1" shrinkToFit="false"/>
      <protection locked="true" hidden="false"/>
    </xf>
    <xf numFmtId="165" fontId="25" fillId="4" borderId="2" xfId="0" applyFont="true" applyBorder="true" applyAlignment="true" applyProtection="false">
      <alignment horizontal="center" vertical="top" textRotation="0" wrapText="false" indent="0" shrinkToFit="false"/>
      <protection locked="true" hidden="false"/>
    </xf>
    <xf numFmtId="166" fontId="25" fillId="4" borderId="2" xfId="0" applyFont="true" applyBorder="true" applyAlignment="true" applyProtection="false">
      <alignment horizontal="center" vertical="top" textRotation="0" wrapText="false" indent="0" shrinkToFit="false"/>
      <protection locked="true" hidden="false"/>
    </xf>
    <xf numFmtId="164" fontId="26" fillId="0" borderId="2" xfId="0" applyFont="true" applyBorder="true" applyAlignment="true" applyProtection="false">
      <alignment horizontal="left" vertical="top" textRotation="0" wrapText="false" indent="1" shrinkToFit="false"/>
      <protection locked="true" hidden="false"/>
    </xf>
    <xf numFmtId="164" fontId="11" fillId="0" borderId="2" xfId="0" applyFont="true" applyBorder="true" applyAlignment="true" applyProtection="false">
      <alignment horizontal="left" vertical="top" textRotation="0" wrapText="true" indent="1" shrinkToFit="false"/>
      <protection locked="true" hidden="false"/>
    </xf>
    <xf numFmtId="164" fontId="27" fillId="0" borderId="2" xfId="0" applyFont="true" applyBorder="true" applyAlignment="true" applyProtection="false">
      <alignment horizontal="left" vertical="top" textRotation="0" wrapText="true" indent="1" shrinkToFit="false"/>
      <protection locked="true" hidden="false"/>
    </xf>
    <xf numFmtId="164" fontId="27" fillId="0" borderId="2" xfId="0" applyFont="true" applyBorder="true" applyAlignment="true" applyProtection="false">
      <alignment horizontal="center" vertical="top" textRotation="0" wrapText="false" indent="0" shrinkToFit="false"/>
      <protection locked="true" hidden="false"/>
    </xf>
    <xf numFmtId="167" fontId="27" fillId="0" borderId="2" xfId="0" applyFont="true" applyBorder="true" applyAlignment="true" applyProtection="false">
      <alignment horizontal="center" vertical="top" textRotation="0" wrapText="false" indent="0" shrinkToFit="false"/>
      <protection locked="true" hidden="false"/>
    </xf>
    <xf numFmtId="168" fontId="28" fillId="0" borderId="2" xfId="0" applyFont="true" applyBorder="true" applyAlignment="true" applyProtection="false">
      <alignment horizontal="center" vertical="top" textRotation="0" wrapText="false" indent="0" shrinkToFit="false"/>
      <protection locked="true" hidden="false"/>
    </xf>
    <xf numFmtId="164" fontId="26" fillId="5" borderId="2" xfId="0" applyFont="true" applyBorder="true" applyAlignment="true" applyProtection="false">
      <alignment horizontal="left" vertical="top" textRotation="0" wrapText="false" indent="1" shrinkToFit="false"/>
      <protection locked="true" hidden="false"/>
    </xf>
    <xf numFmtId="164" fontId="11" fillId="5" borderId="2" xfId="0" applyFont="true" applyBorder="true" applyAlignment="true" applyProtection="false">
      <alignment horizontal="left" vertical="top" textRotation="0" wrapText="true" indent="1" shrinkToFit="false"/>
      <protection locked="true" hidden="false"/>
    </xf>
    <xf numFmtId="164" fontId="8" fillId="5" borderId="2" xfId="0" applyFont="true" applyBorder="true" applyAlignment="true" applyProtection="false">
      <alignment horizontal="left" vertical="top" textRotation="0" wrapText="true" indent="1" shrinkToFit="false"/>
      <protection locked="true" hidden="false"/>
    </xf>
    <xf numFmtId="164" fontId="27" fillId="5" borderId="2" xfId="0" applyFont="true" applyBorder="true" applyAlignment="true" applyProtection="false">
      <alignment horizontal="left" vertical="top" textRotation="0" wrapText="true" indent="1" shrinkToFit="false"/>
      <protection locked="true" hidden="false"/>
    </xf>
    <xf numFmtId="164" fontId="27" fillId="5" borderId="2" xfId="0" applyFont="true" applyBorder="true" applyAlignment="true" applyProtection="false">
      <alignment horizontal="center" vertical="top" textRotation="0" wrapText="false" indent="0" shrinkToFit="false"/>
      <protection locked="true" hidden="false"/>
    </xf>
    <xf numFmtId="167" fontId="27" fillId="5" borderId="2" xfId="0" applyFont="true" applyBorder="true" applyAlignment="true" applyProtection="false">
      <alignment horizontal="center" vertical="top" textRotation="0" wrapText="false" indent="0" shrinkToFit="false"/>
      <protection locked="true" hidden="false"/>
    </xf>
    <xf numFmtId="168" fontId="28" fillId="5" borderId="2" xfId="0" applyFont="true" applyBorder="true" applyAlignment="true" applyProtection="false">
      <alignment horizontal="center" vertical="top" textRotation="0" wrapText="false" indent="0" shrinkToFit="false"/>
      <protection locked="true" hidden="false"/>
    </xf>
    <xf numFmtId="164" fontId="29" fillId="11" borderId="0" xfId="0" applyFont="true" applyBorder="true" applyAlignment="true" applyProtection="false">
      <alignment horizontal="left" vertical="bottom" textRotation="0" wrapText="false" indent="1" shrinkToFit="false"/>
      <protection locked="true" hidden="false"/>
    </xf>
    <xf numFmtId="165" fontId="30" fillId="11" borderId="0" xfId="0" applyFont="true" applyBorder="true" applyAlignment="true" applyProtection="false">
      <alignment horizontal="left" vertical="top" textRotation="0" wrapText="false" indent="1" shrinkToFit="false"/>
      <protection locked="true" hidden="false"/>
    </xf>
    <xf numFmtId="164" fontId="31" fillId="11" borderId="0" xfId="0" applyFont="true" applyBorder="true" applyAlignment="true" applyProtection="false">
      <alignment horizontal="left" vertical="bottom" textRotation="0" wrapText="false" indent="1" shrinkToFit="false"/>
      <protection locked="true" hidden="false"/>
    </xf>
    <xf numFmtId="169" fontId="30" fillId="11" borderId="0" xfId="0" applyFont="true" applyBorder="true" applyAlignment="true" applyProtection="false">
      <alignment horizontal="left" vertical="top" textRotation="0" wrapText="false" indent="1" shrinkToFit="false"/>
      <protection locked="true" hidden="false"/>
    </xf>
    <xf numFmtId="164" fontId="27" fillId="0" borderId="2" xfId="0" applyFont="true" applyBorder="true" applyAlignment="true" applyProtection="false">
      <alignment horizontal="left" vertical="top" textRotation="0" wrapText="false" indent="1" shrinkToFit="false"/>
      <protection locked="true" hidden="false"/>
    </xf>
    <xf numFmtId="165" fontId="27" fillId="0" borderId="2" xfId="0" applyFont="true" applyBorder="true" applyAlignment="true" applyProtection="false">
      <alignment horizontal="center" vertical="top" textRotation="0" wrapText="false" indent="0" shrinkToFit="false"/>
      <protection locked="true" hidden="false"/>
    </xf>
    <xf numFmtId="169" fontId="27" fillId="0" borderId="2" xfId="0" applyFont="true" applyBorder="true" applyAlignment="true" applyProtection="false">
      <alignment horizontal="right" vertical="top" textRotation="0" wrapText="false" indent="0" shrinkToFit="false"/>
      <protection locked="true" hidden="false"/>
    </xf>
    <xf numFmtId="164" fontId="27" fillId="5" borderId="2" xfId="0" applyFont="true" applyBorder="true" applyAlignment="true" applyProtection="false">
      <alignment horizontal="left" vertical="top" textRotation="0" wrapText="false" indent="1" shrinkToFit="false"/>
      <protection locked="true" hidden="false"/>
    </xf>
    <xf numFmtId="165" fontId="27" fillId="5" borderId="2" xfId="0" applyFont="true" applyBorder="true" applyAlignment="true" applyProtection="false">
      <alignment horizontal="center" vertical="top" textRotation="0" wrapText="false" indent="0" shrinkToFit="false"/>
      <protection locked="true" hidden="false"/>
    </xf>
    <xf numFmtId="169" fontId="27" fillId="5" borderId="2" xfId="0" applyFont="true" applyBorder="true" applyAlignment="true" applyProtection="false">
      <alignment horizontal="right" vertical="top" textRotation="0" wrapText="false" indent="0" shrinkToFit="false"/>
      <protection locked="true" hidden="false"/>
    </xf>
    <xf numFmtId="166" fontId="30" fillId="11" borderId="0" xfId="0" applyFont="true" applyBorder="true" applyAlignment="true" applyProtection="false">
      <alignment horizontal="left" vertical="top" textRotation="0" wrapText="false" indent="1" shrinkToFit="false"/>
      <protection locked="true" hidden="false"/>
    </xf>
    <xf numFmtId="170" fontId="27" fillId="0" borderId="2" xfId="0" applyFont="true" applyBorder="true" applyAlignment="true" applyProtection="false">
      <alignment horizontal="center" vertical="top" textRotation="0" wrapText="false" indent="0" shrinkToFit="false"/>
      <protection locked="true" hidden="false"/>
    </xf>
    <xf numFmtId="170" fontId="27" fillId="5" borderId="2" xfId="0" applyFont="true" applyBorder="true" applyAlignment="true" applyProtection="false">
      <alignment horizontal="center" vertical="top" textRotation="0" wrapText="false" indent="0" shrinkToFit="false"/>
      <protection locked="true" hidden="false"/>
    </xf>
    <xf numFmtId="164" fontId="24" fillId="0" borderId="2" xfId="0" applyFont="true" applyBorder="true" applyAlignment="true" applyProtection="false">
      <alignment horizontal="center" vertical="top" textRotation="0" wrapText="false" indent="0" shrinkToFit="false"/>
      <protection locked="true" hidden="false"/>
    </xf>
    <xf numFmtId="164" fontId="24" fillId="5" borderId="2" xfId="0" applyFont="true" applyBorder="true" applyAlignment="true" applyProtection="false">
      <alignment horizontal="center" vertical="top" textRotation="0" wrapText="false" indent="0" shrinkToFit="false"/>
      <protection locked="true" hidden="false"/>
    </xf>
    <xf numFmtId="169" fontId="27" fillId="0" borderId="2" xfId="0" applyFont="true" applyBorder="true" applyAlignment="true" applyProtection="false">
      <alignment horizontal="center" vertical="top" textRotation="0" wrapText="false" indent="0" shrinkToFit="false"/>
      <protection locked="true" hidden="false"/>
    </xf>
    <xf numFmtId="169" fontId="24" fillId="0" borderId="2" xfId="0" applyFont="true" applyBorder="true" applyAlignment="true" applyProtection="false">
      <alignment horizontal="center" vertical="top" textRotation="0" wrapText="false" indent="0" shrinkToFit="false"/>
      <protection locked="true" hidden="false"/>
    </xf>
    <xf numFmtId="169" fontId="27" fillId="5" borderId="2" xfId="0" applyFont="true" applyBorder="true" applyAlignment="true" applyProtection="false">
      <alignment horizontal="center" vertical="top" textRotation="0" wrapText="false" indent="0" shrinkToFit="false"/>
      <protection locked="true" hidden="false"/>
    </xf>
    <xf numFmtId="169" fontId="24" fillId="5" borderId="2" xfId="0" applyFont="true" applyBorder="true" applyAlignment="true" applyProtection="false">
      <alignment horizontal="center" vertical="top" textRotation="0" wrapText="false" indent="0" shrinkToFit="false"/>
      <protection locked="true" hidden="false"/>
    </xf>
    <xf numFmtId="164" fontId="24" fillId="5" borderId="2" xfId="0" applyFont="true" applyBorder="true" applyAlignment="true" applyProtection="false">
      <alignment horizontal="left" vertical="center" textRotation="0" wrapText="true" indent="1" shrinkToFit="false"/>
      <protection locked="true" hidden="false"/>
    </xf>
    <xf numFmtId="167" fontId="8" fillId="6" borderId="2" xfId="0" applyFont="true" applyBorder="true" applyAlignment="true" applyProtection="false">
      <alignment horizontal="left" vertical="top" textRotation="0" wrapText="false" indent="1" shrinkToFit="false"/>
      <protection locked="true" hidden="false"/>
    </xf>
    <xf numFmtId="165" fontId="22" fillId="0" borderId="2" xfId="0" applyFont="true" applyBorder="true" applyAlignment="true" applyProtection="false">
      <alignment horizontal="center" vertical="top" textRotation="0" wrapText="false" indent="0" shrinkToFit="false"/>
      <protection locked="true" hidden="false"/>
    </xf>
    <xf numFmtId="166" fontId="22" fillId="0" borderId="2" xfId="0" applyFont="true" applyBorder="true" applyAlignment="true" applyProtection="false">
      <alignment horizontal="center" vertical="top" textRotation="0" wrapText="false" indent="0" shrinkToFit="false"/>
      <protection locked="true" hidden="false"/>
    </xf>
    <xf numFmtId="164" fontId="8" fillId="6" borderId="2" xfId="0" applyFont="true" applyBorder="true" applyAlignment="true" applyProtection="false">
      <alignment horizontal="left" vertical="top" textRotation="0" wrapText="true" indent="1" shrinkToFit="false"/>
      <protection locked="true" hidden="false"/>
    </xf>
    <xf numFmtId="167" fontId="8" fillId="6" borderId="2" xfId="0" applyFont="true" applyBorder="true" applyAlignment="true" applyProtection="false">
      <alignment horizontal="left" vertical="top"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0">
    <dxf>
      <font>
        <name val="Segoe UI"/>
        <charset val="1"/>
        <family val="0"/>
        <b val="1"/>
        <color rgb="FF1E7A5A"/>
        <sz val="10"/>
      </font>
      <fill>
        <patternFill>
          <bgColor rgb="FFE4F2EC"/>
        </patternFill>
      </fill>
    </dxf>
    <dxf>
      <font>
        <name val="Segoe UI"/>
        <charset val="1"/>
        <family val="0"/>
        <b val="1"/>
        <color rgb="FFB3261E"/>
        <sz val="10"/>
      </font>
      <fill>
        <patternFill>
          <bgColor rgb="FFFAE4E2"/>
        </patternFill>
      </fill>
    </dxf>
    <dxf>
      <fill>
        <patternFill patternType="solid">
          <fgColor rgb="FF1D3245"/>
          <bgColor rgb="FF000000"/>
        </patternFill>
      </fill>
    </dxf>
    <dxf>
      <fill>
        <patternFill patternType="solid">
          <fgColor rgb="FFF6F9FC"/>
          <bgColor rgb="FF000000"/>
        </patternFill>
      </fill>
    </dxf>
    <dxf>
      <fill>
        <patternFill patternType="solid">
          <bgColor rgb="FF000000"/>
        </patternFill>
      </fill>
    </dxf>
    <dxf>
      <fill>
        <patternFill patternType="solid">
          <fgColor rgb="FF0D3C61"/>
          <bgColor rgb="FF000000"/>
        </patternFill>
      </fill>
    </dxf>
    <dxf>
      <fill>
        <patternFill patternType="solid">
          <fgColor rgb="FFFFFFFF"/>
          <bgColor rgb="FF000000"/>
        </patternFill>
      </fill>
    </dxf>
    <dxf>
      <fill>
        <patternFill patternType="solid">
          <fgColor rgb="FF8E98A2"/>
          <bgColor rgb="FF000000"/>
        </patternFill>
      </fill>
    </dxf>
    <dxf>
      <fill>
        <patternFill patternType="solid">
          <fgColor rgb="FFB3261E"/>
          <bgColor rgb="FF000000"/>
        </patternFill>
      </fill>
    </dxf>
    <dxf>
      <fill>
        <patternFill patternType="solid">
          <fgColor rgb="FFEFF2F5"/>
          <bgColor rgb="FF000000"/>
        </patternFill>
      </fill>
    </dxf>
    <dxf>
      <fill>
        <patternFill patternType="solid">
          <fgColor rgb="FF6B7684"/>
          <bgColor rgb="FF000000"/>
        </patternFill>
      </fill>
    </dxf>
    <dxf>
      <font>
        <name val="Segoe UI"/>
        <charset val="1"/>
        <family val="0"/>
        <b val="1"/>
        <color rgb="FFB26B00"/>
        <sz val="10"/>
      </font>
      <fill>
        <patternFill>
          <bgColor rgb="FFFBF0DE"/>
        </patternFill>
      </fill>
    </dxf>
    <dxf>
      <font>
        <name val="Segoe UI"/>
        <charset val="1"/>
        <family val="0"/>
        <b val="1"/>
        <color rgb="FF6B7684"/>
        <sz val="10"/>
      </font>
      <fill>
        <patternFill>
          <bgColor rgb="FFEFF2F5"/>
        </patternFill>
      </fill>
    </dxf>
    <dxf>
      <font>
        <name val="Segoe UI"/>
        <charset val="1"/>
        <family val="0"/>
        <b val="1"/>
        <color rgb="FFB3261E"/>
        <sz val="9"/>
      </font>
      <fill>
        <patternFill>
          <bgColor rgb="FFFAE4E2"/>
        </patternFill>
      </fill>
    </dxf>
    <dxf>
      <font>
        <name val="Segoe UI"/>
        <charset val="1"/>
        <family val="0"/>
        <b val="1"/>
        <color rgb="FFB3261E"/>
        <sz val="9"/>
      </font>
    </dxf>
    <dxf>
      <font>
        <name val="Segoe UI"/>
        <charset val="1"/>
        <family val="0"/>
        <b val="1"/>
        <color rgb="FFB26B00"/>
        <sz val="9"/>
      </font>
      <fill>
        <patternFill>
          <bgColor rgb="FFFBF0DE"/>
        </patternFill>
      </fill>
    </dxf>
    <dxf>
      <fill>
        <patternFill patternType="solid">
          <fgColor rgb="FFFAE4E2"/>
          <bgColor rgb="FF000000"/>
        </patternFill>
      </fill>
    </dxf>
    <dxf>
      <font>
        <name val="Segoe UI"/>
        <charset val="1"/>
        <family val="0"/>
        <b val="1"/>
        <color rgb="FF1E7A5A"/>
        <sz val="9"/>
      </font>
      <fill>
        <patternFill>
          <bgColor rgb="FFE4F2EC"/>
        </patternFill>
      </fill>
    </dxf>
    <dxf>
      <fill>
        <patternFill patternType="solid">
          <fgColor rgb="FFFBF0DE"/>
          <bgColor rgb="FF000000"/>
        </patternFill>
      </fill>
    </dxf>
    <dxf>
      <fill>
        <patternFill patternType="solid">
          <fgColor rgb="FFB26B00"/>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B26B00"/>
      <rgbColor rgb="FF800080"/>
      <rgbColor rgb="FF1E7A5A"/>
      <rgbColor rgb="FFC0C0C0"/>
      <rgbColor rgb="FF6B7684"/>
      <rgbColor rgb="FF9999FF"/>
      <rgbColor rgb="FF993366"/>
      <rgbColor rgb="FFFBF0DE"/>
      <rgbColor rgb="FFE4F2EC"/>
      <rgbColor rgb="FF660066"/>
      <rgbColor rgb="FFFF8080"/>
      <rgbColor rgb="FF0066CC"/>
      <rgbColor rgb="FFC9D4E0"/>
      <rgbColor rgb="FF000080"/>
      <rgbColor rgb="FFFF00FF"/>
      <rgbColor rgb="FFFFFF00"/>
      <rgbColor rgb="FF00FFFF"/>
      <rgbColor rgb="FF800080"/>
      <rgbColor rgb="FF800000"/>
      <rgbColor rgb="FF008080"/>
      <rgbColor rgb="FF0000FF"/>
      <rgbColor rgb="FF00CCFF"/>
      <rgbColor rgb="FFE6EFF7"/>
      <rgbColor rgb="FFEFF2F5"/>
      <rgbColor rgb="FFF6F9FC"/>
      <rgbColor rgb="FF99CCFF"/>
      <rgbColor rgb="FFFF99CC"/>
      <rgbColor rgb="FFCC99FF"/>
      <rgbColor rgb="FFFAE4E2"/>
      <rgbColor rgb="FF3480BC"/>
      <rgbColor rgb="FF33CCCC"/>
      <rgbColor rgb="FF99CC00"/>
      <rgbColor rgb="FFFFCC00"/>
      <rgbColor rgb="FFFF9900"/>
      <rgbColor rgb="FFFF6600"/>
      <rgbColor rgb="FF666699"/>
      <rgbColor rgb="FF8E98A2"/>
      <rgbColor rgb="FF0D3C61"/>
      <rgbColor rgb="FF339966"/>
      <rgbColor rgb="FF0C2029"/>
      <rgbColor rgb="FF0C1628"/>
      <rgbColor rgb="FFB3261E"/>
      <rgbColor rgb="FF993366"/>
      <rgbColor rgb="FF333399"/>
      <rgbColor rgb="FF1D324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10.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11.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12.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13.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14.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2.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3.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4.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5.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6.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7.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8.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9.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1</xdr:col>
      <xdr:colOff>1428120</xdr:colOff>
      <xdr:row>1</xdr:row>
      <xdr:rowOff>408960</xdr:rowOff>
    </xdr:to>
    <xdr:pic>
      <xdr:nvPicPr>
        <xdr:cNvPr id="0" name="Image 1" descr="Picture">
          <a:hlinkClick xmlns:a="http://schemas.openxmlformats.org/drawingml/2006/main" xmlns:r="http://schemas.openxmlformats.org/officeDocument/2006/relationships" r:id="rId2"/>
        </xdr:cNvPr>
        <xdr:cNvPicPr/>
      </xdr:nvPicPr>
      <xdr:blipFill>
        <a:blip r:embed="rId1"/>
        <a:stretch/>
      </xdr:blipFill>
      <xdr:spPr>
        <a:xfrm>
          <a:off x="211320" y="123840"/>
          <a:ext cx="1428120" cy="408960"/>
        </a:xfrm>
        <a:prstGeom prst="rect">
          <a:avLst/>
        </a:prstGeom>
        <a:ln w="0">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1</xdr:col>
      <xdr:colOff>1428120</xdr:colOff>
      <xdr:row>1</xdr:row>
      <xdr:rowOff>408960</xdr:rowOff>
    </xdr:to>
    <xdr:pic>
      <xdr:nvPicPr>
        <xdr:cNvPr id="9" name="Image 1" descr="Picture">
          <a:hlinkClick xmlns:a="http://schemas.openxmlformats.org/drawingml/2006/main" xmlns:r="http://schemas.openxmlformats.org/officeDocument/2006/relationships" r:id="rId2"/>
        </xdr:cNvPr>
        <xdr:cNvPicPr/>
      </xdr:nvPicPr>
      <xdr:blipFill>
        <a:blip r:embed="rId1"/>
        <a:stretch/>
      </xdr:blipFill>
      <xdr:spPr>
        <a:xfrm>
          <a:off x="176400" y="123840"/>
          <a:ext cx="1428120" cy="408960"/>
        </a:xfrm>
        <a:prstGeom prst="rect">
          <a:avLst/>
        </a:prstGeom>
        <a:ln w="0">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2</xdr:col>
      <xdr:colOff>652680</xdr:colOff>
      <xdr:row>1</xdr:row>
      <xdr:rowOff>408960</xdr:rowOff>
    </xdr:to>
    <xdr:pic>
      <xdr:nvPicPr>
        <xdr:cNvPr id="10" name="Image 1" descr="Picture">
          <a:hlinkClick xmlns:a="http://schemas.openxmlformats.org/drawingml/2006/main" xmlns:r="http://schemas.openxmlformats.org/officeDocument/2006/relationships" r:id="rId2"/>
        </xdr:cNvPr>
        <xdr:cNvPicPr/>
      </xdr:nvPicPr>
      <xdr:blipFill>
        <a:blip r:embed="rId1"/>
        <a:stretch/>
      </xdr:blipFill>
      <xdr:spPr>
        <a:xfrm>
          <a:off x="176400" y="123840"/>
          <a:ext cx="1428120" cy="408960"/>
        </a:xfrm>
        <a:prstGeom prst="rect">
          <a:avLst/>
        </a:prstGeom>
        <a:ln w="0">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2</xdr:col>
      <xdr:colOff>652680</xdr:colOff>
      <xdr:row>1</xdr:row>
      <xdr:rowOff>408960</xdr:rowOff>
    </xdr:to>
    <xdr:pic>
      <xdr:nvPicPr>
        <xdr:cNvPr id="11" name="Image 1" descr="Picture">
          <a:hlinkClick xmlns:a="http://schemas.openxmlformats.org/drawingml/2006/main" xmlns:r="http://schemas.openxmlformats.org/officeDocument/2006/relationships" r:id="rId2"/>
        </xdr:cNvPr>
        <xdr:cNvPicPr/>
      </xdr:nvPicPr>
      <xdr:blipFill>
        <a:blip r:embed="rId1"/>
        <a:stretch/>
      </xdr:blipFill>
      <xdr:spPr>
        <a:xfrm>
          <a:off x="176400" y="123840"/>
          <a:ext cx="1428120" cy="408960"/>
        </a:xfrm>
        <a:prstGeom prst="rect">
          <a:avLst/>
        </a:prstGeom>
        <a:ln w="0">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1</xdr:col>
      <xdr:colOff>1428120</xdr:colOff>
      <xdr:row>1</xdr:row>
      <xdr:rowOff>408960</xdr:rowOff>
    </xdr:to>
    <xdr:pic>
      <xdr:nvPicPr>
        <xdr:cNvPr id="12" name="Image 1" descr="Picture">
          <a:hlinkClick xmlns:a="http://schemas.openxmlformats.org/drawingml/2006/main" xmlns:r="http://schemas.openxmlformats.org/officeDocument/2006/relationships" r:id="rId2"/>
        </xdr:cNvPr>
        <xdr:cNvPicPr/>
      </xdr:nvPicPr>
      <xdr:blipFill>
        <a:blip r:embed="rId1"/>
        <a:stretch/>
      </xdr:blipFill>
      <xdr:spPr>
        <a:xfrm>
          <a:off x="176400" y="123840"/>
          <a:ext cx="1428120" cy="408960"/>
        </a:xfrm>
        <a:prstGeom prst="rect">
          <a:avLst/>
        </a:prstGeom>
        <a:ln w="0">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2</xdr:col>
      <xdr:colOff>300240</xdr:colOff>
      <xdr:row>1</xdr:row>
      <xdr:rowOff>408960</xdr:rowOff>
    </xdr:to>
    <xdr:pic>
      <xdr:nvPicPr>
        <xdr:cNvPr id="13" name="Image 1" descr="Picture">
          <a:hlinkClick xmlns:a="http://schemas.openxmlformats.org/drawingml/2006/main" xmlns:r="http://schemas.openxmlformats.org/officeDocument/2006/relationships" r:id="rId2"/>
        </xdr:cNvPr>
        <xdr:cNvPicPr/>
      </xdr:nvPicPr>
      <xdr:blipFill>
        <a:blip r:embed="rId1"/>
        <a:stretch/>
      </xdr:blipFill>
      <xdr:spPr>
        <a:xfrm>
          <a:off x="211320" y="123840"/>
          <a:ext cx="1428120" cy="4089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1</xdr:col>
      <xdr:colOff>1428120</xdr:colOff>
      <xdr:row>1</xdr:row>
      <xdr:rowOff>408960</xdr:rowOff>
    </xdr:to>
    <xdr:pic>
      <xdr:nvPicPr>
        <xdr:cNvPr id="1" name="Image 1" descr="Picture">
          <a:hlinkClick xmlns:a="http://schemas.openxmlformats.org/drawingml/2006/main" xmlns:r="http://schemas.openxmlformats.org/officeDocument/2006/relationships" r:id="rId2"/>
        </xdr:cNvPr>
        <xdr:cNvPicPr/>
      </xdr:nvPicPr>
      <xdr:blipFill>
        <a:blip r:embed="rId1"/>
        <a:stretch/>
      </xdr:blipFill>
      <xdr:spPr>
        <a:xfrm>
          <a:off x="211320" y="123840"/>
          <a:ext cx="1428120" cy="40896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2</xdr:col>
      <xdr:colOff>469080</xdr:colOff>
      <xdr:row>1</xdr:row>
      <xdr:rowOff>408960</xdr:rowOff>
    </xdr:to>
    <xdr:pic>
      <xdr:nvPicPr>
        <xdr:cNvPr id="2" name="Image 1" descr="Picture">
          <a:hlinkClick xmlns:a="http://schemas.openxmlformats.org/drawingml/2006/main" xmlns:r="http://schemas.openxmlformats.org/officeDocument/2006/relationships" r:id="rId2"/>
        </xdr:cNvPr>
        <xdr:cNvPicPr/>
      </xdr:nvPicPr>
      <xdr:blipFill>
        <a:blip r:embed="rId1"/>
        <a:stretch/>
      </xdr:blipFill>
      <xdr:spPr>
        <a:xfrm>
          <a:off x="176400" y="123840"/>
          <a:ext cx="1428120" cy="40896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2</xdr:col>
      <xdr:colOff>864000</xdr:colOff>
      <xdr:row>1</xdr:row>
      <xdr:rowOff>408960</xdr:rowOff>
    </xdr:to>
    <xdr:pic>
      <xdr:nvPicPr>
        <xdr:cNvPr id="3" name="Image 1" descr="Picture">
          <a:hlinkClick xmlns:a="http://schemas.openxmlformats.org/drawingml/2006/main" xmlns:r="http://schemas.openxmlformats.org/officeDocument/2006/relationships" r:id="rId2"/>
        </xdr:cNvPr>
        <xdr:cNvPicPr/>
      </xdr:nvPicPr>
      <xdr:blipFill>
        <a:blip r:embed="rId1"/>
        <a:stretch/>
      </xdr:blipFill>
      <xdr:spPr>
        <a:xfrm>
          <a:off x="176400" y="123840"/>
          <a:ext cx="1428120" cy="40896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2</xdr:col>
      <xdr:colOff>18360</xdr:colOff>
      <xdr:row>1</xdr:row>
      <xdr:rowOff>408960</xdr:rowOff>
    </xdr:to>
    <xdr:pic>
      <xdr:nvPicPr>
        <xdr:cNvPr id="4" name="Image 1" descr="Picture">
          <a:hlinkClick xmlns:a="http://schemas.openxmlformats.org/drawingml/2006/main" xmlns:r="http://schemas.openxmlformats.org/officeDocument/2006/relationships" r:id="rId2"/>
        </xdr:cNvPr>
        <xdr:cNvPicPr/>
      </xdr:nvPicPr>
      <xdr:blipFill>
        <a:blip r:embed="rId1"/>
        <a:stretch/>
      </xdr:blipFill>
      <xdr:spPr>
        <a:xfrm>
          <a:off x="176400" y="123840"/>
          <a:ext cx="1428120" cy="40896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2</xdr:col>
      <xdr:colOff>511560</xdr:colOff>
      <xdr:row>1</xdr:row>
      <xdr:rowOff>408960</xdr:rowOff>
    </xdr:to>
    <xdr:pic>
      <xdr:nvPicPr>
        <xdr:cNvPr id="5" name="Image 1" descr="Picture">
          <a:hlinkClick xmlns:a="http://schemas.openxmlformats.org/drawingml/2006/main" xmlns:r="http://schemas.openxmlformats.org/officeDocument/2006/relationships" r:id="rId2"/>
        </xdr:cNvPr>
        <xdr:cNvPicPr/>
      </xdr:nvPicPr>
      <xdr:blipFill>
        <a:blip r:embed="rId1"/>
        <a:stretch/>
      </xdr:blipFill>
      <xdr:spPr>
        <a:xfrm>
          <a:off x="176400" y="123840"/>
          <a:ext cx="1428120" cy="40896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2</xdr:col>
      <xdr:colOff>582120</xdr:colOff>
      <xdr:row>1</xdr:row>
      <xdr:rowOff>408960</xdr:rowOff>
    </xdr:to>
    <xdr:pic>
      <xdr:nvPicPr>
        <xdr:cNvPr id="6" name="Image 1" descr="Picture">
          <a:hlinkClick xmlns:a="http://schemas.openxmlformats.org/drawingml/2006/main" xmlns:r="http://schemas.openxmlformats.org/officeDocument/2006/relationships" r:id="rId2"/>
        </xdr:cNvPr>
        <xdr:cNvPicPr/>
      </xdr:nvPicPr>
      <xdr:blipFill>
        <a:blip r:embed="rId1"/>
        <a:stretch/>
      </xdr:blipFill>
      <xdr:spPr>
        <a:xfrm>
          <a:off x="176400" y="123840"/>
          <a:ext cx="1428120" cy="40896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2</xdr:col>
      <xdr:colOff>652680</xdr:colOff>
      <xdr:row>1</xdr:row>
      <xdr:rowOff>408960</xdr:rowOff>
    </xdr:to>
    <xdr:pic>
      <xdr:nvPicPr>
        <xdr:cNvPr id="7" name="Image 1" descr="Picture">
          <a:hlinkClick xmlns:a="http://schemas.openxmlformats.org/drawingml/2006/main" xmlns:r="http://schemas.openxmlformats.org/officeDocument/2006/relationships" r:id="rId2"/>
        </xdr:cNvPr>
        <xdr:cNvPicPr/>
      </xdr:nvPicPr>
      <xdr:blipFill>
        <a:blip r:embed="rId1"/>
        <a:stretch/>
      </xdr:blipFill>
      <xdr:spPr>
        <a:xfrm>
          <a:off x="176400" y="123840"/>
          <a:ext cx="1428120" cy="408960"/>
        </a:xfrm>
        <a:prstGeom prst="rect">
          <a:avLst/>
        </a:prstGeom>
        <a:ln w="0">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1</xdr:col>
      <xdr:colOff>1428120</xdr:colOff>
      <xdr:row>1</xdr:row>
      <xdr:rowOff>408960</xdr:rowOff>
    </xdr:to>
    <xdr:pic>
      <xdr:nvPicPr>
        <xdr:cNvPr id="8" name="Image 1" descr="Picture">
          <a:hlinkClick xmlns:a="http://schemas.openxmlformats.org/drawingml/2006/main" xmlns:r="http://schemas.openxmlformats.org/officeDocument/2006/relationships" r:id="rId2"/>
        </xdr:cNvPr>
        <xdr:cNvPicPr/>
      </xdr:nvPicPr>
      <xdr:blipFill>
        <a:blip r:embed="rId1"/>
        <a:stretch/>
      </xdr:blipFill>
      <xdr:spPr>
        <a:xfrm>
          <a:off x="176400" y="123840"/>
          <a:ext cx="1428120" cy="40896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1.xml"/>
</Relationships>
</file>

<file path=xl/worksheets/_rels/sheet10.xml.rels><?xml version="1.0" encoding="UTF-8"?>
<Relationships xmlns="http://schemas.openxmlformats.org/package/2006/relationships"><Relationship Id="rId1" Type="http://schemas.openxmlformats.org/officeDocument/2006/relationships/drawing" Target="../drawings/drawing10.xml"/>
</Relationships>
</file>

<file path=xl/worksheets/_rels/sheet11.xml.rels><?xml version="1.0" encoding="UTF-8"?>
<Relationships xmlns="http://schemas.openxmlformats.org/package/2006/relationships"><Relationship Id="rId1" Type="http://schemas.openxmlformats.org/officeDocument/2006/relationships/drawing" Target="../drawings/drawing11.xml"/>
</Relationships>
</file>

<file path=xl/worksheets/_rels/sheet12.xml.rels><?xml version="1.0" encoding="UTF-8"?>
<Relationships xmlns="http://schemas.openxmlformats.org/package/2006/relationships"><Relationship Id="rId1" Type="http://schemas.openxmlformats.org/officeDocument/2006/relationships/drawing" Target="../drawings/drawing12.xml"/>
</Relationships>
</file>

<file path=xl/worksheets/_rels/sheet13.xml.rels><?xml version="1.0" encoding="UTF-8"?>
<Relationships xmlns="http://schemas.openxmlformats.org/package/2006/relationships"><Relationship Id="rId1" Type="http://schemas.openxmlformats.org/officeDocument/2006/relationships/drawing" Target="../drawings/drawing13.xml"/>
</Relationships>
</file>

<file path=xl/worksheets/_rels/sheet14.xml.rels><?xml version="1.0" encoding="UTF-8"?>
<Relationships xmlns="http://schemas.openxmlformats.org/package/2006/relationships"><Relationship Id="rId1" Type="http://schemas.openxmlformats.org/officeDocument/2006/relationships/drawing" Target="../drawings/drawing14.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drawing" Target="../drawings/drawing6.xml"/>
</Relationships>
</file>

<file path=xl/worksheets/_rels/sheet7.xml.rels><?xml version="1.0" encoding="UTF-8"?>
<Relationships xmlns="http://schemas.openxmlformats.org/package/2006/relationships"><Relationship Id="rId1" Type="http://schemas.openxmlformats.org/officeDocument/2006/relationships/drawing" Target="../drawings/drawing7.xml"/>
</Relationships>
</file>

<file path=xl/worksheets/_rels/sheet8.xml.rels><?xml version="1.0" encoding="UTF-8"?>
<Relationships xmlns="http://schemas.openxmlformats.org/package/2006/relationships"><Relationship Id="rId1" Type="http://schemas.openxmlformats.org/officeDocument/2006/relationships/drawing" Target="../drawings/drawing8.xml"/>
</Relationships>
</file>

<file path=xl/worksheets/_rels/sheet9.xml.rels><?xml version="1.0" encoding="UTF-8"?>
<Relationships xmlns="http://schemas.openxmlformats.org/package/2006/relationships"><Relationship Id="rId1"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C1628"/>
    <pageSetUpPr fitToPage="true"/>
  </sheetPr>
  <dimension ref="A1:H3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30"/>
    <col collapsed="false" customWidth="true" hidden="false" outlineLevel="0" max="7" min="3" style="1" width="26"/>
    <col collapsed="false" customWidth="true" hidden="false" outlineLevel="0" max="8" min="8" style="1" width="3"/>
  </cols>
  <sheetData>
    <row r="1" customFormat="false" ht="9.75" hidden="false" customHeight="true" outlineLevel="0" collapsed="false">
      <c r="A1" s="2"/>
      <c r="B1" s="2"/>
      <c r="C1" s="2"/>
      <c r="D1" s="2"/>
      <c r="E1" s="2"/>
      <c r="F1" s="2"/>
      <c r="G1" s="2"/>
      <c r="H1" s="2"/>
    </row>
    <row r="2" customFormat="false" ht="33.75" hidden="false" customHeight="true" outlineLevel="0" collapsed="false">
      <c r="A2" s="2"/>
      <c r="B2" s="2"/>
      <c r="C2" s="2"/>
      <c r="D2" s="2"/>
      <c r="E2" s="2"/>
      <c r="F2" s="2"/>
      <c r="G2" s="2"/>
      <c r="H2" s="2"/>
    </row>
    <row r="3" customFormat="false" ht="7.5" hidden="false" customHeight="true" outlineLevel="0" collapsed="false">
      <c r="A3" s="2"/>
      <c r="B3" s="2"/>
      <c r="C3" s="2"/>
      <c r="D3" s="2"/>
      <c r="E3" s="2"/>
      <c r="F3" s="2"/>
      <c r="G3" s="2"/>
      <c r="H3" s="2"/>
    </row>
    <row r="4" customFormat="false" ht="30" hidden="false" customHeight="true" outlineLevel="0" collapsed="false">
      <c r="A4" s="2"/>
      <c r="B4" s="3" t="s">
        <v>0</v>
      </c>
      <c r="C4" s="2"/>
      <c r="D4" s="2"/>
      <c r="E4" s="2"/>
      <c r="F4" s="2"/>
      <c r="G4" s="2"/>
      <c r="H4" s="2"/>
    </row>
    <row r="5" customFormat="false" ht="21.75" hidden="false" customHeight="true" outlineLevel="0" collapsed="false">
      <c r="A5" s="2"/>
      <c r="B5" s="4" t="s">
        <v>1</v>
      </c>
      <c r="C5" s="2"/>
      <c r="D5" s="2"/>
      <c r="E5" s="2"/>
      <c r="F5" s="2"/>
      <c r="G5" s="2"/>
      <c r="H5" s="2"/>
    </row>
    <row r="6" customFormat="false" ht="7.5" hidden="false" customHeight="true" outlineLevel="0" collapsed="false"/>
    <row r="7" customFormat="false" ht="24" hidden="false" customHeight="true" outlineLevel="0" collapsed="false">
      <c r="B7" s="5" t="s">
        <v>2</v>
      </c>
      <c r="C7" s="6"/>
      <c r="D7" s="6"/>
      <c r="E7" s="6"/>
      <c r="F7" s="6"/>
      <c r="G7" s="6"/>
    </row>
    <row r="8" customFormat="false" ht="57.75" hidden="false" customHeight="true" outlineLevel="0" collapsed="false">
      <c r="B8" s="7" t="s">
        <v>3</v>
      </c>
      <c r="C8" s="7"/>
      <c r="D8" s="7"/>
      <c r="E8" s="7"/>
      <c r="F8" s="7"/>
      <c r="G8" s="7"/>
    </row>
    <row r="10" customFormat="false" ht="24" hidden="false" customHeight="true" outlineLevel="0" collapsed="false">
      <c r="B10" s="5" t="s">
        <v>4</v>
      </c>
      <c r="C10" s="6"/>
      <c r="D10" s="6"/>
      <c r="E10" s="6"/>
      <c r="F10" s="6"/>
      <c r="G10" s="6"/>
    </row>
    <row r="11" customFormat="false" ht="30" hidden="false" customHeight="true" outlineLevel="0" collapsed="false">
      <c r="B11" s="8" t="s">
        <v>5</v>
      </c>
      <c r="C11" s="8"/>
      <c r="D11" s="8"/>
      <c r="E11" s="8"/>
      <c r="F11" s="8"/>
      <c r="G11" s="8"/>
    </row>
    <row r="12" customFormat="false" ht="30" hidden="false" customHeight="true" outlineLevel="0" collapsed="false">
      <c r="B12" s="8" t="s">
        <v>6</v>
      </c>
      <c r="C12" s="8"/>
      <c r="D12" s="8"/>
      <c r="E12" s="8"/>
      <c r="F12" s="8"/>
      <c r="G12" s="8"/>
    </row>
    <row r="13" customFormat="false" ht="30" hidden="false" customHeight="true" outlineLevel="0" collapsed="false">
      <c r="B13" s="8" t="s">
        <v>7</v>
      </c>
      <c r="C13" s="8"/>
      <c r="D13" s="8"/>
      <c r="E13" s="8"/>
      <c r="F13" s="8"/>
      <c r="G13" s="8"/>
    </row>
    <row r="14" customFormat="false" ht="30" hidden="false" customHeight="true" outlineLevel="0" collapsed="false">
      <c r="B14" s="8" t="s">
        <v>8</v>
      </c>
      <c r="C14" s="8"/>
      <c r="D14" s="8"/>
      <c r="E14" s="8"/>
      <c r="F14" s="8"/>
      <c r="G14" s="8"/>
    </row>
    <row r="15" customFormat="false" ht="30" hidden="false" customHeight="true" outlineLevel="0" collapsed="false">
      <c r="B15" s="8" t="s">
        <v>9</v>
      </c>
      <c r="C15" s="8"/>
      <c r="D15" s="8"/>
      <c r="E15" s="8"/>
      <c r="F15" s="8"/>
      <c r="G15" s="8"/>
    </row>
    <row r="17" customFormat="false" ht="24" hidden="false" customHeight="true" outlineLevel="0" collapsed="false">
      <c r="B17" s="5" t="s">
        <v>10</v>
      </c>
      <c r="C17" s="6"/>
      <c r="D17" s="6"/>
      <c r="E17" s="6"/>
      <c r="F17" s="6"/>
      <c r="G17" s="6"/>
    </row>
    <row r="18" customFormat="false" ht="30" hidden="false" customHeight="true" outlineLevel="0" collapsed="false">
      <c r="B18" s="8" t="s">
        <v>11</v>
      </c>
      <c r="C18" s="8"/>
      <c r="D18" s="8"/>
      <c r="E18" s="8"/>
      <c r="F18" s="8"/>
      <c r="G18" s="8"/>
    </row>
    <row r="19" customFormat="false" ht="30" hidden="false" customHeight="true" outlineLevel="0" collapsed="false">
      <c r="B19" s="8" t="s">
        <v>12</v>
      </c>
      <c r="C19" s="8"/>
      <c r="D19" s="8"/>
      <c r="E19" s="8"/>
      <c r="F19" s="8"/>
      <c r="G19" s="8"/>
    </row>
    <row r="20" customFormat="false" ht="30" hidden="false" customHeight="true" outlineLevel="0" collapsed="false">
      <c r="B20" s="8" t="s">
        <v>13</v>
      </c>
      <c r="C20" s="8"/>
      <c r="D20" s="8"/>
      <c r="E20" s="8"/>
      <c r="F20" s="8"/>
      <c r="G20" s="8"/>
    </row>
    <row r="21" customFormat="false" ht="30" hidden="false" customHeight="true" outlineLevel="0" collapsed="false">
      <c r="B21" s="8" t="s">
        <v>14</v>
      </c>
      <c r="C21" s="8"/>
      <c r="D21" s="8"/>
      <c r="E21" s="8"/>
      <c r="F21" s="8"/>
      <c r="G21" s="8"/>
    </row>
    <row r="22" customFormat="false" ht="30" hidden="false" customHeight="true" outlineLevel="0" collapsed="false">
      <c r="B22" s="8" t="s">
        <v>15</v>
      </c>
      <c r="C22" s="8"/>
      <c r="D22" s="8"/>
      <c r="E22" s="8"/>
      <c r="F22" s="8"/>
      <c r="G22" s="8"/>
    </row>
    <row r="24" customFormat="false" ht="24" hidden="false" customHeight="true" outlineLevel="0" collapsed="false">
      <c r="B24" s="5" t="s">
        <v>16</v>
      </c>
      <c r="C24" s="6"/>
      <c r="D24" s="6"/>
      <c r="E24" s="6"/>
      <c r="F24" s="6"/>
      <c r="G24" s="6"/>
    </row>
    <row r="25" customFormat="false" ht="30" hidden="false" customHeight="true" outlineLevel="0" collapsed="false">
      <c r="B25" s="9" t="s">
        <v>17</v>
      </c>
      <c r="C25" s="9" t="s">
        <v>18</v>
      </c>
      <c r="D25" s="9"/>
      <c r="E25" s="9" t="s">
        <v>17</v>
      </c>
      <c r="F25" s="9" t="s">
        <v>18</v>
      </c>
      <c r="G25" s="9"/>
    </row>
    <row r="26" customFormat="false" ht="21.75" hidden="false" customHeight="true" outlineLevel="0" collapsed="false">
      <c r="B26" s="10" t="s">
        <v>19</v>
      </c>
      <c r="C26" s="11" t="s">
        <v>0</v>
      </c>
      <c r="D26" s="11"/>
      <c r="E26" s="10" t="s">
        <v>20</v>
      </c>
      <c r="F26" s="11" t="s">
        <v>21</v>
      </c>
      <c r="G26" s="11"/>
    </row>
    <row r="27" customFormat="false" ht="21.75" hidden="false" customHeight="true" outlineLevel="0" collapsed="false">
      <c r="B27" s="10" t="s">
        <v>22</v>
      </c>
      <c r="C27" s="11"/>
      <c r="D27" s="11"/>
      <c r="E27" s="10" t="s">
        <v>23</v>
      </c>
      <c r="F27" s="11"/>
      <c r="G27" s="11"/>
    </row>
    <row r="28" customFormat="false" ht="21.75" hidden="false" customHeight="true" outlineLevel="0" collapsed="false">
      <c r="B28" s="10" t="s">
        <v>24</v>
      </c>
      <c r="C28" s="11"/>
      <c r="D28" s="11"/>
      <c r="E28" s="10" t="s">
        <v>25</v>
      </c>
      <c r="F28" s="11"/>
      <c r="G28" s="11"/>
    </row>
    <row r="29" customFormat="false" ht="21.75" hidden="false" customHeight="true" outlineLevel="0" collapsed="false">
      <c r="B29" s="10" t="s">
        <v>26</v>
      </c>
      <c r="C29" s="11"/>
      <c r="D29" s="11"/>
      <c r="E29" s="10" t="s">
        <v>27</v>
      </c>
      <c r="F29" s="11"/>
      <c r="G29" s="11"/>
    </row>
    <row r="30" customFormat="false" ht="21.75" hidden="false" customHeight="true" outlineLevel="0" collapsed="false">
      <c r="B30" s="10" t="s">
        <v>28</v>
      </c>
      <c r="C30" s="11"/>
      <c r="D30" s="11"/>
      <c r="E30" s="10" t="s">
        <v>29</v>
      </c>
      <c r="F30" s="11"/>
      <c r="G30" s="11"/>
    </row>
    <row r="33" customFormat="false" ht="24" hidden="false" customHeight="true" outlineLevel="0" collapsed="false">
      <c r="B33" s="5" t="s">
        <v>30</v>
      </c>
      <c r="C33" s="6"/>
      <c r="D33" s="6"/>
      <c r="E33" s="6"/>
      <c r="F33" s="6"/>
      <c r="G33" s="6"/>
    </row>
    <row r="34" customFormat="false" ht="61.5" hidden="false" customHeight="true" outlineLevel="0" collapsed="false">
      <c r="B34" s="12" t="s">
        <v>31</v>
      </c>
      <c r="C34" s="12"/>
      <c r="D34" s="12"/>
      <c r="E34" s="12"/>
      <c r="F34" s="12"/>
      <c r="G34" s="12"/>
    </row>
    <row r="36" customFormat="false" ht="19.5" hidden="false" customHeight="true" outlineLevel="0" collapsed="false">
      <c r="B36" s="13" t="s">
        <v>32</v>
      </c>
      <c r="C36" s="14"/>
      <c r="D36" s="14"/>
      <c r="E36" s="14"/>
      <c r="F36" s="14"/>
      <c r="G36" s="15" t="s">
        <v>33</v>
      </c>
    </row>
  </sheetData>
  <mergeCells count="24">
    <mergeCell ref="B8:G8"/>
    <mergeCell ref="B11:G11"/>
    <mergeCell ref="B12:G12"/>
    <mergeCell ref="B13:G13"/>
    <mergeCell ref="B14:G14"/>
    <mergeCell ref="B15:G15"/>
    <mergeCell ref="B18:G18"/>
    <mergeCell ref="B19:G19"/>
    <mergeCell ref="B20:G20"/>
    <mergeCell ref="B21:G21"/>
    <mergeCell ref="B22:G22"/>
    <mergeCell ref="C25:D25"/>
    <mergeCell ref="F25:G25"/>
    <mergeCell ref="C26:D26"/>
    <mergeCell ref="F26:G26"/>
    <mergeCell ref="C27:D27"/>
    <mergeCell ref="F27:G27"/>
    <mergeCell ref="C28:D28"/>
    <mergeCell ref="F28:G28"/>
    <mergeCell ref="C29:D29"/>
    <mergeCell ref="F29:G29"/>
    <mergeCell ref="C30:D30"/>
    <mergeCell ref="F30:G30"/>
    <mergeCell ref="B34:G34"/>
  </mergeCells>
  <hyperlinks>
    <hyperlink ref="G36" r:id="rId1" display="Visit mastt.com  ↗"/>
  </hyperlinks>
  <printOptions headings="false" gridLines="false" gridLinesSet="true" horizontalCentered="true" verticalCentered="false"/>
  <pageMargins left="0.4" right="0.4" top="0.5" bottom="0.5"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&amp;L&amp;8 &amp;K8e98a2Template by Mastt  ·  mastt.com&amp;R&amp;8 &amp;K8e98a2Page &amp;P of &amp;N</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A1:K4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11" topLeftCell="C12" activePane="bottomRight" state="frozen"/>
      <selection pane="topLeft" activeCell="A1" activeCellId="0" sqref="A1"/>
      <selection pane="topRight" activeCell="C1" activeCellId="0" sqref="C1"/>
      <selection pane="bottomLeft" activeCell="A12" activeCellId="0" sqref="A12"/>
      <selection pane="bottomRight" activeCell="A1" activeCellId="0" sqref="A1"/>
    </sheetView>
  </sheetViews>
  <sheetFormatPr defaultColWidth="8.6796875" defaultRowHeight="15" zeroHeight="false" outlineLevelRow="0" outlineLevelCol="0"/>
  <cols>
    <col collapsed="false" customWidth="true" hidden="false" outlineLevel="0" max="1" min="1" style="1" width="2.5"/>
    <col collapsed="false" customWidth="true" hidden="false" outlineLevel="0" max="2" min="2" style="1" width="42"/>
    <col collapsed="false" customWidth="true" hidden="false" outlineLevel="0" max="3" min="3" style="1" width="20"/>
    <col collapsed="false" customWidth="true" hidden="false" outlineLevel="0" max="4" min="4" style="1" width="28"/>
    <col collapsed="false" customWidth="true" hidden="false" outlineLevel="0" max="6" min="5" style="1" width="14"/>
    <col collapsed="false" customWidth="true" hidden="false" outlineLevel="0" max="7" min="7" style="1" width="12"/>
    <col collapsed="false" customWidth="true" hidden="false" outlineLevel="0" max="8" min="8" style="1" width="24"/>
    <col collapsed="false" customWidth="true" hidden="false" outlineLevel="0" max="9" min="9" style="1" width="14"/>
    <col collapsed="false" customWidth="true" hidden="false" outlineLevel="0" max="10" min="10" style="1" width="30"/>
    <col collapsed="false" customWidth="true" hidden="false" outlineLevel="0" max="11" min="11" style="1" width="34"/>
  </cols>
  <sheetData>
    <row r="1" customFormat="false" ht="9.75" hidden="false" customHeight="true" outlineLevel="0" collapsed="false">
      <c r="A1" s="2"/>
      <c r="B1" s="2"/>
      <c r="C1" s="2"/>
      <c r="D1" s="2"/>
      <c r="E1" s="2"/>
      <c r="F1" s="2"/>
      <c r="G1" s="2"/>
      <c r="H1" s="2"/>
      <c r="I1" s="2"/>
      <c r="J1" s="2"/>
      <c r="K1" s="2"/>
    </row>
    <row r="2" customFormat="false" ht="33.75" hidden="false" customHeight="true" outlineLevel="0" collapsed="false">
      <c r="A2" s="2"/>
      <c r="B2" s="2"/>
      <c r="C2" s="2"/>
      <c r="D2" s="2"/>
      <c r="E2" s="2"/>
      <c r="F2" s="2"/>
      <c r="G2" s="2"/>
      <c r="H2" s="2"/>
      <c r="I2" s="2"/>
      <c r="J2" s="2"/>
      <c r="K2" s="2"/>
    </row>
    <row r="3" customFormat="false" ht="7.5" hidden="false" customHeight="true" outlineLevel="0" collapsed="false">
      <c r="A3" s="2"/>
      <c r="B3" s="2"/>
      <c r="C3" s="2"/>
      <c r="D3" s="2"/>
      <c r="E3" s="2"/>
      <c r="F3" s="2"/>
      <c r="G3" s="2"/>
      <c r="H3" s="2"/>
      <c r="I3" s="2"/>
      <c r="J3" s="2"/>
      <c r="K3" s="2"/>
    </row>
    <row r="4" customFormat="false" ht="30" hidden="false" customHeight="true" outlineLevel="0" collapsed="false">
      <c r="A4" s="2"/>
      <c r="B4" s="3" t="s">
        <v>1329</v>
      </c>
      <c r="C4" s="2"/>
      <c r="D4" s="2"/>
      <c r="E4" s="2"/>
      <c r="F4" s="2"/>
      <c r="G4" s="2"/>
      <c r="H4" s="2"/>
      <c r="I4" s="2"/>
      <c r="J4" s="2"/>
      <c r="K4" s="2"/>
    </row>
    <row r="5" customFormat="false" ht="21.75" hidden="false" customHeight="true" outlineLevel="0" collapsed="false">
      <c r="A5" s="2"/>
      <c r="B5" s="4" t="s">
        <v>1</v>
      </c>
      <c r="C5" s="2"/>
      <c r="D5" s="2"/>
      <c r="E5" s="2"/>
      <c r="F5" s="2"/>
      <c r="G5" s="2"/>
      <c r="H5" s="2"/>
      <c r="I5" s="2"/>
      <c r="J5" s="2"/>
      <c r="K5" s="2"/>
    </row>
    <row r="6" customFormat="false" ht="7.5" hidden="false" customHeight="true" outlineLevel="0" collapsed="false"/>
    <row r="7" customFormat="false" ht="30" hidden="false" customHeight="true" outlineLevel="0" collapsed="false">
      <c r="B7" s="23" t="s">
        <v>1330</v>
      </c>
      <c r="C7" s="23"/>
      <c r="D7" s="23"/>
      <c r="E7" s="23"/>
      <c r="F7" s="23"/>
      <c r="G7" s="23"/>
      <c r="H7" s="23"/>
      <c r="I7" s="23"/>
      <c r="J7" s="23"/>
      <c r="K7" s="23"/>
    </row>
    <row r="8" customFormat="false" ht="15.75" hidden="false" customHeight="true" outlineLevel="0" collapsed="false">
      <c r="B8" s="59" t="s">
        <v>1331</v>
      </c>
      <c r="C8" s="59"/>
      <c r="D8" s="59" t="s">
        <v>1332</v>
      </c>
      <c r="E8" s="59"/>
      <c r="F8" s="59" t="s">
        <v>1333</v>
      </c>
      <c r="G8" s="59"/>
      <c r="H8" s="59" t="s">
        <v>1334</v>
      </c>
      <c r="I8" s="59"/>
    </row>
    <row r="9" customFormat="false" ht="25.5" hidden="false" customHeight="true" outlineLevel="0" collapsed="false">
      <c r="B9" s="60" t="n">
        <f aca="false">COUNTA('Spares, Keys &amp; Attic Stock'!$B$12:$B$40)</f>
        <v>29</v>
      </c>
      <c r="C9" s="60"/>
      <c r="D9" s="60" t="n">
        <f aca="false">SUMPRODUCT(('Spares, Keys &amp; Attic Stock'!$G$12:$G$40&lt;&gt;"")*('Spares, Keys &amp; Attic Stock'!$G$12:$G$40&gt;=0))</f>
        <v>0</v>
      </c>
      <c r="E9" s="60"/>
      <c r="F9" s="60" t="n">
        <f aca="false">SUMPRODUCT(('Spares, Keys &amp; Attic Stock'!$G$12:$G$40&lt;&gt;"")*('Spares, Keys &amp; Attic Stock'!$G$12:$G$40&lt;0))</f>
        <v>0</v>
      </c>
      <c r="G9" s="60"/>
      <c r="H9" s="60" t="n">
        <f aca="false">COUNTA('Spares, Keys &amp; Attic Stock'!$H$12:$H$40)</f>
        <v>0</v>
      </c>
      <c r="I9" s="60"/>
    </row>
    <row r="11" customFormat="false" ht="43.5" hidden="false" customHeight="true" outlineLevel="0" collapsed="false">
      <c r="B11" s="9" t="s">
        <v>1335</v>
      </c>
      <c r="C11" s="9" t="s">
        <v>899</v>
      </c>
      <c r="D11" s="9" t="s">
        <v>1336</v>
      </c>
      <c r="E11" s="9" t="s">
        <v>1337</v>
      </c>
      <c r="F11" s="9" t="s">
        <v>1338</v>
      </c>
      <c r="G11" s="9" t="s">
        <v>1339</v>
      </c>
      <c r="H11" s="9" t="s">
        <v>1340</v>
      </c>
      <c r="I11" s="9" t="s">
        <v>1341</v>
      </c>
      <c r="J11" s="9" t="s">
        <v>1342</v>
      </c>
      <c r="K11" s="9" t="s">
        <v>1343</v>
      </c>
    </row>
    <row r="12" customFormat="false" ht="15" hidden="false" customHeight="true" outlineLevel="0" collapsed="false">
      <c r="B12" s="39" t="s">
        <v>1344</v>
      </c>
      <c r="C12" s="63" t="s">
        <v>910</v>
      </c>
      <c r="D12" s="48" t="s">
        <v>1345</v>
      </c>
      <c r="E12" s="74"/>
      <c r="F12" s="74"/>
      <c r="G12" s="75" t="str">
        <f aca="false">IFERROR(IF(COUNT($E12:$F12)=0,"",N($F12)-N($E12)),"")</f>
        <v/>
      </c>
      <c r="H12" s="48"/>
      <c r="I12" s="50"/>
      <c r="J12" s="48"/>
      <c r="K12" s="48"/>
    </row>
    <row r="13" customFormat="false" ht="15" hidden="false" customHeight="true" outlineLevel="0" collapsed="false">
      <c r="B13" s="41" t="s">
        <v>1346</v>
      </c>
      <c r="C13" s="66" t="s">
        <v>910</v>
      </c>
      <c r="D13" s="55" t="s">
        <v>1347</v>
      </c>
      <c r="E13" s="76"/>
      <c r="F13" s="76"/>
      <c r="G13" s="77" t="str">
        <f aca="false">IFERROR(IF(COUNT($E13:$F13)=0,"",N($F13)-N($E13)),"")</f>
        <v/>
      </c>
      <c r="H13" s="55"/>
      <c r="I13" s="57"/>
      <c r="J13" s="55"/>
      <c r="K13" s="55"/>
    </row>
    <row r="14" customFormat="false" ht="15" hidden="false" customHeight="true" outlineLevel="0" collapsed="false">
      <c r="B14" s="39" t="s">
        <v>1348</v>
      </c>
      <c r="C14" s="63" t="s">
        <v>910</v>
      </c>
      <c r="D14" s="48" t="s">
        <v>1349</v>
      </c>
      <c r="E14" s="74"/>
      <c r="F14" s="74"/>
      <c r="G14" s="75" t="str">
        <f aca="false">IFERROR(IF(COUNT($E14:$F14)=0,"",N($F14)-N($E14)),"")</f>
        <v/>
      </c>
      <c r="H14" s="48"/>
      <c r="I14" s="50"/>
      <c r="J14" s="48"/>
      <c r="K14" s="48"/>
    </row>
    <row r="15" customFormat="false" ht="23.25" hidden="false" customHeight="true" outlineLevel="0" collapsed="false">
      <c r="B15" s="41" t="s">
        <v>1350</v>
      </c>
      <c r="C15" s="66" t="s">
        <v>910</v>
      </c>
      <c r="D15" s="55" t="s">
        <v>1351</v>
      </c>
      <c r="E15" s="76"/>
      <c r="F15" s="76"/>
      <c r="G15" s="77" t="str">
        <f aca="false">IFERROR(IF(COUNT($E15:$F15)=0,"",N($F15)-N($E15)),"")</f>
        <v/>
      </c>
      <c r="H15" s="55"/>
      <c r="I15" s="57"/>
      <c r="J15" s="55"/>
      <c r="K15" s="55"/>
    </row>
    <row r="16" customFormat="false" ht="15" hidden="false" customHeight="true" outlineLevel="0" collapsed="false">
      <c r="B16" s="39" t="s">
        <v>1352</v>
      </c>
      <c r="C16" s="63" t="s">
        <v>910</v>
      </c>
      <c r="D16" s="48" t="s">
        <v>1353</v>
      </c>
      <c r="E16" s="74"/>
      <c r="F16" s="74"/>
      <c r="G16" s="75" t="str">
        <f aca="false">IFERROR(IF(COUNT($E16:$F16)=0,"",N($F16)-N($E16)),"")</f>
        <v/>
      </c>
      <c r="H16" s="48"/>
      <c r="I16" s="50"/>
      <c r="J16" s="48"/>
      <c r="K16" s="48"/>
    </row>
    <row r="17" customFormat="false" ht="15" hidden="false" customHeight="true" outlineLevel="0" collapsed="false">
      <c r="B17" s="41" t="s">
        <v>1354</v>
      </c>
      <c r="C17" s="66" t="s">
        <v>958</v>
      </c>
      <c r="D17" s="55" t="s">
        <v>1353</v>
      </c>
      <c r="E17" s="76"/>
      <c r="F17" s="76"/>
      <c r="G17" s="77" t="str">
        <f aca="false">IFERROR(IF(COUNT($E17:$F17)=0,"",N($F17)-N($E17)),"")</f>
        <v/>
      </c>
      <c r="H17" s="55"/>
      <c r="I17" s="57"/>
      <c r="J17" s="55"/>
      <c r="K17" s="55"/>
    </row>
    <row r="18" customFormat="false" ht="15" hidden="false" customHeight="true" outlineLevel="0" collapsed="false">
      <c r="B18" s="39" t="s">
        <v>1355</v>
      </c>
      <c r="C18" s="63" t="s">
        <v>958</v>
      </c>
      <c r="D18" s="48" t="s">
        <v>1356</v>
      </c>
      <c r="E18" s="74"/>
      <c r="F18" s="74"/>
      <c r="G18" s="75" t="str">
        <f aca="false">IFERROR(IF(COUNT($E18:$F18)=0,"",N($F18)-N($E18)),"")</f>
        <v/>
      </c>
      <c r="H18" s="48"/>
      <c r="I18" s="50"/>
      <c r="J18" s="48"/>
      <c r="K18" s="48"/>
    </row>
    <row r="19" customFormat="false" ht="15" hidden="false" customHeight="true" outlineLevel="0" collapsed="false">
      <c r="B19" s="41" t="s">
        <v>1357</v>
      </c>
      <c r="C19" s="66" t="s">
        <v>919</v>
      </c>
      <c r="D19" s="55" t="s">
        <v>1358</v>
      </c>
      <c r="E19" s="76"/>
      <c r="F19" s="76"/>
      <c r="G19" s="77" t="str">
        <f aca="false">IFERROR(IF(COUNT($E19:$F19)=0,"",N($F19)-N($E19)),"")</f>
        <v/>
      </c>
      <c r="H19" s="55"/>
      <c r="I19" s="57"/>
      <c r="J19" s="55"/>
      <c r="K19" s="55"/>
    </row>
    <row r="20" customFormat="false" ht="15" hidden="false" customHeight="true" outlineLevel="0" collapsed="false">
      <c r="B20" s="39" t="s">
        <v>1359</v>
      </c>
      <c r="C20" s="63" t="s">
        <v>919</v>
      </c>
      <c r="D20" s="48" t="s">
        <v>1360</v>
      </c>
      <c r="E20" s="74"/>
      <c r="F20" s="74"/>
      <c r="G20" s="75" t="str">
        <f aca="false">IFERROR(IF(COUNT($E20:$F20)=0,"",N($F20)-N($E20)),"")</f>
        <v/>
      </c>
      <c r="H20" s="48"/>
      <c r="I20" s="50"/>
      <c r="J20" s="48"/>
      <c r="K20" s="48"/>
    </row>
    <row r="21" customFormat="false" ht="15" hidden="false" customHeight="true" outlineLevel="0" collapsed="false">
      <c r="B21" s="41" t="s">
        <v>1361</v>
      </c>
      <c r="C21" s="66" t="s">
        <v>919</v>
      </c>
      <c r="D21" s="55" t="s">
        <v>1353</v>
      </c>
      <c r="E21" s="76"/>
      <c r="F21" s="76"/>
      <c r="G21" s="77" t="str">
        <f aca="false">IFERROR(IF(COUNT($E21:$F21)=0,"",N($F21)-N($E21)),"")</f>
        <v/>
      </c>
      <c r="H21" s="55"/>
      <c r="I21" s="57"/>
      <c r="J21" s="55"/>
      <c r="K21" s="55"/>
    </row>
    <row r="22" customFormat="false" ht="15" hidden="false" customHeight="true" outlineLevel="0" collapsed="false">
      <c r="B22" s="39" t="s">
        <v>1362</v>
      </c>
      <c r="C22" s="63" t="s">
        <v>919</v>
      </c>
      <c r="D22" s="48" t="s">
        <v>1353</v>
      </c>
      <c r="E22" s="74"/>
      <c r="F22" s="74"/>
      <c r="G22" s="75" t="str">
        <f aca="false">IFERROR(IF(COUNT($E22:$F22)=0,"",N($F22)-N($E22)),"")</f>
        <v/>
      </c>
      <c r="H22" s="48"/>
      <c r="I22" s="50"/>
      <c r="J22" s="48"/>
      <c r="K22" s="48"/>
    </row>
    <row r="23" customFormat="false" ht="15" hidden="false" customHeight="true" outlineLevel="0" collapsed="false">
      <c r="B23" s="41" t="s">
        <v>1363</v>
      </c>
      <c r="C23" s="66" t="s">
        <v>919</v>
      </c>
      <c r="D23" s="55" t="s">
        <v>1364</v>
      </c>
      <c r="E23" s="76"/>
      <c r="F23" s="76"/>
      <c r="G23" s="77" t="str">
        <f aca="false">IFERROR(IF(COUNT($E23:$F23)=0,"",N($F23)-N($E23)),"")</f>
        <v/>
      </c>
      <c r="H23" s="55"/>
      <c r="I23" s="57"/>
      <c r="J23" s="55"/>
      <c r="K23" s="55"/>
    </row>
    <row r="24" customFormat="false" ht="15" hidden="false" customHeight="true" outlineLevel="0" collapsed="false">
      <c r="B24" s="39" t="s">
        <v>1365</v>
      </c>
      <c r="C24" s="63" t="s">
        <v>919</v>
      </c>
      <c r="D24" s="48" t="s">
        <v>1366</v>
      </c>
      <c r="E24" s="74"/>
      <c r="F24" s="74"/>
      <c r="G24" s="75" t="str">
        <f aca="false">IFERROR(IF(COUNT($E24:$F24)=0,"",N($F24)-N($E24)),"")</f>
        <v/>
      </c>
      <c r="H24" s="48"/>
      <c r="I24" s="50"/>
      <c r="J24" s="48"/>
      <c r="K24" s="48"/>
    </row>
    <row r="25" customFormat="false" ht="15" hidden="false" customHeight="true" outlineLevel="0" collapsed="false">
      <c r="B25" s="41" t="s">
        <v>1367</v>
      </c>
      <c r="C25" s="66" t="s">
        <v>927</v>
      </c>
      <c r="D25" s="55" t="s">
        <v>1353</v>
      </c>
      <c r="E25" s="76"/>
      <c r="F25" s="76"/>
      <c r="G25" s="77" t="str">
        <f aca="false">IFERROR(IF(COUNT($E25:$F25)=0,"",N($F25)-N($E25)),"")</f>
        <v/>
      </c>
      <c r="H25" s="55"/>
      <c r="I25" s="57"/>
      <c r="J25" s="55"/>
      <c r="K25" s="55"/>
    </row>
    <row r="26" customFormat="false" ht="15" hidden="false" customHeight="true" outlineLevel="0" collapsed="false">
      <c r="B26" s="39" t="s">
        <v>1368</v>
      </c>
      <c r="C26" s="63" t="s">
        <v>927</v>
      </c>
      <c r="D26" s="48" t="s">
        <v>1369</v>
      </c>
      <c r="E26" s="74"/>
      <c r="F26" s="74"/>
      <c r="G26" s="75" t="str">
        <f aca="false">IFERROR(IF(COUNT($E26:$F26)=0,"",N($F26)-N($E26)),"")</f>
        <v/>
      </c>
      <c r="H26" s="48"/>
      <c r="I26" s="50"/>
      <c r="J26" s="48"/>
      <c r="K26" s="48"/>
    </row>
    <row r="27" customFormat="false" ht="15" hidden="false" customHeight="true" outlineLevel="0" collapsed="false">
      <c r="B27" s="41" t="s">
        <v>1370</v>
      </c>
      <c r="C27" s="66" t="s">
        <v>927</v>
      </c>
      <c r="D27" s="55" t="s">
        <v>1371</v>
      </c>
      <c r="E27" s="76"/>
      <c r="F27" s="76"/>
      <c r="G27" s="77" t="str">
        <f aca="false">IFERROR(IF(COUNT($E27:$F27)=0,"",N($F27)-N($E27)),"")</f>
        <v/>
      </c>
      <c r="H27" s="55"/>
      <c r="I27" s="57"/>
      <c r="J27" s="55"/>
      <c r="K27" s="55"/>
    </row>
    <row r="28" customFormat="false" ht="15" hidden="false" customHeight="true" outlineLevel="0" collapsed="false">
      <c r="B28" s="39" t="s">
        <v>1372</v>
      </c>
      <c r="C28" s="63" t="s">
        <v>934</v>
      </c>
      <c r="D28" s="48" t="s">
        <v>1373</v>
      </c>
      <c r="E28" s="74"/>
      <c r="F28" s="74"/>
      <c r="G28" s="75" t="str">
        <f aca="false">IFERROR(IF(COUNT($E28:$F28)=0,"",N($F28)-N($E28)),"")</f>
        <v/>
      </c>
      <c r="H28" s="48"/>
      <c r="I28" s="50"/>
      <c r="J28" s="48"/>
      <c r="K28" s="48"/>
    </row>
    <row r="29" customFormat="false" ht="15" hidden="false" customHeight="true" outlineLevel="0" collapsed="false">
      <c r="B29" s="41" t="s">
        <v>1374</v>
      </c>
      <c r="C29" s="66" t="s">
        <v>934</v>
      </c>
      <c r="D29" s="55" t="s">
        <v>1353</v>
      </c>
      <c r="E29" s="76"/>
      <c r="F29" s="76"/>
      <c r="G29" s="77" t="str">
        <f aca="false">IFERROR(IF(COUNT($E29:$F29)=0,"",N($F29)-N($E29)),"")</f>
        <v/>
      </c>
      <c r="H29" s="55"/>
      <c r="I29" s="57"/>
      <c r="J29" s="55"/>
      <c r="K29" s="55"/>
    </row>
    <row r="30" customFormat="false" ht="15" hidden="false" customHeight="true" outlineLevel="0" collapsed="false">
      <c r="B30" s="39" t="s">
        <v>1375</v>
      </c>
      <c r="C30" s="63" t="s">
        <v>934</v>
      </c>
      <c r="D30" s="48" t="s">
        <v>1376</v>
      </c>
      <c r="E30" s="74"/>
      <c r="F30" s="74"/>
      <c r="G30" s="75" t="str">
        <f aca="false">IFERROR(IF(COUNT($E30:$F30)=0,"",N($F30)-N($E30)),"")</f>
        <v/>
      </c>
      <c r="H30" s="48"/>
      <c r="I30" s="50"/>
      <c r="J30" s="48"/>
      <c r="K30" s="48"/>
    </row>
    <row r="31" customFormat="false" ht="15" hidden="false" customHeight="true" outlineLevel="0" collapsed="false">
      <c r="B31" s="41" t="s">
        <v>1377</v>
      </c>
      <c r="C31" s="66" t="s">
        <v>946</v>
      </c>
      <c r="D31" s="55" t="s">
        <v>1378</v>
      </c>
      <c r="E31" s="76"/>
      <c r="F31" s="76"/>
      <c r="G31" s="77" t="str">
        <f aca="false">IFERROR(IF(COUNT($E31:$F31)=0,"",N($F31)-N($E31)),"")</f>
        <v/>
      </c>
      <c r="H31" s="55"/>
      <c r="I31" s="57"/>
      <c r="J31" s="55"/>
      <c r="K31" s="55"/>
    </row>
    <row r="32" customFormat="false" ht="15" hidden="false" customHeight="true" outlineLevel="0" collapsed="false">
      <c r="B32" s="39" t="s">
        <v>1379</v>
      </c>
      <c r="C32" s="63" t="s">
        <v>946</v>
      </c>
      <c r="D32" s="48" t="s">
        <v>1380</v>
      </c>
      <c r="E32" s="74"/>
      <c r="F32" s="74"/>
      <c r="G32" s="75" t="str">
        <f aca="false">IFERROR(IF(COUNT($E32:$F32)=0,"",N($F32)-N($E32)),"")</f>
        <v/>
      </c>
      <c r="H32" s="48"/>
      <c r="I32" s="50"/>
      <c r="J32" s="48"/>
      <c r="K32" s="48"/>
    </row>
    <row r="33" customFormat="false" ht="15" hidden="false" customHeight="true" outlineLevel="0" collapsed="false">
      <c r="B33" s="41" t="s">
        <v>1381</v>
      </c>
      <c r="C33" s="66" t="s">
        <v>1382</v>
      </c>
      <c r="D33" s="55" t="s">
        <v>1383</v>
      </c>
      <c r="E33" s="76"/>
      <c r="F33" s="76"/>
      <c r="G33" s="77" t="str">
        <f aca="false">IFERROR(IF(COUNT($E33:$F33)=0,"",N($F33)-N($E33)),"")</f>
        <v/>
      </c>
      <c r="H33" s="55"/>
      <c r="I33" s="57"/>
      <c r="J33" s="55"/>
      <c r="K33" s="55"/>
    </row>
    <row r="34" customFormat="false" ht="15" hidden="false" customHeight="true" outlineLevel="0" collapsed="false">
      <c r="B34" s="39" t="s">
        <v>1384</v>
      </c>
      <c r="C34" s="63" t="s">
        <v>1382</v>
      </c>
      <c r="D34" s="48" t="s">
        <v>1383</v>
      </c>
      <c r="E34" s="74"/>
      <c r="F34" s="74"/>
      <c r="G34" s="75" t="str">
        <f aca="false">IFERROR(IF(COUNT($E34:$F34)=0,"",N($F34)-N($E34)),"")</f>
        <v/>
      </c>
      <c r="H34" s="48"/>
      <c r="I34" s="50"/>
      <c r="J34" s="48"/>
      <c r="K34" s="48"/>
    </row>
    <row r="35" customFormat="false" ht="15" hidden="false" customHeight="true" outlineLevel="0" collapsed="false">
      <c r="B35" s="41" t="s">
        <v>1385</v>
      </c>
      <c r="C35" s="66" t="s">
        <v>1382</v>
      </c>
      <c r="D35" s="55" t="s">
        <v>1383</v>
      </c>
      <c r="E35" s="76"/>
      <c r="F35" s="76"/>
      <c r="G35" s="77" t="str">
        <f aca="false">IFERROR(IF(COUNT($E35:$F35)=0,"",N($F35)-N($E35)),"")</f>
        <v/>
      </c>
      <c r="H35" s="55"/>
      <c r="I35" s="57"/>
      <c r="J35" s="55"/>
      <c r="K35" s="55"/>
    </row>
    <row r="36" customFormat="false" ht="15" hidden="false" customHeight="true" outlineLevel="0" collapsed="false">
      <c r="B36" s="39" t="s">
        <v>1386</v>
      </c>
      <c r="C36" s="63" t="s">
        <v>1382</v>
      </c>
      <c r="D36" s="48" t="s">
        <v>1387</v>
      </c>
      <c r="E36" s="74"/>
      <c r="F36" s="74"/>
      <c r="G36" s="75" t="str">
        <f aca="false">IFERROR(IF(COUNT($E36:$F36)=0,"",N($F36)-N($E36)),"")</f>
        <v/>
      </c>
      <c r="H36" s="48"/>
      <c r="I36" s="50"/>
      <c r="J36" s="48"/>
      <c r="K36" s="48"/>
    </row>
    <row r="37" customFormat="false" ht="15" hidden="false" customHeight="true" outlineLevel="0" collapsed="false">
      <c r="B37" s="41" t="s">
        <v>1388</v>
      </c>
      <c r="C37" s="66" t="s">
        <v>1382</v>
      </c>
      <c r="D37" s="55" t="s">
        <v>1389</v>
      </c>
      <c r="E37" s="76"/>
      <c r="F37" s="76"/>
      <c r="G37" s="77" t="str">
        <f aca="false">IFERROR(IF(COUNT($E37:$F37)=0,"",N($F37)-N($E37)),"")</f>
        <v/>
      </c>
      <c r="H37" s="55"/>
      <c r="I37" s="57"/>
      <c r="J37" s="55"/>
      <c r="K37" s="55"/>
    </row>
    <row r="38" customFormat="false" ht="15" hidden="false" customHeight="true" outlineLevel="0" collapsed="false">
      <c r="B38" s="39" t="s">
        <v>1390</v>
      </c>
      <c r="C38" s="63" t="s">
        <v>946</v>
      </c>
      <c r="D38" s="48" t="s">
        <v>1391</v>
      </c>
      <c r="E38" s="74"/>
      <c r="F38" s="74"/>
      <c r="G38" s="75" t="str">
        <f aca="false">IFERROR(IF(COUNT($E38:$F38)=0,"",N($F38)-N($E38)),"")</f>
        <v/>
      </c>
      <c r="H38" s="48"/>
      <c r="I38" s="50"/>
      <c r="J38" s="48"/>
      <c r="K38" s="48"/>
    </row>
    <row r="39" customFormat="false" ht="15" hidden="false" customHeight="true" outlineLevel="0" collapsed="false">
      <c r="B39" s="41" t="s">
        <v>1392</v>
      </c>
      <c r="C39" s="66" t="s">
        <v>1187</v>
      </c>
      <c r="D39" s="55" t="s">
        <v>1393</v>
      </c>
      <c r="E39" s="76"/>
      <c r="F39" s="76"/>
      <c r="G39" s="77" t="str">
        <f aca="false">IFERROR(IF(COUNT($E39:$F39)=0,"",N($F39)-N($E39)),"")</f>
        <v/>
      </c>
      <c r="H39" s="55"/>
      <c r="I39" s="57"/>
      <c r="J39" s="55"/>
      <c r="K39" s="55"/>
    </row>
    <row r="40" customFormat="false" ht="15" hidden="false" customHeight="true" outlineLevel="0" collapsed="false">
      <c r="B40" s="39" t="s">
        <v>1394</v>
      </c>
      <c r="C40" s="63" t="s">
        <v>1187</v>
      </c>
      <c r="D40" s="48" t="s">
        <v>1395</v>
      </c>
      <c r="E40" s="74"/>
      <c r="F40" s="74"/>
      <c r="G40" s="75" t="str">
        <f aca="false">IFERROR(IF(COUNT($E40:$F40)=0,"",N($F40)-N($E40)),"")</f>
        <v/>
      </c>
      <c r="H40" s="48"/>
      <c r="I40" s="50"/>
      <c r="J40" s="48"/>
      <c r="K40" s="48"/>
    </row>
  </sheetData>
  <autoFilter ref="B11:K40"/>
  <mergeCells count="9">
    <mergeCell ref="B7:K7"/>
    <mergeCell ref="B8:C8"/>
    <mergeCell ref="D8:E8"/>
    <mergeCell ref="F8:G8"/>
    <mergeCell ref="H8:I8"/>
    <mergeCell ref="B9:C9"/>
    <mergeCell ref="D9:E9"/>
    <mergeCell ref="F9:G9"/>
    <mergeCell ref="H9:I9"/>
  </mergeCells>
  <conditionalFormatting sqref="G12:G40">
    <cfRule type="expression" priority="2" aboveAverage="0" equalAverage="0" bottom="0" percent="0" rank="0" text="" dxfId="13">
      <formula>AND(ISNUMBER($G12),$G12&lt;0)</formula>
    </cfRule>
    <cfRule type="expression" priority="3" aboveAverage="0" equalAverage="0" bottom="0" percent="0" rank="0" text="" dxfId="17">
      <formula>AND(ISNUMBER($G12),$G12&gt;=0)</formula>
    </cfRule>
  </conditionalFormatting>
  <printOptions headings="false" gridLines="false" gridLinesSet="true" horizontalCentered="true" verticalCentered="false"/>
  <pageMargins left="0.4" right="0.4" top="0.5" bottom="0.5" header="0.511811023622047" footer="0.5"/>
  <pageSetup paperSize="8" scale="100" fitToWidth="1" fitToHeight="0" pageOrder="downThenOver" orientation="landscape" blackAndWhite="false" draft="false" cellComments="none" horizontalDpi="300" verticalDpi="300" copies="1"/>
  <headerFooter differentFirst="false" differentOddEven="false">
    <oddHeader/>
    <oddFooter>&amp;L&amp;8 &amp;K8e98a2Template by Mastt  ·  mastt.com&amp;R&amp;8 &amp;K8e98a2Page &amp;P of &amp;N</odd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A1:O4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4" ySplit="11" topLeftCell="E12" activePane="bottomRight" state="frozen"/>
      <selection pane="topLeft" activeCell="A1" activeCellId="0" sqref="A1"/>
      <selection pane="topRight" activeCell="E1" activeCellId="0" sqref="E1"/>
      <selection pane="bottomLeft" activeCell="A12" activeCellId="0" sqref="A12"/>
      <selection pane="bottomRight" activeCell="A1" activeCellId="0" sqref="A1"/>
    </sheetView>
  </sheetViews>
  <sheetFormatPr defaultColWidth="8.6796875" defaultRowHeight="15" zeroHeight="false" outlineLevelRow="0" outlineLevelCol="0"/>
  <cols>
    <col collapsed="false" customWidth="true" hidden="false" outlineLevel="0" max="1" min="1" style="1" width="2.5"/>
    <col collapsed="false" customWidth="true" hidden="false" outlineLevel="0" max="2" min="2" style="1" width="11"/>
    <col collapsed="false" customWidth="true" hidden="false" outlineLevel="0" max="3" min="3" style="1" width="26"/>
    <col collapsed="false" customWidth="true" hidden="false" outlineLevel="0" max="4" min="4" style="1" width="52"/>
    <col collapsed="false" customWidth="true" hidden="false" outlineLevel="0" max="5" min="5" style="1" width="18"/>
    <col collapsed="false" customWidth="true" hidden="false" outlineLevel="0" max="6" min="6" style="1" width="22"/>
    <col collapsed="false" customWidth="true" hidden="false" outlineLevel="0" max="7" min="7" style="1" width="13"/>
    <col collapsed="false" customWidth="true" hidden="false" outlineLevel="0" max="8" min="8" style="1" width="24"/>
    <col collapsed="false" customWidth="true" hidden="false" outlineLevel="0" max="9" min="9" style="1" width="13"/>
    <col collapsed="false" customWidth="true" hidden="false" outlineLevel="0" max="11" min="10" style="1" width="15"/>
    <col collapsed="false" customWidth="true" hidden="false" outlineLevel="0" max="12" min="12" style="1" width="13"/>
    <col collapsed="false" customWidth="true" hidden="false" outlineLevel="0" max="13" min="13" style="1" width="12"/>
    <col collapsed="false" customWidth="true" hidden="false" outlineLevel="0" max="14" min="14" style="1" width="15"/>
    <col collapsed="false" customWidth="true" hidden="false" outlineLevel="0" max="15" min="15" style="1" width="30"/>
  </cols>
  <sheetData>
    <row r="1" customFormat="false" ht="9.75" hidden="false" customHeight="true" outlineLevel="0" collapsed="false">
      <c r="A1" s="2"/>
      <c r="B1" s="2"/>
      <c r="C1" s="2"/>
      <c r="D1" s="2"/>
      <c r="E1" s="2"/>
      <c r="F1" s="2"/>
      <c r="G1" s="2"/>
      <c r="H1" s="2"/>
      <c r="I1" s="2"/>
      <c r="J1" s="2"/>
      <c r="K1" s="2"/>
      <c r="L1" s="2"/>
      <c r="M1" s="2"/>
      <c r="N1" s="2"/>
      <c r="O1" s="2"/>
    </row>
    <row r="2" customFormat="false" ht="33.75" hidden="false" customHeight="true" outlineLevel="0" collapsed="false">
      <c r="A2" s="2"/>
      <c r="B2" s="2"/>
      <c r="C2" s="2"/>
      <c r="D2" s="2"/>
      <c r="E2" s="2"/>
      <c r="F2" s="2"/>
      <c r="G2" s="2"/>
      <c r="H2" s="2"/>
      <c r="I2" s="2"/>
      <c r="J2" s="2"/>
      <c r="K2" s="2"/>
      <c r="L2" s="2"/>
      <c r="M2" s="2"/>
      <c r="N2" s="2"/>
      <c r="O2" s="2"/>
    </row>
    <row r="3" customFormat="false" ht="7.5" hidden="false" customHeight="true" outlineLevel="0" collapsed="false">
      <c r="A3" s="2"/>
      <c r="B3" s="2"/>
      <c r="C3" s="2"/>
      <c r="D3" s="2"/>
      <c r="E3" s="2"/>
      <c r="F3" s="2"/>
      <c r="G3" s="2"/>
      <c r="H3" s="2"/>
      <c r="I3" s="2"/>
      <c r="J3" s="2"/>
      <c r="K3" s="2"/>
      <c r="L3" s="2"/>
      <c r="M3" s="2"/>
      <c r="N3" s="2"/>
      <c r="O3" s="2"/>
    </row>
    <row r="4" customFormat="false" ht="30" hidden="false" customHeight="true" outlineLevel="0" collapsed="false">
      <c r="A4" s="2"/>
      <c r="B4" s="3" t="s">
        <v>1396</v>
      </c>
      <c r="C4" s="2"/>
      <c r="D4" s="2"/>
      <c r="E4" s="2"/>
      <c r="F4" s="2"/>
      <c r="G4" s="2"/>
      <c r="H4" s="2"/>
      <c r="I4" s="2"/>
      <c r="J4" s="2"/>
      <c r="K4" s="2"/>
      <c r="L4" s="2"/>
      <c r="M4" s="2"/>
      <c r="N4" s="2"/>
      <c r="O4" s="2"/>
    </row>
    <row r="5" customFormat="false" ht="21.75" hidden="false" customHeight="true" outlineLevel="0" collapsed="false">
      <c r="A5" s="2"/>
      <c r="B5" s="4" t="s">
        <v>1</v>
      </c>
      <c r="C5" s="2"/>
      <c r="D5" s="2"/>
      <c r="E5" s="2"/>
      <c r="F5" s="2"/>
      <c r="G5" s="2"/>
      <c r="H5" s="2"/>
      <c r="I5" s="2"/>
      <c r="J5" s="2"/>
      <c r="K5" s="2"/>
      <c r="L5" s="2"/>
      <c r="M5" s="2"/>
      <c r="N5" s="2"/>
      <c r="O5" s="2"/>
    </row>
    <row r="6" customFormat="false" ht="7.5" hidden="false" customHeight="true" outlineLevel="0" collapsed="false"/>
    <row r="7" customFormat="false" ht="30" hidden="false" customHeight="true" outlineLevel="0" collapsed="false">
      <c r="B7" s="23" t="s">
        <v>1397</v>
      </c>
      <c r="C7" s="23"/>
      <c r="D7" s="23"/>
      <c r="E7" s="23"/>
      <c r="F7" s="23"/>
      <c r="G7" s="23"/>
      <c r="H7" s="23"/>
      <c r="I7" s="23"/>
      <c r="J7" s="23"/>
      <c r="K7" s="23"/>
      <c r="L7" s="23"/>
      <c r="M7" s="23"/>
      <c r="N7" s="23"/>
      <c r="O7" s="23"/>
    </row>
    <row r="8" customFormat="false" ht="15.75" hidden="false" customHeight="true" outlineLevel="0" collapsed="false">
      <c r="B8" s="59" t="s">
        <v>1398</v>
      </c>
      <c r="C8" s="59"/>
      <c r="D8" s="59" t="s">
        <v>1399</v>
      </c>
      <c r="E8" s="59"/>
      <c r="F8" s="59" t="s">
        <v>1400</v>
      </c>
      <c r="G8" s="59"/>
      <c r="H8" s="59" t="s">
        <v>1401</v>
      </c>
      <c r="I8" s="59"/>
      <c r="J8" s="59" t="s">
        <v>1402</v>
      </c>
      <c r="K8" s="59"/>
      <c r="L8" s="59" t="s">
        <v>102</v>
      </c>
      <c r="M8" s="59"/>
    </row>
    <row r="9" customFormat="false" ht="25.5" hidden="false" customHeight="true" outlineLevel="0" collapsed="false">
      <c r="B9" s="60" t="n">
        <f aca="false">COUNTA('Outstanding Works &amp; Defects'!$C$12:$C$41)</f>
        <v>2</v>
      </c>
      <c r="C9" s="60"/>
      <c r="D9" s="60" t="n">
        <f aca="false">COUNTIF('Outstanding Works &amp; Defects'!$K$12:$K$41,"Open")+COUNTIF('Outstanding Works &amp; Defects'!$K$12:$K$41,"In progress")+COUNTIF('Outstanding Works &amp; Defects'!$K$12:$K$41,"Awaiting access")</f>
        <v>2</v>
      </c>
      <c r="E9" s="60"/>
      <c r="F9" s="60" t="n">
        <f aca="false">COUNTIF('Outstanding Works &amp; Defects'!$K$12:$K$41,"Closed")+COUNTIF('Outstanding Works &amp; Defects'!$K$12:$K$41,"Resolved")</f>
        <v>0</v>
      </c>
      <c r="G9" s="60"/>
      <c r="H9" s="60" t="n">
        <f aca="false">COUNTIFS('Outstanding Works &amp; Defects'!$I$12:$I$41,"P1 Critical",'Outstanding Works &amp; Defects'!$K$12:$K$41,"&lt;&gt;Closed",'Outstanding Works &amp; Defects'!$K$12:$K$41,"&lt;&gt;Rejected")</f>
        <v>1</v>
      </c>
      <c r="I9" s="60"/>
      <c r="J9" s="60" t="n">
        <f aca="false">COUNTIFS('Outstanding Works &amp; Defects'!$N$12:$N$41,"Yes",'Outstanding Works &amp; Defects'!$K$12:$K$41,"&lt;&gt;Closed")</f>
        <v>1</v>
      </c>
      <c r="K9" s="60"/>
      <c r="L9" s="60" t="n">
        <f aca="true">SUMPRODUCT(('Outstanding Works &amp; Defects'!$J$12:$J$41&lt;&gt;"")*('Outstanding Works &amp; Defects'!$J$12:$J$41&lt;TODAY())*('Outstanding Works &amp; Defects'!$K$12:$K$41&lt;&gt;"Closed")*('Outstanding Works &amp; Defects'!$K$12:$K$41&lt;&gt;"Rejected"))</f>
        <v>0</v>
      </c>
      <c r="M9" s="60"/>
    </row>
    <row r="11" customFormat="false" ht="43.5" hidden="false" customHeight="true" outlineLevel="0" collapsed="false">
      <c r="B11" s="9" t="s">
        <v>144</v>
      </c>
      <c r="C11" s="9" t="s">
        <v>1403</v>
      </c>
      <c r="D11" s="9" t="s">
        <v>1404</v>
      </c>
      <c r="E11" s="9" t="s">
        <v>119</v>
      </c>
      <c r="F11" s="9" t="s">
        <v>1405</v>
      </c>
      <c r="G11" s="9" t="s">
        <v>1406</v>
      </c>
      <c r="H11" s="9" t="s">
        <v>1407</v>
      </c>
      <c r="I11" s="9" t="s">
        <v>1408</v>
      </c>
      <c r="J11" s="9" t="s">
        <v>1409</v>
      </c>
      <c r="K11" s="9" t="s">
        <v>72</v>
      </c>
      <c r="L11" s="9" t="s">
        <v>1410</v>
      </c>
      <c r="M11" s="9" t="s">
        <v>1411</v>
      </c>
      <c r="N11" s="9" t="s">
        <v>1412</v>
      </c>
      <c r="O11" s="9" t="s">
        <v>1343</v>
      </c>
    </row>
    <row r="12" customFormat="false" ht="23.25" hidden="false" customHeight="true" outlineLevel="0" collapsed="false">
      <c r="B12" s="46" t="s">
        <v>1413</v>
      </c>
      <c r="C12" s="48" t="s">
        <v>1414</v>
      </c>
      <c r="D12" s="48" t="s">
        <v>1415</v>
      </c>
      <c r="E12" s="63" t="s">
        <v>1416</v>
      </c>
      <c r="F12" s="48" t="s">
        <v>192</v>
      </c>
      <c r="G12" s="50" t="n">
        <v>46237</v>
      </c>
      <c r="H12" s="48" t="s">
        <v>197</v>
      </c>
      <c r="I12" s="49" t="s">
        <v>1417</v>
      </c>
      <c r="J12" s="50" t="n">
        <v>46277</v>
      </c>
      <c r="K12" s="49" t="s">
        <v>81</v>
      </c>
      <c r="L12" s="50"/>
      <c r="M12" s="64" t="n">
        <f aca="true">IFERROR(IF($G12="","",IF($L12="",TODAY()-$G12,$L12-$G12)),"")</f>
        <v>10</v>
      </c>
      <c r="N12" s="49" t="s">
        <v>80</v>
      </c>
      <c r="O12" s="48" t="s">
        <v>1418</v>
      </c>
    </row>
    <row r="13" customFormat="false" ht="34.5" hidden="false" customHeight="true" outlineLevel="0" collapsed="false">
      <c r="B13" s="52" t="s">
        <v>1419</v>
      </c>
      <c r="C13" s="55" t="s">
        <v>1420</v>
      </c>
      <c r="D13" s="55" t="s">
        <v>1421</v>
      </c>
      <c r="E13" s="66" t="s">
        <v>1422</v>
      </c>
      <c r="F13" s="55" t="s">
        <v>271</v>
      </c>
      <c r="G13" s="57" t="n">
        <v>46231</v>
      </c>
      <c r="H13" s="55" t="s">
        <v>197</v>
      </c>
      <c r="I13" s="56" t="s">
        <v>1423</v>
      </c>
      <c r="J13" s="57" t="n">
        <v>46295</v>
      </c>
      <c r="K13" s="56" t="s">
        <v>1424</v>
      </c>
      <c r="L13" s="57"/>
      <c r="M13" s="67" t="n">
        <f aca="true">IFERROR(IF($G13="","",IF($L13="",TODAY()-$G13,$L13-$G13)),"")</f>
        <v>16</v>
      </c>
      <c r="N13" s="56" t="s">
        <v>79</v>
      </c>
      <c r="O13" s="55" t="s">
        <v>1425</v>
      </c>
    </row>
    <row r="14" customFormat="false" ht="15" hidden="false" customHeight="true" outlineLevel="0" collapsed="false">
      <c r="B14" s="46" t="s">
        <v>1426</v>
      </c>
      <c r="C14" s="48"/>
      <c r="D14" s="48"/>
      <c r="E14" s="63"/>
      <c r="F14" s="48"/>
      <c r="G14" s="50"/>
      <c r="H14" s="48"/>
      <c r="I14" s="49"/>
      <c r="J14" s="50"/>
      <c r="K14" s="49"/>
      <c r="L14" s="50"/>
      <c r="M14" s="64" t="str">
        <f aca="true">IFERROR(IF($G14="","",IF($L14="",TODAY()-$G14,$L14-$G14)),"")</f>
        <v/>
      </c>
      <c r="N14" s="49"/>
      <c r="O14" s="48"/>
    </row>
    <row r="15" customFormat="false" ht="15" hidden="false" customHeight="true" outlineLevel="0" collapsed="false">
      <c r="B15" s="52" t="s">
        <v>1427</v>
      </c>
      <c r="C15" s="55"/>
      <c r="D15" s="55"/>
      <c r="E15" s="66"/>
      <c r="F15" s="55"/>
      <c r="G15" s="57"/>
      <c r="H15" s="55"/>
      <c r="I15" s="56"/>
      <c r="J15" s="57"/>
      <c r="K15" s="56"/>
      <c r="L15" s="57"/>
      <c r="M15" s="67" t="str">
        <f aca="true">IFERROR(IF($G15="","",IF($L15="",TODAY()-$G15,$L15-$G15)),"")</f>
        <v/>
      </c>
      <c r="N15" s="56"/>
      <c r="O15" s="55"/>
    </row>
    <row r="16" customFormat="false" ht="15" hidden="false" customHeight="true" outlineLevel="0" collapsed="false">
      <c r="B16" s="46" t="s">
        <v>1428</v>
      </c>
      <c r="C16" s="48"/>
      <c r="D16" s="48"/>
      <c r="E16" s="63"/>
      <c r="F16" s="48"/>
      <c r="G16" s="50"/>
      <c r="H16" s="48"/>
      <c r="I16" s="49"/>
      <c r="J16" s="50"/>
      <c r="K16" s="49"/>
      <c r="L16" s="50"/>
      <c r="M16" s="64" t="str">
        <f aca="true">IFERROR(IF($G16="","",IF($L16="",TODAY()-$G16,$L16-$G16)),"")</f>
        <v/>
      </c>
      <c r="N16" s="49"/>
      <c r="O16" s="48"/>
    </row>
    <row r="17" customFormat="false" ht="15" hidden="false" customHeight="true" outlineLevel="0" collapsed="false">
      <c r="B17" s="52" t="s">
        <v>1429</v>
      </c>
      <c r="C17" s="55"/>
      <c r="D17" s="55"/>
      <c r="E17" s="66"/>
      <c r="F17" s="55"/>
      <c r="G17" s="57"/>
      <c r="H17" s="55"/>
      <c r="I17" s="56"/>
      <c r="J17" s="57"/>
      <c r="K17" s="56"/>
      <c r="L17" s="57"/>
      <c r="M17" s="67" t="str">
        <f aca="true">IFERROR(IF($G17="","",IF($L17="",TODAY()-$G17,$L17-$G17)),"")</f>
        <v/>
      </c>
      <c r="N17" s="56"/>
      <c r="O17" s="55"/>
    </row>
    <row r="18" customFormat="false" ht="15" hidden="false" customHeight="true" outlineLevel="0" collapsed="false">
      <c r="B18" s="46" t="s">
        <v>1430</v>
      </c>
      <c r="C18" s="48"/>
      <c r="D18" s="48"/>
      <c r="E18" s="63"/>
      <c r="F18" s="48"/>
      <c r="G18" s="50"/>
      <c r="H18" s="48"/>
      <c r="I18" s="49"/>
      <c r="J18" s="50"/>
      <c r="K18" s="49"/>
      <c r="L18" s="50"/>
      <c r="M18" s="64" t="str">
        <f aca="true">IFERROR(IF($G18="","",IF($L18="",TODAY()-$G18,$L18-$G18)),"")</f>
        <v/>
      </c>
      <c r="N18" s="49"/>
      <c r="O18" s="48"/>
    </row>
    <row r="19" customFormat="false" ht="15" hidden="false" customHeight="true" outlineLevel="0" collapsed="false">
      <c r="B19" s="52" t="s">
        <v>1431</v>
      </c>
      <c r="C19" s="55"/>
      <c r="D19" s="55"/>
      <c r="E19" s="66"/>
      <c r="F19" s="55"/>
      <c r="G19" s="57"/>
      <c r="H19" s="55"/>
      <c r="I19" s="56"/>
      <c r="J19" s="57"/>
      <c r="K19" s="56"/>
      <c r="L19" s="57"/>
      <c r="M19" s="67" t="str">
        <f aca="true">IFERROR(IF($G19="","",IF($L19="",TODAY()-$G19,$L19-$G19)),"")</f>
        <v/>
      </c>
      <c r="N19" s="56"/>
      <c r="O19" s="55"/>
    </row>
    <row r="20" customFormat="false" ht="15" hidden="false" customHeight="true" outlineLevel="0" collapsed="false">
      <c r="B20" s="46" t="s">
        <v>1432</v>
      </c>
      <c r="C20" s="48"/>
      <c r="D20" s="48"/>
      <c r="E20" s="63"/>
      <c r="F20" s="48"/>
      <c r="G20" s="50"/>
      <c r="H20" s="48"/>
      <c r="I20" s="49"/>
      <c r="J20" s="50"/>
      <c r="K20" s="49"/>
      <c r="L20" s="50"/>
      <c r="M20" s="64" t="str">
        <f aca="true">IFERROR(IF($G20="","",IF($L20="",TODAY()-$G20,$L20-$G20)),"")</f>
        <v/>
      </c>
      <c r="N20" s="49"/>
      <c r="O20" s="48"/>
    </row>
    <row r="21" customFormat="false" ht="15" hidden="false" customHeight="true" outlineLevel="0" collapsed="false">
      <c r="B21" s="52" t="s">
        <v>1433</v>
      </c>
      <c r="C21" s="55"/>
      <c r="D21" s="55"/>
      <c r="E21" s="66"/>
      <c r="F21" s="55"/>
      <c r="G21" s="57"/>
      <c r="H21" s="55"/>
      <c r="I21" s="56"/>
      <c r="J21" s="57"/>
      <c r="K21" s="56"/>
      <c r="L21" s="57"/>
      <c r="M21" s="67" t="str">
        <f aca="true">IFERROR(IF($G21="","",IF($L21="",TODAY()-$G21,$L21-$G21)),"")</f>
        <v/>
      </c>
      <c r="N21" s="56"/>
      <c r="O21" s="55"/>
    </row>
    <row r="22" customFormat="false" ht="15" hidden="false" customHeight="true" outlineLevel="0" collapsed="false">
      <c r="B22" s="46" t="s">
        <v>1434</v>
      </c>
      <c r="C22" s="48"/>
      <c r="D22" s="48"/>
      <c r="E22" s="63"/>
      <c r="F22" s="48"/>
      <c r="G22" s="50"/>
      <c r="H22" s="48"/>
      <c r="I22" s="49"/>
      <c r="J22" s="50"/>
      <c r="K22" s="49"/>
      <c r="L22" s="50"/>
      <c r="M22" s="64" t="str">
        <f aca="true">IFERROR(IF($G22="","",IF($L22="",TODAY()-$G22,$L22-$G22)),"")</f>
        <v/>
      </c>
      <c r="N22" s="49"/>
      <c r="O22" s="48"/>
    </row>
    <row r="23" customFormat="false" ht="15" hidden="false" customHeight="true" outlineLevel="0" collapsed="false">
      <c r="B23" s="52" t="s">
        <v>1435</v>
      </c>
      <c r="C23" s="55"/>
      <c r="D23" s="55"/>
      <c r="E23" s="66"/>
      <c r="F23" s="55"/>
      <c r="G23" s="57"/>
      <c r="H23" s="55"/>
      <c r="I23" s="56"/>
      <c r="J23" s="57"/>
      <c r="K23" s="56"/>
      <c r="L23" s="57"/>
      <c r="M23" s="67" t="str">
        <f aca="true">IFERROR(IF($G23="","",IF($L23="",TODAY()-$G23,$L23-$G23)),"")</f>
        <v/>
      </c>
      <c r="N23" s="56"/>
      <c r="O23" s="55"/>
    </row>
    <row r="24" customFormat="false" ht="15" hidden="false" customHeight="true" outlineLevel="0" collapsed="false">
      <c r="B24" s="46" t="s">
        <v>1436</v>
      </c>
      <c r="C24" s="48"/>
      <c r="D24" s="48"/>
      <c r="E24" s="63"/>
      <c r="F24" s="48"/>
      <c r="G24" s="50"/>
      <c r="H24" s="48"/>
      <c r="I24" s="49"/>
      <c r="J24" s="50"/>
      <c r="K24" s="49"/>
      <c r="L24" s="50"/>
      <c r="M24" s="64" t="str">
        <f aca="true">IFERROR(IF($G24="","",IF($L24="",TODAY()-$G24,$L24-$G24)),"")</f>
        <v/>
      </c>
      <c r="N24" s="49"/>
      <c r="O24" s="48"/>
    </row>
    <row r="25" customFormat="false" ht="15" hidden="false" customHeight="true" outlineLevel="0" collapsed="false">
      <c r="B25" s="52" t="s">
        <v>1437</v>
      </c>
      <c r="C25" s="55"/>
      <c r="D25" s="55"/>
      <c r="E25" s="66"/>
      <c r="F25" s="55"/>
      <c r="G25" s="57"/>
      <c r="H25" s="55"/>
      <c r="I25" s="56"/>
      <c r="J25" s="57"/>
      <c r="K25" s="56"/>
      <c r="L25" s="57"/>
      <c r="M25" s="67" t="str">
        <f aca="true">IFERROR(IF($G25="","",IF($L25="",TODAY()-$G25,$L25-$G25)),"")</f>
        <v/>
      </c>
      <c r="N25" s="56"/>
      <c r="O25" s="55"/>
    </row>
    <row r="26" customFormat="false" ht="15" hidden="false" customHeight="true" outlineLevel="0" collapsed="false">
      <c r="B26" s="46" t="s">
        <v>1438</v>
      </c>
      <c r="C26" s="48"/>
      <c r="D26" s="48"/>
      <c r="E26" s="63"/>
      <c r="F26" s="48"/>
      <c r="G26" s="50"/>
      <c r="H26" s="48"/>
      <c r="I26" s="49"/>
      <c r="J26" s="50"/>
      <c r="K26" s="49"/>
      <c r="L26" s="50"/>
      <c r="M26" s="64" t="str">
        <f aca="true">IFERROR(IF($G26="","",IF($L26="",TODAY()-$G26,$L26-$G26)),"")</f>
        <v/>
      </c>
      <c r="N26" s="49"/>
      <c r="O26" s="48"/>
    </row>
    <row r="27" customFormat="false" ht="15" hidden="false" customHeight="true" outlineLevel="0" collapsed="false">
      <c r="B27" s="52" t="s">
        <v>1439</v>
      </c>
      <c r="C27" s="55"/>
      <c r="D27" s="55"/>
      <c r="E27" s="66"/>
      <c r="F27" s="55"/>
      <c r="G27" s="57"/>
      <c r="H27" s="55"/>
      <c r="I27" s="56"/>
      <c r="J27" s="57"/>
      <c r="K27" s="56"/>
      <c r="L27" s="57"/>
      <c r="M27" s="67" t="str">
        <f aca="true">IFERROR(IF($G27="","",IF($L27="",TODAY()-$G27,$L27-$G27)),"")</f>
        <v/>
      </c>
      <c r="N27" s="56"/>
      <c r="O27" s="55"/>
    </row>
    <row r="28" customFormat="false" ht="15" hidden="false" customHeight="true" outlineLevel="0" collapsed="false">
      <c r="B28" s="46" t="s">
        <v>1440</v>
      </c>
      <c r="C28" s="48"/>
      <c r="D28" s="48"/>
      <c r="E28" s="63"/>
      <c r="F28" s="48"/>
      <c r="G28" s="50"/>
      <c r="H28" s="48"/>
      <c r="I28" s="49"/>
      <c r="J28" s="50"/>
      <c r="K28" s="49"/>
      <c r="L28" s="50"/>
      <c r="M28" s="64" t="str">
        <f aca="true">IFERROR(IF($G28="","",IF($L28="",TODAY()-$G28,$L28-$G28)),"")</f>
        <v/>
      </c>
      <c r="N28" s="49"/>
      <c r="O28" s="48"/>
    </row>
    <row r="29" customFormat="false" ht="15" hidden="false" customHeight="true" outlineLevel="0" collapsed="false">
      <c r="B29" s="52" t="s">
        <v>1441</v>
      </c>
      <c r="C29" s="55"/>
      <c r="D29" s="55"/>
      <c r="E29" s="66"/>
      <c r="F29" s="55"/>
      <c r="G29" s="57"/>
      <c r="H29" s="55"/>
      <c r="I29" s="56"/>
      <c r="J29" s="57"/>
      <c r="K29" s="56"/>
      <c r="L29" s="57"/>
      <c r="M29" s="67" t="str">
        <f aca="true">IFERROR(IF($G29="","",IF($L29="",TODAY()-$G29,$L29-$G29)),"")</f>
        <v/>
      </c>
      <c r="N29" s="56"/>
      <c r="O29" s="55"/>
    </row>
    <row r="30" customFormat="false" ht="15" hidden="false" customHeight="true" outlineLevel="0" collapsed="false">
      <c r="B30" s="46" t="s">
        <v>1442</v>
      </c>
      <c r="C30" s="48"/>
      <c r="D30" s="48"/>
      <c r="E30" s="63"/>
      <c r="F30" s="48"/>
      <c r="G30" s="50"/>
      <c r="H30" s="48"/>
      <c r="I30" s="49"/>
      <c r="J30" s="50"/>
      <c r="K30" s="49"/>
      <c r="L30" s="50"/>
      <c r="M30" s="64" t="str">
        <f aca="true">IFERROR(IF($G30="","",IF($L30="",TODAY()-$G30,$L30-$G30)),"")</f>
        <v/>
      </c>
      <c r="N30" s="49"/>
      <c r="O30" s="48"/>
    </row>
    <row r="31" customFormat="false" ht="15" hidden="false" customHeight="true" outlineLevel="0" collapsed="false">
      <c r="B31" s="52" t="s">
        <v>1443</v>
      </c>
      <c r="C31" s="55"/>
      <c r="D31" s="55"/>
      <c r="E31" s="66"/>
      <c r="F31" s="55"/>
      <c r="G31" s="57"/>
      <c r="H31" s="55"/>
      <c r="I31" s="56"/>
      <c r="J31" s="57"/>
      <c r="K31" s="56"/>
      <c r="L31" s="57"/>
      <c r="M31" s="67" t="str">
        <f aca="true">IFERROR(IF($G31="","",IF($L31="",TODAY()-$G31,$L31-$G31)),"")</f>
        <v/>
      </c>
      <c r="N31" s="56"/>
      <c r="O31" s="55"/>
    </row>
    <row r="32" customFormat="false" ht="15" hidden="false" customHeight="true" outlineLevel="0" collapsed="false">
      <c r="B32" s="46" t="s">
        <v>1444</v>
      </c>
      <c r="C32" s="48"/>
      <c r="D32" s="48"/>
      <c r="E32" s="63"/>
      <c r="F32" s="48"/>
      <c r="G32" s="50"/>
      <c r="H32" s="48"/>
      <c r="I32" s="49"/>
      <c r="J32" s="50"/>
      <c r="K32" s="49"/>
      <c r="L32" s="50"/>
      <c r="M32" s="64" t="str">
        <f aca="true">IFERROR(IF($G32="","",IF($L32="",TODAY()-$G32,$L32-$G32)),"")</f>
        <v/>
      </c>
      <c r="N32" s="49"/>
      <c r="O32" s="48"/>
    </row>
    <row r="33" customFormat="false" ht="15" hidden="false" customHeight="true" outlineLevel="0" collapsed="false">
      <c r="B33" s="52" t="s">
        <v>1445</v>
      </c>
      <c r="C33" s="55"/>
      <c r="D33" s="55"/>
      <c r="E33" s="66"/>
      <c r="F33" s="55"/>
      <c r="G33" s="57"/>
      <c r="H33" s="55"/>
      <c r="I33" s="56"/>
      <c r="J33" s="57"/>
      <c r="K33" s="56"/>
      <c r="L33" s="57"/>
      <c r="M33" s="67" t="str">
        <f aca="true">IFERROR(IF($G33="","",IF($L33="",TODAY()-$G33,$L33-$G33)),"")</f>
        <v/>
      </c>
      <c r="N33" s="56"/>
      <c r="O33" s="55"/>
    </row>
    <row r="34" customFormat="false" ht="15" hidden="false" customHeight="true" outlineLevel="0" collapsed="false">
      <c r="B34" s="46" t="s">
        <v>1446</v>
      </c>
      <c r="C34" s="48"/>
      <c r="D34" s="48"/>
      <c r="E34" s="63"/>
      <c r="F34" s="48"/>
      <c r="G34" s="50"/>
      <c r="H34" s="48"/>
      <c r="I34" s="49"/>
      <c r="J34" s="50"/>
      <c r="K34" s="49"/>
      <c r="L34" s="50"/>
      <c r="M34" s="64" t="str">
        <f aca="true">IFERROR(IF($G34="","",IF($L34="",TODAY()-$G34,$L34-$G34)),"")</f>
        <v/>
      </c>
      <c r="N34" s="49"/>
      <c r="O34" s="48"/>
    </row>
    <row r="35" customFormat="false" ht="15" hidden="false" customHeight="true" outlineLevel="0" collapsed="false">
      <c r="B35" s="52" t="s">
        <v>1447</v>
      </c>
      <c r="C35" s="55"/>
      <c r="D35" s="55"/>
      <c r="E35" s="66"/>
      <c r="F35" s="55"/>
      <c r="G35" s="57"/>
      <c r="H35" s="55"/>
      <c r="I35" s="56"/>
      <c r="J35" s="57"/>
      <c r="K35" s="56"/>
      <c r="L35" s="57"/>
      <c r="M35" s="67" t="str">
        <f aca="true">IFERROR(IF($G35="","",IF($L35="",TODAY()-$G35,$L35-$G35)),"")</f>
        <v/>
      </c>
      <c r="N35" s="56"/>
      <c r="O35" s="55"/>
    </row>
    <row r="36" customFormat="false" ht="15" hidden="false" customHeight="true" outlineLevel="0" collapsed="false">
      <c r="B36" s="46" t="s">
        <v>1448</v>
      </c>
      <c r="C36" s="48"/>
      <c r="D36" s="48"/>
      <c r="E36" s="63"/>
      <c r="F36" s="48"/>
      <c r="G36" s="50"/>
      <c r="H36" s="48"/>
      <c r="I36" s="49"/>
      <c r="J36" s="50"/>
      <c r="K36" s="49"/>
      <c r="L36" s="50"/>
      <c r="M36" s="64" t="str">
        <f aca="true">IFERROR(IF($G36="","",IF($L36="",TODAY()-$G36,$L36-$G36)),"")</f>
        <v/>
      </c>
      <c r="N36" s="49"/>
      <c r="O36" s="48"/>
    </row>
    <row r="37" customFormat="false" ht="15" hidden="false" customHeight="true" outlineLevel="0" collapsed="false">
      <c r="B37" s="52" t="s">
        <v>1449</v>
      </c>
      <c r="C37" s="55"/>
      <c r="D37" s="55"/>
      <c r="E37" s="66"/>
      <c r="F37" s="55"/>
      <c r="G37" s="57"/>
      <c r="H37" s="55"/>
      <c r="I37" s="56"/>
      <c r="J37" s="57"/>
      <c r="K37" s="56"/>
      <c r="L37" s="57"/>
      <c r="M37" s="67" t="str">
        <f aca="true">IFERROR(IF($G37="","",IF($L37="",TODAY()-$G37,$L37-$G37)),"")</f>
        <v/>
      </c>
      <c r="N37" s="56"/>
      <c r="O37" s="55"/>
    </row>
    <row r="38" customFormat="false" ht="15" hidden="false" customHeight="true" outlineLevel="0" collapsed="false">
      <c r="B38" s="46" t="s">
        <v>1450</v>
      </c>
      <c r="C38" s="48"/>
      <c r="D38" s="48"/>
      <c r="E38" s="63"/>
      <c r="F38" s="48"/>
      <c r="G38" s="50"/>
      <c r="H38" s="48"/>
      <c r="I38" s="49"/>
      <c r="J38" s="50"/>
      <c r="K38" s="49"/>
      <c r="L38" s="50"/>
      <c r="M38" s="64" t="str">
        <f aca="true">IFERROR(IF($G38="","",IF($L38="",TODAY()-$G38,$L38-$G38)),"")</f>
        <v/>
      </c>
      <c r="N38" s="49"/>
      <c r="O38" s="48"/>
    </row>
    <row r="39" customFormat="false" ht="15" hidden="false" customHeight="true" outlineLevel="0" collapsed="false">
      <c r="B39" s="52" t="s">
        <v>1451</v>
      </c>
      <c r="C39" s="55"/>
      <c r="D39" s="55"/>
      <c r="E39" s="66"/>
      <c r="F39" s="55"/>
      <c r="G39" s="57"/>
      <c r="H39" s="55"/>
      <c r="I39" s="56"/>
      <c r="J39" s="57"/>
      <c r="K39" s="56"/>
      <c r="L39" s="57"/>
      <c r="M39" s="67" t="str">
        <f aca="true">IFERROR(IF($G39="","",IF($L39="",TODAY()-$G39,$L39-$G39)),"")</f>
        <v/>
      </c>
      <c r="N39" s="56"/>
      <c r="O39" s="55"/>
    </row>
    <row r="40" customFormat="false" ht="15" hidden="false" customHeight="true" outlineLevel="0" collapsed="false">
      <c r="B40" s="46" t="s">
        <v>1452</v>
      </c>
      <c r="C40" s="48"/>
      <c r="D40" s="48"/>
      <c r="E40" s="63"/>
      <c r="F40" s="48"/>
      <c r="G40" s="50"/>
      <c r="H40" s="48"/>
      <c r="I40" s="49"/>
      <c r="J40" s="50"/>
      <c r="K40" s="49"/>
      <c r="L40" s="50"/>
      <c r="M40" s="64" t="str">
        <f aca="true">IFERROR(IF($G40="","",IF($L40="",TODAY()-$G40,$L40-$G40)),"")</f>
        <v/>
      </c>
      <c r="N40" s="49"/>
      <c r="O40" s="48"/>
    </row>
    <row r="41" customFormat="false" ht="15" hidden="false" customHeight="true" outlineLevel="0" collapsed="false">
      <c r="B41" s="52" t="s">
        <v>1453</v>
      </c>
      <c r="C41" s="55"/>
      <c r="D41" s="55"/>
      <c r="E41" s="66"/>
      <c r="F41" s="55"/>
      <c r="G41" s="57"/>
      <c r="H41" s="55"/>
      <c r="I41" s="56"/>
      <c r="J41" s="57"/>
      <c r="K41" s="56"/>
      <c r="L41" s="57"/>
      <c r="M41" s="67" t="str">
        <f aca="true">IFERROR(IF($G41="","",IF($L41="",TODAY()-$G41,$L41-$G41)),"")</f>
        <v/>
      </c>
      <c r="N41" s="56"/>
      <c r="O41" s="55"/>
    </row>
  </sheetData>
  <autoFilter ref="B11:O41"/>
  <mergeCells count="13">
    <mergeCell ref="B7:O7"/>
    <mergeCell ref="B8:C8"/>
    <mergeCell ref="D8:E8"/>
    <mergeCell ref="F8:G8"/>
    <mergeCell ref="H8:I8"/>
    <mergeCell ref="J8:K8"/>
    <mergeCell ref="L8:M8"/>
    <mergeCell ref="B9:C9"/>
    <mergeCell ref="D9:E9"/>
    <mergeCell ref="F9:G9"/>
    <mergeCell ref="H9:I9"/>
    <mergeCell ref="J9:K9"/>
    <mergeCell ref="L9:M9"/>
  </mergeCells>
  <conditionalFormatting sqref="K12:K41">
    <cfRule type="cellIs" priority="2" operator="equal" aboveAverage="0" equalAverage="0" bottom="0" percent="0" rank="0" text="" dxfId="0">
      <formula>"Closed"</formula>
    </cfRule>
    <cfRule type="cellIs" priority="3" operator="equal" aboveAverage="0" equalAverage="0" bottom="0" percent="0" rank="0" text="" dxfId="0">
      <formula>"Resolved"</formula>
    </cfRule>
    <cfRule type="cellIs" priority="4" operator="equal" aboveAverage="0" equalAverage="0" bottom="0" percent="0" rank="0" text="" dxfId="11">
      <formula>"In progress"</formula>
    </cfRule>
    <cfRule type="cellIs" priority="5" operator="equal" aboveAverage="0" equalAverage="0" bottom="0" percent="0" rank="0" text="" dxfId="11">
      <formula>"Awaiting access"</formula>
    </cfRule>
    <cfRule type="cellIs" priority="6" operator="equal" aboveAverage="0" equalAverage="0" bottom="0" percent="0" rank="0" text="" dxfId="1">
      <formula>"Open"</formula>
    </cfRule>
    <cfRule type="cellIs" priority="7" operator="equal" aboveAverage="0" equalAverage="0" bottom="0" percent="0" rank="0" text="" dxfId="12">
      <formula>"Rejected"</formula>
    </cfRule>
  </conditionalFormatting>
  <conditionalFormatting sqref="I12:I41">
    <cfRule type="cellIs" priority="8" operator="equal" aboveAverage="0" equalAverage="0" bottom="0" percent="0" rank="0" text="" dxfId="1">
      <formula>"P1 Critical"</formula>
    </cfRule>
  </conditionalFormatting>
  <conditionalFormatting sqref="J12:J41">
    <cfRule type="expression" priority="9" aboveAverage="0" equalAverage="0" bottom="0" percent="0" rank="0" text="" dxfId="13">
      <formula>AND($J12&lt;&gt;"",$J12&lt;TODAY(),$K12&lt;&gt;"Closed",$K12&lt;&gt;"Rejected")</formula>
    </cfRule>
  </conditionalFormatting>
  <dataValidations count="5">
    <dataValidation allowBlank="true" errorStyle="stop" operator="between" showDropDown="false" showErrorMessage="false" showInputMessage="false" sqref="E12:E41" type="list">
      <formula1>Lists!$N$9:$N$13</formula1>
      <formula2>0</formula2>
    </dataValidation>
    <dataValidation allowBlank="true" errorStyle="stop" operator="between" showDropDown="false" showErrorMessage="false" showInputMessage="false" sqref="H12:H41" type="list">
      <formula1>Lists!$F$9:$F$28</formula1>
      <formula2>0</formula2>
    </dataValidation>
    <dataValidation allowBlank="true" errorStyle="stop" operator="between" showDropDown="false" showErrorMessage="false" showInputMessage="false" sqref="I12:I41" type="list">
      <formula1>Lists!$M$9:$M$12</formula1>
      <formula2>0</formula2>
    </dataValidation>
    <dataValidation allowBlank="true" errorStyle="stop" operator="between" showDropDown="false" showErrorMessage="false" showInputMessage="false" sqref="K12:K41" type="list">
      <formula1>Lists!$R$9:$R$14</formula1>
      <formula2>0</formula2>
    </dataValidation>
    <dataValidation allowBlank="true" errorStyle="stop" operator="between" showDropDown="false" showErrorMessage="false" showInputMessage="false" sqref="N12:N41" type="list">
      <formula1>Lists!$G$9:$G$11</formula1>
      <formula2>0</formula2>
    </dataValidation>
  </dataValidations>
  <printOptions headings="false" gridLines="false" gridLinesSet="true" horizontalCentered="true" verticalCentered="false"/>
  <pageMargins left="0.4" right="0.4" top="0.5" bottom="0.5" header="0.511811023622047" footer="0.5"/>
  <pageSetup paperSize="8" scale="100" fitToWidth="2" fitToHeight="0" pageOrder="downThenOver" orientation="landscape" blackAndWhite="false" draft="false" cellComments="none" horizontalDpi="300" verticalDpi="300" copies="1"/>
  <headerFooter differentFirst="false" differentOddEven="false">
    <oddHeader/>
    <oddFooter>&amp;L&amp;8 &amp;K8e98a2Template by Mastt  ·  mastt.com&amp;R&amp;8 &amp;K8e98a2Page &amp;P of &amp;N</odd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A1:K3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3" ySplit="11" topLeftCell="D12" activePane="bottomRight" state="frozen"/>
      <selection pane="topLeft" activeCell="A1" activeCellId="0" sqref="A1"/>
      <selection pane="topRight" activeCell="D1" activeCellId="0" sqref="D1"/>
      <selection pane="bottomLeft" activeCell="A12" activeCellId="0" sqref="A12"/>
      <selection pane="bottomRight" activeCell="A1" activeCellId="0" sqref="A1"/>
    </sheetView>
  </sheetViews>
  <sheetFormatPr defaultColWidth="8.6796875" defaultRowHeight="15" zeroHeight="false" outlineLevelRow="0" outlineLevelCol="0"/>
  <cols>
    <col collapsed="false" customWidth="true" hidden="false" outlineLevel="0" max="1" min="1" style="1" width="2.5"/>
    <col collapsed="false" customWidth="true" hidden="false" outlineLevel="0" max="2" min="2" style="1" width="11"/>
    <col collapsed="false" customWidth="true" hidden="false" outlineLevel="0" max="3" min="3" style="1" width="56"/>
    <col collapsed="false" customWidth="true" hidden="false" outlineLevel="0" max="4" min="4" style="1" width="20"/>
    <col collapsed="false" customWidth="true" hidden="false" outlineLevel="0" max="5" min="5" style="1" width="26"/>
    <col collapsed="false" customWidth="true" hidden="false" outlineLevel="0" max="6" min="6" style="1" width="16"/>
    <col collapsed="false" customWidth="true" hidden="false" outlineLevel="0" max="8" min="7" style="1" width="14"/>
    <col collapsed="false" customWidth="true" hidden="false" outlineLevel="0" max="9" min="9" style="1" width="40"/>
    <col collapsed="false" customWidth="true" hidden="false" outlineLevel="0" max="10" min="10" style="1" width="16"/>
  </cols>
  <sheetData>
    <row r="1" customFormat="false" ht="9.75" hidden="false" customHeight="true" outlineLevel="0" collapsed="false">
      <c r="A1" s="2"/>
      <c r="B1" s="2"/>
      <c r="C1" s="2"/>
      <c r="D1" s="2"/>
      <c r="E1" s="2"/>
      <c r="F1" s="2"/>
      <c r="G1" s="2"/>
      <c r="H1" s="2"/>
      <c r="I1" s="2"/>
      <c r="J1" s="2"/>
    </row>
    <row r="2" customFormat="false" ht="33.75" hidden="false" customHeight="true" outlineLevel="0" collapsed="false">
      <c r="A2" s="2"/>
      <c r="B2" s="2"/>
      <c r="C2" s="2"/>
      <c r="D2" s="2"/>
      <c r="E2" s="2"/>
      <c r="F2" s="2"/>
      <c r="G2" s="2"/>
      <c r="H2" s="2"/>
      <c r="I2" s="2"/>
      <c r="J2" s="2"/>
    </row>
    <row r="3" customFormat="false" ht="7.5" hidden="false" customHeight="true" outlineLevel="0" collapsed="false">
      <c r="A3" s="2"/>
      <c r="B3" s="2"/>
      <c r="C3" s="2"/>
      <c r="D3" s="2"/>
      <c r="E3" s="2"/>
      <c r="F3" s="2"/>
      <c r="G3" s="2"/>
      <c r="H3" s="2"/>
      <c r="I3" s="2"/>
      <c r="J3" s="2"/>
    </row>
    <row r="4" customFormat="false" ht="30" hidden="false" customHeight="true" outlineLevel="0" collapsed="false">
      <c r="A4" s="2"/>
      <c r="B4" s="3" t="s">
        <v>1454</v>
      </c>
      <c r="C4" s="2"/>
      <c r="D4" s="2"/>
      <c r="E4" s="2"/>
      <c r="F4" s="2"/>
      <c r="G4" s="2"/>
      <c r="H4" s="2"/>
      <c r="I4" s="2"/>
      <c r="J4" s="2"/>
    </row>
    <row r="5" customFormat="false" ht="21.75" hidden="false" customHeight="true" outlineLevel="0" collapsed="false">
      <c r="A5" s="2"/>
      <c r="B5" s="4" t="s">
        <v>1</v>
      </c>
      <c r="C5" s="2"/>
      <c r="D5" s="2"/>
      <c r="E5" s="2"/>
      <c r="F5" s="2"/>
      <c r="G5" s="2"/>
      <c r="H5" s="2"/>
      <c r="I5" s="2"/>
      <c r="J5" s="2"/>
    </row>
    <row r="6" customFormat="false" ht="7.5" hidden="false" customHeight="true" outlineLevel="0" collapsed="false"/>
    <row r="7" customFormat="false" ht="30" hidden="false" customHeight="true" outlineLevel="0" collapsed="false">
      <c r="B7" s="23" t="s">
        <v>1455</v>
      </c>
      <c r="C7" s="23"/>
      <c r="D7" s="23"/>
      <c r="E7" s="23"/>
      <c r="F7" s="23"/>
      <c r="G7" s="23"/>
      <c r="H7" s="23"/>
      <c r="I7" s="23"/>
      <c r="J7" s="23"/>
    </row>
    <row r="8" customFormat="false" ht="15.75" hidden="false" customHeight="true" outlineLevel="0" collapsed="false">
      <c r="B8" s="59" t="s">
        <v>1456</v>
      </c>
      <c r="C8" s="59"/>
      <c r="D8" s="59" t="s">
        <v>1457</v>
      </c>
      <c r="E8" s="59"/>
      <c r="F8" s="59" t="s">
        <v>1458</v>
      </c>
      <c r="G8" s="59"/>
      <c r="H8" s="59" t="s">
        <v>1459</v>
      </c>
      <c r="I8" s="59"/>
      <c r="J8" s="59" t="s">
        <v>96</v>
      </c>
      <c r="K8" s="59"/>
    </row>
    <row r="9" customFormat="false" ht="25.5" hidden="false" customHeight="true" outlineLevel="0" collapsed="false">
      <c r="B9" s="60" t="n">
        <f aca="false">COUNTA('Soft Landings &amp; Aftercare'!$C$12:$C$38)</f>
        <v>27</v>
      </c>
      <c r="C9" s="60"/>
      <c r="D9" s="60" t="n">
        <f aca="false">COUNTIF('Soft Landings &amp; Aftercare'!$D$12:$D$38,"Weeks 1-4")</f>
        <v>7</v>
      </c>
      <c r="E9" s="60"/>
      <c r="F9" s="60" t="n">
        <f aca="false">COUNTIF('Soft Landings &amp; Aftercare'!$D$12:$D$38,"Months 2-6")</f>
        <v>7</v>
      </c>
      <c r="G9" s="60"/>
      <c r="H9" s="60" t="n">
        <f aca="false">COUNTIF('Soft Landings &amp; Aftercare'!$D$12:$D$38,"Year 1")</f>
        <v>6</v>
      </c>
      <c r="I9" s="60"/>
      <c r="J9" s="60" t="n">
        <f aca="false">COUNTIF('Soft Landings &amp; Aftercare'!$J$12:$J$38,"Complete")</f>
        <v>0</v>
      </c>
      <c r="K9" s="60"/>
    </row>
    <row r="11" customFormat="false" ht="43.5" hidden="false" customHeight="true" outlineLevel="0" collapsed="false">
      <c r="B11" s="9" t="s">
        <v>144</v>
      </c>
      <c r="C11" s="9" t="s">
        <v>1460</v>
      </c>
      <c r="D11" s="9" t="s">
        <v>1461</v>
      </c>
      <c r="E11" s="9" t="s">
        <v>1462</v>
      </c>
      <c r="F11" s="9" t="s">
        <v>1463</v>
      </c>
      <c r="G11" s="9" t="s">
        <v>1464</v>
      </c>
      <c r="H11" s="9" t="s">
        <v>1465</v>
      </c>
      <c r="I11" s="9" t="s">
        <v>1466</v>
      </c>
      <c r="J11" s="9" t="s">
        <v>72</v>
      </c>
    </row>
    <row r="12" customFormat="false" ht="15" hidden="false" customHeight="true" outlineLevel="0" collapsed="false">
      <c r="B12" s="46" t="s">
        <v>1467</v>
      </c>
      <c r="C12" s="48" t="s">
        <v>1468</v>
      </c>
      <c r="D12" s="49" t="s">
        <v>1469</v>
      </c>
      <c r="E12" s="48"/>
      <c r="F12" s="63" t="s">
        <v>1470</v>
      </c>
      <c r="G12" s="50"/>
      <c r="H12" s="50"/>
      <c r="I12" s="48"/>
      <c r="J12" s="49" t="s">
        <v>77</v>
      </c>
    </row>
    <row r="13" customFormat="false" ht="15" hidden="false" customHeight="true" outlineLevel="0" collapsed="false">
      <c r="B13" s="52" t="s">
        <v>1471</v>
      </c>
      <c r="C13" s="55" t="s">
        <v>1472</v>
      </c>
      <c r="D13" s="56" t="s">
        <v>1469</v>
      </c>
      <c r="E13" s="55"/>
      <c r="F13" s="66" t="s">
        <v>1473</v>
      </c>
      <c r="G13" s="57"/>
      <c r="H13" s="57"/>
      <c r="I13" s="55"/>
      <c r="J13" s="56" t="s">
        <v>77</v>
      </c>
    </row>
    <row r="14" customFormat="false" ht="15" hidden="false" customHeight="true" outlineLevel="0" collapsed="false">
      <c r="B14" s="46" t="s">
        <v>1474</v>
      </c>
      <c r="C14" s="48" t="s">
        <v>1475</v>
      </c>
      <c r="D14" s="49" t="s">
        <v>1469</v>
      </c>
      <c r="E14" s="48"/>
      <c r="F14" s="63" t="s">
        <v>1473</v>
      </c>
      <c r="G14" s="50"/>
      <c r="H14" s="50"/>
      <c r="I14" s="48"/>
      <c r="J14" s="49" t="s">
        <v>77</v>
      </c>
    </row>
    <row r="15" customFormat="false" ht="15" hidden="false" customHeight="true" outlineLevel="0" collapsed="false">
      <c r="B15" s="52" t="s">
        <v>1476</v>
      </c>
      <c r="C15" s="55" t="s">
        <v>1477</v>
      </c>
      <c r="D15" s="56" t="s">
        <v>1469</v>
      </c>
      <c r="E15" s="55"/>
      <c r="F15" s="66" t="s">
        <v>1473</v>
      </c>
      <c r="G15" s="57"/>
      <c r="H15" s="57"/>
      <c r="I15" s="55"/>
      <c r="J15" s="56" t="s">
        <v>77</v>
      </c>
    </row>
    <row r="16" customFormat="false" ht="15" hidden="false" customHeight="true" outlineLevel="0" collapsed="false">
      <c r="B16" s="46" t="s">
        <v>1478</v>
      </c>
      <c r="C16" s="48" t="s">
        <v>1479</v>
      </c>
      <c r="D16" s="49" t="s">
        <v>1469</v>
      </c>
      <c r="E16" s="48"/>
      <c r="F16" s="63" t="s">
        <v>1473</v>
      </c>
      <c r="G16" s="50"/>
      <c r="H16" s="50"/>
      <c r="I16" s="48"/>
      <c r="J16" s="49" t="s">
        <v>77</v>
      </c>
    </row>
    <row r="17" customFormat="false" ht="15" hidden="false" customHeight="true" outlineLevel="0" collapsed="false">
      <c r="B17" s="52" t="s">
        <v>1480</v>
      </c>
      <c r="C17" s="55" t="s">
        <v>1481</v>
      </c>
      <c r="D17" s="56" t="s">
        <v>1469</v>
      </c>
      <c r="E17" s="55"/>
      <c r="F17" s="66" t="s">
        <v>1473</v>
      </c>
      <c r="G17" s="57"/>
      <c r="H17" s="57"/>
      <c r="I17" s="55"/>
      <c r="J17" s="56" t="s">
        <v>77</v>
      </c>
    </row>
    <row r="18" customFormat="false" ht="15" hidden="false" customHeight="true" outlineLevel="0" collapsed="false">
      <c r="B18" s="46" t="s">
        <v>1482</v>
      </c>
      <c r="C18" s="48" t="s">
        <v>1483</v>
      </c>
      <c r="D18" s="49" t="s">
        <v>1469</v>
      </c>
      <c r="E18" s="48"/>
      <c r="F18" s="63" t="s">
        <v>1470</v>
      </c>
      <c r="G18" s="50"/>
      <c r="H18" s="50"/>
      <c r="I18" s="48"/>
      <c r="J18" s="49" t="s">
        <v>77</v>
      </c>
    </row>
    <row r="19" customFormat="false" ht="15" hidden="false" customHeight="true" outlineLevel="0" collapsed="false">
      <c r="B19" s="52" t="s">
        <v>1484</v>
      </c>
      <c r="C19" s="55" t="s">
        <v>1485</v>
      </c>
      <c r="D19" s="56" t="s">
        <v>1486</v>
      </c>
      <c r="E19" s="55"/>
      <c r="F19" s="66" t="s">
        <v>1487</v>
      </c>
      <c r="G19" s="57"/>
      <c r="H19" s="57"/>
      <c r="I19" s="55"/>
      <c r="J19" s="56" t="s">
        <v>77</v>
      </c>
    </row>
    <row r="20" customFormat="false" ht="15" hidden="false" customHeight="true" outlineLevel="0" collapsed="false">
      <c r="B20" s="46" t="s">
        <v>1488</v>
      </c>
      <c r="C20" s="48" t="s">
        <v>1489</v>
      </c>
      <c r="D20" s="49" t="s">
        <v>1486</v>
      </c>
      <c r="E20" s="48"/>
      <c r="F20" s="63" t="s">
        <v>1487</v>
      </c>
      <c r="G20" s="50"/>
      <c r="H20" s="50"/>
      <c r="I20" s="48"/>
      <c r="J20" s="49" t="s">
        <v>77</v>
      </c>
    </row>
    <row r="21" customFormat="false" ht="15" hidden="false" customHeight="true" outlineLevel="0" collapsed="false">
      <c r="B21" s="52" t="s">
        <v>1490</v>
      </c>
      <c r="C21" s="55" t="s">
        <v>1491</v>
      </c>
      <c r="D21" s="56" t="s">
        <v>1486</v>
      </c>
      <c r="E21" s="55"/>
      <c r="F21" s="66" t="s">
        <v>1487</v>
      </c>
      <c r="G21" s="57"/>
      <c r="H21" s="57"/>
      <c r="I21" s="55"/>
      <c r="J21" s="56" t="s">
        <v>77</v>
      </c>
    </row>
    <row r="22" customFormat="false" ht="15" hidden="false" customHeight="true" outlineLevel="0" collapsed="false">
      <c r="B22" s="46" t="s">
        <v>1492</v>
      </c>
      <c r="C22" s="48" t="s">
        <v>1493</v>
      </c>
      <c r="D22" s="49" t="s">
        <v>1486</v>
      </c>
      <c r="E22" s="48"/>
      <c r="F22" s="63" t="s">
        <v>1494</v>
      </c>
      <c r="G22" s="50"/>
      <c r="H22" s="50"/>
      <c r="I22" s="48"/>
      <c r="J22" s="49" t="s">
        <v>77</v>
      </c>
    </row>
    <row r="23" customFormat="false" ht="15" hidden="false" customHeight="true" outlineLevel="0" collapsed="false">
      <c r="B23" s="52" t="s">
        <v>1495</v>
      </c>
      <c r="C23" s="55" t="s">
        <v>1496</v>
      </c>
      <c r="D23" s="56" t="s">
        <v>1486</v>
      </c>
      <c r="E23" s="55"/>
      <c r="F23" s="66" t="s">
        <v>1470</v>
      </c>
      <c r="G23" s="57"/>
      <c r="H23" s="57"/>
      <c r="I23" s="55"/>
      <c r="J23" s="56" t="s">
        <v>77</v>
      </c>
    </row>
    <row r="24" customFormat="false" ht="15" hidden="false" customHeight="true" outlineLevel="0" collapsed="false">
      <c r="B24" s="46" t="s">
        <v>1497</v>
      </c>
      <c r="C24" s="48" t="s">
        <v>1498</v>
      </c>
      <c r="D24" s="49" t="s">
        <v>1486</v>
      </c>
      <c r="E24" s="48"/>
      <c r="F24" s="63" t="s">
        <v>1487</v>
      </c>
      <c r="G24" s="50"/>
      <c r="H24" s="50"/>
      <c r="I24" s="48"/>
      <c r="J24" s="49" t="s">
        <v>77</v>
      </c>
    </row>
    <row r="25" customFormat="false" ht="15" hidden="false" customHeight="true" outlineLevel="0" collapsed="false">
      <c r="B25" s="52" t="s">
        <v>1499</v>
      </c>
      <c r="C25" s="55" t="s">
        <v>1500</v>
      </c>
      <c r="D25" s="56" t="s">
        <v>1486</v>
      </c>
      <c r="E25" s="55"/>
      <c r="F25" s="66" t="s">
        <v>1470</v>
      </c>
      <c r="G25" s="57"/>
      <c r="H25" s="57"/>
      <c r="I25" s="55"/>
      <c r="J25" s="56" t="s">
        <v>77</v>
      </c>
    </row>
    <row r="26" customFormat="false" ht="15" hidden="false" customHeight="true" outlineLevel="0" collapsed="false">
      <c r="B26" s="46" t="s">
        <v>1501</v>
      </c>
      <c r="C26" s="48" t="s">
        <v>1502</v>
      </c>
      <c r="D26" s="49" t="s">
        <v>1503</v>
      </c>
      <c r="E26" s="48"/>
      <c r="F26" s="63" t="s">
        <v>1470</v>
      </c>
      <c r="G26" s="50"/>
      <c r="H26" s="50"/>
      <c r="I26" s="48"/>
      <c r="J26" s="49" t="s">
        <v>77</v>
      </c>
    </row>
    <row r="27" customFormat="false" ht="15" hidden="false" customHeight="true" outlineLevel="0" collapsed="false">
      <c r="B27" s="52" t="s">
        <v>1504</v>
      </c>
      <c r="C27" s="55" t="s">
        <v>1505</v>
      </c>
      <c r="D27" s="56" t="s">
        <v>1503</v>
      </c>
      <c r="E27" s="55"/>
      <c r="F27" s="66" t="s">
        <v>1494</v>
      </c>
      <c r="G27" s="57"/>
      <c r="H27" s="57"/>
      <c r="I27" s="55"/>
      <c r="J27" s="56" t="s">
        <v>77</v>
      </c>
    </row>
    <row r="28" customFormat="false" ht="15" hidden="false" customHeight="true" outlineLevel="0" collapsed="false">
      <c r="B28" s="46" t="s">
        <v>1506</v>
      </c>
      <c r="C28" s="48" t="s">
        <v>1507</v>
      </c>
      <c r="D28" s="49" t="s">
        <v>1503</v>
      </c>
      <c r="E28" s="48"/>
      <c r="F28" s="63" t="s">
        <v>1470</v>
      </c>
      <c r="G28" s="50"/>
      <c r="H28" s="50"/>
      <c r="I28" s="48"/>
      <c r="J28" s="49" t="s">
        <v>77</v>
      </c>
    </row>
    <row r="29" customFormat="false" ht="15" hidden="false" customHeight="true" outlineLevel="0" collapsed="false">
      <c r="B29" s="52" t="s">
        <v>1508</v>
      </c>
      <c r="C29" s="55" t="s">
        <v>1509</v>
      </c>
      <c r="D29" s="56" t="s">
        <v>1503</v>
      </c>
      <c r="E29" s="55"/>
      <c r="F29" s="66" t="s">
        <v>1470</v>
      </c>
      <c r="G29" s="57"/>
      <c r="H29" s="57"/>
      <c r="I29" s="55"/>
      <c r="J29" s="56" t="s">
        <v>77</v>
      </c>
    </row>
    <row r="30" customFormat="false" ht="15" hidden="false" customHeight="true" outlineLevel="0" collapsed="false">
      <c r="B30" s="46" t="s">
        <v>1510</v>
      </c>
      <c r="C30" s="48" t="s">
        <v>1511</v>
      </c>
      <c r="D30" s="49" t="s">
        <v>1503</v>
      </c>
      <c r="E30" s="48"/>
      <c r="F30" s="63" t="s">
        <v>1470</v>
      </c>
      <c r="G30" s="50"/>
      <c r="H30" s="50"/>
      <c r="I30" s="48"/>
      <c r="J30" s="49" t="s">
        <v>77</v>
      </c>
    </row>
    <row r="31" customFormat="false" ht="15" hidden="false" customHeight="true" outlineLevel="0" collapsed="false">
      <c r="B31" s="52" t="s">
        <v>1512</v>
      </c>
      <c r="C31" s="55" t="s">
        <v>1513</v>
      </c>
      <c r="D31" s="56" t="s">
        <v>1503</v>
      </c>
      <c r="E31" s="55"/>
      <c r="F31" s="66" t="s">
        <v>1494</v>
      </c>
      <c r="G31" s="57"/>
      <c r="H31" s="57"/>
      <c r="I31" s="55"/>
      <c r="J31" s="56" t="s">
        <v>77</v>
      </c>
    </row>
    <row r="32" customFormat="false" ht="15" hidden="false" customHeight="true" outlineLevel="0" collapsed="false">
      <c r="B32" s="46" t="s">
        <v>1514</v>
      </c>
      <c r="C32" s="48" t="s">
        <v>1515</v>
      </c>
      <c r="D32" s="49" t="s">
        <v>1516</v>
      </c>
      <c r="E32" s="48"/>
      <c r="F32" s="63" t="s">
        <v>1517</v>
      </c>
      <c r="G32" s="50"/>
      <c r="H32" s="50"/>
      <c r="I32" s="48"/>
      <c r="J32" s="49" t="s">
        <v>77</v>
      </c>
    </row>
    <row r="33" customFormat="false" ht="15" hidden="false" customHeight="true" outlineLevel="0" collapsed="false">
      <c r="B33" s="52" t="s">
        <v>1518</v>
      </c>
      <c r="C33" s="55" t="s">
        <v>1519</v>
      </c>
      <c r="D33" s="56" t="s">
        <v>1516</v>
      </c>
      <c r="E33" s="55"/>
      <c r="F33" s="66" t="s">
        <v>1517</v>
      </c>
      <c r="G33" s="57"/>
      <c r="H33" s="57"/>
      <c r="I33" s="55"/>
      <c r="J33" s="56" t="s">
        <v>77</v>
      </c>
    </row>
    <row r="34" customFormat="false" ht="15" hidden="false" customHeight="true" outlineLevel="0" collapsed="false">
      <c r="B34" s="46" t="s">
        <v>1520</v>
      </c>
      <c r="C34" s="48" t="s">
        <v>1521</v>
      </c>
      <c r="D34" s="49" t="s">
        <v>1516</v>
      </c>
      <c r="E34" s="48"/>
      <c r="F34" s="63" t="s">
        <v>1470</v>
      </c>
      <c r="G34" s="50"/>
      <c r="H34" s="50"/>
      <c r="I34" s="48"/>
      <c r="J34" s="49" t="s">
        <v>77</v>
      </c>
    </row>
    <row r="35" customFormat="false" ht="15" hidden="false" customHeight="true" outlineLevel="0" collapsed="false">
      <c r="B35" s="52" t="s">
        <v>1522</v>
      </c>
      <c r="C35" s="55" t="s">
        <v>1523</v>
      </c>
      <c r="D35" s="56" t="s">
        <v>1516</v>
      </c>
      <c r="E35" s="55"/>
      <c r="F35" s="66" t="s">
        <v>1470</v>
      </c>
      <c r="G35" s="57"/>
      <c r="H35" s="57"/>
      <c r="I35" s="55"/>
      <c r="J35" s="56" t="s">
        <v>77</v>
      </c>
    </row>
    <row r="36" customFormat="false" ht="15" hidden="false" customHeight="true" outlineLevel="0" collapsed="false">
      <c r="B36" s="46" t="s">
        <v>1524</v>
      </c>
      <c r="C36" s="48" t="s">
        <v>1525</v>
      </c>
      <c r="D36" s="49" t="s">
        <v>1526</v>
      </c>
      <c r="E36" s="48"/>
      <c r="F36" s="63" t="s">
        <v>1470</v>
      </c>
      <c r="G36" s="50"/>
      <c r="H36" s="50"/>
      <c r="I36" s="48"/>
      <c r="J36" s="49" t="s">
        <v>77</v>
      </c>
    </row>
    <row r="37" customFormat="false" ht="15" hidden="false" customHeight="true" outlineLevel="0" collapsed="false">
      <c r="B37" s="52" t="s">
        <v>1527</v>
      </c>
      <c r="C37" s="55" t="s">
        <v>1528</v>
      </c>
      <c r="D37" s="56" t="s">
        <v>1526</v>
      </c>
      <c r="E37" s="55"/>
      <c r="F37" s="66" t="s">
        <v>1470</v>
      </c>
      <c r="G37" s="57"/>
      <c r="H37" s="57"/>
      <c r="I37" s="55"/>
      <c r="J37" s="56" t="s">
        <v>77</v>
      </c>
    </row>
    <row r="38" customFormat="false" ht="15" hidden="false" customHeight="true" outlineLevel="0" collapsed="false">
      <c r="B38" s="46" t="s">
        <v>1529</v>
      </c>
      <c r="C38" s="48" t="s">
        <v>1530</v>
      </c>
      <c r="D38" s="49" t="s">
        <v>1526</v>
      </c>
      <c r="E38" s="48"/>
      <c r="F38" s="63" t="s">
        <v>1470</v>
      </c>
      <c r="G38" s="50"/>
      <c r="H38" s="50"/>
      <c r="I38" s="48"/>
      <c r="J38" s="49" t="s">
        <v>77</v>
      </c>
    </row>
  </sheetData>
  <autoFilter ref="B11:J38"/>
  <mergeCells count="11">
    <mergeCell ref="B7:J7"/>
    <mergeCell ref="B8:C8"/>
    <mergeCell ref="D8:E8"/>
    <mergeCell ref="F8:G8"/>
    <mergeCell ref="H8:I8"/>
    <mergeCell ref="J8:K8"/>
    <mergeCell ref="B9:C9"/>
    <mergeCell ref="D9:E9"/>
    <mergeCell ref="F9:G9"/>
    <mergeCell ref="H9:I9"/>
    <mergeCell ref="J9:K9"/>
  </mergeCells>
  <conditionalFormatting sqref="J12:J38">
    <cfRule type="cellIs" priority="2" operator="equal" aboveAverage="0" equalAverage="0" bottom="0" percent="0" rank="0" text="" dxfId="0">
      <formula>"Complete"</formula>
    </cfRule>
    <cfRule type="cellIs" priority="3" operator="equal" aboveAverage="0" equalAverage="0" bottom="0" percent="0" rank="0" text="" dxfId="11">
      <formula>"In progress"</formula>
    </cfRule>
    <cfRule type="cellIs" priority="4" operator="equal" aboveAverage="0" equalAverage="0" bottom="0" percent="0" rank="0" text="" dxfId="1">
      <formula>"Blocked"</formula>
    </cfRule>
    <cfRule type="cellIs" priority="5" operator="equal" aboveAverage="0" equalAverage="0" bottom="0" percent="0" rank="0" text="" dxfId="12">
      <formula>"Not started"</formula>
    </cfRule>
    <cfRule type="cellIs" priority="6" operator="equal" aboveAverage="0" equalAverage="0" bottom="0" percent="0" rank="0" text="" dxfId="12">
      <formula>"N/A"</formula>
    </cfRule>
  </conditionalFormatting>
  <dataValidations count="4">
    <dataValidation allowBlank="true" errorStyle="stop" operator="between" showDropDown="false" showErrorMessage="false" showInputMessage="false" sqref="D12:D38" type="list">
      <formula1>Lists!$O$9:$O$13</formula1>
      <formula2>0</formula2>
    </dataValidation>
    <dataValidation allowBlank="true" errorStyle="stop" operator="between" showDropDown="false" showErrorMessage="false" showInputMessage="false" sqref="E12:E38" type="list">
      <formula1>Lists!$F$9:$F$28</formula1>
      <formula2>0</formula2>
    </dataValidation>
    <dataValidation allowBlank="true" errorStyle="stop" operator="between" showDropDown="false" showErrorMessage="false" showInputMessage="false" sqref="F12:F38" type="list">
      <formula1>Lists!$P$9:$P$15</formula1>
      <formula2>0</formula2>
    </dataValidation>
    <dataValidation allowBlank="true" errorStyle="stop" operator="between" showDropDown="false" showErrorMessage="false" showInputMessage="false" sqref="J12:J38" type="list">
      <formula1>Lists!$B$9:$B$13</formula1>
      <formula2>0</formula2>
    </dataValidation>
  </dataValidations>
  <printOptions headings="false" gridLines="false" gridLinesSet="true" horizontalCentered="true" verticalCentered="false"/>
  <pageMargins left="0.4" right="0.4" top="0.5" bottom="0.5" header="0.511811023622047" footer="0.5"/>
  <pageSetup paperSize="8" scale="100" fitToWidth="1" fitToHeight="0" pageOrder="downThenOver" orientation="landscape" blackAndWhite="false" draft="false" cellComments="none" horizontalDpi="300" verticalDpi="300" copies="1"/>
  <headerFooter differentFirst="false" differentOddEven="false">
    <oddHeader/>
    <oddFooter>&amp;L&amp;8 &amp;K8e98a2Template by Mastt  ·  mastt.com&amp;R&amp;8 &amp;K8e98a2Page &amp;P of &amp;N</odd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C2029"/>
    <pageSetUpPr fitToPage="true"/>
  </sheetPr>
  <dimension ref="A1:H8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5"/>
    <col collapsed="false" customWidth="true" hidden="false" outlineLevel="0" max="2" min="2" style="1" width="36"/>
    <col collapsed="false" customWidth="true" hidden="false" outlineLevel="0" max="4" min="3" style="1" width="26"/>
    <col collapsed="false" customWidth="true" hidden="false" outlineLevel="0" max="6" min="5" style="1" width="24"/>
    <col collapsed="false" customWidth="true" hidden="false" outlineLevel="0" max="7" min="7" style="1" width="18"/>
    <col collapsed="false" customWidth="true" hidden="false" outlineLevel="0" max="8" min="8" style="1" width="2.5"/>
  </cols>
  <sheetData>
    <row r="1" customFormat="false" ht="9.75" hidden="false" customHeight="true" outlineLevel="0" collapsed="false">
      <c r="A1" s="2"/>
      <c r="B1" s="2"/>
      <c r="C1" s="2"/>
      <c r="D1" s="2"/>
      <c r="E1" s="2"/>
      <c r="F1" s="2"/>
      <c r="G1" s="2"/>
      <c r="H1" s="2"/>
    </row>
    <row r="2" customFormat="false" ht="33.75" hidden="false" customHeight="true" outlineLevel="0" collapsed="false">
      <c r="A2" s="2"/>
      <c r="B2" s="2"/>
      <c r="C2" s="2"/>
      <c r="D2" s="2"/>
      <c r="E2" s="2"/>
      <c r="F2" s="2"/>
      <c r="G2" s="2"/>
      <c r="H2" s="2"/>
    </row>
    <row r="3" customFormat="false" ht="7.5" hidden="false" customHeight="true" outlineLevel="0" collapsed="false">
      <c r="A3" s="2"/>
      <c r="B3" s="2"/>
      <c r="C3" s="2"/>
      <c r="D3" s="2"/>
      <c r="E3" s="2"/>
      <c r="F3" s="2"/>
      <c r="G3" s="2"/>
      <c r="H3" s="2"/>
    </row>
    <row r="4" customFormat="false" ht="30" hidden="false" customHeight="true" outlineLevel="0" collapsed="false">
      <c r="A4" s="2"/>
      <c r="B4" s="3" t="s">
        <v>1531</v>
      </c>
      <c r="C4" s="2"/>
      <c r="D4" s="2"/>
      <c r="E4" s="2"/>
      <c r="F4" s="2"/>
      <c r="G4" s="2"/>
      <c r="H4" s="2"/>
    </row>
    <row r="5" customFormat="false" ht="21.75" hidden="false" customHeight="true" outlineLevel="0" collapsed="false">
      <c r="A5" s="2"/>
      <c r="B5" s="4" t="s">
        <v>1</v>
      </c>
      <c r="C5" s="2"/>
      <c r="D5" s="2"/>
      <c r="E5" s="2"/>
      <c r="F5" s="2"/>
      <c r="G5" s="2"/>
      <c r="H5" s="2"/>
    </row>
    <row r="6" customFormat="false" ht="7.5" hidden="false" customHeight="true" outlineLevel="0" collapsed="false"/>
    <row r="7" customFormat="false" ht="31.5" hidden="false" customHeight="true" outlineLevel="0" collapsed="false">
      <c r="B7" s="23" t="s">
        <v>1532</v>
      </c>
      <c r="C7" s="23"/>
      <c r="D7" s="23"/>
      <c r="E7" s="23"/>
      <c r="F7" s="23"/>
      <c r="G7" s="23"/>
    </row>
    <row r="9" customFormat="false" ht="24" hidden="false" customHeight="true" outlineLevel="0" collapsed="false">
      <c r="B9" s="5" t="s">
        <v>1533</v>
      </c>
      <c r="C9" s="6"/>
      <c r="D9" s="6"/>
      <c r="E9" s="6"/>
      <c r="F9" s="6"/>
      <c r="G9" s="6"/>
    </row>
    <row r="10" customFormat="false" ht="24" hidden="false" customHeight="true" outlineLevel="0" collapsed="false">
      <c r="B10" s="78" t="s">
        <v>22</v>
      </c>
      <c r="C10" s="11" t="str">
        <f aca="false">IF(Cover!$C$27="","",Cover!$C$27)</f>
        <v/>
      </c>
      <c r="D10" s="11"/>
      <c r="E10" s="11"/>
      <c r="F10" s="11"/>
      <c r="G10" s="11"/>
    </row>
    <row r="11" customFormat="false" ht="24" hidden="false" customHeight="true" outlineLevel="0" collapsed="false">
      <c r="B11" s="78" t="s">
        <v>23</v>
      </c>
      <c r="C11" s="11" t="str">
        <f aca="false">IF(Cover!$F$27="","",Cover!$F$27)</f>
        <v/>
      </c>
      <c r="D11" s="11"/>
      <c r="E11" s="11"/>
      <c r="F11" s="11"/>
      <c r="G11" s="11"/>
    </row>
    <row r="12" customFormat="false" ht="24" hidden="false" customHeight="true" outlineLevel="0" collapsed="false">
      <c r="B12" s="78" t="s">
        <v>24</v>
      </c>
      <c r="C12" s="11" t="str">
        <f aca="false">IF(Cover!$C$28="","",Cover!$C$28)</f>
        <v/>
      </c>
      <c r="D12" s="11"/>
      <c r="E12" s="11"/>
      <c r="F12" s="11"/>
      <c r="G12" s="11"/>
    </row>
    <row r="13" customFormat="false" ht="24" hidden="false" customHeight="true" outlineLevel="0" collapsed="false">
      <c r="B13" s="78" t="s">
        <v>25</v>
      </c>
      <c r="C13" s="11" t="str">
        <f aca="false">IF(Cover!$F$28="","",Cover!$F$28)</f>
        <v/>
      </c>
      <c r="D13" s="11"/>
      <c r="E13" s="11"/>
      <c r="F13" s="11"/>
      <c r="G13" s="11"/>
    </row>
    <row r="14" customFormat="false" ht="24" hidden="false" customHeight="true" outlineLevel="0" collapsed="false">
      <c r="B14" s="78" t="s">
        <v>1534</v>
      </c>
      <c r="C14" s="11" t="str">
        <f aca="false">IF(Cover!$C$26="","",Cover!$C$26)&amp;IF(Cover!$C$30=""," ","  ·  Rev "&amp;Cover!$C$30)</f>
        <v>Construction Project Handover Checklist </v>
      </c>
      <c r="D14" s="11"/>
      <c r="E14" s="11"/>
      <c r="F14" s="11"/>
      <c r="G14" s="11"/>
    </row>
    <row r="15" customFormat="false" ht="24" hidden="false" customHeight="true" outlineLevel="0" collapsed="false">
      <c r="B15" s="78" t="s">
        <v>1535</v>
      </c>
      <c r="C15" s="11"/>
      <c r="D15" s="11"/>
      <c r="E15" s="11"/>
      <c r="F15" s="11"/>
      <c r="G15" s="11"/>
    </row>
    <row r="16" customFormat="false" ht="24" hidden="false" customHeight="true" outlineLevel="0" collapsed="false">
      <c r="B16" s="78" t="s">
        <v>1536</v>
      </c>
      <c r="C16" s="11"/>
      <c r="D16" s="11"/>
      <c r="E16" s="11"/>
      <c r="F16" s="11"/>
      <c r="G16" s="11"/>
    </row>
    <row r="17" customFormat="false" ht="24" hidden="false" customHeight="true" outlineLevel="0" collapsed="false">
      <c r="B17" s="78" t="s">
        <v>1537</v>
      </c>
      <c r="C17" s="79"/>
      <c r="D17" s="79"/>
      <c r="E17" s="79"/>
      <c r="F17" s="79"/>
      <c r="G17" s="79"/>
    </row>
    <row r="18" customFormat="false" ht="24" hidden="false" customHeight="true" outlineLevel="0" collapsed="false">
      <c r="B18" s="78" t="s">
        <v>1538</v>
      </c>
      <c r="C18" s="79"/>
      <c r="D18" s="79"/>
      <c r="E18" s="79"/>
      <c r="F18" s="79"/>
      <c r="G18" s="79"/>
    </row>
    <row r="19" customFormat="false" ht="24" hidden="false" customHeight="true" outlineLevel="0" collapsed="false">
      <c r="B19" s="78" t="s">
        <v>1539</v>
      </c>
      <c r="C19" s="79"/>
      <c r="D19" s="79"/>
      <c r="E19" s="79"/>
      <c r="F19" s="79"/>
      <c r="G19" s="79"/>
    </row>
    <row r="21" customFormat="false" ht="24" hidden="false" customHeight="true" outlineLevel="0" collapsed="false">
      <c r="B21" s="24" t="s">
        <v>1540</v>
      </c>
      <c r="C21" s="24"/>
      <c r="D21" s="25" t="s">
        <v>1541</v>
      </c>
      <c r="E21" s="25"/>
      <c r="F21" s="25"/>
      <c r="G21" s="25"/>
    </row>
    <row r="22" customFormat="false" ht="24" hidden="false" customHeight="true" outlineLevel="0" collapsed="false">
      <c r="B22" s="78" t="s">
        <v>1542</v>
      </c>
      <c r="C22" s="80" t="n">
        <f aca="false">'Handover Dashboard'!$E$39</f>
        <v>237</v>
      </c>
      <c r="D22" s="80"/>
      <c r="E22" s="80"/>
      <c r="F22" s="80"/>
      <c r="G22" s="80"/>
    </row>
    <row r="23" customFormat="false" ht="24" hidden="false" customHeight="true" outlineLevel="0" collapsed="false">
      <c r="B23" s="78" t="s">
        <v>1543</v>
      </c>
      <c r="C23" s="80" t="n">
        <f aca="false">'Handover Dashboard'!$F$39</f>
        <v>0</v>
      </c>
      <c r="D23" s="80"/>
      <c r="E23" s="80"/>
      <c r="F23" s="80"/>
      <c r="G23" s="80"/>
    </row>
    <row r="24" customFormat="false" ht="24" hidden="false" customHeight="true" outlineLevel="0" collapsed="false">
      <c r="B24" s="78" t="s">
        <v>1544</v>
      </c>
      <c r="C24" s="81" t="n">
        <f aca="false">IFERROR('Handover Dashboard'!$F$39/'Handover Dashboard'!$E$39,0)</f>
        <v>0</v>
      </c>
      <c r="D24" s="81"/>
      <c r="E24" s="81"/>
      <c r="F24" s="81"/>
      <c r="G24" s="81"/>
    </row>
    <row r="25" customFormat="false" ht="24" hidden="false" customHeight="true" outlineLevel="0" collapsed="false">
      <c r="B25" s="78" t="s">
        <v>1545</v>
      </c>
      <c r="C25" s="80" t="n">
        <f aca="false">'Handover Dashboard'!$H$39</f>
        <v>91</v>
      </c>
      <c r="D25" s="80"/>
      <c r="E25" s="80"/>
      <c r="F25" s="80"/>
      <c r="G25" s="80"/>
    </row>
    <row r="26" customFormat="false" ht="24" hidden="false" customHeight="true" outlineLevel="0" collapsed="false">
      <c r="B26" s="78" t="s">
        <v>1546</v>
      </c>
      <c r="C26" s="80" t="n">
        <f aca="false">COUNTIF('Outstanding Works &amp; Defects'!$K$12:$K$41,"Open")+COUNTIF('Outstanding Works &amp; Defects'!$K$12:$K$41,"In progress")+COUNTIF('Outstanding Works &amp; Defects'!$K$12:$K$41,"Awaiting access")</f>
        <v>2</v>
      </c>
      <c r="D26" s="80"/>
      <c r="E26" s="80"/>
      <c r="F26" s="80"/>
      <c r="G26" s="80"/>
    </row>
    <row r="27" customFormat="false" ht="24" hidden="false" customHeight="true" outlineLevel="0" collapsed="false">
      <c r="B27" s="78" t="s">
        <v>1547</v>
      </c>
      <c r="C27" s="80" t="n">
        <f aca="false">COUNTIFS('Outstanding Works &amp; Defects'!$N$12:$N$41,"Yes",'Outstanding Works &amp; Defects'!$K$12:$K$41,"&lt;&gt;Closed")</f>
        <v>1</v>
      </c>
      <c r="D27" s="80"/>
      <c r="E27" s="80"/>
      <c r="F27" s="80"/>
      <c r="G27" s="80"/>
    </row>
    <row r="29" customFormat="false" ht="24" hidden="false" customHeight="true" outlineLevel="0" collapsed="false">
      <c r="B29" s="5" t="s">
        <v>1548</v>
      </c>
      <c r="C29" s="6"/>
      <c r="D29" s="6"/>
      <c r="E29" s="6"/>
      <c r="F29" s="6"/>
      <c r="G29" s="6"/>
    </row>
    <row r="30" customFormat="false" ht="30" hidden="false" customHeight="true" outlineLevel="0" collapsed="false">
      <c r="B30" s="9" t="s">
        <v>144</v>
      </c>
      <c r="C30" s="9" t="s">
        <v>1549</v>
      </c>
      <c r="D30" s="9"/>
      <c r="E30" s="9"/>
      <c r="F30" s="9" t="s">
        <v>1550</v>
      </c>
      <c r="G30" s="9" t="s">
        <v>1551</v>
      </c>
    </row>
    <row r="31" customFormat="false" ht="33.75" hidden="false" customHeight="true" outlineLevel="0" collapsed="false">
      <c r="B31" s="46" t="s">
        <v>1552</v>
      </c>
      <c r="C31" s="48" t="s">
        <v>1553</v>
      </c>
      <c r="D31" s="48"/>
      <c r="E31" s="48"/>
      <c r="F31" s="49"/>
      <c r="G31" s="48"/>
    </row>
    <row r="32" customFormat="false" ht="33.75" hidden="false" customHeight="true" outlineLevel="0" collapsed="false">
      <c r="B32" s="52" t="s">
        <v>1554</v>
      </c>
      <c r="C32" s="55" t="s">
        <v>1555</v>
      </c>
      <c r="D32" s="55"/>
      <c r="E32" s="55"/>
      <c r="F32" s="56"/>
      <c r="G32" s="55"/>
    </row>
    <row r="33" customFormat="false" ht="33.75" hidden="false" customHeight="true" outlineLevel="0" collapsed="false">
      <c r="B33" s="46" t="s">
        <v>1556</v>
      </c>
      <c r="C33" s="48" t="s">
        <v>1557</v>
      </c>
      <c r="D33" s="48"/>
      <c r="E33" s="48"/>
      <c r="F33" s="49"/>
      <c r="G33" s="48"/>
    </row>
    <row r="34" customFormat="false" ht="33.75" hidden="false" customHeight="true" outlineLevel="0" collapsed="false">
      <c r="B34" s="52" t="s">
        <v>1558</v>
      </c>
      <c r="C34" s="55" t="s">
        <v>1559</v>
      </c>
      <c r="D34" s="55"/>
      <c r="E34" s="55"/>
      <c r="F34" s="56"/>
      <c r="G34" s="55"/>
    </row>
    <row r="35" customFormat="false" ht="33.75" hidden="false" customHeight="true" outlineLevel="0" collapsed="false">
      <c r="B35" s="46" t="s">
        <v>1560</v>
      </c>
      <c r="C35" s="48" t="s">
        <v>1561</v>
      </c>
      <c r="D35" s="48"/>
      <c r="E35" s="48"/>
      <c r="F35" s="49"/>
      <c r="G35" s="48"/>
    </row>
    <row r="36" customFormat="false" ht="33.75" hidden="false" customHeight="true" outlineLevel="0" collapsed="false">
      <c r="B36" s="52" t="s">
        <v>1562</v>
      </c>
      <c r="C36" s="55" t="s">
        <v>1563</v>
      </c>
      <c r="D36" s="55"/>
      <c r="E36" s="55"/>
      <c r="F36" s="56"/>
      <c r="G36" s="55"/>
    </row>
    <row r="37" customFormat="false" ht="33.75" hidden="false" customHeight="true" outlineLevel="0" collapsed="false">
      <c r="B37" s="46" t="s">
        <v>1564</v>
      </c>
      <c r="C37" s="48" t="s">
        <v>1565</v>
      </c>
      <c r="D37" s="48"/>
      <c r="E37" s="48"/>
      <c r="F37" s="49"/>
      <c r="G37" s="48"/>
    </row>
    <row r="38" customFormat="false" ht="33.75" hidden="false" customHeight="true" outlineLevel="0" collapsed="false">
      <c r="B38" s="52" t="s">
        <v>1566</v>
      </c>
      <c r="C38" s="55" t="s">
        <v>1567</v>
      </c>
      <c r="D38" s="55"/>
      <c r="E38" s="55"/>
      <c r="F38" s="56"/>
      <c r="G38" s="55"/>
    </row>
    <row r="39" customFormat="false" ht="33.75" hidden="false" customHeight="true" outlineLevel="0" collapsed="false">
      <c r="B39" s="46" t="s">
        <v>1568</v>
      </c>
      <c r="C39" s="48" t="s">
        <v>1569</v>
      </c>
      <c r="D39" s="48"/>
      <c r="E39" s="48"/>
      <c r="F39" s="49"/>
      <c r="G39" s="48"/>
    </row>
    <row r="40" customFormat="false" ht="33.75" hidden="false" customHeight="true" outlineLevel="0" collapsed="false">
      <c r="B40" s="52" t="s">
        <v>1570</v>
      </c>
      <c r="C40" s="55" t="s">
        <v>1571</v>
      </c>
      <c r="D40" s="55"/>
      <c r="E40" s="55"/>
      <c r="F40" s="56"/>
      <c r="G40" s="55"/>
    </row>
    <row r="41" customFormat="false" ht="33.75" hidden="false" customHeight="true" outlineLevel="0" collapsed="false">
      <c r="B41" s="46" t="s">
        <v>1572</v>
      </c>
      <c r="C41" s="48" t="s">
        <v>1573</v>
      </c>
      <c r="D41" s="48"/>
      <c r="E41" s="48"/>
      <c r="F41" s="49"/>
      <c r="G41" s="48"/>
    </row>
    <row r="42" customFormat="false" ht="33.75" hidden="false" customHeight="true" outlineLevel="0" collapsed="false">
      <c r="B42" s="52" t="s">
        <v>1574</v>
      </c>
      <c r="C42" s="55" t="s">
        <v>1575</v>
      </c>
      <c r="D42" s="55"/>
      <c r="E42" s="55"/>
      <c r="F42" s="56"/>
      <c r="G42" s="55"/>
    </row>
    <row r="43" customFormat="false" ht="33.75" hidden="false" customHeight="true" outlineLevel="0" collapsed="false">
      <c r="B43" s="46" t="s">
        <v>1576</v>
      </c>
      <c r="C43" s="48" t="s">
        <v>1577</v>
      </c>
      <c r="D43" s="48"/>
      <c r="E43" s="48"/>
      <c r="F43" s="49"/>
      <c r="G43" s="48"/>
    </row>
    <row r="44" customFormat="false" ht="33.75" hidden="false" customHeight="true" outlineLevel="0" collapsed="false">
      <c r="B44" s="52" t="s">
        <v>1578</v>
      </c>
      <c r="C44" s="55" t="s">
        <v>1579</v>
      </c>
      <c r="D44" s="55"/>
      <c r="E44" s="55"/>
      <c r="F44" s="56"/>
      <c r="G44" s="55"/>
    </row>
    <row r="45" customFormat="false" ht="33.75" hidden="false" customHeight="true" outlineLevel="0" collapsed="false">
      <c r="B45" s="46" t="s">
        <v>1580</v>
      </c>
      <c r="C45" s="48" t="s">
        <v>1581</v>
      </c>
      <c r="D45" s="48"/>
      <c r="E45" s="48"/>
      <c r="F45" s="49"/>
      <c r="G45" s="48"/>
    </row>
    <row r="46" customFormat="false" ht="33.75" hidden="false" customHeight="true" outlineLevel="0" collapsed="false">
      <c r="B46" s="52" t="s">
        <v>1582</v>
      </c>
      <c r="C46" s="55" t="s">
        <v>1583</v>
      </c>
      <c r="D46" s="55"/>
      <c r="E46" s="55"/>
      <c r="F46" s="56"/>
      <c r="G46" s="55"/>
    </row>
    <row r="48" customFormat="false" ht="24" hidden="false" customHeight="true" outlineLevel="0" collapsed="false">
      <c r="B48" s="5" t="s">
        <v>1584</v>
      </c>
      <c r="C48" s="6"/>
      <c r="D48" s="6"/>
      <c r="E48" s="6"/>
      <c r="F48" s="6"/>
      <c r="G48" s="6"/>
    </row>
    <row r="49" customFormat="false" ht="24" hidden="false" customHeight="true" outlineLevel="0" collapsed="false">
      <c r="B49" s="78" t="s">
        <v>1585</v>
      </c>
      <c r="C49" s="11"/>
      <c r="D49" s="11"/>
      <c r="E49" s="11"/>
      <c r="F49" s="11"/>
      <c r="G49" s="11"/>
    </row>
    <row r="50" customFormat="false" ht="24" hidden="false" customHeight="true" outlineLevel="0" collapsed="false">
      <c r="B50" s="78" t="s">
        <v>1586</v>
      </c>
      <c r="C50" s="11"/>
      <c r="D50" s="11"/>
      <c r="E50" s="11"/>
      <c r="F50" s="11"/>
      <c r="G50" s="11"/>
    </row>
    <row r="51" customFormat="false" ht="19.5" hidden="false" customHeight="true" outlineLevel="0" collapsed="false">
      <c r="B51" s="78" t="s">
        <v>1587</v>
      </c>
      <c r="C51" s="11"/>
      <c r="D51" s="11"/>
      <c r="E51" s="11"/>
      <c r="F51" s="11"/>
      <c r="G51" s="11"/>
    </row>
    <row r="52" customFormat="false" ht="19.5" hidden="false" customHeight="true" outlineLevel="0" collapsed="false">
      <c r="B52" s="78" t="s">
        <v>1588</v>
      </c>
      <c r="C52" s="11"/>
      <c r="D52" s="11"/>
      <c r="E52" s="11"/>
      <c r="F52" s="11"/>
      <c r="G52" s="11"/>
    </row>
    <row r="53" customFormat="false" ht="19.5" hidden="false" customHeight="true" outlineLevel="0" collapsed="false">
      <c r="B53" s="78" t="s">
        <v>1589</v>
      </c>
      <c r="C53" s="11"/>
      <c r="D53" s="11"/>
      <c r="E53" s="11"/>
      <c r="F53" s="11"/>
      <c r="G53" s="11"/>
    </row>
    <row r="54" customFormat="false" ht="19.5" hidden="false" customHeight="true" outlineLevel="0" collapsed="false">
      <c r="B54" s="78" t="s">
        <v>1590</v>
      </c>
      <c r="C54" s="11"/>
      <c r="D54" s="11"/>
      <c r="E54" s="11"/>
      <c r="F54" s="11"/>
      <c r="G54" s="11"/>
    </row>
    <row r="55" customFormat="false" ht="19.5" hidden="false" customHeight="true" outlineLevel="0" collapsed="false">
      <c r="B55" s="78" t="s">
        <v>1591</v>
      </c>
      <c r="C55" s="11"/>
      <c r="D55" s="11"/>
      <c r="E55" s="11"/>
      <c r="F55" s="11"/>
      <c r="G55" s="11"/>
    </row>
    <row r="56" customFormat="false" ht="19.5" hidden="false" customHeight="true" outlineLevel="0" collapsed="false">
      <c r="B56" s="78" t="s">
        <v>1592</v>
      </c>
      <c r="C56" s="11"/>
      <c r="D56" s="11"/>
      <c r="E56" s="11"/>
      <c r="F56" s="11"/>
      <c r="G56" s="11"/>
    </row>
    <row r="58" customFormat="false" ht="24" hidden="false" customHeight="true" outlineLevel="0" collapsed="false">
      <c r="B58" s="5" t="s">
        <v>1593</v>
      </c>
      <c r="C58" s="6"/>
      <c r="D58" s="6"/>
      <c r="E58" s="6"/>
      <c r="F58" s="6"/>
      <c r="G58" s="6"/>
    </row>
    <row r="59" customFormat="false" ht="27.75" hidden="false" customHeight="true" outlineLevel="0" collapsed="false">
      <c r="B59" s="9" t="s">
        <v>1594</v>
      </c>
      <c r="C59" s="9"/>
      <c r="D59" s="9" t="s">
        <v>1595</v>
      </c>
      <c r="E59" s="9" t="s">
        <v>1596</v>
      </c>
      <c r="F59" s="9"/>
      <c r="G59" s="9" t="s">
        <v>1597</v>
      </c>
    </row>
    <row r="60" customFormat="false" ht="21.75" hidden="false" customHeight="true" outlineLevel="0" collapsed="false">
      <c r="B60" s="63" t="s">
        <v>1598</v>
      </c>
      <c r="C60" s="63"/>
      <c r="D60" s="49"/>
      <c r="E60" s="48"/>
      <c r="F60" s="48"/>
      <c r="G60" s="50"/>
    </row>
    <row r="61" customFormat="false" ht="21.75" hidden="false" customHeight="true" outlineLevel="0" collapsed="false">
      <c r="B61" s="66" t="s">
        <v>1599</v>
      </c>
      <c r="C61" s="66"/>
      <c r="D61" s="56"/>
      <c r="E61" s="55"/>
      <c r="F61" s="55"/>
      <c r="G61" s="57"/>
    </row>
    <row r="62" customFormat="false" ht="21.75" hidden="false" customHeight="true" outlineLevel="0" collapsed="false">
      <c r="B62" s="63" t="s">
        <v>1600</v>
      </c>
      <c r="C62" s="63"/>
      <c r="D62" s="49"/>
      <c r="E62" s="48"/>
      <c r="F62" s="48"/>
      <c r="G62" s="50"/>
    </row>
    <row r="63" customFormat="false" ht="21.75" hidden="false" customHeight="true" outlineLevel="0" collapsed="false">
      <c r="B63" s="66" t="s">
        <v>1601</v>
      </c>
      <c r="C63" s="66"/>
      <c r="D63" s="56"/>
      <c r="E63" s="55"/>
      <c r="F63" s="55"/>
      <c r="G63" s="57"/>
    </row>
    <row r="64" customFormat="false" ht="21.75" hidden="false" customHeight="true" outlineLevel="0" collapsed="false">
      <c r="B64" s="63" t="s">
        <v>1602</v>
      </c>
      <c r="C64" s="63"/>
      <c r="D64" s="49"/>
      <c r="E64" s="48"/>
      <c r="F64" s="48"/>
      <c r="G64" s="50"/>
    </row>
    <row r="65" customFormat="false" ht="21.75" hidden="false" customHeight="true" outlineLevel="0" collapsed="false">
      <c r="B65" s="66" t="s">
        <v>1603</v>
      </c>
      <c r="C65" s="66"/>
      <c r="D65" s="56"/>
      <c r="E65" s="55"/>
      <c r="F65" s="55"/>
      <c r="G65" s="57"/>
    </row>
    <row r="66" customFormat="false" ht="21.75" hidden="false" customHeight="true" outlineLevel="0" collapsed="false">
      <c r="B66" s="63" t="s">
        <v>1604</v>
      </c>
      <c r="C66" s="63"/>
      <c r="D66" s="49"/>
      <c r="E66" s="48"/>
      <c r="F66" s="48"/>
      <c r="G66" s="50"/>
    </row>
    <row r="67" customFormat="false" ht="21.75" hidden="false" customHeight="true" outlineLevel="0" collapsed="false">
      <c r="B67" s="66" t="s">
        <v>1199</v>
      </c>
      <c r="C67" s="66"/>
      <c r="D67" s="56"/>
      <c r="E67" s="55"/>
      <c r="F67" s="55"/>
      <c r="G67" s="57"/>
    </row>
    <row r="68" customFormat="false" ht="21.75" hidden="false" customHeight="true" outlineLevel="0" collapsed="false">
      <c r="B68" s="63" t="s">
        <v>1605</v>
      </c>
      <c r="C68" s="63"/>
      <c r="D68" s="49"/>
      <c r="E68" s="48"/>
      <c r="F68" s="48"/>
      <c r="G68" s="50"/>
    </row>
    <row r="69" customFormat="false" ht="21.75" hidden="false" customHeight="true" outlineLevel="0" collapsed="false">
      <c r="B69" s="66" t="s">
        <v>1606</v>
      </c>
      <c r="C69" s="66"/>
      <c r="D69" s="56"/>
      <c r="E69" s="55"/>
      <c r="F69" s="55"/>
      <c r="G69" s="57"/>
    </row>
    <row r="70" customFormat="false" ht="21.75" hidden="false" customHeight="true" outlineLevel="0" collapsed="false">
      <c r="B70" s="63" t="s">
        <v>1607</v>
      </c>
      <c r="C70" s="63"/>
      <c r="D70" s="49"/>
      <c r="E70" s="48"/>
      <c r="F70" s="48"/>
      <c r="G70" s="50"/>
    </row>
    <row r="71" customFormat="false" ht="21.75" hidden="false" customHeight="true" outlineLevel="0" collapsed="false">
      <c r="B71" s="66" t="s">
        <v>1608</v>
      </c>
      <c r="C71" s="66"/>
      <c r="D71" s="56"/>
      <c r="E71" s="55"/>
      <c r="F71" s="55"/>
      <c r="G71" s="57"/>
    </row>
    <row r="72" customFormat="false" ht="21.75" hidden="false" customHeight="true" outlineLevel="0" collapsed="false">
      <c r="B72" s="63" t="s">
        <v>1609</v>
      </c>
      <c r="C72" s="63"/>
      <c r="D72" s="49"/>
      <c r="E72" s="48"/>
      <c r="F72" s="48"/>
      <c r="G72" s="50"/>
    </row>
    <row r="73" customFormat="false" ht="21.75" hidden="false" customHeight="true" outlineLevel="0" collapsed="false">
      <c r="B73" s="66" t="s">
        <v>1610</v>
      </c>
      <c r="C73" s="66"/>
      <c r="D73" s="56"/>
      <c r="E73" s="55"/>
      <c r="F73" s="55"/>
      <c r="G73" s="57"/>
    </row>
    <row r="74" customFormat="false" ht="21.75" hidden="false" customHeight="true" outlineLevel="0" collapsed="false">
      <c r="B74" s="63" t="s">
        <v>861</v>
      </c>
      <c r="C74" s="63"/>
      <c r="D74" s="49"/>
      <c r="E74" s="48"/>
      <c r="F74" s="48"/>
      <c r="G74" s="50"/>
    </row>
    <row r="76" customFormat="false" ht="24" hidden="false" customHeight="true" outlineLevel="0" collapsed="false">
      <c r="B76" s="5" t="s">
        <v>1611</v>
      </c>
      <c r="C76" s="6"/>
      <c r="D76" s="6"/>
      <c r="E76" s="6"/>
      <c r="F76" s="6"/>
      <c r="G76" s="6"/>
    </row>
    <row r="77" customFormat="false" ht="27.75" hidden="false" customHeight="true" outlineLevel="0" collapsed="false">
      <c r="B77" s="9" t="s">
        <v>1612</v>
      </c>
      <c r="C77" s="9" t="s">
        <v>1613</v>
      </c>
      <c r="D77" s="9" t="s">
        <v>1614</v>
      </c>
      <c r="E77" s="9" t="s">
        <v>1615</v>
      </c>
      <c r="F77" s="9"/>
      <c r="G77" s="9" t="s">
        <v>1597</v>
      </c>
    </row>
    <row r="78" customFormat="false" ht="33.75" hidden="false" customHeight="true" outlineLevel="0" collapsed="false">
      <c r="B78" s="41" t="s">
        <v>1616</v>
      </c>
      <c r="C78" s="82"/>
      <c r="D78" s="82"/>
      <c r="E78" s="82"/>
      <c r="F78" s="82"/>
      <c r="G78" s="83"/>
    </row>
    <row r="79" customFormat="false" ht="33.75" hidden="false" customHeight="true" outlineLevel="0" collapsed="false">
      <c r="B79" s="41" t="s">
        <v>181</v>
      </c>
      <c r="C79" s="82"/>
      <c r="D79" s="82"/>
      <c r="E79" s="82"/>
      <c r="F79" s="82"/>
      <c r="G79" s="83"/>
    </row>
    <row r="80" customFormat="false" ht="33.75" hidden="false" customHeight="true" outlineLevel="0" collapsed="false">
      <c r="B80" s="41" t="s">
        <v>159</v>
      </c>
      <c r="C80" s="82"/>
      <c r="D80" s="82"/>
      <c r="E80" s="82"/>
      <c r="F80" s="82"/>
      <c r="G80" s="83"/>
    </row>
    <row r="81" customFormat="false" ht="33.75" hidden="false" customHeight="true" outlineLevel="0" collapsed="false">
      <c r="B81" s="41" t="s">
        <v>160</v>
      </c>
      <c r="C81" s="82"/>
      <c r="D81" s="82"/>
      <c r="E81" s="82"/>
      <c r="F81" s="82"/>
      <c r="G81" s="83"/>
    </row>
    <row r="82" customFormat="false" ht="33.75" hidden="false" customHeight="true" outlineLevel="0" collapsed="false">
      <c r="B82" s="41" t="s">
        <v>174</v>
      </c>
      <c r="C82" s="82"/>
      <c r="D82" s="82"/>
      <c r="E82" s="82"/>
      <c r="F82" s="82"/>
      <c r="G82" s="83"/>
    </row>
    <row r="83" customFormat="false" ht="33.75" hidden="false" customHeight="true" outlineLevel="0" collapsed="false">
      <c r="B83" s="41" t="s">
        <v>192</v>
      </c>
      <c r="C83" s="82"/>
      <c r="D83" s="82"/>
      <c r="E83" s="82"/>
      <c r="F83" s="82"/>
      <c r="G83" s="83"/>
    </row>
    <row r="84" customFormat="false" ht="33.75" hidden="false" customHeight="true" outlineLevel="0" collapsed="false">
      <c r="B84" s="41" t="s">
        <v>353</v>
      </c>
      <c r="C84" s="82"/>
      <c r="D84" s="82"/>
      <c r="E84" s="82"/>
      <c r="F84" s="82"/>
      <c r="G84" s="83"/>
    </row>
    <row r="86" customFormat="false" ht="43.5" hidden="false" customHeight="true" outlineLevel="0" collapsed="false">
      <c r="B86" s="23" t="s">
        <v>1617</v>
      </c>
      <c r="C86" s="23"/>
      <c r="D86" s="23"/>
      <c r="E86" s="23"/>
      <c r="F86" s="23"/>
      <c r="G86" s="23"/>
    </row>
  </sheetData>
  <mergeCells count="85">
    <mergeCell ref="B7:G7"/>
    <mergeCell ref="C10:G10"/>
    <mergeCell ref="C11:G11"/>
    <mergeCell ref="C12:G12"/>
    <mergeCell ref="C13:G13"/>
    <mergeCell ref="C14:G14"/>
    <mergeCell ref="C15:G15"/>
    <mergeCell ref="C16:G16"/>
    <mergeCell ref="C17:G17"/>
    <mergeCell ref="C18:G18"/>
    <mergeCell ref="C19:G19"/>
    <mergeCell ref="B21:C21"/>
    <mergeCell ref="D21:G21"/>
    <mergeCell ref="C22:G22"/>
    <mergeCell ref="C23:G23"/>
    <mergeCell ref="C24:G24"/>
    <mergeCell ref="C25:G25"/>
    <mergeCell ref="C26:G26"/>
    <mergeCell ref="C27:G27"/>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9:G49"/>
    <mergeCell ref="C50:G50"/>
    <mergeCell ref="C51:G51"/>
    <mergeCell ref="C52:G52"/>
    <mergeCell ref="C53:G53"/>
    <mergeCell ref="C54:G54"/>
    <mergeCell ref="C55:G55"/>
    <mergeCell ref="C56:G56"/>
    <mergeCell ref="B59:C59"/>
    <mergeCell ref="E59:F59"/>
    <mergeCell ref="B60:C60"/>
    <mergeCell ref="E60:F60"/>
    <mergeCell ref="B61:C61"/>
    <mergeCell ref="E61:F61"/>
    <mergeCell ref="B62:C62"/>
    <mergeCell ref="E62:F62"/>
    <mergeCell ref="B63:C63"/>
    <mergeCell ref="E63:F63"/>
    <mergeCell ref="B64:C64"/>
    <mergeCell ref="E64:F64"/>
    <mergeCell ref="B65:C65"/>
    <mergeCell ref="E65:F65"/>
    <mergeCell ref="B66:C66"/>
    <mergeCell ref="E66:F66"/>
    <mergeCell ref="B67:C67"/>
    <mergeCell ref="E67:F67"/>
    <mergeCell ref="B68:C68"/>
    <mergeCell ref="E68:F68"/>
    <mergeCell ref="B69:C69"/>
    <mergeCell ref="E69:F69"/>
    <mergeCell ref="B70:C70"/>
    <mergeCell ref="E70:F70"/>
    <mergeCell ref="B71:C71"/>
    <mergeCell ref="E71:F71"/>
    <mergeCell ref="B72:C72"/>
    <mergeCell ref="E72:F72"/>
    <mergeCell ref="B73:C73"/>
    <mergeCell ref="E73:F73"/>
    <mergeCell ref="B74:C74"/>
    <mergeCell ref="E74:F74"/>
    <mergeCell ref="E77:F77"/>
    <mergeCell ref="E78:F78"/>
    <mergeCell ref="E79:F79"/>
    <mergeCell ref="E80:F80"/>
    <mergeCell ref="E81:F81"/>
    <mergeCell ref="E82:F82"/>
    <mergeCell ref="E83:F83"/>
    <mergeCell ref="E84:F84"/>
    <mergeCell ref="B86:G86"/>
  </mergeCells>
  <conditionalFormatting sqref="F31:F46">
    <cfRule type="cellIs" priority="2" operator="equal" aboveAverage="0" equalAverage="0" bottom="0" percent="0" rank="0" text="" dxfId="0">
      <formula>"Yes"</formula>
    </cfRule>
    <cfRule type="cellIs" priority="3" operator="equal" aboveAverage="0" equalAverage="0" bottom="0" percent="0" rank="0" text="" dxfId="1">
      <formula>"No"</formula>
    </cfRule>
    <cfRule type="cellIs" priority="4" operator="equal" aboveAverage="0" equalAverage="0" bottom="0" percent="0" rank="0" text="" dxfId="12">
      <formula>"N/A"</formula>
    </cfRule>
  </conditionalFormatting>
  <conditionalFormatting sqref="D60:D74">
    <cfRule type="cellIs" priority="5" operator="equal" aboveAverage="0" equalAverage="0" bottom="0" percent="0" rank="0" text="" dxfId="0">
      <formula>"Yes"</formula>
    </cfRule>
    <cfRule type="cellIs" priority="6" operator="equal" aboveAverage="0" equalAverage="0" bottom="0" percent="0" rank="0" text="" dxfId="1">
      <formula>"No"</formula>
    </cfRule>
    <cfRule type="cellIs" priority="7" operator="equal" aboveAverage="0" equalAverage="0" bottom="0" percent="0" rank="0" text="" dxfId="12">
      <formula>"N/A"</formula>
    </cfRule>
  </conditionalFormatting>
  <dataValidations count="3">
    <dataValidation allowBlank="true" errorStyle="stop" operator="between" showDropDown="false" showErrorMessage="false" showInputMessage="false" sqref="F31:F46" type="list">
      <formula1>Lists!$G$9:$G$11</formula1>
      <formula2>0</formula2>
    </dataValidation>
    <dataValidation allowBlank="true" errorStyle="stop" operator="between" showDropDown="false" showErrorMessage="false" showInputMessage="false" sqref="C49" type="list">
      <formula1>"Unconditional acceptance,Conditional acceptance,Not accepted"</formula1>
      <formula2>0</formula2>
    </dataValidation>
    <dataValidation allowBlank="true" errorStyle="stop" operator="between" showDropDown="false" showErrorMessage="false" showInputMessage="false" sqref="D60:D74" type="list">
      <formula1>Lists!$G$9:$G$11</formula1>
      <formula2>0</formula2>
    </dataValidation>
  </dataValidations>
  <printOptions headings="false" gridLines="false" gridLinesSet="true" horizontalCentered="true" verticalCentered="false"/>
  <pageMargins left="0.4" right="0.4" top="0.5" bottom="0.5"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&amp;L&amp;8 &amp;K8e98a2Template by Mastt  ·  mastt.com&amp;R&amp;8 &amp;K8e98a2Page &amp;P of &amp;N</odd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E98A2"/>
    <pageSetUpPr fitToPage="true"/>
  </sheetPr>
  <dimension ref="A1:V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16"/>
    <col collapsed="false" customWidth="true" hidden="false" outlineLevel="0" max="3" min="3" style="1" width="17"/>
    <col collapsed="false" customWidth="true" hidden="false" outlineLevel="0" max="5" min="4" style="1" width="16"/>
    <col collapsed="false" customWidth="true" hidden="false" outlineLevel="0" max="6" min="6" style="1" width="34"/>
    <col collapsed="false" customWidth="true" hidden="false" outlineLevel="0" max="7" min="7" style="1" width="16"/>
    <col collapsed="false" customWidth="true" hidden="false" outlineLevel="0" max="8" min="8" style="1" width="32"/>
    <col collapsed="false" customWidth="true" hidden="false" outlineLevel="0" max="11" min="9" style="1" width="21"/>
    <col collapsed="false" customWidth="true" hidden="false" outlineLevel="0" max="12" min="12" style="1" width="19"/>
    <col collapsed="false" customWidth="true" hidden="false" outlineLevel="0" max="13" min="13" style="1" width="16"/>
    <col collapsed="false" customWidth="true" hidden="false" outlineLevel="0" max="14" min="14" style="1" width="20"/>
    <col collapsed="false" customWidth="true" hidden="false" outlineLevel="0" max="15" min="15" style="1" width="22"/>
    <col collapsed="false" customWidth="true" hidden="false" outlineLevel="0" max="16" min="16" style="1" width="16"/>
    <col collapsed="false" customWidth="true" hidden="false" outlineLevel="0" max="17" min="17" style="1" width="26"/>
    <col collapsed="false" customWidth="true" hidden="false" outlineLevel="0" max="18" min="18" style="1" width="18"/>
    <col collapsed="false" customWidth="true" hidden="false" outlineLevel="0" max="19" min="19" style="1" width="20"/>
    <col collapsed="false" customWidth="true" hidden="false" outlineLevel="0" max="20" min="20" style="1" width="10"/>
  </cols>
  <sheetData>
    <row r="1" customFormat="false" ht="9.75" hidden="false" customHeight="true" outlineLevel="0" collapsed="false">
      <c r="A1" s="2"/>
      <c r="B1" s="2"/>
      <c r="C1" s="2"/>
      <c r="D1" s="2"/>
      <c r="E1" s="2"/>
      <c r="F1" s="2"/>
      <c r="G1" s="2"/>
      <c r="H1" s="2"/>
      <c r="I1" s="2"/>
      <c r="J1" s="2"/>
      <c r="K1" s="2"/>
      <c r="L1" s="2"/>
      <c r="M1" s="2"/>
      <c r="N1" s="2"/>
      <c r="O1" s="2"/>
      <c r="P1" s="2"/>
      <c r="Q1" s="2"/>
      <c r="R1" s="2"/>
      <c r="S1" s="2"/>
      <c r="T1" s="2"/>
      <c r="U1" s="2"/>
      <c r="V1" s="2"/>
    </row>
    <row r="2" customFormat="false" ht="33.75" hidden="false" customHeight="true" outlineLevel="0" collapsed="false">
      <c r="A2" s="2"/>
      <c r="B2" s="2"/>
      <c r="C2" s="2"/>
      <c r="D2" s="2"/>
      <c r="E2" s="2"/>
      <c r="F2" s="2"/>
      <c r="G2" s="2"/>
      <c r="H2" s="2"/>
      <c r="I2" s="2"/>
      <c r="J2" s="2"/>
      <c r="K2" s="2"/>
      <c r="L2" s="2"/>
      <c r="M2" s="2"/>
      <c r="N2" s="2"/>
      <c r="O2" s="2"/>
      <c r="P2" s="2"/>
      <c r="Q2" s="2"/>
      <c r="R2" s="2"/>
      <c r="S2" s="2"/>
      <c r="T2" s="2"/>
      <c r="U2" s="2"/>
      <c r="V2" s="2"/>
    </row>
    <row r="3" customFormat="false" ht="7.5" hidden="false" customHeight="true" outlineLevel="0" collapsed="false">
      <c r="A3" s="2"/>
      <c r="B3" s="2"/>
      <c r="C3" s="2"/>
      <c r="D3" s="2"/>
      <c r="E3" s="2"/>
      <c r="F3" s="2"/>
      <c r="G3" s="2"/>
      <c r="H3" s="2"/>
      <c r="I3" s="2"/>
      <c r="J3" s="2"/>
      <c r="K3" s="2"/>
      <c r="L3" s="2"/>
      <c r="M3" s="2"/>
      <c r="N3" s="2"/>
      <c r="O3" s="2"/>
      <c r="P3" s="2"/>
      <c r="Q3" s="2"/>
      <c r="R3" s="2"/>
      <c r="S3" s="2"/>
      <c r="T3" s="2"/>
      <c r="U3" s="2"/>
      <c r="V3" s="2"/>
    </row>
    <row r="4" customFormat="false" ht="30" hidden="false" customHeight="true" outlineLevel="0" collapsed="false">
      <c r="A4" s="2"/>
      <c r="B4" s="3" t="s">
        <v>1618</v>
      </c>
      <c r="C4" s="2"/>
      <c r="D4" s="2"/>
      <c r="E4" s="2"/>
      <c r="F4" s="2"/>
      <c r="G4" s="2"/>
      <c r="H4" s="2"/>
      <c r="I4" s="2"/>
      <c r="J4" s="2"/>
      <c r="K4" s="2"/>
      <c r="L4" s="2"/>
      <c r="M4" s="2"/>
      <c r="N4" s="2"/>
      <c r="O4" s="2"/>
      <c r="P4" s="2"/>
      <c r="Q4" s="2"/>
      <c r="R4" s="2"/>
      <c r="S4" s="2"/>
      <c r="T4" s="2"/>
      <c r="U4" s="2"/>
      <c r="V4" s="2"/>
    </row>
    <row r="5" customFormat="false" ht="21.75" hidden="false" customHeight="true" outlineLevel="0" collapsed="false">
      <c r="A5" s="2"/>
      <c r="B5" s="4" t="s">
        <v>1</v>
      </c>
      <c r="C5" s="2"/>
      <c r="D5" s="2"/>
      <c r="E5" s="2"/>
      <c r="F5" s="2"/>
      <c r="G5" s="2"/>
      <c r="H5" s="2"/>
      <c r="I5" s="2"/>
      <c r="J5" s="2"/>
      <c r="K5" s="2"/>
      <c r="L5" s="2"/>
      <c r="M5" s="2"/>
      <c r="N5" s="2"/>
      <c r="O5" s="2"/>
      <c r="P5" s="2"/>
      <c r="Q5" s="2"/>
      <c r="R5" s="2"/>
      <c r="S5" s="2"/>
      <c r="T5" s="2"/>
      <c r="U5" s="2"/>
      <c r="V5" s="2"/>
    </row>
    <row r="6" customFormat="false" ht="7.5" hidden="false" customHeight="true" outlineLevel="0" collapsed="false"/>
    <row r="7" customFormat="false" ht="30" hidden="false" customHeight="true" outlineLevel="0" collapsed="false">
      <c r="B7" s="23" t="s">
        <v>1619</v>
      </c>
      <c r="C7" s="23"/>
      <c r="D7" s="23"/>
      <c r="E7" s="23"/>
      <c r="F7" s="23"/>
      <c r="G7" s="23"/>
      <c r="H7" s="23"/>
      <c r="I7" s="23"/>
      <c r="J7" s="23"/>
      <c r="K7" s="23"/>
      <c r="L7" s="23"/>
      <c r="M7" s="23"/>
      <c r="N7" s="23"/>
      <c r="O7" s="23"/>
      <c r="P7" s="23"/>
      <c r="Q7" s="23"/>
      <c r="R7" s="23"/>
      <c r="S7" s="23"/>
      <c r="T7" s="23"/>
      <c r="U7" s="23"/>
      <c r="V7" s="23"/>
    </row>
    <row r="8" customFormat="false" ht="43.5" hidden="false" customHeight="true" outlineLevel="0" collapsed="false">
      <c r="B8" s="9" t="s">
        <v>72</v>
      </c>
      <c r="C8" s="9" t="s">
        <v>149</v>
      </c>
      <c r="D8" s="9" t="s">
        <v>106</v>
      </c>
      <c r="E8" s="9" t="s">
        <v>119</v>
      </c>
      <c r="F8" s="9" t="s">
        <v>1620</v>
      </c>
      <c r="G8" s="9" t="s">
        <v>1621</v>
      </c>
      <c r="H8" s="9" t="s">
        <v>1622</v>
      </c>
      <c r="I8" s="9" t="s">
        <v>1623</v>
      </c>
      <c r="J8" s="9" t="s">
        <v>1624</v>
      </c>
      <c r="K8" s="9" t="s">
        <v>1625</v>
      </c>
      <c r="L8" s="9" t="s">
        <v>1290</v>
      </c>
      <c r="M8" s="9" t="s">
        <v>1408</v>
      </c>
      <c r="N8" s="9" t="s">
        <v>1626</v>
      </c>
      <c r="O8" s="9" t="s">
        <v>1461</v>
      </c>
      <c r="P8" s="9" t="s">
        <v>1463</v>
      </c>
      <c r="Q8" s="9" t="s">
        <v>990</v>
      </c>
      <c r="R8" s="9" t="s">
        <v>1627</v>
      </c>
      <c r="S8" s="9" t="s">
        <v>1628</v>
      </c>
      <c r="T8" s="9" t="s">
        <v>1629</v>
      </c>
    </row>
    <row r="9" customFormat="false" ht="15" hidden="false" customHeight="true" outlineLevel="0" collapsed="false">
      <c r="B9" s="63" t="s">
        <v>77</v>
      </c>
      <c r="C9" s="63" t="s">
        <v>161</v>
      </c>
      <c r="D9" s="63" t="s">
        <v>162</v>
      </c>
      <c r="E9" s="63" t="s">
        <v>124</v>
      </c>
      <c r="F9" s="63" t="s">
        <v>159</v>
      </c>
      <c r="G9" s="63" t="s">
        <v>79</v>
      </c>
      <c r="H9" s="63" t="s">
        <v>77</v>
      </c>
      <c r="I9" s="63" t="s">
        <v>1630</v>
      </c>
      <c r="J9" s="63" t="s">
        <v>1130</v>
      </c>
      <c r="K9" s="63" t="s">
        <v>1223</v>
      </c>
      <c r="L9" s="63" t="s">
        <v>1298</v>
      </c>
      <c r="M9" s="63" t="s">
        <v>1423</v>
      </c>
      <c r="N9" s="63" t="s">
        <v>1416</v>
      </c>
      <c r="O9" s="63" t="s">
        <v>1469</v>
      </c>
      <c r="P9" s="63" t="s">
        <v>1470</v>
      </c>
      <c r="Q9" s="63" t="s">
        <v>1000</v>
      </c>
      <c r="R9" s="63" t="s">
        <v>1631</v>
      </c>
      <c r="S9" s="63" t="s">
        <v>161</v>
      </c>
      <c r="T9" s="49" t="n">
        <v>5</v>
      </c>
    </row>
    <row r="10" customFormat="false" ht="15" hidden="false" customHeight="true" outlineLevel="0" collapsed="false">
      <c r="B10" s="66" t="s">
        <v>81</v>
      </c>
      <c r="C10" s="66" t="s">
        <v>170</v>
      </c>
      <c r="D10" s="66" t="s">
        <v>193</v>
      </c>
      <c r="E10" s="66" t="s">
        <v>125</v>
      </c>
      <c r="F10" s="66" t="s">
        <v>160</v>
      </c>
      <c r="G10" s="66" t="s">
        <v>80</v>
      </c>
      <c r="H10" s="66" t="s">
        <v>81</v>
      </c>
      <c r="I10" s="66" t="s">
        <v>1632</v>
      </c>
      <c r="J10" s="66" t="s">
        <v>1122</v>
      </c>
      <c r="K10" s="66" t="s">
        <v>1633</v>
      </c>
      <c r="L10" s="66" t="s">
        <v>1306</v>
      </c>
      <c r="M10" s="66" t="s">
        <v>1634</v>
      </c>
      <c r="N10" s="66" t="s">
        <v>1422</v>
      </c>
      <c r="O10" s="66" t="s">
        <v>1486</v>
      </c>
      <c r="P10" s="66" t="s">
        <v>1473</v>
      </c>
      <c r="Q10" s="66" t="s">
        <v>1635</v>
      </c>
      <c r="R10" s="66" t="s">
        <v>81</v>
      </c>
      <c r="S10" s="66" t="s">
        <v>170</v>
      </c>
      <c r="T10" s="56" t="n">
        <v>3</v>
      </c>
    </row>
    <row r="11" customFormat="false" ht="15" hidden="false" customHeight="true" outlineLevel="0" collapsed="false">
      <c r="B11" s="63" t="s">
        <v>83</v>
      </c>
      <c r="C11" s="63" t="s">
        <v>188</v>
      </c>
      <c r="D11" s="63" t="s">
        <v>235</v>
      </c>
      <c r="E11" s="63" t="s">
        <v>126</v>
      </c>
      <c r="F11" s="63" t="s">
        <v>174</v>
      </c>
      <c r="G11" s="63" t="s">
        <v>87</v>
      </c>
      <c r="H11" s="63" t="s">
        <v>83</v>
      </c>
      <c r="I11" s="63" t="s">
        <v>1636</v>
      </c>
      <c r="J11" s="63" t="s">
        <v>1637</v>
      </c>
      <c r="K11" s="63" t="s">
        <v>1638</v>
      </c>
      <c r="L11" s="63" t="s">
        <v>1301</v>
      </c>
      <c r="M11" s="63" t="s">
        <v>1417</v>
      </c>
      <c r="N11" s="63" t="s">
        <v>1639</v>
      </c>
      <c r="O11" s="63" t="s">
        <v>1503</v>
      </c>
      <c r="P11" s="63" t="s">
        <v>1640</v>
      </c>
      <c r="Q11" s="63" t="s">
        <v>1641</v>
      </c>
      <c r="R11" s="63" t="s">
        <v>1424</v>
      </c>
      <c r="S11" s="63" t="s">
        <v>188</v>
      </c>
      <c r="T11" s="49" t="n">
        <v>2</v>
      </c>
    </row>
    <row r="12" customFormat="false" ht="15" hidden="false" customHeight="true" outlineLevel="0" collapsed="false">
      <c r="B12" s="66" t="s">
        <v>85</v>
      </c>
      <c r="C12" s="66" t="s">
        <v>214</v>
      </c>
      <c r="D12" s="66" t="s">
        <v>215</v>
      </c>
      <c r="E12" s="66" t="s">
        <v>127</v>
      </c>
      <c r="F12" s="66" t="s">
        <v>181</v>
      </c>
      <c r="H12" s="66" t="s">
        <v>1642</v>
      </c>
      <c r="I12" s="66" t="s">
        <v>1643</v>
      </c>
      <c r="J12" s="66" t="s">
        <v>1644</v>
      </c>
      <c r="K12" s="66" t="s">
        <v>1218</v>
      </c>
      <c r="L12" s="66" t="s">
        <v>1645</v>
      </c>
      <c r="M12" s="66" t="s">
        <v>1646</v>
      </c>
      <c r="N12" s="66" t="s">
        <v>1647</v>
      </c>
      <c r="O12" s="66" t="s">
        <v>1516</v>
      </c>
      <c r="P12" s="66" t="s">
        <v>1487</v>
      </c>
      <c r="Q12" s="66" t="s">
        <v>1648</v>
      </c>
      <c r="R12" s="66" t="s">
        <v>1649</v>
      </c>
      <c r="S12" s="66" t="s">
        <v>214</v>
      </c>
      <c r="T12" s="56" t="n">
        <v>1</v>
      </c>
    </row>
    <row r="13" customFormat="false" ht="15" hidden="false" customHeight="true" outlineLevel="0" collapsed="false">
      <c r="B13" s="63" t="s">
        <v>87</v>
      </c>
      <c r="E13" s="63" t="s">
        <v>128</v>
      </c>
      <c r="F13" s="63" t="s">
        <v>197</v>
      </c>
      <c r="H13" s="63" t="s">
        <v>87</v>
      </c>
      <c r="I13" s="63" t="s">
        <v>1650</v>
      </c>
      <c r="J13" s="63" t="s">
        <v>1125</v>
      </c>
      <c r="K13" s="63" t="s">
        <v>1651</v>
      </c>
      <c r="L13" s="63" t="s">
        <v>1652</v>
      </c>
      <c r="N13" s="63" t="s">
        <v>1653</v>
      </c>
      <c r="O13" s="63" t="s">
        <v>1526</v>
      </c>
      <c r="P13" s="63" t="s">
        <v>1494</v>
      </c>
      <c r="Q13" s="63" t="s">
        <v>1654</v>
      </c>
      <c r="R13" s="63" t="s">
        <v>1655</v>
      </c>
    </row>
    <row r="14" customFormat="false" ht="15" hidden="false" customHeight="true" outlineLevel="0" collapsed="false">
      <c r="E14" s="66" t="s">
        <v>129</v>
      </c>
      <c r="F14" s="66" t="s">
        <v>271</v>
      </c>
      <c r="I14" s="66" t="s">
        <v>1656</v>
      </c>
      <c r="J14" s="66" t="s">
        <v>1657</v>
      </c>
      <c r="K14" s="66" t="s">
        <v>1658</v>
      </c>
      <c r="L14" s="66" t="s">
        <v>1328</v>
      </c>
      <c r="P14" s="66" t="s">
        <v>1517</v>
      </c>
      <c r="R14" s="66" t="s">
        <v>1659</v>
      </c>
    </row>
    <row r="15" customFormat="false" ht="15" hidden="false" customHeight="true" outlineLevel="0" collapsed="false">
      <c r="E15" s="63" t="s">
        <v>130</v>
      </c>
      <c r="F15" s="63" t="s">
        <v>1660</v>
      </c>
      <c r="J15" s="63" t="s">
        <v>87</v>
      </c>
      <c r="P15" s="63" t="s">
        <v>1661</v>
      </c>
    </row>
    <row r="16" customFormat="false" ht="15" hidden="false" customHeight="true" outlineLevel="0" collapsed="false">
      <c r="E16" s="66" t="s">
        <v>131</v>
      </c>
      <c r="F16" s="66" t="s">
        <v>192</v>
      </c>
    </row>
    <row r="17" customFormat="false" ht="15" hidden="false" customHeight="true" outlineLevel="0" collapsed="false">
      <c r="E17" s="63" t="s">
        <v>132</v>
      </c>
      <c r="F17" s="63" t="s">
        <v>204</v>
      </c>
    </row>
    <row r="18" customFormat="false" ht="15" hidden="false" customHeight="true" outlineLevel="0" collapsed="false">
      <c r="E18" s="66" t="s">
        <v>133</v>
      </c>
      <c r="F18" s="66" t="s">
        <v>258</v>
      </c>
    </row>
    <row r="19" customFormat="false" ht="15" hidden="false" customHeight="true" outlineLevel="0" collapsed="false">
      <c r="E19" s="63" t="s">
        <v>134</v>
      </c>
      <c r="F19" s="63" t="s">
        <v>169</v>
      </c>
    </row>
    <row r="20" customFormat="false" ht="15" hidden="false" customHeight="true" outlineLevel="0" collapsed="false">
      <c r="E20" s="66" t="s">
        <v>135</v>
      </c>
      <c r="F20" s="66" t="s">
        <v>369</v>
      </c>
    </row>
    <row r="21" customFormat="false" ht="15" hidden="false" customHeight="true" outlineLevel="0" collapsed="false">
      <c r="E21" s="63" t="s">
        <v>136</v>
      </c>
      <c r="F21" s="63" t="s">
        <v>239</v>
      </c>
    </row>
    <row r="22" customFormat="false" ht="15" hidden="false" customHeight="true" outlineLevel="0" collapsed="false">
      <c r="E22" s="66" t="s">
        <v>137</v>
      </c>
      <c r="F22" s="66" t="s">
        <v>234</v>
      </c>
    </row>
    <row r="23" customFormat="false" ht="15" hidden="false" customHeight="true" outlineLevel="0" collapsed="false">
      <c r="E23" s="63" t="s">
        <v>138</v>
      </c>
      <c r="F23" s="63" t="s">
        <v>349</v>
      </c>
    </row>
    <row r="24" customFormat="false" ht="15" hidden="false" customHeight="true" outlineLevel="0" collapsed="false">
      <c r="E24" s="66" t="s">
        <v>139</v>
      </c>
      <c r="F24" s="66" t="s">
        <v>345</v>
      </c>
    </row>
    <row r="25" customFormat="false" ht="15" hidden="false" customHeight="true" outlineLevel="0" collapsed="false">
      <c r="F25" s="63" t="s">
        <v>314</v>
      </c>
    </row>
    <row r="26" customFormat="false" ht="15" hidden="false" customHeight="true" outlineLevel="0" collapsed="false">
      <c r="F26" s="66" t="s">
        <v>353</v>
      </c>
    </row>
    <row r="27" customFormat="false" ht="15" hidden="false" customHeight="true" outlineLevel="0" collapsed="false">
      <c r="F27" s="63" t="s">
        <v>1662</v>
      </c>
    </row>
    <row r="28" customFormat="false" ht="15" hidden="false" customHeight="true" outlineLevel="0" collapsed="false">
      <c r="F28" s="66" t="s">
        <v>1663</v>
      </c>
    </row>
  </sheetData>
  <mergeCells count="1">
    <mergeCell ref="B7:V7"/>
  </mergeCells>
  <printOptions headings="false" gridLines="false" gridLinesSet="true" horizontalCentered="true" verticalCentered="false"/>
  <pageMargins left="0.4" right="0.4" top="0.5" bottom="0.5" header="0.511811023622047" footer="0.5"/>
  <pageSetup paperSize="8" scale="100" fitToWidth="2" fitToHeight="0" pageOrder="downThenOver" orientation="landscape" blackAndWhite="false" draft="false" cellComments="none" horizontalDpi="300" verticalDpi="300" copies="1"/>
  <headerFooter differentFirst="false" differentOddEven="false">
    <oddHeader/>
    <oddFooter>&amp;L&amp;8 &amp;K8e98a2Template by Mastt  ·  mastt.com&amp;R&amp;8 &amp;K8e98a2Page &amp;P of &amp;N</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D3245"/>
    <pageSetUpPr fitToPage="true"/>
  </sheetPr>
  <dimension ref="A1:I5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3" min="2" style="1" width="30"/>
    <col collapsed="false" customWidth="true" hidden="false" outlineLevel="0" max="8" min="4" style="1" width="26"/>
    <col collapsed="false" customWidth="true" hidden="false" outlineLevel="0" max="9" min="9" style="1" width="3"/>
  </cols>
  <sheetData>
    <row r="1" customFormat="false" ht="9.75" hidden="false" customHeight="true" outlineLevel="0" collapsed="false">
      <c r="A1" s="2"/>
      <c r="B1" s="2"/>
      <c r="C1" s="2"/>
      <c r="D1" s="2"/>
      <c r="E1" s="2"/>
      <c r="F1" s="2"/>
      <c r="G1" s="2"/>
      <c r="H1" s="2"/>
      <c r="I1" s="2"/>
    </row>
    <row r="2" customFormat="false" ht="33.75" hidden="false" customHeight="true" outlineLevel="0" collapsed="false">
      <c r="A2" s="2"/>
      <c r="B2" s="2"/>
      <c r="C2" s="2"/>
      <c r="D2" s="2"/>
      <c r="E2" s="2"/>
      <c r="F2" s="2"/>
      <c r="G2" s="2"/>
      <c r="H2" s="2"/>
      <c r="I2" s="2"/>
    </row>
    <row r="3" customFormat="false" ht="7.5" hidden="false" customHeight="true" outlineLevel="0" collapsed="false">
      <c r="A3" s="2"/>
      <c r="B3" s="2"/>
      <c r="C3" s="2"/>
      <c r="D3" s="2"/>
      <c r="E3" s="2"/>
      <c r="F3" s="2"/>
      <c r="G3" s="2"/>
      <c r="H3" s="2"/>
      <c r="I3" s="2"/>
    </row>
    <row r="4" customFormat="false" ht="30" hidden="false" customHeight="true" outlineLevel="0" collapsed="false">
      <c r="A4" s="2"/>
      <c r="B4" s="3" t="s">
        <v>34</v>
      </c>
      <c r="C4" s="2"/>
      <c r="D4" s="2"/>
      <c r="E4" s="2"/>
      <c r="F4" s="2"/>
      <c r="G4" s="2"/>
      <c r="H4" s="2"/>
      <c r="I4" s="2"/>
    </row>
    <row r="5" customFormat="false" ht="21.75" hidden="false" customHeight="true" outlineLevel="0" collapsed="false">
      <c r="A5" s="2"/>
      <c r="B5" s="4" t="s">
        <v>1</v>
      </c>
      <c r="C5" s="2"/>
      <c r="D5" s="2"/>
      <c r="E5" s="2"/>
      <c r="F5" s="2"/>
      <c r="G5" s="2"/>
      <c r="H5" s="2"/>
      <c r="I5" s="2"/>
    </row>
    <row r="6" customFormat="false" ht="7.5" hidden="false" customHeight="true" outlineLevel="0" collapsed="false"/>
    <row r="7" customFormat="false" ht="24" hidden="false" customHeight="true" outlineLevel="0" collapsed="false">
      <c r="B7" s="5" t="s">
        <v>35</v>
      </c>
      <c r="C7" s="6"/>
      <c r="D7" s="6"/>
      <c r="E7" s="6"/>
      <c r="F7" s="6"/>
      <c r="G7" s="6"/>
      <c r="H7" s="6"/>
    </row>
    <row r="8" customFormat="false" ht="30" hidden="false" customHeight="true" outlineLevel="0" collapsed="false">
      <c r="B8" s="8" t="s">
        <v>36</v>
      </c>
      <c r="C8" s="8"/>
      <c r="D8" s="8"/>
      <c r="E8" s="8"/>
      <c r="F8" s="8"/>
      <c r="G8" s="8"/>
      <c r="H8" s="8"/>
    </row>
    <row r="9" customFormat="false" ht="30" hidden="false" customHeight="true" outlineLevel="0" collapsed="false">
      <c r="B9" s="8" t="s">
        <v>37</v>
      </c>
      <c r="C9" s="8"/>
      <c r="D9" s="8"/>
      <c r="E9" s="8"/>
      <c r="F9" s="8"/>
      <c r="G9" s="8"/>
      <c r="H9" s="8"/>
    </row>
    <row r="10" customFormat="false" ht="30" hidden="false" customHeight="true" outlineLevel="0" collapsed="false">
      <c r="B10" s="8" t="s">
        <v>38</v>
      </c>
      <c r="C10" s="8"/>
      <c r="D10" s="8"/>
      <c r="E10" s="8"/>
      <c r="F10" s="8"/>
      <c r="G10" s="8"/>
      <c r="H10" s="8"/>
    </row>
    <row r="12" customFormat="false" ht="24" hidden="false" customHeight="true" outlineLevel="0" collapsed="false">
      <c r="B12" s="5" t="s">
        <v>39</v>
      </c>
      <c r="C12" s="6"/>
      <c r="D12" s="6"/>
      <c r="E12" s="6"/>
      <c r="F12" s="6"/>
      <c r="G12" s="6"/>
      <c r="H12" s="6"/>
    </row>
    <row r="13" customFormat="false" ht="30" hidden="false" customHeight="true" outlineLevel="0" collapsed="false">
      <c r="B13" s="8" t="s">
        <v>40</v>
      </c>
      <c r="C13" s="8"/>
      <c r="D13" s="8"/>
      <c r="E13" s="8"/>
      <c r="F13" s="8"/>
      <c r="G13" s="8"/>
      <c r="H13" s="8"/>
    </row>
    <row r="14" customFormat="false" ht="30" hidden="false" customHeight="true" outlineLevel="0" collapsed="false">
      <c r="B14" s="8" t="s">
        <v>41</v>
      </c>
      <c r="C14" s="8"/>
      <c r="D14" s="8"/>
      <c r="E14" s="8"/>
      <c r="F14" s="8"/>
      <c r="G14" s="8"/>
      <c r="H14" s="8"/>
    </row>
    <row r="15" customFormat="false" ht="30" hidden="false" customHeight="true" outlineLevel="0" collapsed="false">
      <c r="B15" s="8" t="s">
        <v>42</v>
      </c>
      <c r="C15" s="8"/>
      <c r="D15" s="8"/>
      <c r="E15" s="8"/>
      <c r="F15" s="8"/>
      <c r="G15" s="8"/>
      <c r="H15" s="8"/>
    </row>
    <row r="16" customFormat="false" ht="30" hidden="false" customHeight="true" outlineLevel="0" collapsed="false">
      <c r="B16" s="8" t="s">
        <v>43</v>
      </c>
      <c r="C16" s="8"/>
      <c r="D16" s="8"/>
      <c r="E16" s="8"/>
      <c r="F16" s="8"/>
      <c r="G16" s="8"/>
      <c r="H16" s="8"/>
    </row>
    <row r="18" customFormat="false" ht="24" hidden="false" customHeight="true" outlineLevel="0" collapsed="false">
      <c r="B18" s="5" t="s">
        <v>44</v>
      </c>
      <c r="C18" s="6"/>
      <c r="D18" s="6"/>
      <c r="E18" s="6"/>
      <c r="F18" s="6"/>
      <c r="G18" s="6"/>
      <c r="H18" s="6"/>
    </row>
    <row r="19" customFormat="false" ht="30" hidden="false" customHeight="true" outlineLevel="0" collapsed="false">
      <c r="B19" s="8" t="s">
        <v>45</v>
      </c>
      <c r="C19" s="8"/>
      <c r="D19" s="8"/>
      <c r="E19" s="8"/>
      <c r="F19" s="8"/>
      <c r="G19" s="8"/>
      <c r="H19" s="8"/>
    </row>
    <row r="20" customFormat="false" ht="30" hidden="false" customHeight="true" outlineLevel="0" collapsed="false">
      <c r="B20" s="8" t="s">
        <v>46</v>
      </c>
      <c r="C20" s="8"/>
      <c r="D20" s="8"/>
      <c r="E20" s="8"/>
      <c r="F20" s="8"/>
      <c r="G20" s="8"/>
      <c r="H20" s="8"/>
    </row>
    <row r="21" customFormat="false" ht="30" hidden="false" customHeight="true" outlineLevel="0" collapsed="false">
      <c r="B21" s="8" t="s">
        <v>47</v>
      </c>
      <c r="C21" s="8"/>
      <c r="D21" s="8"/>
      <c r="E21" s="8"/>
      <c r="F21" s="8"/>
      <c r="G21" s="8"/>
      <c r="H21" s="8"/>
    </row>
    <row r="22" customFormat="false" ht="30" hidden="false" customHeight="true" outlineLevel="0" collapsed="false">
      <c r="B22" s="8" t="s">
        <v>48</v>
      </c>
      <c r="C22" s="8"/>
      <c r="D22" s="8"/>
      <c r="E22" s="8"/>
      <c r="F22" s="8"/>
      <c r="G22" s="8"/>
      <c r="H22" s="8"/>
    </row>
    <row r="24" customFormat="false" ht="24" hidden="false" customHeight="true" outlineLevel="0" collapsed="false">
      <c r="B24" s="5" t="s">
        <v>49</v>
      </c>
      <c r="C24" s="6"/>
      <c r="D24" s="6"/>
      <c r="E24" s="6"/>
      <c r="F24" s="6"/>
      <c r="G24" s="6"/>
      <c r="H24" s="6"/>
    </row>
    <row r="25" customFormat="false" ht="30" hidden="false" customHeight="true" outlineLevel="0" collapsed="false">
      <c r="B25" s="8" t="s">
        <v>50</v>
      </c>
      <c r="C25" s="8"/>
      <c r="D25" s="8"/>
      <c r="E25" s="8"/>
      <c r="F25" s="8"/>
      <c r="G25" s="8"/>
      <c r="H25" s="8"/>
    </row>
    <row r="26" customFormat="false" ht="30" hidden="false" customHeight="true" outlineLevel="0" collapsed="false">
      <c r="B26" s="8" t="s">
        <v>51</v>
      </c>
      <c r="C26" s="8"/>
      <c r="D26" s="8"/>
      <c r="E26" s="8"/>
      <c r="F26" s="8"/>
      <c r="G26" s="8"/>
      <c r="H26" s="8"/>
    </row>
    <row r="27" customFormat="false" ht="30" hidden="false" customHeight="true" outlineLevel="0" collapsed="false">
      <c r="B27" s="8" t="s">
        <v>52</v>
      </c>
      <c r="C27" s="8"/>
      <c r="D27" s="8"/>
      <c r="E27" s="8"/>
      <c r="F27" s="8"/>
      <c r="G27" s="8"/>
      <c r="H27" s="8"/>
    </row>
    <row r="28" customFormat="false" ht="30" hidden="false" customHeight="true" outlineLevel="0" collapsed="false">
      <c r="B28" s="8" t="s">
        <v>53</v>
      </c>
      <c r="C28" s="8"/>
      <c r="D28" s="8"/>
      <c r="E28" s="8"/>
      <c r="F28" s="8"/>
      <c r="G28" s="8"/>
      <c r="H28" s="8"/>
    </row>
    <row r="29" customFormat="false" ht="30" hidden="false" customHeight="true" outlineLevel="0" collapsed="false">
      <c r="B29" s="8" t="s">
        <v>54</v>
      </c>
      <c r="C29" s="8"/>
      <c r="D29" s="8"/>
      <c r="E29" s="8"/>
      <c r="F29" s="8"/>
      <c r="G29" s="8"/>
      <c r="H29" s="8"/>
    </row>
    <row r="30" customFormat="false" ht="30" hidden="false" customHeight="true" outlineLevel="0" collapsed="false">
      <c r="B30" s="8" t="s">
        <v>55</v>
      </c>
      <c r="C30" s="8"/>
      <c r="D30" s="8"/>
      <c r="E30" s="8"/>
      <c r="F30" s="8"/>
      <c r="G30" s="8"/>
      <c r="H30" s="8"/>
    </row>
    <row r="32" customFormat="false" ht="24" hidden="false" customHeight="true" outlineLevel="0" collapsed="false">
      <c r="B32" s="5" t="s">
        <v>56</v>
      </c>
      <c r="C32" s="6"/>
      <c r="D32" s="6"/>
      <c r="E32" s="6"/>
      <c r="F32" s="6"/>
      <c r="G32" s="6"/>
      <c r="H32" s="6"/>
    </row>
    <row r="33" customFormat="false" ht="30" hidden="false" customHeight="true" outlineLevel="0" collapsed="false">
      <c r="B33" s="8" t="s">
        <v>57</v>
      </c>
      <c r="C33" s="8"/>
      <c r="D33" s="8"/>
      <c r="E33" s="8"/>
      <c r="F33" s="8"/>
      <c r="G33" s="8"/>
      <c r="H33" s="8"/>
    </row>
    <row r="34" customFormat="false" ht="30" hidden="false" customHeight="true" outlineLevel="0" collapsed="false">
      <c r="B34" s="8" t="s">
        <v>58</v>
      </c>
      <c r="C34" s="8"/>
      <c r="D34" s="8"/>
      <c r="E34" s="8"/>
      <c r="F34" s="8"/>
      <c r="G34" s="8"/>
      <c r="H34" s="8"/>
    </row>
    <row r="35" customFormat="false" ht="30" hidden="false" customHeight="true" outlineLevel="0" collapsed="false">
      <c r="B35" s="8" t="s">
        <v>59</v>
      </c>
      <c r="C35" s="8"/>
      <c r="D35" s="8"/>
      <c r="E35" s="8"/>
      <c r="F35" s="8"/>
      <c r="G35" s="8"/>
      <c r="H35" s="8"/>
    </row>
    <row r="36" customFormat="false" ht="30" hidden="false" customHeight="true" outlineLevel="0" collapsed="false">
      <c r="B36" s="8" t="s">
        <v>60</v>
      </c>
      <c r="C36" s="8"/>
      <c r="D36" s="8"/>
      <c r="E36" s="8"/>
      <c r="F36" s="8"/>
      <c r="G36" s="8"/>
      <c r="H36" s="8"/>
    </row>
    <row r="38" customFormat="false" ht="24" hidden="false" customHeight="true" outlineLevel="0" collapsed="false">
      <c r="B38" s="5" t="s">
        <v>61</v>
      </c>
      <c r="C38" s="6"/>
      <c r="D38" s="6"/>
      <c r="E38" s="6"/>
      <c r="F38" s="6"/>
      <c r="G38" s="6"/>
      <c r="H38" s="6"/>
    </row>
    <row r="39" customFormat="false" ht="30" hidden="false" customHeight="true" outlineLevel="0" collapsed="false">
      <c r="B39" s="8" t="s">
        <v>62</v>
      </c>
      <c r="C39" s="8"/>
      <c r="D39" s="8"/>
      <c r="E39" s="8"/>
      <c r="F39" s="8"/>
      <c r="G39" s="8"/>
      <c r="H39" s="8"/>
    </row>
    <row r="40" customFormat="false" ht="30" hidden="false" customHeight="true" outlineLevel="0" collapsed="false">
      <c r="B40" s="8" t="s">
        <v>63</v>
      </c>
      <c r="C40" s="8"/>
      <c r="D40" s="8"/>
      <c r="E40" s="8"/>
      <c r="F40" s="8"/>
      <c r="G40" s="8"/>
      <c r="H40" s="8"/>
    </row>
    <row r="41" customFormat="false" ht="30" hidden="false" customHeight="true" outlineLevel="0" collapsed="false">
      <c r="B41" s="8" t="s">
        <v>64</v>
      </c>
      <c r="C41" s="8"/>
      <c r="D41" s="8"/>
      <c r="E41" s="8"/>
      <c r="F41" s="8"/>
      <c r="G41" s="8"/>
      <c r="H41" s="8"/>
    </row>
    <row r="42" customFormat="false" ht="30" hidden="false" customHeight="true" outlineLevel="0" collapsed="false">
      <c r="B42" s="8" t="s">
        <v>65</v>
      </c>
      <c r="C42" s="8"/>
      <c r="D42" s="8"/>
      <c r="E42" s="8"/>
      <c r="F42" s="8"/>
      <c r="G42" s="8"/>
      <c r="H42" s="8"/>
    </row>
    <row r="44" customFormat="false" ht="24" hidden="false" customHeight="true" outlineLevel="0" collapsed="false">
      <c r="B44" s="5" t="s">
        <v>66</v>
      </c>
      <c r="C44" s="6"/>
      <c r="D44" s="6"/>
      <c r="E44" s="6"/>
      <c r="F44" s="6"/>
      <c r="G44" s="6"/>
      <c r="H44" s="6"/>
    </row>
    <row r="45" customFormat="false" ht="30" hidden="false" customHeight="true" outlineLevel="0" collapsed="false">
      <c r="B45" s="8" t="s">
        <v>67</v>
      </c>
      <c r="C45" s="8"/>
      <c r="D45" s="8"/>
      <c r="E45" s="8"/>
      <c r="F45" s="8"/>
      <c r="G45" s="8"/>
      <c r="H45" s="8"/>
    </row>
    <row r="46" customFormat="false" ht="30" hidden="false" customHeight="true" outlineLevel="0" collapsed="false">
      <c r="B46" s="8" t="s">
        <v>68</v>
      </c>
      <c r="C46" s="8"/>
      <c r="D46" s="8"/>
      <c r="E46" s="8"/>
      <c r="F46" s="8"/>
      <c r="G46" s="8"/>
      <c r="H46" s="8"/>
    </row>
    <row r="47" customFormat="false" ht="30" hidden="false" customHeight="true" outlineLevel="0" collapsed="false">
      <c r="B47" s="8" t="s">
        <v>69</v>
      </c>
      <c r="C47" s="8"/>
      <c r="D47" s="8"/>
      <c r="E47" s="8"/>
      <c r="F47" s="8"/>
      <c r="G47" s="8"/>
      <c r="H47" s="8"/>
    </row>
    <row r="48" customFormat="false" ht="30" hidden="false" customHeight="true" outlineLevel="0" collapsed="false">
      <c r="B48" s="8" t="s">
        <v>70</v>
      </c>
      <c r="C48" s="8"/>
      <c r="D48" s="8"/>
      <c r="E48" s="8"/>
      <c r="F48" s="8"/>
      <c r="G48" s="8"/>
      <c r="H48" s="8"/>
    </row>
    <row r="50" customFormat="false" ht="24" hidden="false" customHeight="true" outlineLevel="0" collapsed="false">
      <c r="B50" s="5" t="s">
        <v>71</v>
      </c>
      <c r="C50" s="6"/>
      <c r="D50" s="6"/>
      <c r="E50" s="6"/>
      <c r="F50" s="6"/>
      <c r="G50" s="6"/>
      <c r="H50" s="6"/>
    </row>
    <row r="51" customFormat="false" ht="30" hidden="false" customHeight="true" outlineLevel="0" collapsed="false">
      <c r="B51" s="9" t="s">
        <v>72</v>
      </c>
      <c r="C51" s="9" t="s">
        <v>73</v>
      </c>
      <c r="D51" s="9" t="s">
        <v>74</v>
      </c>
      <c r="E51" s="9"/>
      <c r="F51" s="9" t="s">
        <v>75</v>
      </c>
      <c r="G51" s="9" t="s">
        <v>76</v>
      </c>
    </row>
    <row r="52" customFormat="false" ht="24" hidden="false" customHeight="true" outlineLevel="0" collapsed="false">
      <c r="B52" s="16" t="s">
        <v>77</v>
      </c>
      <c r="C52" s="17" t="s">
        <v>77</v>
      </c>
      <c r="D52" s="18" t="s">
        <v>78</v>
      </c>
      <c r="E52" s="18"/>
      <c r="F52" s="19" t="s">
        <v>79</v>
      </c>
      <c r="G52" s="19" t="s">
        <v>80</v>
      </c>
      <c r="H52" s="18"/>
    </row>
    <row r="53" customFormat="false" ht="24" hidden="false" customHeight="true" outlineLevel="0" collapsed="false">
      <c r="B53" s="16" t="s">
        <v>81</v>
      </c>
      <c r="C53" s="20" t="s">
        <v>81</v>
      </c>
      <c r="D53" s="18" t="s">
        <v>82</v>
      </c>
      <c r="E53" s="18"/>
      <c r="F53" s="19" t="s">
        <v>79</v>
      </c>
      <c r="G53" s="19" t="s">
        <v>80</v>
      </c>
      <c r="H53" s="18"/>
    </row>
    <row r="54" customFormat="false" ht="24" hidden="false" customHeight="true" outlineLevel="0" collapsed="false">
      <c r="B54" s="16" t="s">
        <v>83</v>
      </c>
      <c r="C54" s="21" t="s">
        <v>83</v>
      </c>
      <c r="D54" s="18" t="s">
        <v>84</v>
      </c>
      <c r="E54" s="18"/>
      <c r="F54" s="19" t="s">
        <v>79</v>
      </c>
      <c r="G54" s="19" t="s">
        <v>79</v>
      </c>
      <c r="H54" s="18"/>
    </row>
    <row r="55" customFormat="false" ht="24" hidden="false" customHeight="true" outlineLevel="0" collapsed="false">
      <c r="B55" s="16" t="s">
        <v>85</v>
      </c>
      <c r="C55" s="22" t="s">
        <v>85</v>
      </c>
      <c r="D55" s="18" t="s">
        <v>86</v>
      </c>
      <c r="E55" s="18"/>
      <c r="F55" s="19" t="s">
        <v>79</v>
      </c>
      <c r="G55" s="19" t="s">
        <v>80</v>
      </c>
      <c r="H55" s="18"/>
    </row>
    <row r="56" customFormat="false" ht="24" hidden="false" customHeight="true" outlineLevel="0" collapsed="false">
      <c r="B56" s="16" t="s">
        <v>87</v>
      </c>
      <c r="C56" s="17" t="s">
        <v>87</v>
      </c>
      <c r="D56" s="18" t="s">
        <v>88</v>
      </c>
      <c r="E56" s="18"/>
      <c r="F56" s="19" t="s">
        <v>80</v>
      </c>
      <c r="G56" s="19" t="s">
        <v>80</v>
      </c>
      <c r="H56" s="18"/>
    </row>
    <row r="58" customFormat="false" ht="31.5" hidden="false" customHeight="true" outlineLevel="0" collapsed="false">
      <c r="B58" s="23" t="s">
        <v>89</v>
      </c>
      <c r="C58" s="23"/>
      <c r="D58" s="23"/>
      <c r="E58" s="23"/>
      <c r="F58" s="23"/>
      <c r="G58" s="23"/>
      <c r="H58" s="23"/>
    </row>
  </sheetData>
  <mergeCells count="36">
    <mergeCell ref="B8:H8"/>
    <mergeCell ref="B9:H9"/>
    <mergeCell ref="B10:H10"/>
    <mergeCell ref="B13:H13"/>
    <mergeCell ref="B14:H14"/>
    <mergeCell ref="B15:H15"/>
    <mergeCell ref="B16:H16"/>
    <mergeCell ref="B19:H19"/>
    <mergeCell ref="B20:H20"/>
    <mergeCell ref="B21:H21"/>
    <mergeCell ref="B22:H22"/>
    <mergeCell ref="B25:H25"/>
    <mergeCell ref="B26:H26"/>
    <mergeCell ref="B27:H27"/>
    <mergeCell ref="B28:H28"/>
    <mergeCell ref="B29:H29"/>
    <mergeCell ref="B30:H30"/>
    <mergeCell ref="B33:H33"/>
    <mergeCell ref="B34:H34"/>
    <mergeCell ref="B35:H35"/>
    <mergeCell ref="B36:H36"/>
    <mergeCell ref="B39:H39"/>
    <mergeCell ref="B40:H40"/>
    <mergeCell ref="B41:H41"/>
    <mergeCell ref="B42:H42"/>
    <mergeCell ref="B45:H45"/>
    <mergeCell ref="B46:H46"/>
    <mergeCell ref="B47:H47"/>
    <mergeCell ref="B48:H48"/>
    <mergeCell ref="D51:E51"/>
    <mergeCell ref="D52:E52"/>
    <mergeCell ref="D53:E53"/>
    <mergeCell ref="D54:E54"/>
    <mergeCell ref="D55:E55"/>
    <mergeCell ref="D56:E56"/>
    <mergeCell ref="B58:H58"/>
  </mergeCells>
  <printOptions headings="false" gridLines="false" gridLinesSet="true" horizontalCentered="true" verticalCentered="false"/>
  <pageMargins left="0.4" right="0.4" top="0.5" bottom="0.5" header="0.511811023622047" footer="0.5"/>
  <pageSetup paperSize="8" scale="100" fitToWidth="1" fitToHeight="0" pageOrder="downThenOver" orientation="landscape" blackAndWhite="false" draft="false" cellComments="none" horizontalDpi="300" verticalDpi="300" copies="1"/>
  <headerFooter differentFirst="false" differentOddEven="false">
    <oddHeader/>
    <oddFooter>&amp;L&amp;8 &amp;K8e98a2Template by Mastt  ·  mastt.com&amp;R&amp;8 &amp;K8e98a2Page &amp;P of &amp;N</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3480BC"/>
    <pageSetUpPr fitToPage="true"/>
  </sheetPr>
  <dimension ref="A1:N4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5"/>
    <col collapsed="false" customWidth="true" hidden="false" outlineLevel="0" max="14" min="2" style="1" width="13.6"/>
  </cols>
  <sheetData>
    <row r="1" customFormat="false" ht="9.75" hidden="false" customHeight="true" outlineLevel="0" collapsed="false">
      <c r="A1" s="2"/>
      <c r="B1" s="2"/>
      <c r="C1" s="2"/>
      <c r="D1" s="2"/>
      <c r="E1" s="2"/>
      <c r="F1" s="2"/>
      <c r="G1" s="2"/>
      <c r="H1" s="2"/>
      <c r="I1" s="2"/>
      <c r="J1" s="2"/>
      <c r="K1" s="2"/>
      <c r="L1" s="2"/>
      <c r="M1" s="2"/>
      <c r="N1" s="2"/>
    </row>
    <row r="2" customFormat="false" ht="33.75" hidden="false" customHeight="true" outlineLevel="0" collapsed="false">
      <c r="A2" s="2"/>
      <c r="B2" s="2"/>
      <c r="C2" s="2"/>
      <c r="D2" s="2"/>
      <c r="E2" s="2"/>
      <c r="F2" s="2"/>
      <c r="G2" s="2"/>
      <c r="H2" s="2"/>
      <c r="I2" s="2"/>
      <c r="J2" s="2"/>
      <c r="K2" s="2"/>
      <c r="L2" s="2"/>
      <c r="M2" s="2"/>
      <c r="N2" s="2"/>
    </row>
    <row r="3" customFormat="false" ht="7.5" hidden="false" customHeight="true" outlineLevel="0" collapsed="false">
      <c r="A3" s="2"/>
      <c r="B3" s="2"/>
      <c r="C3" s="2"/>
      <c r="D3" s="2"/>
      <c r="E3" s="2"/>
      <c r="F3" s="2"/>
      <c r="G3" s="2"/>
      <c r="H3" s="2"/>
      <c r="I3" s="2"/>
      <c r="J3" s="2"/>
      <c r="K3" s="2"/>
      <c r="L3" s="2"/>
      <c r="M3" s="2"/>
      <c r="N3" s="2"/>
    </row>
    <row r="4" customFormat="false" ht="30" hidden="false" customHeight="true" outlineLevel="0" collapsed="false">
      <c r="A4" s="2"/>
      <c r="B4" s="3" t="s">
        <v>90</v>
      </c>
      <c r="C4" s="2"/>
      <c r="D4" s="2"/>
      <c r="E4" s="2"/>
      <c r="F4" s="2"/>
      <c r="G4" s="2"/>
      <c r="H4" s="2"/>
      <c r="I4" s="2"/>
      <c r="J4" s="2"/>
      <c r="K4" s="2"/>
      <c r="L4" s="2"/>
      <c r="M4" s="2"/>
      <c r="N4" s="2"/>
    </row>
    <row r="5" customFormat="false" ht="21.75" hidden="false" customHeight="true" outlineLevel="0" collapsed="false">
      <c r="A5" s="2"/>
      <c r="B5" s="4" t="s">
        <v>1</v>
      </c>
      <c r="C5" s="2"/>
      <c r="D5" s="2"/>
      <c r="E5" s="2"/>
      <c r="F5" s="2"/>
      <c r="G5" s="2"/>
      <c r="H5" s="2"/>
      <c r="I5" s="2"/>
      <c r="J5" s="2"/>
      <c r="K5" s="2"/>
      <c r="L5" s="2"/>
      <c r="M5" s="2"/>
      <c r="N5" s="2"/>
    </row>
    <row r="6" customFormat="false" ht="7.5" hidden="false" customHeight="true" outlineLevel="0" collapsed="false"/>
    <row r="7" customFormat="false" ht="30" hidden="false" customHeight="true" outlineLevel="0" collapsed="false">
      <c r="B7" s="23" t="s">
        <v>91</v>
      </c>
      <c r="C7" s="23"/>
      <c r="D7" s="23"/>
      <c r="E7" s="23"/>
      <c r="F7" s="23"/>
      <c r="G7" s="23"/>
      <c r="H7" s="23"/>
      <c r="I7" s="23"/>
      <c r="J7" s="23"/>
      <c r="K7" s="23"/>
      <c r="L7" s="23"/>
      <c r="M7" s="23"/>
      <c r="N7" s="23"/>
    </row>
    <row r="8" customFormat="false" ht="24" hidden="false" customHeight="true" outlineLevel="0" collapsed="false">
      <c r="B8" s="24" t="s">
        <v>92</v>
      </c>
      <c r="C8" s="24"/>
      <c r="D8" s="24"/>
      <c r="E8" s="25" t="s">
        <v>93</v>
      </c>
      <c r="F8" s="25"/>
      <c r="G8" s="25"/>
      <c r="H8" s="25"/>
      <c r="I8" s="25"/>
      <c r="J8" s="25"/>
      <c r="K8" s="25"/>
      <c r="L8" s="25"/>
      <c r="M8" s="25"/>
      <c r="N8" s="25"/>
    </row>
    <row r="9" customFormat="false" ht="18" hidden="false" customHeight="true" outlineLevel="0" collapsed="false">
      <c r="B9" s="26" t="s">
        <v>94</v>
      </c>
      <c r="C9" s="26"/>
      <c r="D9" s="26" t="s">
        <v>95</v>
      </c>
      <c r="E9" s="26"/>
      <c r="F9" s="26" t="s">
        <v>96</v>
      </c>
      <c r="G9" s="26"/>
      <c r="H9" s="26" t="s">
        <v>97</v>
      </c>
      <c r="I9" s="26"/>
      <c r="J9" s="26" t="s">
        <v>98</v>
      </c>
      <c r="K9" s="26"/>
    </row>
    <row r="10" customFormat="false" ht="33.75" hidden="false" customHeight="true" outlineLevel="0" collapsed="false">
      <c r="B10" s="27" t="n">
        <f aca="false">COUNTA('Handover Checklist'!$B$9:$B$245)</f>
        <v>237</v>
      </c>
      <c r="C10" s="27"/>
      <c r="D10" s="27" t="n">
        <f aca="false">COUNTA('Handover Checklist'!$B$9:$B$245)-COUNTIF('Handover Checklist'!$J$9:$J$245,"N/A")</f>
        <v>237</v>
      </c>
      <c r="E10" s="27"/>
      <c r="F10" s="27" t="n">
        <f aca="false">COUNTIF('Handover Checklist'!$J$9:$J$245,"Complete")</f>
        <v>0</v>
      </c>
      <c r="G10" s="27"/>
      <c r="H10" s="27" t="n">
        <f aca="false">COUNTIF('Handover Checklist'!$J$9:$J$245,"In progress")</f>
        <v>0</v>
      </c>
      <c r="I10" s="27"/>
      <c r="J10" s="27" t="n">
        <f aca="false">COUNTIF('Handover Checklist'!$J$9:$J$245,"Blocked")</f>
        <v>0</v>
      </c>
      <c r="K10" s="27"/>
    </row>
    <row r="11" customFormat="false" ht="6" hidden="false" customHeight="true" outlineLevel="0" collapsed="false"/>
    <row r="12" customFormat="false" ht="18" hidden="false" customHeight="true" outlineLevel="0" collapsed="false">
      <c r="B12" s="26" t="s">
        <v>99</v>
      </c>
      <c r="C12" s="26"/>
      <c r="D12" s="26" t="s">
        <v>100</v>
      </c>
      <c r="E12" s="26"/>
      <c r="F12" s="26" t="s">
        <v>101</v>
      </c>
      <c r="G12" s="26"/>
      <c r="H12" s="26" t="s">
        <v>102</v>
      </c>
      <c r="I12" s="26"/>
      <c r="J12" s="26" t="s">
        <v>103</v>
      </c>
      <c r="K12" s="26"/>
    </row>
    <row r="13" customFormat="false" ht="33.75" hidden="false" customHeight="true" outlineLevel="0" collapsed="false">
      <c r="B13" s="27" t="n">
        <f aca="false">COUNTIF('Handover Checklist'!$J$9:$J$245,"Not started")</f>
        <v>237</v>
      </c>
      <c r="C13" s="27"/>
      <c r="D13" s="28" t="n">
        <f aca="false">IFERROR(COUNTIF('Handover Checklist'!$J$9:$J$245,"Complete")/(COUNTA('Handover Checklist'!$B$9:$B$245)-COUNTIF('Handover Checklist'!$J$9:$J$245,"N/A")),0)</f>
        <v>0</v>
      </c>
      <c r="E13" s="28"/>
      <c r="F13" s="27" t="n">
        <f aca="false">COUNTIFS('Handover Checklist'!$H$9:$H$245,"Critical",'Handover Checklist'!$J$9:$J$245,"&lt;&gt;Complete",'Handover Checklist'!$J$9:$J$245,"&lt;&gt;N/A")</f>
        <v>91</v>
      </c>
      <c r="G13" s="27"/>
      <c r="H13" s="27" t="n">
        <f aca="false">SUM('Handover Checklist'!$P$9:$P$245)</f>
        <v>0</v>
      </c>
      <c r="I13" s="27"/>
      <c r="J13" s="28" t="n">
        <f aca="false">IFERROR(SUMPRODUCT(('Handover Checklist'!$J$9:$J$245="Complete")*'Handover Checklist'!$O$9:$O$245)/SUMPRODUCT(('Handover Checklist'!$J$9:$J$245&lt;&gt;"N/A")*'Handover Checklist'!$O$9:$O$245),0)</f>
        <v>0</v>
      </c>
      <c r="K13" s="28"/>
    </row>
    <row r="14" customFormat="false" ht="6" hidden="false" customHeight="true" outlineLevel="0" collapsed="false"/>
    <row r="15" customFormat="false" ht="24" hidden="false" customHeight="true" outlineLevel="0" collapsed="false">
      <c r="B15" s="24" t="s">
        <v>104</v>
      </c>
      <c r="C15" s="24"/>
      <c r="D15" s="24"/>
      <c r="E15" s="25" t="s">
        <v>105</v>
      </c>
      <c r="F15" s="25"/>
      <c r="G15" s="25"/>
      <c r="H15" s="25"/>
      <c r="I15" s="25"/>
      <c r="J15" s="25"/>
      <c r="K15" s="25"/>
      <c r="L15" s="25"/>
      <c r="M15" s="25"/>
      <c r="N15" s="25"/>
    </row>
    <row r="16" customFormat="false" ht="31.5" hidden="false" customHeight="true" outlineLevel="0" collapsed="false">
      <c r="B16" s="9" t="s">
        <v>106</v>
      </c>
      <c r="C16" s="9"/>
      <c r="D16" s="9" t="s">
        <v>107</v>
      </c>
      <c r="E16" s="9"/>
      <c r="F16" s="9"/>
      <c r="G16" s="9"/>
      <c r="H16" s="9"/>
      <c r="I16" s="9" t="s">
        <v>108</v>
      </c>
      <c r="J16" s="9" t="s">
        <v>109</v>
      </c>
      <c r="K16" s="9" t="s">
        <v>110</v>
      </c>
    </row>
    <row r="17" customFormat="false" ht="36" hidden="false" customHeight="true" outlineLevel="0" collapsed="false">
      <c r="B17" s="29" t="s">
        <v>111</v>
      </c>
      <c r="C17" s="29"/>
      <c r="D17" s="30" t="s">
        <v>112</v>
      </c>
      <c r="E17" s="30"/>
      <c r="F17" s="30"/>
      <c r="G17" s="30"/>
      <c r="H17" s="30"/>
      <c r="I17" s="31" t="n">
        <f aca="false">COUNTIFS('Handover Checklist'!$I$9:$I$245,"G1 Commissioning Review",'Handover Checklist'!$H$9:$H$245,"Critical")</f>
        <v>9</v>
      </c>
      <c r="J17" s="32" t="n">
        <f aca="false">COUNTIFS('Handover Checklist'!$I$9:$I$245,"G1 Commissioning Review",'Handover Checklist'!$H$9:$H$245,"Critical",'Handover Checklist'!$J$9:$J$245,"&lt;&gt;Complete",'Handover Checklist'!$J$9:$J$245,"&lt;&gt;N/A")</f>
        <v>9</v>
      </c>
      <c r="K17" s="33" t="str">
        <f aca="false">IF($J17=0,"Ready","Not ready")</f>
        <v>Not ready</v>
      </c>
    </row>
    <row r="18" customFormat="false" ht="36" hidden="false" customHeight="true" outlineLevel="0" collapsed="false">
      <c r="B18" s="34" t="s">
        <v>113</v>
      </c>
      <c r="C18" s="34"/>
      <c r="D18" s="35" t="s">
        <v>114</v>
      </c>
      <c r="E18" s="35"/>
      <c r="F18" s="35"/>
      <c r="G18" s="35"/>
      <c r="H18" s="35"/>
      <c r="I18" s="36" t="n">
        <f aca="false">COUNTIFS('Handover Checklist'!$I$9:$I$245,"G1 Commissioning Review",'Handover Checklist'!$H$9:$H$245,"Critical")+COUNTIFS('Handover Checklist'!$I$9:$I$245,"G2 Handover",'Handover Checklist'!$H$9:$H$245,"Critical")</f>
        <v>52</v>
      </c>
      <c r="J18" s="37" t="n">
        <f aca="false">COUNTIFS('Handover Checklist'!$I$9:$I$245,"G1 Commissioning Review",'Handover Checklist'!$H$9:$H$245,"Critical",'Handover Checklist'!$J$9:$J$245,"&lt;&gt;Complete",'Handover Checklist'!$J$9:$J$245,"&lt;&gt;N/A")+COUNTIFS('Handover Checklist'!$I$9:$I$245,"G2 Handover",'Handover Checklist'!$H$9:$H$245,"Critical",'Handover Checklist'!$J$9:$J$245,"&lt;&gt;Complete",'Handover Checklist'!$J$9:$J$245,"&lt;&gt;N/A")</f>
        <v>52</v>
      </c>
      <c r="K18" s="38" t="str">
        <f aca="false">IF($J18=0,"Ready","Not ready")</f>
        <v>Not ready</v>
      </c>
    </row>
    <row r="19" customFormat="false" ht="36" hidden="false" customHeight="true" outlineLevel="0" collapsed="false">
      <c r="B19" s="29" t="s">
        <v>115</v>
      </c>
      <c r="C19" s="29"/>
      <c r="D19" s="30" t="s">
        <v>116</v>
      </c>
      <c r="E19" s="30"/>
      <c r="F19" s="30"/>
      <c r="G19" s="30"/>
      <c r="H19" s="30"/>
      <c r="I19" s="31" t="n">
        <f aca="false">COUNTIFS('Handover Checklist'!$I$9:$I$245,"G1 Commissioning Review",'Handover Checklist'!$H$9:$H$245,"Critical")+COUNTIFS('Handover Checklist'!$I$9:$I$245,"G2 Handover",'Handover Checklist'!$H$9:$H$245,"Critical")+COUNTIFS('Handover Checklist'!$I$9:$I$245,"G3 Occupancy",'Handover Checklist'!$H$9:$H$245,"Critical")</f>
        <v>91</v>
      </c>
      <c r="J19" s="32" t="n">
        <f aca="false">COUNTIFS('Handover Checklist'!$I$9:$I$245,"G1 Commissioning Review",'Handover Checklist'!$H$9:$H$245,"Critical",'Handover Checklist'!$J$9:$J$245,"&lt;&gt;Complete",'Handover Checklist'!$J$9:$J$245,"&lt;&gt;N/A")+COUNTIFS('Handover Checklist'!$I$9:$I$245,"G2 Handover",'Handover Checklist'!$H$9:$H$245,"Critical",'Handover Checklist'!$J$9:$J$245,"&lt;&gt;Complete",'Handover Checklist'!$J$9:$J$245,"&lt;&gt;N/A")+COUNTIFS('Handover Checklist'!$I$9:$I$245,"G3 Occupancy",'Handover Checklist'!$H$9:$H$245,"Critical",'Handover Checklist'!$J$9:$J$245,"&lt;&gt;Complete",'Handover Checklist'!$J$9:$J$245,"&lt;&gt;N/A")</f>
        <v>91</v>
      </c>
      <c r="K19" s="33" t="str">
        <f aca="false">IF($J19=0,"Ready","Not ready")</f>
        <v>Not ready</v>
      </c>
    </row>
    <row r="21" customFormat="false" ht="24" hidden="false" customHeight="true" outlineLevel="0" collapsed="false">
      <c r="B21" s="24" t="s">
        <v>117</v>
      </c>
      <c r="C21" s="24"/>
      <c r="D21" s="24"/>
      <c r="E21" s="25" t="s">
        <v>118</v>
      </c>
      <c r="F21" s="25"/>
      <c r="G21" s="25"/>
      <c r="H21" s="25"/>
      <c r="I21" s="25"/>
      <c r="J21" s="25"/>
      <c r="K21" s="25"/>
      <c r="L21" s="25"/>
      <c r="M21" s="25"/>
      <c r="N21" s="25"/>
    </row>
    <row r="22" customFormat="false" ht="43.5" hidden="false" customHeight="true" outlineLevel="0" collapsed="false">
      <c r="B22" s="9" t="s">
        <v>119</v>
      </c>
      <c r="C22" s="9"/>
      <c r="D22" s="9" t="s">
        <v>120</v>
      </c>
      <c r="E22" s="9" t="s">
        <v>121</v>
      </c>
      <c r="F22" s="9" t="s">
        <v>83</v>
      </c>
      <c r="G22" s="9" t="s">
        <v>122</v>
      </c>
      <c r="H22" s="9" t="s">
        <v>109</v>
      </c>
      <c r="I22" s="9" t="s">
        <v>85</v>
      </c>
      <c r="J22" s="9" t="s">
        <v>123</v>
      </c>
    </row>
    <row r="23" customFormat="false" ht="27.75" hidden="false" customHeight="true" outlineLevel="0" collapsed="false">
      <c r="B23" s="39" t="s">
        <v>124</v>
      </c>
      <c r="C23" s="39"/>
      <c r="D23" s="31" t="n">
        <f aca="false">COUNTIF('Handover Checklist'!$C$9:$C$245,$B23)</f>
        <v>15</v>
      </c>
      <c r="E23" s="31" t="n">
        <f aca="false">COUNTIFS('Handover Checklist'!$C$9:$C$245,$B23,'Handover Checklist'!$J$9:$J$245,"&lt;&gt;N/A")</f>
        <v>15</v>
      </c>
      <c r="F23" s="31" t="n">
        <f aca="false">COUNTIFS('Handover Checklist'!$C$9:$C$245,$B23,'Handover Checklist'!$J$9:$J$245,"Complete")</f>
        <v>0</v>
      </c>
      <c r="G23" s="40" t="n">
        <f aca="false">IFERROR($F23/$E23,0)</f>
        <v>0</v>
      </c>
      <c r="H23" s="31" t="n">
        <f aca="false">COUNTIFS('Handover Checklist'!$C$9:$C$245,$B23,'Handover Checklist'!$H$9:$H$245,"Critical",'Handover Checklist'!$J$9:$J$245,"&lt;&gt;Complete",'Handover Checklist'!$J$9:$J$245,"&lt;&gt;N/A")</f>
        <v>5</v>
      </c>
      <c r="I23" s="31" t="n">
        <f aca="false">COUNTIFS('Handover Checklist'!$C$9:$C$245,$B23,'Handover Checklist'!$J$9:$J$245,"Blocked")</f>
        <v>0</v>
      </c>
      <c r="J23" s="31" t="n">
        <f aca="false">SUMIFS('Handover Checklist'!$P$9:$P$245,'Handover Checklist'!$C$9:$C$245,$B23)</f>
        <v>0</v>
      </c>
    </row>
    <row r="24" customFormat="false" ht="27.75" hidden="false" customHeight="true" outlineLevel="0" collapsed="false">
      <c r="B24" s="41" t="s">
        <v>125</v>
      </c>
      <c r="C24" s="41"/>
      <c r="D24" s="36" t="n">
        <f aca="false">COUNTIF('Handover Checklist'!$C$9:$C$245,$B24)</f>
        <v>16</v>
      </c>
      <c r="E24" s="36" t="n">
        <f aca="false">COUNTIFS('Handover Checklist'!$C$9:$C$245,$B24,'Handover Checklist'!$J$9:$J$245,"&lt;&gt;N/A")</f>
        <v>16</v>
      </c>
      <c r="F24" s="36" t="n">
        <f aca="false">COUNTIFS('Handover Checklist'!$C$9:$C$245,$B24,'Handover Checklist'!$J$9:$J$245,"Complete")</f>
        <v>0</v>
      </c>
      <c r="G24" s="42" t="n">
        <f aca="false">IFERROR($F24/$E24,0)</f>
        <v>0</v>
      </c>
      <c r="H24" s="36" t="n">
        <f aca="false">COUNTIFS('Handover Checklist'!$C$9:$C$245,$B24,'Handover Checklist'!$H$9:$H$245,"Critical",'Handover Checklist'!$J$9:$J$245,"&lt;&gt;Complete",'Handover Checklist'!$J$9:$J$245,"&lt;&gt;N/A")</f>
        <v>11</v>
      </c>
      <c r="I24" s="36" t="n">
        <f aca="false">COUNTIFS('Handover Checklist'!$C$9:$C$245,$B24,'Handover Checklist'!$J$9:$J$245,"Blocked")</f>
        <v>0</v>
      </c>
      <c r="J24" s="36" t="n">
        <f aca="false">SUMIFS('Handover Checklist'!$P$9:$P$245,'Handover Checklist'!$C$9:$C$245,$B24)</f>
        <v>0</v>
      </c>
    </row>
    <row r="25" customFormat="false" ht="27.75" hidden="false" customHeight="true" outlineLevel="0" collapsed="false">
      <c r="B25" s="39" t="s">
        <v>126</v>
      </c>
      <c r="C25" s="39"/>
      <c r="D25" s="31" t="n">
        <f aca="false">COUNTIF('Handover Checklist'!$C$9:$C$245,$B25)</f>
        <v>18</v>
      </c>
      <c r="E25" s="31" t="n">
        <f aca="false">COUNTIFS('Handover Checklist'!$C$9:$C$245,$B25,'Handover Checklist'!$J$9:$J$245,"&lt;&gt;N/A")</f>
        <v>18</v>
      </c>
      <c r="F25" s="31" t="n">
        <f aca="false">COUNTIFS('Handover Checklist'!$C$9:$C$245,$B25,'Handover Checklist'!$J$9:$J$245,"Complete")</f>
        <v>0</v>
      </c>
      <c r="G25" s="40" t="n">
        <f aca="false">IFERROR($F25/$E25,0)</f>
        <v>0</v>
      </c>
      <c r="H25" s="31" t="n">
        <f aca="false">COUNTIFS('Handover Checklist'!$C$9:$C$245,$B25,'Handover Checklist'!$H$9:$H$245,"Critical",'Handover Checklist'!$J$9:$J$245,"&lt;&gt;Complete",'Handover Checklist'!$J$9:$J$245,"&lt;&gt;N/A")</f>
        <v>13</v>
      </c>
      <c r="I25" s="31" t="n">
        <f aca="false">COUNTIFS('Handover Checklist'!$C$9:$C$245,$B25,'Handover Checklist'!$J$9:$J$245,"Blocked")</f>
        <v>0</v>
      </c>
      <c r="J25" s="31" t="n">
        <f aca="false">SUMIFS('Handover Checklist'!$P$9:$P$245,'Handover Checklist'!$C$9:$C$245,$B25)</f>
        <v>0</v>
      </c>
    </row>
    <row r="26" customFormat="false" ht="27.75" hidden="false" customHeight="true" outlineLevel="0" collapsed="false">
      <c r="B26" s="41" t="s">
        <v>127</v>
      </c>
      <c r="C26" s="41"/>
      <c r="D26" s="36" t="n">
        <f aca="false">COUNTIF('Handover Checklist'!$C$9:$C$245,$B26)</f>
        <v>17</v>
      </c>
      <c r="E26" s="36" t="n">
        <f aca="false">COUNTIFS('Handover Checklist'!$C$9:$C$245,$B26,'Handover Checklist'!$J$9:$J$245,"&lt;&gt;N/A")</f>
        <v>17</v>
      </c>
      <c r="F26" s="36" t="n">
        <f aca="false">COUNTIFS('Handover Checklist'!$C$9:$C$245,$B26,'Handover Checklist'!$J$9:$J$245,"Complete")</f>
        <v>0</v>
      </c>
      <c r="G26" s="42" t="n">
        <f aca="false">IFERROR($F26/$E26,0)</f>
        <v>0</v>
      </c>
      <c r="H26" s="36" t="n">
        <f aca="false">COUNTIFS('Handover Checklist'!$C$9:$C$245,$B26,'Handover Checklist'!$H$9:$H$245,"Critical",'Handover Checklist'!$J$9:$J$245,"&lt;&gt;Complete",'Handover Checklist'!$J$9:$J$245,"&lt;&gt;N/A")</f>
        <v>8</v>
      </c>
      <c r="I26" s="36" t="n">
        <f aca="false">COUNTIFS('Handover Checklist'!$C$9:$C$245,$B26,'Handover Checklist'!$J$9:$J$245,"Blocked")</f>
        <v>0</v>
      </c>
      <c r="J26" s="36" t="n">
        <f aca="false">SUMIFS('Handover Checklist'!$P$9:$P$245,'Handover Checklist'!$C$9:$C$245,$B26)</f>
        <v>0</v>
      </c>
    </row>
    <row r="27" customFormat="false" ht="27.75" hidden="false" customHeight="true" outlineLevel="0" collapsed="false">
      <c r="B27" s="39" t="s">
        <v>128</v>
      </c>
      <c r="C27" s="39"/>
      <c r="D27" s="31" t="n">
        <f aca="false">COUNTIF('Handover Checklist'!$C$9:$C$245,$B27)</f>
        <v>14</v>
      </c>
      <c r="E27" s="31" t="n">
        <f aca="false">COUNTIFS('Handover Checklist'!$C$9:$C$245,$B27,'Handover Checklist'!$J$9:$J$245,"&lt;&gt;N/A")</f>
        <v>14</v>
      </c>
      <c r="F27" s="31" t="n">
        <f aca="false">COUNTIFS('Handover Checklist'!$C$9:$C$245,$B27,'Handover Checklist'!$J$9:$J$245,"Complete")</f>
        <v>0</v>
      </c>
      <c r="G27" s="40" t="n">
        <f aca="false">IFERROR($F27/$E27,0)</f>
        <v>0</v>
      </c>
      <c r="H27" s="31" t="n">
        <f aca="false">COUNTIFS('Handover Checklist'!$C$9:$C$245,$B27,'Handover Checklist'!$H$9:$H$245,"Critical",'Handover Checklist'!$J$9:$J$245,"&lt;&gt;Complete",'Handover Checklist'!$J$9:$J$245,"&lt;&gt;N/A")</f>
        <v>4</v>
      </c>
      <c r="I27" s="31" t="n">
        <f aca="false">COUNTIFS('Handover Checklist'!$C$9:$C$245,$B27,'Handover Checklist'!$J$9:$J$245,"Blocked")</f>
        <v>0</v>
      </c>
      <c r="J27" s="31" t="n">
        <f aca="false">SUMIFS('Handover Checklist'!$P$9:$P$245,'Handover Checklist'!$C$9:$C$245,$B27)</f>
        <v>0</v>
      </c>
    </row>
    <row r="28" customFormat="false" ht="27.75" hidden="false" customHeight="true" outlineLevel="0" collapsed="false">
      <c r="B28" s="41" t="s">
        <v>129</v>
      </c>
      <c r="C28" s="41"/>
      <c r="D28" s="36" t="n">
        <f aca="false">COUNTIF('Handover Checklist'!$C$9:$C$245,$B28)</f>
        <v>16</v>
      </c>
      <c r="E28" s="36" t="n">
        <f aca="false">COUNTIFS('Handover Checklist'!$C$9:$C$245,$B28,'Handover Checklist'!$J$9:$J$245,"&lt;&gt;N/A")</f>
        <v>16</v>
      </c>
      <c r="F28" s="36" t="n">
        <f aca="false">COUNTIFS('Handover Checklist'!$C$9:$C$245,$B28,'Handover Checklist'!$J$9:$J$245,"Complete")</f>
        <v>0</v>
      </c>
      <c r="G28" s="42" t="n">
        <f aca="false">IFERROR($F28/$E28,0)</f>
        <v>0</v>
      </c>
      <c r="H28" s="36" t="n">
        <f aca="false">COUNTIFS('Handover Checklist'!$C$9:$C$245,$B28,'Handover Checklist'!$H$9:$H$245,"Critical",'Handover Checklist'!$J$9:$J$245,"&lt;&gt;Complete",'Handover Checklist'!$J$9:$J$245,"&lt;&gt;N/A")</f>
        <v>5</v>
      </c>
      <c r="I28" s="36" t="n">
        <f aca="false">COUNTIFS('Handover Checklist'!$C$9:$C$245,$B28,'Handover Checklist'!$J$9:$J$245,"Blocked")</f>
        <v>0</v>
      </c>
      <c r="J28" s="36" t="n">
        <f aca="false">SUMIFS('Handover Checklist'!$P$9:$P$245,'Handover Checklist'!$C$9:$C$245,$B28)</f>
        <v>0</v>
      </c>
    </row>
    <row r="29" customFormat="false" ht="27.75" hidden="false" customHeight="true" outlineLevel="0" collapsed="false">
      <c r="B29" s="39" t="s">
        <v>130</v>
      </c>
      <c r="C29" s="39"/>
      <c r="D29" s="31" t="n">
        <f aca="false">COUNTIF('Handover Checklist'!$C$9:$C$245,$B29)</f>
        <v>16</v>
      </c>
      <c r="E29" s="31" t="n">
        <f aca="false">COUNTIFS('Handover Checklist'!$C$9:$C$245,$B29,'Handover Checklist'!$J$9:$J$245,"&lt;&gt;N/A")</f>
        <v>16</v>
      </c>
      <c r="F29" s="31" t="n">
        <f aca="false">COUNTIFS('Handover Checklist'!$C$9:$C$245,$B29,'Handover Checklist'!$J$9:$J$245,"Complete")</f>
        <v>0</v>
      </c>
      <c r="G29" s="40" t="n">
        <f aca="false">IFERROR($F29/$E29,0)</f>
        <v>0</v>
      </c>
      <c r="H29" s="31" t="n">
        <f aca="false">COUNTIFS('Handover Checklist'!$C$9:$C$245,$B29,'Handover Checklist'!$H$9:$H$245,"Critical",'Handover Checklist'!$J$9:$J$245,"&lt;&gt;Complete",'Handover Checklist'!$J$9:$J$245,"&lt;&gt;N/A")</f>
        <v>7</v>
      </c>
      <c r="I29" s="31" t="n">
        <f aca="false">COUNTIFS('Handover Checklist'!$C$9:$C$245,$B29,'Handover Checklist'!$J$9:$J$245,"Blocked")</f>
        <v>0</v>
      </c>
      <c r="J29" s="31" t="n">
        <f aca="false">SUMIFS('Handover Checklist'!$P$9:$P$245,'Handover Checklist'!$C$9:$C$245,$B29)</f>
        <v>0</v>
      </c>
    </row>
    <row r="30" customFormat="false" ht="27.75" hidden="false" customHeight="true" outlineLevel="0" collapsed="false">
      <c r="B30" s="41" t="s">
        <v>131</v>
      </c>
      <c r="C30" s="41"/>
      <c r="D30" s="36" t="n">
        <f aca="false">COUNTIF('Handover Checklist'!$C$9:$C$245,$B30)</f>
        <v>15</v>
      </c>
      <c r="E30" s="36" t="n">
        <f aca="false">COUNTIFS('Handover Checklist'!$C$9:$C$245,$B30,'Handover Checklist'!$J$9:$J$245,"&lt;&gt;N/A")</f>
        <v>15</v>
      </c>
      <c r="F30" s="36" t="n">
        <f aca="false">COUNTIFS('Handover Checklist'!$C$9:$C$245,$B30,'Handover Checklist'!$J$9:$J$245,"Complete")</f>
        <v>0</v>
      </c>
      <c r="G30" s="42" t="n">
        <f aca="false">IFERROR($F30/$E30,0)</f>
        <v>0</v>
      </c>
      <c r="H30" s="36" t="n">
        <f aca="false">COUNTIFS('Handover Checklist'!$C$9:$C$245,$B30,'Handover Checklist'!$H$9:$H$245,"Critical",'Handover Checklist'!$J$9:$J$245,"&lt;&gt;Complete",'Handover Checklist'!$J$9:$J$245,"&lt;&gt;N/A")</f>
        <v>6</v>
      </c>
      <c r="I30" s="36" t="n">
        <f aca="false">COUNTIFS('Handover Checklist'!$C$9:$C$245,$B30,'Handover Checklist'!$J$9:$J$245,"Blocked")</f>
        <v>0</v>
      </c>
      <c r="J30" s="36" t="n">
        <f aca="false">SUMIFS('Handover Checklist'!$P$9:$P$245,'Handover Checklist'!$C$9:$C$245,$B30)</f>
        <v>0</v>
      </c>
    </row>
    <row r="31" customFormat="false" ht="27.75" hidden="false" customHeight="true" outlineLevel="0" collapsed="false">
      <c r="B31" s="39" t="s">
        <v>132</v>
      </c>
      <c r="C31" s="39"/>
      <c r="D31" s="31" t="n">
        <f aca="false">COUNTIF('Handover Checklist'!$C$9:$C$245,$B31)</f>
        <v>13</v>
      </c>
      <c r="E31" s="31" t="n">
        <f aca="false">COUNTIFS('Handover Checklist'!$C$9:$C$245,$B31,'Handover Checklist'!$J$9:$J$245,"&lt;&gt;N/A")</f>
        <v>13</v>
      </c>
      <c r="F31" s="31" t="n">
        <f aca="false">COUNTIFS('Handover Checklist'!$C$9:$C$245,$B31,'Handover Checklist'!$J$9:$J$245,"Complete")</f>
        <v>0</v>
      </c>
      <c r="G31" s="40" t="n">
        <f aca="false">IFERROR($F31/$E31,0)</f>
        <v>0</v>
      </c>
      <c r="H31" s="31" t="n">
        <f aca="false">COUNTIFS('Handover Checklist'!$C$9:$C$245,$B31,'Handover Checklist'!$H$9:$H$245,"Critical",'Handover Checklist'!$J$9:$J$245,"&lt;&gt;Complete",'Handover Checklist'!$J$9:$J$245,"&lt;&gt;N/A")</f>
        <v>2</v>
      </c>
      <c r="I31" s="31" t="n">
        <f aca="false">COUNTIFS('Handover Checklist'!$C$9:$C$245,$B31,'Handover Checklist'!$J$9:$J$245,"Blocked")</f>
        <v>0</v>
      </c>
      <c r="J31" s="31" t="n">
        <f aca="false">SUMIFS('Handover Checklist'!$P$9:$P$245,'Handover Checklist'!$C$9:$C$245,$B31)</f>
        <v>0</v>
      </c>
    </row>
    <row r="32" customFormat="false" ht="27.75" hidden="false" customHeight="true" outlineLevel="0" collapsed="false">
      <c r="B32" s="41" t="s">
        <v>133</v>
      </c>
      <c r="C32" s="41"/>
      <c r="D32" s="36" t="n">
        <f aca="false">COUNTIF('Handover Checklist'!$C$9:$C$245,$B32)</f>
        <v>14</v>
      </c>
      <c r="E32" s="36" t="n">
        <f aca="false">COUNTIFS('Handover Checklist'!$C$9:$C$245,$B32,'Handover Checklist'!$J$9:$J$245,"&lt;&gt;N/A")</f>
        <v>14</v>
      </c>
      <c r="F32" s="36" t="n">
        <f aca="false">COUNTIFS('Handover Checklist'!$C$9:$C$245,$B32,'Handover Checklist'!$J$9:$J$245,"Complete")</f>
        <v>0</v>
      </c>
      <c r="G32" s="42" t="n">
        <f aca="false">IFERROR($F32/$E32,0)</f>
        <v>0</v>
      </c>
      <c r="H32" s="36" t="n">
        <f aca="false">COUNTIFS('Handover Checklist'!$C$9:$C$245,$B32,'Handover Checklist'!$H$9:$H$245,"Critical",'Handover Checklist'!$J$9:$J$245,"&lt;&gt;Complete",'Handover Checklist'!$J$9:$J$245,"&lt;&gt;N/A")</f>
        <v>3</v>
      </c>
      <c r="I32" s="36" t="n">
        <f aca="false">COUNTIFS('Handover Checklist'!$C$9:$C$245,$B32,'Handover Checklist'!$J$9:$J$245,"Blocked")</f>
        <v>0</v>
      </c>
      <c r="J32" s="36" t="n">
        <f aca="false">SUMIFS('Handover Checklist'!$P$9:$P$245,'Handover Checklist'!$C$9:$C$245,$B32)</f>
        <v>0</v>
      </c>
    </row>
    <row r="33" customFormat="false" ht="27.75" hidden="false" customHeight="true" outlineLevel="0" collapsed="false">
      <c r="B33" s="39" t="s">
        <v>134</v>
      </c>
      <c r="C33" s="39"/>
      <c r="D33" s="31" t="n">
        <f aca="false">COUNTIF('Handover Checklist'!$C$9:$C$245,$B33)</f>
        <v>16</v>
      </c>
      <c r="E33" s="31" t="n">
        <f aca="false">COUNTIFS('Handover Checklist'!$C$9:$C$245,$B33,'Handover Checklist'!$J$9:$J$245,"&lt;&gt;N/A")</f>
        <v>16</v>
      </c>
      <c r="F33" s="31" t="n">
        <f aca="false">COUNTIFS('Handover Checklist'!$C$9:$C$245,$B33,'Handover Checklist'!$J$9:$J$245,"Complete")</f>
        <v>0</v>
      </c>
      <c r="G33" s="40" t="n">
        <f aca="false">IFERROR($F33/$E33,0)</f>
        <v>0</v>
      </c>
      <c r="H33" s="31" t="n">
        <f aca="false">COUNTIFS('Handover Checklist'!$C$9:$C$245,$B33,'Handover Checklist'!$H$9:$H$245,"Critical",'Handover Checklist'!$J$9:$J$245,"&lt;&gt;Complete",'Handover Checklist'!$J$9:$J$245,"&lt;&gt;N/A")</f>
        <v>6</v>
      </c>
      <c r="I33" s="31" t="n">
        <f aca="false">COUNTIFS('Handover Checklist'!$C$9:$C$245,$B33,'Handover Checklist'!$J$9:$J$245,"Blocked")</f>
        <v>0</v>
      </c>
      <c r="J33" s="31" t="n">
        <f aca="false">SUMIFS('Handover Checklist'!$P$9:$P$245,'Handover Checklist'!$C$9:$C$245,$B33)</f>
        <v>0</v>
      </c>
    </row>
    <row r="34" customFormat="false" ht="27.75" hidden="false" customHeight="true" outlineLevel="0" collapsed="false">
      <c r="B34" s="41" t="s">
        <v>135</v>
      </c>
      <c r="C34" s="41"/>
      <c r="D34" s="36" t="n">
        <f aca="false">COUNTIF('Handover Checklist'!$C$9:$C$245,$B34)</f>
        <v>15</v>
      </c>
      <c r="E34" s="36" t="n">
        <f aca="false">COUNTIFS('Handover Checklist'!$C$9:$C$245,$B34,'Handover Checklist'!$J$9:$J$245,"&lt;&gt;N/A")</f>
        <v>15</v>
      </c>
      <c r="F34" s="36" t="n">
        <f aca="false">COUNTIFS('Handover Checklist'!$C$9:$C$245,$B34,'Handover Checklist'!$J$9:$J$245,"Complete")</f>
        <v>0</v>
      </c>
      <c r="G34" s="42" t="n">
        <f aca="false">IFERROR($F34/$E34,0)</f>
        <v>0</v>
      </c>
      <c r="H34" s="36" t="n">
        <f aca="false">COUNTIFS('Handover Checklist'!$C$9:$C$245,$B34,'Handover Checklist'!$H$9:$H$245,"Critical",'Handover Checklist'!$J$9:$J$245,"&lt;&gt;Complete",'Handover Checklist'!$J$9:$J$245,"&lt;&gt;N/A")</f>
        <v>4</v>
      </c>
      <c r="I34" s="36" t="n">
        <f aca="false">COUNTIFS('Handover Checklist'!$C$9:$C$245,$B34,'Handover Checklist'!$J$9:$J$245,"Blocked")</f>
        <v>0</v>
      </c>
      <c r="J34" s="36" t="n">
        <f aca="false">SUMIFS('Handover Checklist'!$P$9:$P$245,'Handover Checklist'!$C$9:$C$245,$B34)</f>
        <v>0</v>
      </c>
    </row>
    <row r="35" customFormat="false" ht="27.75" hidden="false" customHeight="true" outlineLevel="0" collapsed="false">
      <c r="B35" s="39" t="s">
        <v>136</v>
      </c>
      <c r="C35" s="39"/>
      <c r="D35" s="31" t="n">
        <f aca="false">COUNTIF('Handover Checklist'!$C$9:$C$245,$B35)</f>
        <v>13</v>
      </c>
      <c r="E35" s="31" t="n">
        <f aca="false">COUNTIFS('Handover Checklist'!$C$9:$C$245,$B35,'Handover Checklist'!$J$9:$J$245,"&lt;&gt;N/A")</f>
        <v>13</v>
      </c>
      <c r="F35" s="31" t="n">
        <f aca="false">COUNTIFS('Handover Checklist'!$C$9:$C$245,$B35,'Handover Checklist'!$J$9:$J$245,"Complete")</f>
        <v>0</v>
      </c>
      <c r="G35" s="40" t="n">
        <f aca="false">IFERROR($F35/$E35,0)</f>
        <v>0</v>
      </c>
      <c r="H35" s="31" t="n">
        <f aca="false">COUNTIFS('Handover Checklist'!$C$9:$C$245,$B35,'Handover Checklist'!$H$9:$H$245,"Critical",'Handover Checklist'!$J$9:$J$245,"&lt;&gt;Complete",'Handover Checklist'!$J$9:$J$245,"&lt;&gt;N/A")</f>
        <v>6</v>
      </c>
      <c r="I35" s="31" t="n">
        <f aca="false">COUNTIFS('Handover Checklist'!$C$9:$C$245,$B35,'Handover Checklist'!$J$9:$J$245,"Blocked")</f>
        <v>0</v>
      </c>
      <c r="J35" s="31" t="n">
        <f aca="false">SUMIFS('Handover Checklist'!$P$9:$P$245,'Handover Checklist'!$C$9:$C$245,$B35)</f>
        <v>0</v>
      </c>
    </row>
    <row r="36" customFormat="false" ht="27.75" hidden="false" customHeight="true" outlineLevel="0" collapsed="false">
      <c r="B36" s="41" t="s">
        <v>137</v>
      </c>
      <c r="C36" s="41"/>
      <c r="D36" s="36" t="n">
        <f aca="false">COUNTIF('Handover Checklist'!$C$9:$C$245,$B36)</f>
        <v>13</v>
      </c>
      <c r="E36" s="36" t="n">
        <f aca="false">COUNTIFS('Handover Checklist'!$C$9:$C$245,$B36,'Handover Checklist'!$J$9:$J$245,"&lt;&gt;N/A")</f>
        <v>13</v>
      </c>
      <c r="F36" s="36" t="n">
        <f aca="false">COUNTIFS('Handover Checklist'!$C$9:$C$245,$B36,'Handover Checklist'!$J$9:$J$245,"Complete")</f>
        <v>0</v>
      </c>
      <c r="G36" s="42" t="n">
        <f aca="false">IFERROR($F36/$E36,0)</f>
        <v>0</v>
      </c>
      <c r="H36" s="36" t="n">
        <f aca="false">COUNTIFS('Handover Checklist'!$C$9:$C$245,$B36,'Handover Checklist'!$H$9:$H$245,"Critical",'Handover Checklist'!$J$9:$J$245,"&lt;&gt;Complete",'Handover Checklist'!$J$9:$J$245,"&lt;&gt;N/A")</f>
        <v>1</v>
      </c>
      <c r="I36" s="36" t="n">
        <f aca="false">COUNTIFS('Handover Checklist'!$C$9:$C$245,$B36,'Handover Checklist'!$J$9:$J$245,"Blocked")</f>
        <v>0</v>
      </c>
      <c r="J36" s="36" t="n">
        <f aca="false">SUMIFS('Handover Checklist'!$P$9:$P$245,'Handover Checklist'!$C$9:$C$245,$B36)</f>
        <v>0</v>
      </c>
    </row>
    <row r="37" customFormat="false" ht="27.75" hidden="false" customHeight="true" outlineLevel="0" collapsed="false">
      <c r="B37" s="39" t="s">
        <v>138</v>
      </c>
      <c r="C37" s="39"/>
      <c r="D37" s="31" t="n">
        <f aca="false">COUNTIF('Handover Checklist'!$C$9:$C$245,$B37)</f>
        <v>13</v>
      </c>
      <c r="E37" s="31" t="n">
        <f aca="false">COUNTIFS('Handover Checklist'!$C$9:$C$245,$B37,'Handover Checklist'!$J$9:$J$245,"&lt;&gt;N/A")</f>
        <v>13</v>
      </c>
      <c r="F37" s="31" t="n">
        <f aca="false">COUNTIFS('Handover Checklist'!$C$9:$C$245,$B37,'Handover Checklist'!$J$9:$J$245,"Complete")</f>
        <v>0</v>
      </c>
      <c r="G37" s="40" t="n">
        <f aca="false">IFERROR($F37/$E37,0)</f>
        <v>0</v>
      </c>
      <c r="H37" s="31" t="n">
        <f aca="false">COUNTIFS('Handover Checklist'!$C$9:$C$245,$B37,'Handover Checklist'!$H$9:$H$245,"Critical",'Handover Checklist'!$J$9:$J$245,"&lt;&gt;Complete",'Handover Checklist'!$J$9:$J$245,"&lt;&gt;N/A")</f>
        <v>0</v>
      </c>
      <c r="I37" s="31" t="n">
        <f aca="false">COUNTIFS('Handover Checklist'!$C$9:$C$245,$B37,'Handover Checklist'!$J$9:$J$245,"Blocked")</f>
        <v>0</v>
      </c>
      <c r="J37" s="31" t="n">
        <f aca="false">SUMIFS('Handover Checklist'!$P$9:$P$245,'Handover Checklist'!$C$9:$C$245,$B37)</f>
        <v>0</v>
      </c>
    </row>
    <row r="38" customFormat="false" ht="27.75" hidden="false" customHeight="true" outlineLevel="0" collapsed="false">
      <c r="B38" s="41" t="s">
        <v>139</v>
      </c>
      <c r="C38" s="41"/>
      <c r="D38" s="36" t="n">
        <f aca="false">COUNTIF('Handover Checklist'!$C$9:$C$245,$B38)</f>
        <v>13</v>
      </c>
      <c r="E38" s="36" t="n">
        <f aca="false">COUNTIFS('Handover Checklist'!$C$9:$C$245,$B38,'Handover Checklist'!$J$9:$J$245,"&lt;&gt;N/A")</f>
        <v>13</v>
      </c>
      <c r="F38" s="36" t="n">
        <f aca="false">COUNTIFS('Handover Checklist'!$C$9:$C$245,$B38,'Handover Checklist'!$J$9:$J$245,"Complete")</f>
        <v>0</v>
      </c>
      <c r="G38" s="42" t="n">
        <f aca="false">IFERROR($F38/$E38,0)</f>
        <v>0</v>
      </c>
      <c r="H38" s="36" t="n">
        <f aca="false">COUNTIFS('Handover Checklist'!$C$9:$C$245,$B38,'Handover Checklist'!$H$9:$H$245,"Critical",'Handover Checklist'!$J$9:$J$245,"&lt;&gt;Complete",'Handover Checklist'!$J$9:$J$245,"&lt;&gt;N/A")</f>
        <v>10</v>
      </c>
      <c r="I38" s="36" t="n">
        <f aca="false">COUNTIFS('Handover Checklist'!$C$9:$C$245,$B38,'Handover Checklist'!$J$9:$J$245,"Blocked")</f>
        <v>0</v>
      </c>
      <c r="J38" s="36" t="n">
        <f aca="false">SUMIFS('Handover Checklist'!$P$9:$P$245,'Handover Checklist'!$C$9:$C$245,$B38)</f>
        <v>0</v>
      </c>
    </row>
    <row r="39" customFormat="false" ht="25.5" hidden="false" customHeight="true" outlineLevel="0" collapsed="false">
      <c r="B39" s="43" t="s">
        <v>140</v>
      </c>
      <c r="C39" s="43"/>
      <c r="D39" s="44" t="n">
        <f aca="false">SUM(D23:D38)</f>
        <v>237</v>
      </c>
      <c r="E39" s="44" t="n">
        <f aca="false">SUM(E23:E38)</f>
        <v>237</v>
      </c>
      <c r="F39" s="44" t="n">
        <f aca="false">SUM(F23:F38)</f>
        <v>0</v>
      </c>
      <c r="G39" s="45" t="n">
        <f aca="false">IFERROR($F39/$E39,0)</f>
        <v>0</v>
      </c>
      <c r="H39" s="44" t="n">
        <f aca="false">SUM(H23:H38)</f>
        <v>91</v>
      </c>
      <c r="I39" s="44" t="n">
        <f aca="false">SUM(I23:I38)</f>
        <v>0</v>
      </c>
      <c r="J39" s="44" t="n">
        <f aca="false">SUM(J23:J38)</f>
        <v>0</v>
      </c>
    </row>
    <row r="41" customFormat="false" ht="43.5" hidden="false" customHeight="true" outlineLevel="0" collapsed="false">
      <c r="B41" s="23" t="s">
        <v>141</v>
      </c>
      <c r="C41" s="23"/>
      <c r="D41" s="23"/>
      <c r="E41" s="23"/>
      <c r="F41" s="23"/>
      <c r="G41" s="23"/>
      <c r="H41" s="23"/>
      <c r="I41" s="23"/>
      <c r="J41" s="23"/>
      <c r="K41" s="23"/>
      <c r="L41" s="23"/>
      <c r="M41" s="23"/>
      <c r="N41" s="23"/>
    </row>
  </sheetData>
  <mergeCells count="54">
    <mergeCell ref="B7:N7"/>
    <mergeCell ref="B8:D8"/>
    <mergeCell ref="E8:N8"/>
    <mergeCell ref="B9:C9"/>
    <mergeCell ref="D9:E9"/>
    <mergeCell ref="F9:G9"/>
    <mergeCell ref="H9:I9"/>
    <mergeCell ref="J9:K9"/>
    <mergeCell ref="B10:C10"/>
    <mergeCell ref="D10:E10"/>
    <mergeCell ref="F10:G10"/>
    <mergeCell ref="H10:I10"/>
    <mergeCell ref="J10:K10"/>
    <mergeCell ref="B12:C12"/>
    <mergeCell ref="D12:E12"/>
    <mergeCell ref="F12:G12"/>
    <mergeCell ref="H12:I12"/>
    <mergeCell ref="J12:K12"/>
    <mergeCell ref="B13:C13"/>
    <mergeCell ref="D13:E13"/>
    <mergeCell ref="F13:G13"/>
    <mergeCell ref="H13:I13"/>
    <mergeCell ref="J13:K13"/>
    <mergeCell ref="B15:D15"/>
    <mergeCell ref="E15:N15"/>
    <mergeCell ref="B16:C16"/>
    <mergeCell ref="D16:H16"/>
    <mergeCell ref="B17:C17"/>
    <mergeCell ref="D17:H17"/>
    <mergeCell ref="B18:C18"/>
    <mergeCell ref="D18:H18"/>
    <mergeCell ref="B19:C19"/>
    <mergeCell ref="D19:H19"/>
    <mergeCell ref="B21:D21"/>
    <mergeCell ref="E21:N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1:N41"/>
  </mergeCells>
  <conditionalFormatting sqref="K17:K19">
    <cfRule type="cellIs" priority="2" operator="equal" aboveAverage="0" equalAverage="0" bottom="0" percent="0" rank="0" text="" dxfId="0">
      <formula>"Ready"</formula>
    </cfRule>
    <cfRule type="cellIs" priority="3" operator="equal" aboveAverage="0" equalAverage="0" bottom="0" percent="0" rank="0" text="" dxfId="1">
      <formula>"Not ready"</formula>
    </cfRule>
  </conditionalFormatting>
  <conditionalFormatting sqref="G23:G38">
    <cfRule type="colorScale" priority="4">
      <colorScale>
        <cfvo type="num" val="0"/>
        <cfvo type="num" val="0.5"/>
        <cfvo type="num" val="1"/>
        <color rgb="FFFAE4E2"/>
        <color rgb="FFFBF0DE"/>
        <color rgb="FFE4F2EC"/>
      </colorScale>
    </cfRule>
  </conditionalFormatting>
  <conditionalFormatting sqref="H23:J38">
    <cfRule type="cellIs" priority="5" operator="greaterThan" aboveAverage="0" equalAverage="0" bottom="0" percent="0" rank="0" text="" dxfId="1">
      <formula>0</formula>
    </cfRule>
  </conditionalFormatting>
  <printOptions headings="false" gridLines="false" gridLinesSet="true" horizontalCentered="true" verticalCentered="false"/>
  <pageMargins left="0.4" right="0.4" top="0.5" bottom="0.5" header="0.511811023622047" footer="0.5"/>
  <pageSetup paperSize="8" scale="100" fitToWidth="1" fitToHeight="0" pageOrder="downThenOver" orientation="landscape" blackAndWhite="false" draft="false" cellComments="none" horizontalDpi="300" verticalDpi="300" copies="1"/>
  <headerFooter differentFirst="false" differentOddEven="false">
    <oddHeader/>
    <oddFooter>&amp;L&amp;8 &amp;K8e98a2Template by Mastt  ·  mastt.com&amp;R&amp;8 &amp;K8e98a2Page &amp;P of &amp;N</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A1:P24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3" ySplit="8" topLeftCell="D9" activePane="bottomRight" state="frozen"/>
      <selection pane="topLeft" activeCell="A1" activeCellId="0" sqref="A1"/>
      <selection pane="topRight" activeCell="D1" activeCellId="0" sqref="D1"/>
      <selection pane="bottomLeft" activeCell="A9" activeCellId="0" sqref="A9"/>
      <selection pane="bottomRight" activeCell="A1" activeCellId="0" sqref="A1"/>
    </sheetView>
  </sheetViews>
  <sheetFormatPr defaultColWidth="8.6796875" defaultRowHeight="15" zeroHeight="false" outlineLevelRow="0" outlineLevelCol="0"/>
  <cols>
    <col collapsed="false" customWidth="true" hidden="false" outlineLevel="0" max="1" min="1" style="1" width="2.5"/>
    <col collapsed="false" customWidth="true" hidden="false" outlineLevel="0" max="2" min="2" style="1" width="8"/>
    <col collapsed="false" customWidth="true" hidden="false" outlineLevel="0" max="3" min="3" style="1" width="30"/>
    <col collapsed="false" customWidth="true" hidden="false" outlineLevel="0" max="4" min="4" style="1" width="60"/>
    <col collapsed="false" customWidth="true" hidden="false" outlineLevel="0" max="5" min="5" style="1" width="45"/>
    <col collapsed="false" customWidth="true" hidden="false" outlineLevel="0" max="7" min="6" style="1" width="24"/>
    <col collapsed="false" customWidth="true" hidden="false" outlineLevel="0" max="8" min="8" style="1" width="13"/>
    <col collapsed="false" customWidth="true" hidden="false" outlineLevel="0" max="9" min="9" style="1" width="20"/>
    <col collapsed="false" customWidth="true" hidden="false" outlineLevel="0" max="12" min="10" style="1" width="13"/>
    <col collapsed="false" customWidth="true" hidden="false" outlineLevel="0" max="14" min="13" style="1" width="28"/>
    <col collapsed="false" customWidth="true" hidden="true" outlineLevel="0" max="16" min="15" style="1" width="6"/>
  </cols>
  <sheetData>
    <row r="1" customFormat="false" ht="9.75" hidden="false" customHeight="true" outlineLevel="0" collapsed="false">
      <c r="A1" s="2"/>
      <c r="B1" s="2"/>
      <c r="C1" s="2"/>
      <c r="D1" s="2"/>
      <c r="E1" s="2"/>
      <c r="F1" s="2"/>
      <c r="G1" s="2"/>
      <c r="H1" s="2"/>
      <c r="I1" s="2"/>
      <c r="J1" s="2"/>
      <c r="K1" s="2"/>
      <c r="L1" s="2"/>
      <c r="M1" s="2"/>
      <c r="N1" s="2"/>
    </row>
    <row r="2" customFormat="false" ht="33.75" hidden="false" customHeight="true" outlineLevel="0" collapsed="false">
      <c r="A2" s="2"/>
      <c r="B2" s="2"/>
      <c r="C2" s="2"/>
      <c r="D2" s="2"/>
      <c r="E2" s="2"/>
      <c r="F2" s="2"/>
      <c r="G2" s="2"/>
      <c r="H2" s="2"/>
      <c r="I2" s="2"/>
      <c r="J2" s="2"/>
      <c r="K2" s="2"/>
      <c r="L2" s="2"/>
      <c r="M2" s="2"/>
      <c r="N2" s="2"/>
    </row>
    <row r="3" customFormat="false" ht="7.5" hidden="false" customHeight="true" outlineLevel="0" collapsed="false">
      <c r="A3" s="2"/>
      <c r="B3" s="2"/>
      <c r="C3" s="2"/>
      <c r="D3" s="2"/>
      <c r="E3" s="2"/>
      <c r="F3" s="2"/>
      <c r="G3" s="2"/>
      <c r="H3" s="2"/>
      <c r="I3" s="2"/>
      <c r="J3" s="2"/>
      <c r="K3" s="2"/>
      <c r="L3" s="2"/>
      <c r="M3" s="2"/>
      <c r="N3" s="2"/>
    </row>
    <row r="4" customFormat="false" ht="30" hidden="false" customHeight="true" outlineLevel="0" collapsed="false">
      <c r="A4" s="2"/>
      <c r="B4" s="3" t="s">
        <v>142</v>
      </c>
      <c r="C4" s="2"/>
      <c r="D4" s="2"/>
      <c r="E4" s="2"/>
      <c r="F4" s="2"/>
      <c r="G4" s="2"/>
      <c r="H4" s="2"/>
      <c r="I4" s="2"/>
      <c r="J4" s="2"/>
      <c r="K4" s="2"/>
      <c r="L4" s="2"/>
      <c r="M4" s="2"/>
      <c r="N4" s="2"/>
    </row>
    <row r="5" customFormat="false" ht="21.75" hidden="false" customHeight="true" outlineLevel="0" collapsed="false">
      <c r="A5" s="2"/>
      <c r="B5" s="4" t="s">
        <v>1</v>
      </c>
      <c r="C5" s="2"/>
      <c r="D5" s="2"/>
      <c r="E5" s="2"/>
      <c r="F5" s="2"/>
      <c r="G5" s="2"/>
      <c r="H5" s="2"/>
      <c r="I5" s="2"/>
      <c r="J5" s="2"/>
      <c r="K5" s="2"/>
      <c r="L5" s="2"/>
      <c r="M5" s="2"/>
      <c r="N5" s="2"/>
    </row>
    <row r="6" customFormat="false" ht="7.5" hidden="false" customHeight="true" outlineLevel="0" collapsed="false"/>
    <row r="7" customFormat="false" ht="30" hidden="false" customHeight="true" outlineLevel="0" collapsed="false">
      <c r="B7" s="23" t="s">
        <v>143</v>
      </c>
      <c r="C7" s="23"/>
      <c r="D7" s="23"/>
      <c r="E7" s="23"/>
      <c r="F7" s="23"/>
      <c r="G7" s="23"/>
      <c r="H7" s="23"/>
      <c r="I7" s="23"/>
      <c r="J7" s="23"/>
      <c r="K7" s="23"/>
      <c r="L7" s="23"/>
      <c r="M7" s="23"/>
      <c r="N7" s="23"/>
    </row>
    <row r="8" customFormat="false" ht="39.75" hidden="false" customHeight="true" outlineLevel="0" collapsed="false">
      <c r="B8" s="9" t="s">
        <v>144</v>
      </c>
      <c r="C8" s="9" t="s">
        <v>119</v>
      </c>
      <c r="D8" s="9" t="s">
        <v>145</v>
      </c>
      <c r="E8" s="9" t="s">
        <v>146</v>
      </c>
      <c r="F8" s="9" t="s">
        <v>147</v>
      </c>
      <c r="G8" s="9" t="s">
        <v>148</v>
      </c>
      <c r="H8" s="9" t="s">
        <v>149</v>
      </c>
      <c r="I8" s="9" t="s">
        <v>106</v>
      </c>
      <c r="J8" s="9" t="s">
        <v>72</v>
      </c>
      <c r="K8" s="9" t="s">
        <v>150</v>
      </c>
      <c r="L8" s="9" t="s">
        <v>151</v>
      </c>
      <c r="M8" s="9" t="s">
        <v>152</v>
      </c>
      <c r="N8" s="9" t="s">
        <v>153</v>
      </c>
      <c r="O8" s="9" t="s">
        <v>154</v>
      </c>
      <c r="P8" s="9" t="s">
        <v>155</v>
      </c>
    </row>
    <row r="9" customFormat="false" ht="23.25" hidden="false" customHeight="true" outlineLevel="0" collapsed="false">
      <c r="B9" s="46" t="s">
        <v>156</v>
      </c>
      <c r="C9" s="47" t="s">
        <v>124</v>
      </c>
      <c r="D9" s="18" t="s">
        <v>157</v>
      </c>
      <c r="E9" s="48" t="s">
        <v>158</v>
      </c>
      <c r="F9" s="48" t="s">
        <v>159</v>
      </c>
      <c r="G9" s="48" t="s">
        <v>160</v>
      </c>
      <c r="H9" s="49" t="s">
        <v>161</v>
      </c>
      <c r="I9" s="30" t="s">
        <v>162</v>
      </c>
      <c r="J9" s="49" t="s">
        <v>77</v>
      </c>
      <c r="K9" s="50"/>
      <c r="L9" s="50"/>
      <c r="M9" s="48"/>
      <c r="N9" s="48"/>
      <c r="O9" s="51" t="n">
        <f aca="false">IFERROR(VLOOKUP($H9,Lists!$S$9:$T$12,2,FALSE()),0)</f>
        <v>5</v>
      </c>
      <c r="P9" s="51" t="n">
        <f aca="true">IF(AND($K9&lt;&gt;"",$K9&lt;TODAY(),$J9&lt;&gt;"Complete",$J9&lt;&gt;"N/A"),1,0)</f>
        <v>0</v>
      </c>
    </row>
    <row r="10" customFormat="false" ht="23.25" hidden="false" customHeight="true" outlineLevel="0" collapsed="false">
      <c r="B10" s="52" t="s">
        <v>163</v>
      </c>
      <c r="C10" s="53" t="s">
        <v>124</v>
      </c>
      <c r="D10" s="54" t="s">
        <v>164</v>
      </c>
      <c r="E10" s="55" t="s">
        <v>165</v>
      </c>
      <c r="F10" s="55" t="s">
        <v>159</v>
      </c>
      <c r="G10" s="55" t="s">
        <v>160</v>
      </c>
      <c r="H10" s="56" t="s">
        <v>161</v>
      </c>
      <c r="I10" s="35" t="s">
        <v>162</v>
      </c>
      <c r="J10" s="56" t="s">
        <v>77</v>
      </c>
      <c r="K10" s="57"/>
      <c r="L10" s="57"/>
      <c r="M10" s="55"/>
      <c r="N10" s="55"/>
      <c r="O10" s="58" t="n">
        <f aca="false">IFERROR(VLOOKUP($H10,Lists!$S$9:$T$12,2,FALSE()),0)</f>
        <v>5</v>
      </c>
      <c r="P10" s="58" t="n">
        <f aca="true">IF(AND($K10&lt;&gt;"",$K10&lt;TODAY(),$J10&lt;&gt;"Complete",$J10&lt;&gt;"N/A"),1,0)</f>
        <v>0</v>
      </c>
    </row>
    <row r="11" customFormat="false" ht="23.25" hidden="false" customHeight="true" outlineLevel="0" collapsed="false">
      <c r="B11" s="46" t="s">
        <v>166</v>
      </c>
      <c r="C11" s="47" t="s">
        <v>124</v>
      </c>
      <c r="D11" s="18" t="s">
        <v>167</v>
      </c>
      <c r="E11" s="48" t="s">
        <v>168</v>
      </c>
      <c r="F11" s="48" t="s">
        <v>169</v>
      </c>
      <c r="G11" s="48" t="s">
        <v>160</v>
      </c>
      <c r="H11" s="49" t="s">
        <v>170</v>
      </c>
      <c r="I11" s="30" t="s">
        <v>162</v>
      </c>
      <c r="J11" s="49" t="s">
        <v>77</v>
      </c>
      <c r="K11" s="50"/>
      <c r="L11" s="50"/>
      <c r="M11" s="48"/>
      <c r="N11" s="48"/>
      <c r="O11" s="51" t="n">
        <f aca="false">IFERROR(VLOOKUP($H11,Lists!$S$9:$T$12,2,FALSE()),0)</f>
        <v>3</v>
      </c>
      <c r="P11" s="51" t="n">
        <f aca="true">IF(AND($K11&lt;&gt;"",$K11&lt;TODAY(),$J11&lt;&gt;"Complete",$J11&lt;&gt;"N/A"),1,0)</f>
        <v>0</v>
      </c>
    </row>
    <row r="12" customFormat="false" ht="23.25" hidden="false" customHeight="true" outlineLevel="0" collapsed="false">
      <c r="B12" s="52" t="s">
        <v>171</v>
      </c>
      <c r="C12" s="53" t="s">
        <v>124</v>
      </c>
      <c r="D12" s="54" t="s">
        <v>172</v>
      </c>
      <c r="E12" s="55" t="s">
        <v>173</v>
      </c>
      <c r="F12" s="55" t="s">
        <v>160</v>
      </c>
      <c r="G12" s="55" t="s">
        <v>174</v>
      </c>
      <c r="H12" s="56" t="s">
        <v>170</v>
      </c>
      <c r="I12" s="35" t="s">
        <v>162</v>
      </c>
      <c r="J12" s="56" t="s">
        <v>77</v>
      </c>
      <c r="K12" s="57"/>
      <c r="L12" s="57"/>
      <c r="M12" s="55"/>
      <c r="N12" s="55"/>
      <c r="O12" s="58" t="n">
        <f aca="false">IFERROR(VLOOKUP($H12,Lists!$S$9:$T$12,2,FALSE()),0)</f>
        <v>3</v>
      </c>
      <c r="P12" s="58" t="n">
        <f aca="true">IF(AND($K12&lt;&gt;"",$K12&lt;TODAY(),$J12&lt;&gt;"Complete",$J12&lt;&gt;"N/A"),1,0)</f>
        <v>0</v>
      </c>
    </row>
    <row r="13" customFormat="false" ht="21.75" hidden="false" customHeight="true" outlineLevel="0" collapsed="false">
      <c r="B13" s="46" t="s">
        <v>175</v>
      </c>
      <c r="C13" s="47" t="s">
        <v>124</v>
      </c>
      <c r="D13" s="18" t="s">
        <v>176</v>
      </c>
      <c r="E13" s="48" t="s">
        <v>177</v>
      </c>
      <c r="F13" s="48" t="s">
        <v>159</v>
      </c>
      <c r="G13" s="48" t="s">
        <v>160</v>
      </c>
      <c r="H13" s="49" t="s">
        <v>170</v>
      </c>
      <c r="I13" s="30" t="s">
        <v>162</v>
      </c>
      <c r="J13" s="49" t="s">
        <v>77</v>
      </c>
      <c r="K13" s="50"/>
      <c r="L13" s="50"/>
      <c r="M13" s="48"/>
      <c r="N13" s="48"/>
      <c r="O13" s="51" t="n">
        <f aca="false">IFERROR(VLOOKUP($H13,Lists!$S$9:$T$12,2,FALSE()),0)</f>
        <v>3</v>
      </c>
      <c r="P13" s="51" t="n">
        <f aca="true">IF(AND($K13&lt;&gt;"",$K13&lt;TODAY(),$J13&lt;&gt;"Complete",$J13&lt;&gt;"N/A"),1,0)</f>
        <v>0</v>
      </c>
    </row>
    <row r="14" customFormat="false" ht="23.25" hidden="false" customHeight="true" outlineLevel="0" collapsed="false">
      <c r="B14" s="52" t="s">
        <v>178</v>
      </c>
      <c r="C14" s="53" t="s">
        <v>124</v>
      </c>
      <c r="D14" s="54" t="s">
        <v>179</v>
      </c>
      <c r="E14" s="55" t="s">
        <v>180</v>
      </c>
      <c r="F14" s="55" t="s">
        <v>159</v>
      </c>
      <c r="G14" s="55" t="s">
        <v>181</v>
      </c>
      <c r="H14" s="56" t="s">
        <v>170</v>
      </c>
      <c r="I14" s="35" t="s">
        <v>162</v>
      </c>
      <c r="J14" s="56" t="s">
        <v>77</v>
      </c>
      <c r="K14" s="57"/>
      <c r="L14" s="57"/>
      <c r="M14" s="55"/>
      <c r="N14" s="55"/>
      <c r="O14" s="58" t="n">
        <f aca="false">IFERROR(VLOOKUP($H14,Lists!$S$9:$T$12,2,FALSE()),0)</f>
        <v>3</v>
      </c>
      <c r="P14" s="58" t="n">
        <f aca="true">IF(AND($K14&lt;&gt;"",$K14&lt;TODAY(),$J14&lt;&gt;"Complete",$J14&lt;&gt;"N/A"),1,0)</f>
        <v>0</v>
      </c>
    </row>
    <row r="15" customFormat="false" ht="23.25" hidden="false" customHeight="true" outlineLevel="0" collapsed="false">
      <c r="B15" s="46" t="s">
        <v>182</v>
      </c>
      <c r="C15" s="47" t="s">
        <v>124</v>
      </c>
      <c r="D15" s="18" t="s">
        <v>183</v>
      </c>
      <c r="E15" s="48" t="s">
        <v>184</v>
      </c>
      <c r="F15" s="48" t="s">
        <v>159</v>
      </c>
      <c r="G15" s="48" t="s">
        <v>160</v>
      </c>
      <c r="H15" s="49" t="s">
        <v>161</v>
      </c>
      <c r="I15" s="30" t="s">
        <v>162</v>
      </c>
      <c r="J15" s="49" t="s">
        <v>77</v>
      </c>
      <c r="K15" s="50"/>
      <c r="L15" s="50"/>
      <c r="M15" s="48"/>
      <c r="N15" s="48"/>
      <c r="O15" s="51" t="n">
        <f aca="false">IFERROR(VLOOKUP($H15,Lists!$S$9:$T$12,2,FALSE()),0)</f>
        <v>5</v>
      </c>
      <c r="P15" s="51" t="n">
        <f aca="true">IF(AND($K15&lt;&gt;"",$K15&lt;TODAY(),$J15&lt;&gt;"Complete",$J15&lt;&gt;"N/A"),1,0)</f>
        <v>0</v>
      </c>
    </row>
    <row r="16" customFormat="false" ht="23.25" hidden="false" customHeight="true" outlineLevel="0" collapsed="false">
      <c r="B16" s="52" t="s">
        <v>185</v>
      </c>
      <c r="C16" s="53" t="s">
        <v>124</v>
      </c>
      <c r="D16" s="54" t="s">
        <v>186</v>
      </c>
      <c r="E16" s="55" t="s">
        <v>187</v>
      </c>
      <c r="F16" s="55" t="s">
        <v>159</v>
      </c>
      <c r="G16" s="55" t="s">
        <v>160</v>
      </c>
      <c r="H16" s="56" t="s">
        <v>188</v>
      </c>
      <c r="I16" s="35" t="s">
        <v>162</v>
      </c>
      <c r="J16" s="56" t="s">
        <v>77</v>
      </c>
      <c r="K16" s="57"/>
      <c r="L16" s="57"/>
      <c r="M16" s="55"/>
      <c r="N16" s="55"/>
      <c r="O16" s="58" t="n">
        <f aca="false">IFERROR(VLOOKUP($H16,Lists!$S$9:$T$12,2,FALSE()),0)</f>
        <v>2</v>
      </c>
      <c r="P16" s="58" t="n">
        <f aca="true">IF(AND($K16&lt;&gt;"",$K16&lt;TODAY(),$J16&lt;&gt;"Complete",$J16&lt;&gt;"N/A"),1,0)</f>
        <v>0</v>
      </c>
    </row>
    <row r="17" customFormat="false" ht="23.25" hidden="false" customHeight="true" outlineLevel="0" collapsed="false">
      <c r="B17" s="46" t="s">
        <v>189</v>
      </c>
      <c r="C17" s="47" t="s">
        <v>124</v>
      </c>
      <c r="D17" s="18" t="s">
        <v>190</v>
      </c>
      <c r="E17" s="48" t="s">
        <v>191</v>
      </c>
      <c r="F17" s="48" t="s">
        <v>192</v>
      </c>
      <c r="G17" s="48" t="s">
        <v>160</v>
      </c>
      <c r="H17" s="49" t="s">
        <v>170</v>
      </c>
      <c r="I17" s="30" t="s">
        <v>193</v>
      </c>
      <c r="J17" s="49" t="s">
        <v>77</v>
      </c>
      <c r="K17" s="50"/>
      <c r="L17" s="50"/>
      <c r="M17" s="48"/>
      <c r="N17" s="48"/>
      <c r="O17" s="51" t="n">
        <f aca="false">IFERROR(VLOOKUP($H17,Lists!$S$9:$T$12,2,FALSE()),0)</f>
        <v>3</v>
      </c>
      <c r="P17" s="51" t="n">
        <f aca="true">IF(AND($K17&lt;&gt;"",$K17&lt;TODAY(),$J17&lt;&gt;"Complete",$J17&lt;&gt;"N/A"),1,0)</f>
        <v>0</v>
      </c>
    </row>
    <row r="18" customFormat="false" ht="23.25" hidden="false" customHeight="true" outlineLevel="0" collapsed="false">
      <c r="B18" s="52" t="s">
        <v>194</v>
      </c>
      <c r="C18" s="53" t="s">
        <v>124</v>
      </c>
      <c r="D18" s="54" t="s">
        <v>195</v>
      </c>
      <c r="E18" s="55" t="s">
        <v>196</v>
      </c>
      <c r="F18" s="55" t="s">
        <v>197</v>
      </c>
      <c r="G18" s="55" t="s">
        <v>181</v>
      </c>
      <c r="H18" s="56" t="s">
        <v>161</v>
      </c>
      <c r="I18" s="35" t="s">
        <v>193</v>
      </c>
      <c r="J18" s="56" t="s">
        <v>77</v>
      </c>
      <c r="K18" s="57"/>
      <c r="L18" s="57"/>
      <c r="M18" s="55"/>
      <c r="N18" s="55"/>
      <c r="O18" s="58" t="n">
        <f aca="false">IFERROR(VLOOKUP($H18,Lists!$S$9:$T$12,2,FALSE()),0)</f>
        <v>5</v>
      </c>
      <c r="P18" s="58" t="n">
        <f aca="true">IF(AND($K18&lt;&gt;"",$K18&lt;TODAY(),$J18&lt;&gt;"Complete",$J18&lt;&gt;"N/A"),1,0)</f>
        <v>0</v>
      </c>
    </row>
    <row r="19" customFormat="false" ht="23.25" hidden="false" customHeight="true" outlineLevel="0" collapsed="false">
      <c r="B19" s="46" t="s">
        <v>198</v>
      </c>
      <c r="C19" s="47" t="s">
        <v>124</v>
      </c>
      <c r="D19" s="18" t="s">
        <v>199</v>
      </c>
      <c r="E19" s="48" t="s">
        <v>200</v>
      </c>
      <c r="F19" s="48" t="s">
        <v>159</v>
      </c>
      <c r="G19" s="48" t="s">
        <v>160</v>
      </c>
      <c r="H19" s="49" t="s">
        <v>170</v>
      </c>
      <c r="I19" s="30" t="s">
        <v>193</v>
      </c>
      <c r="J19" s="49" t="s">
        <v>77</v>
      </c>
      <c r="K19" s="50"/>
      <c r="L19" s="50"/>
      <c r="M19" s="48"/>
      <c r="N19" s="48"/>
      <c r="O19" s="51" t="n">
        <f aca="false">IFERROR(VLOOKUP($H19,Lists!$S$9:$T$12,2,FALSE()),0)</f>
        <v>3</v>
      </c>
      <c r="P19" s="51" t="n">
        <f aca="true">IF(AND($K19&lt;&gt;"",$K19&lt;TODAY(),$J19&lt;&gt;"Complete",$J19&lt;&gt;"N/A"),1,0)</f>
        <v>0</v>
      </c>
    </row>
    <row r="20" customFormat="false" ht="23.25" hidden="false" customHeight="true" outlineLevel="0" collapsed="false">
      <c r="B20" s="52" t="s">
        <v>201</v>
      </c>
      <c r="C20" s="53" t="s">
        <v>124</v>
      </c>
      <c r="D20" s="54" t="s">
        <v>202</v>
      </c>
      <c r="E20" s="55" t="s">
        <v>203</v>
      </c>
      <c r="F20" s="55" t="s">
        <v>204</v>
      </c>
      <c r="G20" s="55" t="s">
        <v>160</v>
      </c>
      <c r="H20" s="56" t="s">
        <v>161</v>
      </c>
      <c r="I20" s="35" t="s">
        <v>162</v>
      </c>
      <c r="J20" s="56" t="s">
        <v>77</v>
      </c>
      <c r="K20" s="57"/>
      <c r="L20" s="57"/>
      <c r="M20" s="55"/>
      <c r="N20" s="55"/>
      <c r="O20" s="58" t="n">
        <f aca="false">IFERROR(VLOOKUP($H20,Lists!$S$9:$T$12,2,FALSE()),0)</f>
        <v>5</v>
      </c>
      <c r="P20" s="58" t="n">
        <f aca="true">IF(AND($K20&lt;&gt;"",$K20&lt;TODAY(),$J20&lt;&gt;"Complete",$J20&lt;&gt;"N/A"),1,0)</f>
        <v>0</v>
      </c>
    </row>
    <row r="21" customFormat="false" ht="23.25" hidden="false" customHeight="true" outlineLevel="0" collapsed="false">
      <c r="B21" s="46" t="s">
        <v>205</v>
      </c>
      <c r="C21" s="47" t="s">
        <v>124</v>
      </c>
      <c r="D21" s="18" t="s">
        <v>206</v>
      </c>
      <c r="E21" s="48" t="s">
        <v>207</v>
      </c>
      <c r="F21" s="48" t="s">
        <v>159</v>
      </c>
      <c r="G21" s="48" t="s">
        <v>160</v>
      </c>
      <c r="H21" s="49" t="s">
        <v>188</v>
      </c>
      <c r="I21" s="30" t="s">
        <v>162</v>
      </c>
      <c r="J21" s="49" t="s">
        <v>77</v>
      </c>
      <c r="K21" s="50"/>
      <c r="L21" s="50"/>
      <c r="M21" s="48"/>
      <c r="N21" s="48"/>
      <c r="O21" s="51" t="n">
        <f aca="false">IFERROR(VLOOKUP($H21,Lists!$S$9:$T$12,2,FALSE()),0)</f>
        <v>2</v>
      </c>
      <c r="P21" s="51" t="n">
        <f aca="true">IF(AND($K21&lt;&gt;"",$K21&lt;TODAY(),$J21&lt;&gt;"Complete",$J21&lt;&gt;"N/A"),1,0)</f>
        <v>0</v>
      </c>
    </row>
    <row r="22" customFormat="false" ht="21.75" hidden="false" customHeight="true" outlineLevel="0" collapsed="false">
      <c r="B22" s="52" t="s">
        <v>208</v>
      </c>
      <c r="C22" s="53" t="s">
        <v>124</v>
      </c>
      <c r="D22" s="54" t="s">
        <v>209</v>
      </c>
      <c r="E22" s="55" t="s">
        <v>210</v>
      </c>
      <c r="F22" s="55" t="s">
        <v>160</v>
      </c>
      <c r="G22" s="55" t="s">
        <v>174</v>
      </c>
      <c r="H22" s="56" t="s">
        <v>188</v>
      </c>
      <c r="I22" s="35" t="s">
        <v>162</v>
      </c>
      <c r="J22" s="56" t="s">
        <v>77</v>
      </c>
      <c r="K22" s="57"/>
      <c r="L22" s="57"/>
      <c r="M22" s="55"/>
      <c r="N22" s="55"/>
      <c r="O22" s="58" t="n">
        <f aca="false">IFERROR(VLOOKUP($H22,Lists!$S$9:$T$12,2,FALSE()),0)</f>
        <v>2</v>
      </c>
      <c r="P22" s="58" t="n">
        <f aca="true">IF(AND($K22&lt;&gt;"",$K22&lt;TODAY(),$J22&lt;&gt;"Complete",$J22&lt;&gt;"N/A"),1,0)</f>
        <v>0</v>
      </c>
    </row>
    <row r="23" customFormat="false" ht="23.25" hidden="false" customHeight="true" outlineLevel="0" collapsed="false">
      <c r="B23" s="46" t="s">
        <v>211</v>
      </c>
      <c r="C23" s="47" t="s">
        <v>124</v>
      </c>
      <c r="D23" s="18" t="s">
        <v>212</v>
      </c>
      <c r="E23" s="48" t="s">
        <v>213</v>
      </c>
      <c r="F23" s="48" t="s">
        <v>159</v>
      </c>
      <c r="G23" s="48" t="s">
        <v>160</v>
      </c>
      <c r="H23" s="49" t="s">
        <v>214</v>
      </c>
      <c r="I23" s="30" t="s">
        <v>215</v>
      </c>
      <c r="J23" s="49" t="s">
        <v>77</v>
      </c>
      <c r="K23" s="50"/>
      <c r="L23" s="50"/>
      <c r="M23" s="48"/>
      <c r="N23" s="48"/>
      <c r="O23" s="51" t="n">
        <f aca="false">IFERROR(VLOOKUP($H23,Lists!$S$9:$T$12,2,FALSE()),0)</f>
        <v>1</v>
      </c>
      <c r="P23" s="51" t="n">
        <f aca="true">IF(AND($K23&lt;&gt;"",$K23&lt;TODAY(),$J23&lt;&gt;"Complete",$J23&lt;&gt;"N/A"),1,0)</f>
        <v>0</v>
      </c>
    </row>
    <row r="24" customFormat="false" ht="23.25" hidden="false" customHeight="true" outlineLevel="0" collapsed="false">
      <c r="B24" s="52" t="s">
        <v>216</v>
      </c>
      <c r="C24" s="53" t="s">
        <v>125</v>
      </c>
      <c r="D24" s="54" t="s">
        <v>217</v>
      </c>
      <c r="E24" s="55" t="s">
        <v>218</v>
      </c>
      <c r="F24" s="55" t="s">
        <v>197</v>
      </c>
      <c r="G24" s="55" t="s">
        <v>181</v>
      </c>
      <c r="H24" s="56" t="s">
        <v>161</v>
      </c>
      <c r="I24" s="35" t="s">
        <v>193</v>
      </c>
      <c r="J24" s="56" t="s">
        <v>77</v>
      </c>
      <c r="K24" s="57"/>
      <c r="L24" s="57"/>
      <c r="M24" s="55"/>
      <c r="N24" s="55"/>
      <c r="O24" s="58" t="n">
        <f aca="false">IFERROR(VLOOKUP($H24,Lists!$S$9:$T$12,2,FALSE()),0)</f>
        <v>5</v>
      </c>
      <c r="P24" s="58" t="n">
        <f aca="true">IF(AND($K24&lt;&gt;"",$K24&lt;TODAY(),$J24&lt;&gt;"Complete",$J24&lt;&gt;"N/A"),1,0)</f>
        <v>0</v>
      </c>
    </row>
    <row r="25" customFormat="false" ht="23.25" hidden="false" customHeight="true" outlineLevel="0" collapsed="false">
      <c r="B25" s="46" t="s">
        <v>219</v>
      </c>
      <c r="C25" s="47" t="s">
        <v>125</v>
      </c>
      <c r="D25" s="18" t="s">
        <v>220</v>
      </c>
      <c r="E25" s="48" t="s">
        <v>221</v>
      </c>
      <c r="F25" s="48" t="s">
        <v>197</v>
      </c>
      <c r="G25" s="48" t="s">
        <v>181</v>
      </c>
      <c r="H25" s="49" t="s">
        <v>161</v>
      </c>
      <c r="I25" s="30" t="s">
        <v>193</v>
      </c>
      <c r="J25" s="49" t="s">
        <v>77</v>
      </c>
      <c r="K25" s="50"/>
      <c r="L25" s="50"/>
      <c r="M25" s="48"/>
      <c r="N25" s="48"/>
      <c r="O25" s="51" t="n">
        <f aca="false">IFERROR(VLOOKUP($H25,Lists!$S$9:$T$12,2,FALSE()),0)</f>
        <v>5</v>
      </c>
      <c r="P25" s="51" t="n">
        <f aca="true">IF(AND($K25&lt;&gt;"",$K25&lt;TODAY(),$J25&lt;&gt;"Complete",$J25&lt;&gt;"N/A"),1,0)</f>
        <v>0</v>
      </c>
    </row>
    <row r="26" customFormat="false" ht="23.25" hidden="false" customHeight="true" outlineLevel="0" collapsed="false">
      <c r="B26" s="52" t="s">
        <v>222</v>
      </c>
      <c r="C26" s="53" t="s">
        <v>125</v>
      </c>
      <c r="D26" s="54" t="s">
        <v>223</v>
      </c>
      <c r="E26" s="55" t="s">
        <v>224</v>
      </c>
      <c r="F26" s="55" t="s">
        <v>197</v>
      </c>
      <c r="G26" s="55" t="s">
        <v>181</v>
      </c>
      <c r="H26" s="56" t="s">
        <v>170</v>
      </c>
      <c r="I26" s="35" t="s">
        <v>193</v>
      </c>
      <c r="J26" s="56" t="s">
        <v>77</v>
      </c>
      <c r="K26" s="57"/>
      <c r="L26" s="57"/>
      <c r="M26" s="55"/>
      <c r="N26" s="55"/>
      <c r="O26" s="58" t="n">
        <f aca="false">IFERROR(VLOOKUP($H26,Lists!$S$9:$T$12,2,FALSE()),0)</f>
        <v>3</v>
      </c>
      <c r="P26" s="58" t="n">
        <f aca="true">IF(AND($K26&lt;&gt;"",$K26&lt;TODAY(),$J26&lt;&gt;"Complete",$J26&lt;&gt;"N/A"),1,0)</f>
        <v>0</v>
      </c>
    </row>
    <row r="27" customFormat="false" ht="23.25" hidden="false" customHeight="true" outlineLevel="0" collapsed="false">
      <c r="B27" s="46" t="s">
        <v>225</v>
      </c>
      <c r="C27" s="47" t="s">
        <v>125</v>
      </c>
      <c r="D27" s="18" t="s">
        <v>226</v>
      </c>
      <c r="E27" s="48" t="s">
        <v>227</v>
      </c>
      <c r="F27" s="48" t="s">
        <v>181</v>
      </c>
      <c r="G27" s="48" t="s">
        <v>160</v>
      </c>
      <c r="H27" s="49" t="s">
        <v>161</v>
      </c>
      <c r="I27" s="30" t="s">
        <v>193</v>
      </c>
      <c r="J27" s="49" t="s">
        <v>77</v>
      </c>
      <c r="K27" s="50"/>
      <c r="L27" s="50"/>
      <c r="M27" s="48"/>
      <c r="N27" s="48"/>
      <c r="O27" s="51" t="n">
        <f aca="false">IFERROR(VLOOKUP($H27,Lists!$S$9:$T$12,2,FALSE()),0)</f>
        <v>5</v>
      </c>
      <c r="P27" s="51" t="n">
        <f aca="true">IF(AND($K27&lt;&gt;"",$K27&lt;TODAY(),$J27&lt;&gt;"Complete",$J27&lt;&gt;"N/A"),1,0)</f>
        <v>0</v>
      </c>
    </row>
    <row r="28" customFormat="false" ht="23.25" hidden="false" customHeight="true" outlineLevel="0" collapsed="false">
      <c r="B28" s="52" t="s">
        <v>228</v>
      </c>
      <c r="C28" s="53" t="s">
        <v>125</v>
      </c>
      <c r="D28" s="54" t="s">
        <v>229</v>
      </c>
      <c r="E28" s="55" t="s">
        <v>230</v>
      </c>
      <c r="F28" s="55" t="s">
        <v>181</v>
      </c>
      <c r="G28" s="55" t="s">
        <v>160</v>
      </c>
      <c r="H28" s="56" t="s">
        <v>161</v>
      </c>
      <c r="I28" s="35" t="s">
        <v>193</v>
      </c>
      <c r="J28" s="56" t="s">
        <v>77</v>
      </c>
      <c r="K28" s="57"/>
      <c r="L28" s="57"/>
      <c r="M28" s="55"/>
      <c r="N28" s="55"/>
      <c r="O28" s="58" t="n">
        <f aca="false">IFERROR(VLOOKUP($H28,Lists!$S$9:$T$12,2,FALSE()),0)</f>
        <v>5</v>
      </c>
      <c r="P28" s="58" t="n">
        <f aca="true">IF(AND($K28&lt;&gt;"",$K28&lt;TODAY(),$J28&lt;&gt;"Complete",$J28&lt;&gt;"N/A"),1,0)</f>
        <v>0</v>
      </c>
    </row>
    <row r="29" customFormat="false" ht="23.25" hidden="false" customHeight="true" outlineLevel="0" collapsed="false">
      <c r="B29" s="46" t="s">
        <v>231</v>
      </c>
      <c r="C29" s="47" t="s">
        <v>125</v>
      </c>
      <c r="D29" s="18" t="s">
        <v>232</v>
      </c>
      <c r="E29" s="48" t="s">
        <v>233</v>
      </c>
      <c r="F29" s="48" t="s">
        <v>234</v>
      </c>
      <c r="G29" s="48" t="s">
        <v>160</v>
      </c>
      <c r="H29" s="49" t="s">
        <v>161</v>
      </c>
      <c r="I29" s="30" t="s">
        <v>235</v>
      </c>
      <c r="J29" s="49" t="s">
        <v>77</v>
      </c>
      <c r="K29" s="50"/>
      <c r="L29" s="50"/>
      <c r="M29" s="48"/>
      <c r="N29" s="48"/>
      <c r="O29" s="51" t="n">
        <f aca="false">IFERROR(VLOOKUP($H29,Lists!$S$9:$T$12,2,FALSE()),0)</f>
        <v>5</v>
      </c>
      <c r="P29" s="51" t="n">
        <f aca="true">IF(AND($K29&lt;&gt;"",$K29&lt;TODAY(),$J29&lt;&gt;"Complete",$J29&lt;&gt;"N/A"),1,0)</f>
        <v>0</v>
      </c>
    </row>
    <row r="30" customFormat="false" ht="23.25" hidden="false" customHeight="true" outlineLevel="0" collapsed="false">
      <c r="B30" s="52" t="s">
        <v>236</v>
      </c>
      <c r="C30" s="53" t="s">
        <v>125</v>
      </c>
      <c r="D30" s="54" t="s">
        <v>237</v>
      </c>
      <c r="E30" s="55" t="s">
        <v>238</v>
      </c>
      <c r="F30" s="55" t="s">
        <v>239</v>
      </c>
      <c r="G30" s="55" t="s">
        <v>234</v>
      </c>
      <c r="H30" s="56" t="s">
        <v>161</v>
      </c>
      <c r="I30" s="35" t="s">
        <v>235</v>
      </c>
      <c r="J30" s="56" t="s">
        <v>77</v>
      </c>
      <c r="K30" s="57"/>
      <c r="L30" s="57"/>
      <c r="M30" s="55"/>
      <c r="N30" s="55"/>
      <c r="O30" s="58" t="n">
        <f aca="false">IFERROR(VLOOKUP($H30,Lists!$S$9:$T$12,2,FALSE()),0)</f>
        <v>5</v>
      </c>
      <c r="P30" s="58" t="n">
        <f aca="true">IF(AND($K30&lt;&gt;"",$K30&lt;TODAY(),$J30&lt;&gt;"Complete",$J30&lt;&gt;"N/A"),1,0)</f>
        <v>0</v>
      </c>
    </row>
    <row r="31" customFormat="false" ht="23.25" hidden="false" customHeight="true" outlineLevel="0" collapsed="false">
      <c r="B31" s="46" t="s">
        <v>240</v>
      </c>
      <c r="C31" s="47" t="s">
        <v>125</v>
      </c>
      <c r="D31" s="18" t="s">
        <v>241</v>
      </c>
      <c r="E31" s="48" t="s">
        <v>242</v>
      </c>
      <c r="F31" s="48" t="s">
        <v>197</v>
      </c>
      <c r="G31" s="48" t="s">
        <v>239</v>
      </c>
      <c r="H31" s="49" t="s">
        <v>161</v>
      </c>
      <c r="I31" s="30" t="s">
        <v>235</v>
      </c>
      <c r="J31" s="49" t="s">
        <v>77</v>
      </c>
      <c r="K31" s="50"/>
      <c r="L31" s="50"/>
      <c r="M31" s="48"/>
      <c r="N31" s="48"/>
      <c r="O31" s="51" t="n">
        <f aca="false">IFERROR(VLOOKUP($H31,Lists!$S$9:$T$12,2,FALSE()),0)</f>
        <v>5</v>
      </c>
      <c r="P31" s="51" t="n">
        <f aca="true">IF(AND($K31&lt;&gt;"",$K31&lt;TODAY(),$J31&lt;&gt;"Complete",$J31&lt;&gt;"N/A"),1,0)</f>
        <v>0</v>
      </c>
    </row>
    <row r="32" customFormat="false" ht="23.25" hidden="false" customHeight="true" outlineLevel="0" collapsed="false">
      <c r="B32" s="52" t="s">
        <v>243</v>
      </c>
      <c r="C32" s="53" t="s">
        <v>125</v>
      </c>
      <c r="D32" s="54" t="s">
        <v>244</v>
      </c>
      <c r="E32" s="55" t="s">
        <v>245</v>
      </c>
      <c r="F32" s="55" t="s">
        <v>197</v>
      </c>
      <c r="G32" s="55" t="s">
        <v>234</v>
      </c>
      <c r="H32" s="56" t="s">
        <v>161</v>
      </c>
      <c r="I32" s="35" t="s">
        <v>235</v>
      </c>
      <c r="J32" s="56" t="s">
        <v>77</v>
      </c>
      <c r="K32" s="57"/>
      <c r="L32" s="57"/>
      <c r="M32" s="55"/>
      <c r="N32" s="55"/>
      <c r="O32" s="58" t="n">
        <f aca="false">IFERROR(VLOOKUP($H32,Lists!$S$9:$T$12,2,FALSE()),0)</f>
        <v>5</v>
      </c>
      <c r="P32" s="58" t="n">
        <f aca="true">IF(AND($K32&lt;&gt;"",$K32&lt;TODAY(),$J32&lt;&gt;"Complete",$J32&lt;&gt;"N/A"),1,0)</f>
        <v>0</v>
      </c>
    </row>
    <row r="33" customFormat="false" ht="23.25" hidden="false" customHeight="true" outlineLevel="0" collapsed="false">
      <c r="B33" s="46" t="s">
        <v>246</v>
      </c>
      <c r="C33" s="47" t="s">
        <v>125</v>
      </c>
      <c r="D33" s="18" t="s">
        <v>247</v>
      </c>
      <c r="E33" s="48" t="s">
        <v>248</v>
      </c>
      <c r="F33" s="48" t="s">
        <v>197</v>
      </c>
      <c r="G33" s="48" t="s">
        <v>234</v>
      </c>
      <c r="H33" s="49" t="s">
        <v>170</v>
      </c>
      <c r="I33" s="30" t="s">
        <v>235</v>
      </c>
      <c r="J33" s="49" t="s">
        <v>77</v>
      </c>
      <c r="K33" s="50"/>
      <c r="L33" s="50"/>
      <c r="M33" s="48"/>
      <c r="N33" s="48"/>
      <c r="O33" s="51" t="n">
        <f aca="false">IFERROR(VLOOKUP($H33,Lists!$S$9:$T$12,2,FALSE()),0)</f>
        <v>3</v>
      </c>
      <c r="P33" s="51" t="n">
        <f aca="true">IF(AND($K33&lt;&gt;"",$K33&lt;TODAY(),$J33&lt;&gt;"Complete",$J33&lt;&gt;"N/A"),1,0)</f>
        <v>0</v>
      </c>
    </row>
    <row r="34" customFormat="false" ht="23.25" hidden="false" customHeight="true" outlineLevel="0" collapsed="false">
      <c r="B34" s="52" t="s">
        <v>249</v>
      </c>
      <c r="C34" s="53" t="s">
        <v>125</v>
      </c>
      <c r="D34" s="54" t="s">
        <v>250</v>
      </c>
      <c r="E34" s="55" t="s">
        <v>251</v>
      </c>
      <c r="F34" s="55" t="s">
        <v>197</v>
      </c>
      <c r="G34" s="55" t="s">
        <v>234</v>
      </c>
      <c r="H34" s="56" t="s">
        <v>161</v>
      </c>
      <c r="I34" s="35" t="s">
        <v>193</v>
      </c>
      <c r="J34" s="56" t="s">
        <v>77</v>
      </c>
      <c r="K34" s="57"/>
      <c r="L34" s="57"/>
      <c r="M34" s="55"/>
      <c r="N34" s="55"/>
      <c r="O34" s="58" t="n">
        <f aca="false">IFERROR(VLOOKUP($H34,Lists!$S$9:$T$12,2,FALSE()),0)</f>
        <v>5</v>
      </c>
      <c r="P34" s="58" t="n">
        <f aca="true">IF(AND($K34&lt;&gt;"",$K34&lt;TODAY(),$J34&lt;&gt;"Complete",$J34&lt;&gt;"N/A"),1,0)</f>
        <v>0</v>
      </c>
    </row>
    <row r="35" customFormat="false" ht="23.25" hidden="false" customHeight="true" outlineLevel="0" collapsed="false">
      <c r="B35" s="46" t="s">
        <v>252</v>
      </c>
      <c r="C35" s="47" t="s">
        <v>125</v>
      </c>
      <c r="D35" s="18" t="s">
        <v>253</v>
      </c>
      <c r="E35" s="48" t="s">
        <v>254</v>
      </c>
      <c r="F35" s="48" t="s">
        <v>197</v>
      </c>
      <c r="G35" s="48" t="s">
        <v>234</v>
      </c>
      <c r="H35" s="49" t="s">
        <v>161</v>
      </c>
      <c r="I35" s="30" t="s">
        <v>193</v>
      </c>
      <c r="J35" s="49" t="s">
        <v>77</v>
      </c>
      <c r="K35" s="50"/>
      <c r="L35" s="50"/>
      <c r="M35" s="48"/>
      <c r="N35" s="48"/>
      <c r="O35" s="51" t="n">
        <f aca="false">IFERROR(VLOOKUP($H35,Lists!$S$9:$T$12,2,FALSE()),0)</f>
        <v>5</v>
      </c>
      <c r="P35" s="51" t="n">
        <f aca="true">IF(AND($K35&lt;&gt;"",$K35&lt;TODAY(),$J35&lt;&gt;"Complete",$J35&lt;&gt;"N/A"),1,0)</f>
        <v>0</v>
      </c>
    </row>
    <row r="36" customFormat="false" ht="23.25" hidden="false" customHeight="true" outlineLevel="0" collapsed="false">
      <c r="B36" s="52" t="s">
        <v>255</v>
      </c>
      <c r="C36" s="53" t="s">
        <v>125</v>
      </c>
      <c r="D36" s="54" t="s">
        <v>256</v>
      </c>
      <c r="E36" s="55" t="s">
        <v>257</v>
      </c>
      <c r="F36" s="55" t="s">
        <v>258</v>
      </c>
      <c r="G36" s="55" t="s">
        <v>234</v>
      </c>
      <c r="H36" s="56" t="s">
        <v>170</v>
      </c>
      <c r="I36" s="35" t="s">
        <v>193</v>
      </c>
      <c r="J36" s="56" t="s">
        <v>77</v>
      </c>
      <c r="K36" s="57"/>
      <c r="L36" s="57"/>
      <c r="M36" s="55"/>
      <c r="N36" s="55"/>
      <c r="O36" s="58" t="n">
        <f aca="false">IFERROR(VLOOKUP($H36,Lists!$S$9:$T$12,2,FALSE()),0)</f>
        <v>3</v>
      </c>
      <c r="P36" s="58" t="n">
        <f aca="true">IF(AND($K36&lt;&gt;"",$K36&lt;TODAY(),$J36&lt;&gt;"Complete",$J36&lt;&gt;"N/A"),1,0)</f>
        <v>0</v>
      </c>
    </row>
    <row r="37" customFormat="false" ht="23.25" hidden="false" customHeight="true" outlineLevel="0" collapsed="false">
      <c r="B37" s="46" t="s">
        <v>259</v>
      </c>
      <c r="C37" s="47" t="s">
        <v>125</v>
      </c>
      <c r="D37" s="18" t="s">
        <v>260</v>
      </c>
      <c r="E37" s="48" t="s">
        <v>261</v>
      </c>
      <c r="F37" s="48" t="s">
        <v>258</v>
      </c>
      <c r="G37" s="48" t="s">
        <v>234</v>
      </c>
      <c r="H37" s="49" t="s">
        <v>170</v>
      </c>
      <c r="I37" s="30" t="s">
        <v>235</v>
      </c>
      <c r="J37" s="49" t="s">
        <v>77</v>
      </c>
      <c r="K37" s="50"/>
      <c r="L37" s="50"/>
      <c r="M37" s="48"/>
      <c r="N37" s="48"/>
      <c r="O37" s="51" t="n">
        <f aca="false">IFERROR(VLOOKUP($H37,Lists!$S$9:$T$12,2,FALSE()),0)</f>
        <v>3</v>
      </c>
      <c r="P37" s="51" t="n">
        <f aca="true">IF(AND($K37&lt;&gt;"",$K37&lt;TODAY(),$J37&lt;&gt;"Complete",$J37&lt;&gt;"N/A"),1,0)</f>
        <v>0</v>
      </c>
    </row>
    <row r="38" customFormat="false" ht="23.25" hidden="false" customHeight="true" outlineLevel="0" collapsed="false">
      <c r="B38" s="52" t="s">
        <v>262</v>
      </c>
      <c r="C38" s="53" t="s">
        <v>125</v>
      </c>
      <c r="D38" s="54" t="s">
        <v>263</v>
      </c>
      <c r="E38" s="55" t="s">
        <v>264</v>
      </c>
      <c r="F38" s="55" t="s">
        <v>159</v>
      </c>
      <c r="G38" s="55" t="s">
        <v>234</v>
      </c>
      <c r="H38" s="56" t="s">
        <v>161</v>
      </c>
      <c r="I38" s="35" t="s">
        <v>235</v>
      </c>
      <c r="J38" s="56" t="s">
        <v>77</v>
      </c>
      <c r="K38" s="57"/>
      <c r="L38" s="57"/>
      <c r="M38" s="55"/>
      <c r="N38" s="55"/>
      <c r="O38" s="58" t="n">
        <f aca="false">IFERROR(VLOOKUP($H38,Lists!$S$9:$T$12,2,FALSE()),0)</f>
        <v>5</v>
      </c>
      <c r="P38" s="58" t="n">
        <f aca="true">IF(AND($K38&lt;&gt;"",$K38&lt;TODAY(),$J38&lt;&gt;"Complete",$J38&lt;&gt;"N/A"),1,0)</f>
        <v>0</v>
      </c>
    </row>
    <row r="39" customFormat="false" ht="23.25" hidden="false" customHeight="true" outlineLevel="0" collapsed="false">
      <c r="B39" s="46" t="s">
        <v>265</v>
      </c>
      <c r="C39" s="47" t="s">
        <v>125</v>
      </c>
      <c r="D39" s="18" t="s">
        <v>266</v>
      </c>
      <c r="E39" s="48" t="s">
        <v>267</v>
      </c>
      <c r="F39" s="48" t="s">
        <v>159</v>
      </c>
      <c r="G39" s="48" t="s">
        <v>160</v>
      </c>
      <c r="H39" s="49" t="s">
        <v>188</v>
      </c>
      <c r="I39" s="30" t="s">
        <v>193</v>
      </c>
      <c r="J39" s="49" t="s">
        <v>77</v>
      </c>
      <c r="K39" s="50"/>
      <c r="L39" s="50"/>
      <c r="M39" s="48"/>
      <c r="N39" s="48"/>
      <c r="O39" s="51" t="n">
        <f aca="false">IFERROR(VLOOKUP($H39,Lists!$S$9:$T$12,2,FALSE()),0)</f>
        <v>2</v>
      </c>
      <c r="P39" s="51" t="n">
        <f aca="true">IF(AND($K39&lt;&gt;"",$K39&lt;TODAY(),$J39&lt;&gt;"Complete",$J39&lt;&gt;"N/A"),1,0)</f>
        <v>0</v>
      </c>
    </row>
    <row r="40" customFormat="false" ht="23.25" hidden="false" customHeight="true" outlineLevel="0" collapsed="false">
      <c r="B40" s="52" t="s">
        <v>268</v>
      </c>
      <c r="C40" s="53" t="s">
        <v>126</v>
      </c>
      <c r="D40" s="54" t="s">
        <v>269</v>
      </c>
      <c r="E40" s="55" t="s">
        <v>270</v>
      </c>
      <c r="F40" s="55" t="s">
        <v>271</v>
      </c>
      <c r="G40" s="55" t="s">
        <v>159</v>
      </c>
      <c r="H40" s="56" t="s">
        <v>161</v>
      </c>
      <c r="I40" s="35" t="s">
        <v>162</v>
      </c>
      <c r="J40" s="56" t="s">
        <v>77</v>
      </c>
      <c r="K40" s="57"/>
      <c r="L40" s="57"/>
      <c r="M40" s="55"/>
      <c r="N40" s="55"/>
      <c r="O40" s="58" t="n">
        <f aca="false">IFERROR(VLOOKUP($H40,Lists!$S$9:$T$12,2,FALSE()),0)</f>
        <v>5</v>
      </c>
      <c r="P40" s="58" t="n">
        <f aca="true">IF(AND($K40&lt;&gt;"",$K40&lt;TODAY(),$J40&lt;&gt;"Complete",$J40&lt;&gt;"N/A"),1,0)</f>
        <v>0</v>
      </c>
    </row>
    <row r="41" customFormat="false" ht="23.25" hidden="false" customHeight="true" outlineLevel="0" collapsed="false">
      <c r="B41" s="46" t="s">
        <v>272</v>
      </c>
      <c r="C41" s="47" t="s">
        <v>126</v>
      </c>
      <c r="D41" s="18" t="s">
        <v>273</v>
      </c>
      <c r="E41" s="48" t="s">
        <v>274</v>
      </c>
      <c r="F41" s="48" t="s">
        <v>160</v>
      </c>
      <c r="G41" s="48" t="s">
        <v>174</v>
      </c>
      <c r="H41" s="49" t="s">
        <v>188</v>
      </c>
      <c r="I41" s="30" t="s">
        <v>162</v>
      </c>
      <c r="J41" s="49" t="s">
        <v>77</v>
      </c>
      <c r="K41" s="50"/>
      <c r="L41" s="50"/>
      <c r="M41" s="48"/>
      <c r="N41" s="48"/>
      <c r="O41" s="51" t="n">
        <f aca="false">IFERROR(VLOOKUP($H41,Lists!$S$9:$T$12,2,FALSE()),0)</f>
        <v>2</v>
      </c>
      <c r="P41" s="51" t="n">
        <f aca="true">IF(AND($K41&lt;&gt;"",$K41&lt;TODAY(),$J41&lt;&gt;"Complete",$J41&lt;&gt;"N/A"),1,0)</f>
        <v>0</v>
      </c>
    </row>
    <row r="42" customFormat="false" ht="23.25" hidden="false" customHeight="true" outlineLevel="0" collapsed="false">
      <c r="B42" s="52" t="s">
        <v>275</v>
      </c>
      <c r="C42" s="53" t="s">
        <v>126</v>
      </c>
      <c r="D42" s="54" t="s">
        <v>276</v>
      </c>
      <c r="E42" s="55" t="s">
        <v>277</v>
      </c>
      <c r="F42" s="55" t="s">
        <v>197</v>
      </c>
      <c r="G42" s="55" t="s">
        <v>271</v>
      </c>
      <c r="H42" s="56" t="s">
        <v>161</v>
      </c>
      <c r="I42" s="35" t="s">
        <v>162</v>
      </c>
      <c r="J42" s="56" t="s">
        <v>77</v>
      </c>
      <c r="K42" s="57"/>
      <c r="L42" s="57"/>
      <c r="M42" s="55"/>
      <c r="N42" s="55"/>
      <c r="O42" s="58" t="n">
        <f aca="false">IFERROR(VLOOKUP($H42,Lists!$S$9:$T$12,2,FALSE()),0)</f>
        <v>5</v>
      </c>
      <c r="P42" s="58" t="n">
        <f aca="true">IF(AND($K42&lt;&gt;"",$K42&lt;TODAY(),$J42&lt;&gt;"Complete",$J42&lt;&gt;"N/A"),1,0)</f>
        <v>0</v>
      </c>
    </row>
    <row r="43" customFormat="false" ht="23.25" hidden="false" customHeight="true" outlineLevel="0" collapsed="false">
      <c r="B43" s="46" t="s">
        <v>278</v>
      </c>
      <c r="C43" s="47" t="s">
        <v>126</v>
      </c>
      <c r="D43" s="18" t="s">
        <v>279</v>
      </c>
      <c r="E43" s="48" t="s">
        <v>280</v>
      </c>
      <c r="F43" s="48" t="s">
        <v>197</v>
      </c>
      <c r="G43" s="48" t="s">
        <v>271</v>
      </c>
      <c r="H43" s="49" t="s">
        <v>161</v>
      </c>
      <c r="I43" s="30" t="s">
        <v>162</v>
      </c>
      <c r="J43" s="49" t="s">
        <v>77</v>
      </c>
      <c r="K43" s="50"/>
      <c r="L43" s="50"/>
      <c r="M43" s="48"/>
      <c r="N43" s="48"/>
      <c r="O43" s="51" t="n">
        <f aca="false">IFERROR(VLOOKUP($H43,Lists!$S$9:$T$12,2,FALSE()),0)</f>
        <v>5</v>
      </c>
      <c r="P43" s="51" t="n">
        <f aca="true">IF(AND($K43&lt;&gt;"",$K43&lt;TODAY(),$J43&lt;&gt;"Complete",$J43&lt;&gt;"N/A"),1,0)</f>
        <v>0</v>
      </c>
    </row>
    <row r="44" customFormat="false" ht="23.25" hidden="false" customHeight="true" outlineLevel="0" collapsed="false">
      <c r="B44" s="52" t="s">
        <v>281</v>
      </c>
      <c r="C44" s="53" t="s">
        <v>126</v>
      </c>
      <c r="D44" s="54" t="s">
        <v>282</v>
      </c>
      <c r="E44" s="55" t="s">
        <v>283</v>
      </c>
      <c r="F44" s="55" t="s">
        <v>197</v>
      </c>
      <c r="G44" s="55" t="s">
        <v>271</v>
      </c>
      <c r="H44" s="56" t="s">
        <v>161</v>
      </c>
      <c r="I44" s="35" t="s">
        <v>193</v>
      </c>
      <c r="J44" s="56" t="s">
        <v>77</v>
      </c>
      <c r="K44" s="57"/>
      <c r="L44" s="57"/>
      <c r="M44" s="55"/>
      <c r="N44" s="55"/>
      <c r="O44" s="58" t="n">
        <f aca="false">IFERROR(VLOOKUP($H44,Lists!$S$9:$T$12,2,FALSE()),0)</f>
        <v>5</v>
      </c>
      <c r="P44" s="58" t="n">
        <f aca="true">IF(AND($K44&lt;&gt;"",$K44&lt;TODAY(),$J44&lt;&gt;"Complete",$J44&lt;&gt;"N/A"),1,0)</f>
        <v>0</v>
      </c>
    </row>
    <row r="45" customFormat="false" ht="23.25" hidden="false" customHeight="true" outlineLevel="0" collapsed="false">
      <c r="B45" s="46" t="s">
        <v>284</v>
      </c>
      <c r="C45" s="47" t="s">
        <v>126</v>
      </c>
      <c r="D45" s="18" t="s">
        <v>285</v>
      </c>
      <c r="E45" s="48" t="s">
        <v>286</v>
      </c>
      <c r="F45" s="48" t="s">
        <v>271</v>
      </c>
      <c r="G45" s="48" t="s">
        <v>181</v>
      </c>
      <c r="H45" s="49" t="s">
        <v>161</v>
      </c>
      <c r="I45" s="30" t="s">
        <v>193</v>
      </c>
      <c r="J45" s="49" t="s">
        <v>77</v>
      </c>
      <c r="K45" s="50"/>
      <c r="L45" s="50"/>
      <c r="M45" s="48"/>
      <c r="N45" s="48"/>
      <c r="O45" s="51" t="n">
        <f aca="false">IFERROR(VLOOKUP($H45,Lists!$S$9:$T$12,2,FALSE()),0)</f>
        <v>5</v>
      </c>
      <c r="P45" s="51" t="n">
        <f aca="true">IF(AND($K45&lt;&gt;"",$K45&lt;TODAY(),$J45&lt;&gt;"Complete",$J45&lt;&gt;"N/A"),1,0)</f>
        <v>0</v>
      </c>
    </row>
    <row r="46" customFormat="false" ht="23.25" hidden="false" customHeight="true" outlineLevel="0" collapsed="false">
      <c r="B46" s="52" t="s">
        <v>287</v>
      </c>
      <c r="C46" s="53" t="s">
        <v>126</v>
      </c>
      <c r="D46" s="54" t="s">
        <v>288</v>
      </c>
      <c r="E46" s="55" t="s">
        <v>289</v>
      </c>
      <c r="F46" s="55" t="s">
        <v>197</v>
      </c>
      <c r="G46" s="55" t="s">
        <v>271</v>
      </c>
      <c r="H46" s="56" t="s">
        <v>161</v>
      </c>
      <c r="I46" s="35" t="s">
        <v>193</v>
      </c>
      <c r="J46" s="56" t="s">
        <v>77</v>
      </c>
      <c r="K46" s="57"/>
      <c r="L46" s="57"/>
      <c r="M46" s="55"/>
      <c r="N46" s="55"/>
      <c r="O46" s="58" t="n">
        <f aca="false">IFERROR(VLOOKUP($H46,Lists!$S$9:$T$12,2,FALSE()),0)</f>
        <v>5</v>
      </c>
      <c r="P46" s="58" t="n">
        <f aca="true">IF(AND($K46&lt;&gt;"",$K46&lt;TODAY(),$J46&lt;&gt;"Complete",$J46&lt;&gt;"N/A"),1,0)</f>
        <v>0</v>
      </c>
    </row>
    <row r="47" customFormat="false" ht="23.25" hidden="false" customHeight="true" outlineLevel="0" collapsed="false">
      <c r="B47" s="46" t="s">
        <v>290</v>
      </c>
      <c r="C47" s="47" t="s">
        <v>126</v>
      </c>
      <c r="D47" s="18" t="s">
        <v>291</v>
      </c>
      <c r="E47" s="48" t="s">
        <v>292</v>
      </c>
      <c r="F47" s="48" t="s">
        <v>197</v>
      </c>
      <c r="G47" s="48" t="s">
        <v>271</v>
      </c>
      <c r="H47" s="49" t="s">
        <v>161</v>
      </c>
      <c r="I47" s="30" t="s">
        <v>193</v>
      </c>
      <c r="J47" s="49" t="s">
        <v>77</v>
      </c>
      <c r="K47" s="50"/>
      <c r="L47" s="50"/>
      <c r="M47" s="48"/>
      <c r="N47" s="48"/>
      <c r="O47" s="51" t="n">
        <f aca="false">IFERROR(VLOOKUP($H47,Lists!$S$9:$T$12,2,FALSE()),0)</f>
        <v>5</v>
      </c>
      <c r="P47" s="51" t="n">
        <f aca="true">IF(AND($K47&lt;&gt;"",$K47&lt;TODAY(),$J47&lt;&gt;"Complete",$J47&lt;&gt;"N/A"),1,0)</f>
        <v>0</v>
      </c>
    </row>
    <row r="48" customFormat="false" ht="23.25" hidden="false" customHeight="true" outlineLevel="0" collapsed="false">
      <c r="B48" s="52" t="s">
        <v>293</v>
      </c>
      <c r="C48" s="53" t="s">
        <v>126</v>
      </c>
      <c r="D48" s="54" t="s">
        <v>294</v>
      </c>
      <c r="E48" s="55" t="s">
        <v>295</v>
      </c>
      <c r="F48" s="55" t="s">
        <v>271</v>
      </c>
      <c r="G48" s="55" t="s">
        <v>160</v>
      </c>
      <c r="H48" s="56" t="s">
        <v>161</v>
      </c>
      <c r="I48" s="35" t="s">
        <v>193</v>
      </c>
      <c r="J48" s="56" t="s">
        <v>77</v>
      </c>
      <c r="K48" s="57"/>
      <c r="L48" s="57"/>
      <c r="M48" s="55"/>
      <c r="N48" s="55"/>
      <c r="O48" s="58" t="n">
        <f aca="false">IFERROR(VLOOKUP($H48,Lists!$S$9:$T$12,2,FALSE()),0)</f>
        <v>5</v>
      </c>
      <c r="P48" s="58" t="n">
        <f aca="true">IF(AND($K48&lt;&gt;"",$K48&lt;TODAY(),$J48&lt;&gt;"Complete",$J48&lt;&gt;"N/A"),1,0)</f>
        <v>0</v>
      </c>
    </row>
    <row r="49" customFormat="false" ht="23.25" hidden="false" customHeight="true" outlineLevel="0" collapsed="false">
      <c r="B49" s="46" t="s">
        <v>296</v>
      </c>
      <c r="C49" s="47" t="s">
        <v>126</v>
      </c>
      <c r="D49" s="18" t="s">
        <v>297</v>
      </c>
      <c r="E49" s="48" t="s">
        <v>298</v>
      </c>
      <c r="F49" s="48" t="s">
        <v>271</v>
      </c>
      <c r="G49" s="48" t="s">
        <v>160</v>
      </c>
      <c r="H49" s="49" t="s">
        <v>161</v>
      </c>
      <c r="I49" s="30" t="s">
        <v>193</v>
      </c>
      <c r="J49" s="49" t="s">
        <v>77</v>
      </c>
      <c r="K49" s="50"/>
      <c r="L49" s="50"/>
      <c r="M49" s="48"/>
      <c r="N49" s="48"/>
      <c r="O49" s="51" t="n">
        <f aca="false">IFERROR(VLOOKUP($H49,Lists!$S$9:$T$12,2,FALSE()),0)</f>
        <v>5</v>
      </c>
      <c r="P49" s="51" t="n">
        <f aca="true">IF(AND($K49&lt;&gt;"",$K49&lt;TODAY(),$J49&lt;&gt;"Complete",$J49&lt;&gt;"N/A"),1,0)</f>
        <v>0</v>
      </c>
    </row>
    <row r="50" customFormat="false" ht="23.25" hidden="false" customHeight="true" outlineLevel="0" collapsed="false">
      <c r="B50" s="52" t="s">
        <v>299</v>
      </c>
      <c r="C50" s="53" t="s">
        <v>126</v>
      </c>
      <c r="D50" s="54" t="s">
        <v>300</v>
      </c>
      <c r="E50" s="55" t="s">
        <v>301</v>
      </c>
      <c r="F50" s="55" t="s">
        <v>239</v>
      </c>
      <c r="G50" s="55" t="s">
        <v>234</v>
      </c>
      <c r="H50" s="56" t="s">
        <v>161</v>
      </c>
      <c r="I50" s="35" t="s">
        <v>235</v>
      </c>
      <c r="J50" s="56" t="s">
        <v>77</v>
      </c>
      <c r="K50" s="57"/>
      <c r="L50" s="57"/>
      <c r="M50" s="55"/>
      <c r="N50" s="55"/>
      <c r="O50" s="58" t="n">
        <f aca="false">IFERROR(VLOOKUP($H50,Lists!$S$9:$T$12,2,FALSE()),0)</f>
        <v>5</v>
      </c>
      <c r="P50" s="58" t="n">
        <f aca="true">IF(AND($K50&lt;&gt;"",$K50&lt;TODAY(),$J50&lt;&gt;"Complete",$J50&lt;&gt;"N/A"),1,0)</f>
        <v>0</v>
      </c>
    </row>
    <row r="51" customFormat="false" ht="23.25" hidden="false" customHeight="true" outlineLevel="0" collapsed="false">
      <c r="B51" s="46" t="s">
        <v>302</v>
      </c>
      <c r="C51" s="47" t="s">
        <v>126</v>
      </c>
      <c r="D51" s="18" t="s">
        <v>303</v>
      </c>
      <c r="E51" s="48" t="s">
        <v>304</v>
      </c>
      <c r="F51" s="48" t="s">
        <v>197</v>
      </c>
      <c r="G51" s="48" t="s">
        <v>239</v>
      </c>
      <c r="H51" s="49" t="s">
        <v>161</v>
      </c>
      <c r="I51" s="30" t="s">
        <v>235</v>
      </c>
      <c r="J51" s="49" t="s">
        <v>77</v>
      </c>
      <c r="K51" s="50"/>
      <c r="L51" s="50"/>
      <c r="M51" s="48"/>
      <c r="N51" s="48"/>
      <c r="O51" s="51" t="n">
        <f aca="false">IFERROR(VLOOKUP($H51,Lists!$S$9:$T$12,2,FALSE()),0)</f>
        <v>5</v>
      </c>
      <c r="P51" s="51" t="n">
        <f aca="true">IF(AND($K51&lt;&gt;"",$K51&lt;TODAY(),$J51&lt;&gt;"Complete",$J51&lt;&gt;"N/A"),1,0)</f>
        <v>0</v>
      </c>
    </row>
    <row r="52" customFormat="false" ht="23.25" hidden="false" customHeight="true" outlineLevel="0" collapsed="false">
      <c r="B52" s="52" t="s">
        <v>305</v>
      </c>
      <c r="C52" s="53" t="s">
        <v>126</v>
      </c>
      <c r="D52" s="54" t="s">
        <v>306</v>
      </c>
      <c r="E52" s="55" t="s">
        <v>307</v>
      </c>
      <c r="F52" s="55" t="s">
        <v>197</v>
      </c>
      <c r="G52" s="55" t="s">
        <v>271</v>
      </c>
      <c r="H52" s="56" t="s">
        <v>161</v>
      </c>
      <c r="I52" s="35" t="s">
        <v>193</v>
      </c>
      <c r="J52" s="56" t="s">
        <v>77</v>
      </c>
      <c r="K52" s="57"/>
      <c r="L52" s="57"/>
      <c r="M52" s="55"/>
      <c r="N52" s="55"/>
      <c r="O52" s="58" t="n">
        <f aca="false">IFERROR(VLOOKUP($H52,Lists!$S$9:$T$12,2,FALSE()),0)</f>
        <v>5</v>
      </c>
      <c r="P52" s="58" t="n">
        <f aca="true">IF(AND($K52&lt;&gt;"",$K52&lt;TODAY(),$J52&lt;&gt;"Complete",$J52&lt;&gt;"N/A"),1,0)</f>
        <v>0</v>
      </c>
    </row>
    <row r="53" customFormat="false" ht="23.25" hidden="false" customHeight="true" outlineLevel="0" collapsed="false">
      <c r="B53" s="46" t="s">
        <v>308</v>
      </c>
      <c r="C53" s="47" t="s">
        <v>126</v>
      </c>
      <c r="D53" s="18" t="s">
        <v>309</v>
      </c>
      <c r="E53" s="48" t="s">
        <v>310</v>
      </c>
      <c r="F53" s="48" t="s">
        <v>271</v>
      </c>
      <c r="G53" s="48" t="s">
        <v>192</v>
      </c>
      <c r="H53" s="49" t="s">
        <v>170</v>
      </c>
      <c r="I53" s="30" t="s">
        <v>193</v>
      </c>
      <c r="J53" s="49" t="s">
        <v>77</v>
      </c>
      <c r="K53" s="50"/>
      <c r="L53" s="50"/>
      <c r="M53" s="48"/>
      <c r="N53" s="48"/>
      <c r="O53" s="51" t="n">
        <f aca="false">IFERROR(VLOOKUP($H53,Lists!$S$9:$T$12,2,FALSE()),0)</f>
        <v>3</v>
      </c>
      <c r="P53" s="51" t="n">
        <f aca="true">IF(AND($K53&lt;&gt;"",$K53&lt;TODAY(),$J53&lt;&gt;"Complete",$J53&lt;&gt;"N/A"),1,0)</f>
        <v>0</v>
      </c>
    </row>
    <row r="54" customFormat="false" ht="23.25" hidden="false" customHeight="true" outlineLevel="0" collapsed="false">
      <c r="B54" s="52" t="s">
        <v>311</v>
      </c>
      <c r="C54" s="53" t="s">
        <v>126</v>
      </c>
      <c r="D54" s="54" t="s">
        <v>312</v>
      </c>
      <c r="E54" s="55" t="s">
        <v>313</v>
      </c>
      <c r="F54" s="55" t="s">
        <v>197</v>
      </c>
      <c r="G54" s="55" t="s">
        <v>314</v>
      </c>
      <c r="H54" s="56" t="s">
        <v>170</v>
      </c>
      <c r="I54" s="35" t="s">
        <v>193</v>
      </c>
      <c r="J54" s="56" t="s">
        <v>77</v>
      </c>
      <c r="K54" s="57"/>
      <c r="L54" s="57"/>
      <c r="M54" s="55"/>
      <c r="N54" s="55"/>
      <c r="O54" s="58" t="n">
        <f aca="false">IFERROR(VLOOKUP($H54,Lists!$S$9:$T$12,2,FALSE()),0)</f>
        <v>3</v>
      </c>
      <c r="P54" s="58" t="n">
        <f aca="true">IF(AND($K54&lt;&gt;"",$K54&lt;TODAY(),$J54&lt;&gt;"Complete",$J54&lt;&gt;"N/A"),1,0)</f>
        <v>0</v>
      </c>
    </row>
    <row r="55" customFormat="false" ht="23.25" hidden="false" customHeight="true" outlineLevel="0" collapsed="false">
      <c r="B55" s="46" t="s">
        <v>315</v>
      </c>
      <c r="C55" s="47" t="s">
        <v>126</v>
      </c>
      <c r="D55" s="18" t="s">
        <v>316</v>
      </c>
      <c r="E55" s="48" t="s">
        <v>317</v>
      </c>
      <c r="F55" s="48" t="s">
        <v>314</v>
      </c>
      <c r="G55" s="48" t="s">
        <v>160</v>
      </c>
      <c r="H55" s="49" t="s">
        <v>170</v>
      </c>
      <c r="I55" s="30" t="s">
        <v>235</v>
      </c>
      <c r="J55" s="49" t="s">
        <v>77</v>
      </c>
      <c r="K55" s="50"/>
      <c r="L55" s="50"/>
      <c r="M55" s="48"/>
      <c r="N55" s="48"/>
      <c r="O55" s="51" t="n">
        <f aca="false">IFERROR(VLOOKUP($H55,Lists!$S$9:$T$12,2,FALSE()),0)</f>
        <v>3</v>
      </c>
      <c r="P55" s="51" t="n">
        <f aca="true">IF(AND($K55&lt;&gt;"",$K55&lt;TODAY(),$J55&lt;&gt;"Complete",$J55&lt;&gt;"N/A"),1,0)</f>
        <v>0</v>
      </c>
    </row>
    <row r="56" customFormat="false" ht="23.25" hidden="false" customHeight="true" outlineLevel="0" collapsed="false">
      <c r="B56" s="52" t="s">
        <v>318</v>
      </c>
      <c r="C56" s="53" t="s">
        <v>126</v>
      </c>
      <c r="D56" s="54" t="s">
        <v>319</v>
      </c>
      <c r="E56" s="55" t="s">
        <v>320</v>
      </c>
      <c r="F56" s="55" t="s">
        <v>271</v>
      </c>
      <c r="G56" s="55" t="s">
        <v>192</v>
      </c>
      <c r="H56" s="56" t="s">
        <v>170</v>
      </c>
      <c r="I56" s="35" t="s">
        <v>215</v>
      </c>
      <c r="J56" s="56" t="s">
        <v>77</v>
      </c>
      <c r="K56" s="57"/>
      <c r="L56" s="57"/>
      <c r="M56" s="55"/>
      <c r="N56" s="55"/>
      <c r="O56" s="58" t="n">
        <f aca="false">IFERROR(VLOOKUP($H56,Lists!$S$9:$T$12,2,FALSE()),0)</f>
        <v>3</v>
      </c>
      <c r="P56" s="58" t="n">
        <f aca="true">IF(AND($K56&lt;&gt;"",$K56&lt;TODAY(),$J56&lt;&gt;"Complete",$J56&lt;&gt;"N/A"),1,0)</f>
        <v>0</v>
      </c>
    </row>
    <row r="57" customFormat="false" ht="23.25" hidden="false" customHeight="true" outlineLevel="0" collapsed="false">
      <c r="B57" s="46" t="s">
        <v>321</v>
      </c>
      <c r="C57" s="47" t="s">
        <v>126</v>
      </c>
      <c r="D57" s="18" t="s">
        <v>322</v>
      </c>
      <c r="E57" s="48" t="s">
        <v>323</v>
      </c>
      <c r="F57" s="48" t="s">
        <v>271</v>
      </c>
      <c r="G57" s="48" t="s">
        <v>204</v>
      </c>
      <c r="H57" s="49" t="s">
        <v>161</v>
      </c>
      <c r="I57" s="30" t="s">
        <v>193</v>
      </c>
      <c r="J57" s="49" t="s">
        <v>77</v>
      </c>
      <c r="K57" s="50"/>
      <c r="L57" s="50"/>
      <c r="M57" s="48"/>
      <c r="N57" s="48"/>
      <c r="O57" s="51" t="n">
        <f aca="false">IFERROR(VLOOKUP($H57,Lists!$S$9:$T$12,2,FALSE()),0)</f>
        <v>5</v>
      </c>
      <c r="P57" s="51" t="n">
        <f aca="true">IF(AND($K57&lt;&gt;"",$K57&lt;TODAY(),$J57&lt;&gt;"Complete",$J57&lt;&gt;"N/A"),1,0)</f>
        <v>0</v>
      </c>
    </row>
    <row r="58" customFormat="false" ht="23.25" hidden="false" customHeight="true" outlineLevel="0" collapsed="false">
      <c r="B58" s="52" t="s">
        <v>324</v>
      </c>
      <c r="C58" s="53" t="s">
        <v>127</v>
      </c>
      <c r="D58" s="54" t="s">
        <v>325</v>
      </c>
      <c r="E58" s="55" t="s">
        <v>326</v>
      </c>
      <c r="F58" s="55" t="s">
        <v>197</v>
      </c>
      <c r="G58" s="55" t="s">
        <v>192</v>
      </c>
      <c r="H58" s="56" t="s">
        <v>161</v>
      </c>
      <c r="I58" s="35" t="s">
        <v>193</v>
      </c>
      <c r="J58" s="56" t="s">
        <v>77</v>
      </c>
      <c r="K58" s="57"/>
      <c r="L58" s="57"/>
      <c r="M58" s="55"/>
      <c r="N58" s="55"/>
      <c r="O58" s="58" t="n">
        <f aca="false">IFERROR(VLOOKUP($H58,Lists!$S$9:$T$12,2,FALSE()),0)</f>
        <v>5</v>
      </c>
      <c r="P58" s="58" t="n">
        <f aca="true">IF(AND($K58&lt;&gt;"",$K58&lt;TODAY(),$J58&lt;&gt;"Complete",$J58&lt;&gt;"N/A"),1,0)</f>
        <v>0</v>
      </c>
    </row>
    <row r="59" customFormat="false" ht="23.25" hidden="false" customHeight="true" outlineLevel="0" collapsed="false">
      <c r="B59" s="46" t="s">
        <v>327</v>
      </c>
      <c r="C59" s="47" t="s">
        <v>127</v>
      </c>
      <c r="D59" s="18" t="s">
        <v>328</v>
      </c>
      <c r="E59" s="48" t="s">
        <v>329</v>
      </c>
      <c r="F59" s="48" t="s">
        <v>197</v>
      </c>
      <c r="G59" s="48" t="s">
        <v>192</v>
      </c>
      <c r="H59" s="49" t="s">
        <v>161</v>
      </c>
      <c r="I59" s="30" t="s">
        <v>193</v>
      </c>
      <c r="J59" s="49" t="s">
        <v>77</v>
      </c>
      <c r="K59" s="50"/>
      <c r="L59" s="50"/>
      <c r="M59" s="48"/>
      <c r="N59" s="48"/>
      <c r="O59" s="51" t="n">
        <f aca="false">IFERROR(VLOOKUP($H59,Lists!$S$9:$T$12,2,FALSE()),0)</f>
        <v>5</v>
      </c>
      <c r="P59" s="51" t="n">
        <f aca="true">IF(AND($K59&lt;&gt;"",$K59&lt;TODAY(),$J59&lt;&gt;"Complete",$J59&lt;&gt;"N/A"),1,0)</f>
        <v>0</v>
      </c>
    </row>
    <row r="60" customFormat="false" ht="23.25" hidden="false" customHeight="true" outlineLevel="0" collapsed="false">
      <c r="B60" s="52" t="s">
        <v>330</v>
      </c>
      <c r="C60" s="53" t="s">
        <v>127</v>
      </c>
      <c r="D60" s="54" t="s">
        <v>331</v>
      </c>
      <c r="E60" s="55" t="s">
        <v>332</v>
      </c>
      <c r="F60" s="55" t="s">
        <v>197</v>
      </c>
      <c r="G60" s="55" t="s">
        <v>192</v>
      </c>
      <c r="H60" s="56" t="s">
        <v>161</v>
      </c>
      <c r="I60" s="35" t="s">
        <v>193</v>
      </c>
      <c r="J60" s="56" t="s">
        <v>77</v>
      </c>
      <c r="K60" s="57"/>
      <c r="L60" s="57"/>
      <c r="M60" s="55"/>
      <c r="N60" s="55"/>
      <c r="O60" s="58" t="n">
        <f aca="false">IFERROR(VLOOKUP($H60,Lists!$S$9:$T$12,2,FALSE()),0)</f>
        <v>5</v>
      </c>
      <c r="P60" s="58" t="n">
        <f aca="true">IF(AND($K60&lt;&gt;"",$K60&lt;TODAY(),$J60&lt;&gt;"Complete",$J60&lt;&gt;"N/A"),1,0)</f>
        <v>0</v>
      </c>
    </row>
    <row r="61" customFormat="false" ht="23.25" hidden="false" customHeight="true" outlineLevel="0" collapsed="false">
      <c r="B61" s="46" t="s">
        <v>333</v>
      </c>
      <c r="C61" s="47" t="s">
        <v>127</v>
      </c>
      <c r="D61" s="18" t="s">
        <v>334</v>
      </c>
      <c r="E61" s="48" t="s">
        <v>335</v>
      </c>
      <c r="F61" s="48" t="s">
        <v>197</v>
      </c>
      <c r="G61" s="48" t="s">
        <v>192</v>
      </c>
      <c r="H61" s="49" t="s">
        <v>170</v>
      </c>
      <c r="I61" s="30" t="s">
        <v>193</v>
      </c>
      <c r="J61" s="49" t="s">
        <v>77</v>
      </c>
      <c r="K61" s="50"/>
      <c r="L61" s="50"/>
      <c r="M61" s="48"/>
      <c r="N61" s="48"/>
      <c r="O61" s="51" t="n">
        <f aca="false">IFERROR(VLOOKUP($H61,Lists!$S$9:$T$12,2,FALSE()),0)</f>
        <v>3</v>
      </c>
      <c r="P61" s="51" t="n">
        <f aca="true">IF(AND($K61&lt;&gt;"",$K61&lt;TODAY(),$J61&lt;&gt;"Complete",$J61&lt;&gt;"N/A"),1,0)</f>
        <v>0</v>
      </c>
    </row>
    <row r="62" customFormat="false" ht="23.25" hidden="false" customHeight="true" outlineLevel="0" collapsed="false">
      <c r="B62" s="52" t="s">
        <v>336</v>
      </c>
      <c r="C62" s="53" t="s">
        <v>127</v>
      </c>
      <c r="D62" s="54" t="s">
        <v>337</v>
      </c>
      <c r="E62" s="55" t="s">
        <v>338</v>
      </c>
      <c r="F62" s="55" t="s">
        <v>197</v>
      </c>
      <c r="G62" s="55" t="s">
        <v>239</v>
      </c>
      <c r="H62" s="56" t="s">
        <v>161</v>
      </c>
      <c r="I62" s="35" t="s">
        <v>235</v>
      </c>
      <c r="J62" s="56" t="s">
        <v>77</v>
      </c>
      <c r="K62" s="57"/>
      <c r="L62" s="57"/>
      <c r="M62" s="55"/>
      <c r="N62" s="55"/>
      <c r="O62" s="58" t="n">
        <f aca="false">IFERROR(VLOOKUP($H62,Lists!$S$9:$T$12,2,FALSE()),0)</f>
        <v>5</v>
      </c>
      <c r="P62" s="58" t="n">
        <f aca="true">IF(AND($K62&lt;&gt;"",$K62&lt;TODAY(),$J62&lt;&gt;"Complete",$J62&lt;&gt;"N/A"),1,0)</f>
        <v>0</v>
      </c>
    </row>
    <row r="63" customFormat="false" ht="23.25" hidden="false" customHeight="true" outlineLevel="0" collapsed="false">
      <c r="B63" s="46" t="s">
        <v>339</v>
      </c>
      <c r="C63" s="47" t="s">
        <v>127</v>
      </c>
      <c r="D63" s="18" t="s">
        <v>340</v>
      </c>
      <c r="E63" s="48" t="s">
        <v>341</v>
      </c>
      <c r="F63" s="48" t="s">
        <v>197</v>
      </c>
      <c r="G63" s="48" t="s">
        <v>192</v>
      </c>
      <c r="H63" s="49" t="s">
        <v>161</v>
      </c>
      <c r="I63" s="30" t="s">
        <v>235</v>
      </c>
      <c r="J63" s="49" t="s">
        <v>77</v>
      </c>
      <c r="K63" s="50"/>
      <c r="L63" s="50"/>
      <c r="M63" s="48"/>
      <c r="N63" s="48"/>
      <c r="O63" s="51" t="n">
        <f aca="false">IFERROR(VLOOKUP($H63,Lists!$S$9:$T$12,2,FALSE()),0)</f>
        <v>5</v>
      </c>
      <c r="P63" s="51" t="n">
        <f aca="true">IF(AND($K63&lt;&gt;"",$K63&lt;TODAY(),$J63&lt;&gt;"Complete",$J63&lt;&gt;"N/A"),1,0)</f>
        <v>0</v>
      </c>
    </row>
    <row r="64" customFormat="false" ht="23.25" hidden="false" customHeight="true" outlineLevel="0" collapsed="false">
      <c r="B64" s="52" t="s">
        <v>342</v>
      </c>
      <c r="C64" s="53" t="s">
        <v>127</v>
      </c>
      <c r="D64" s="54" t="s">
        <v>343</v>
      </c>
      <c r="E64" s="55" t="s">
        <v>344</v>
      </c>
      <c r="F64" s="55" t="s">
        <v>345</v>
      </c>
      <c r="G64" s="55" t="s">
        <v>192</v>
      </c>
      <c r="H64" s="56" t="s">
        <v>161</v>
      </c>
      <c r="I64" s="35" t="s">
        <v>235</v>
      </c>
      <c r="J64" s="56" t="s">
        <v>77</v>
      </c>
      <c r="K64" s="57"/>
      <c r="L64" s="57"/>
      <c r="M64" s="55"/>
      <c r="N64" s="55"/>
      <c r="O64" s="58" t="n">
        <f aca="false">IFERROR(VLOOKUP($H64,Lists!$S$9:$T$12,2,FALSE()),0)</f>
        <v>5</v>
      </c>
      <c r="P64" s="58" t="n">
        <f aca="true">IF(AND($K64&lt;&gt;"",$K64&lt;TODAY(),$J64&lt;&gt;"Complete",$J64&lt;&gt;"N/A"),1,0)</f>
        <v>0</v>
      </c>
    </row>
    <row r="65" customFormat="false" ht="23.25" hidden="false" customHeight="true" outlineLevel="0" collapsed="false">
      <c r="B65" s="46" t="s">
        <v>346</v>
      </c>
      <c r="C65" s="47" t="s">
        <v>127</v>
      </c>
      <c r="D65" s="18" t="s">
        <v>347</v>
      </c>
      <c r="E65" s="48" t="s">
        <v>348</v>
      </c>
      <c r="F65" s="48" t="s">
        <v>349</v>
      </c>
      <c r="G65" s="48" t="s">
        <v>192</v>
      </c>
      <c r="H65" s="49" t="s">
        <v>170</v>
      </c>
      <c r="I65" s="30" t="s">
        <v>193</v>
      </c>
      <c r="J65" s="49" t="s">
        <v>77</v>
      </c>
      <c r="K65" s="50"/>
      <c r="L65" s="50"/>
      <c r="M65" s="48"/>
      <c r="N65" s="48"/>
      <c r="O65" s="51" t="n">
        <f aca="false">IFERROR(VLOOKUP($H65,Lists!$S$9:$T$12,2,FALSE()),0)</f>
        <v>3</v>
      </c>
      <c r="P65" s="51" t="n">
        <f aca="true">IF(AND($K65&lt;&gt;"",$K65&lt;TODAY(),$J65&lt;&gt;"Complete",$J65&lt;&gt;"N/A"),1,0)</f>
        <v>0</v>
      </c>
    </row>
    <row r="66" customFormat="false" ht="23.25" hidden="false" customHeight="true" outlineLevel="0" collapsed="false">
      <c r="B66" s="52" t="s">
        <v>350</v>
      </c>
      <c r="C66" s="53" t="s">
        <v>127</v>
      </c>
      <c r="D66" s="54" t="s">
        <v>351</v>
      </c>
      <c r="E66" s="55" t="s">
        <v>352</v>
      </c>
      <c r="F66" s="55" t="s">
        <v>349</v>
      </c>
      <c r="G66" s="55" t="s">
        <v>353</v>
      </c>
      <c r="H66" s="56" t="s">
        <v>188</v>
      </c>
      <c r="I66" s="35" t="s">
        <v>235</v>
      </c>
      <c r="J66" s="56" t="s">
        <v>77</v>
      </c>
      <c r="K66" s="57"/>
      <c r="L66" s="57"/>
      <c r="M66" s="55"/>
      <c r="N66" s="55"/>
      <c r="O66" s="58" t="n">
        <f aca="false">IFERROR(VLOOKUP($H66,Lists!$S$9:$T$12,2,FALSE()),0)</f>
        <v>2</v>
      </c>
      <c r="P66" s="58" t="n">
        <f aca="true">IF(AND($K66&lt;&gt;"",$K66&lt;TODAY(),$J66&lt;&gt;"Complete",$J66&lt;&gt;"N/A"),1,0)</f>
        <v>0</v>
      </c>
    </row>
    <row r="67" customFormat="false" ht="23.25" hidden="false" customHeight="true" outlineLevel="0" collapsed="false">
      <c r="B67" s="46" t="s">
        <v>354</v>
      </c>
      <c r="C67" s="47" t="s">
        <v>127</v>
      </c>
      <c r="D67" s="18" t="s">
        <v>355</v>
      </c>
      <c r="E67" s="48" t="s">
        <v>356</v>
      </c>
      <c r="F67" s="48" t="s">
        <v>197</v>
      </c>
      <c r="G67" s="48" t="s">
        <v>192</v>
      </c>
      <c r="H67" s="49" t="s">
        <v>161</v>
      </c>
      <c r="I67" s="30" t="s">
        <v>193</v>
      </c>
      <c r="J67" s="49" t="s">
        <v>77</v>
      </c>
      <c r="K67" s="50"/>
      <c r="L67" s="50"/>
      <c r="M67" s="48"/>
      <c r="N67" s="48"/>
      <c r="O67" s="51" t="n">
        <f aca="false">IFERROR(VLOOKUP($H67,Lists!$S$9:$T$12,2,FALSE()),0)</f>
        <v>5</v>
      </c>
      <c r="P67" s="51" t="n">
        <f aca="true">IF(AND($K67&lt;&gt;"",$K67&lt;TODAY(),$J67&lt;&gt;"Complete",$J67&lt;&gt;"N/A"),1,0)</f>
        <v>0</v>
      </c>
    </row>
    <row r="68" customFormat="false" ht="23.25" hidden="false" customHeight="true" outlineLevel="0" collapsed="false">
      <c r="B68" s="52" t="s">
        <v>357</v>
      </c>
      <c r="C68" s="53" t="s">
        <v>127</v>
      </c>
      <c r="D68" s="54" t="s">
        <v>358</v>
      </c>
      <c r="E68" s="55" t="s">
        <v>359</v>
      </c>
      <c r="F68" s="55" t="s">
        <v>197</v>
      </c>
      <c r="G68" s="55" t="s">
        <v>192</v>
      </c>
      <c r="H68" s="56" t="s">
        <v>170</v>
      </c>
      <c r="I68" s="35" t="s">
        <v>193</v>
      </c>
      <c r="J68" s="56" t="s">
        <v>77</v>
      </c>
      <c r="K68" s="57"/>
      <c r="L68" s="57"/>
      <c r="M68" s="55"/>
      <c r="N68" s="55"/>
      <c r="O68" s="58" t="n">
        <f aca="false">IFERROR(VLOOKUP($H68,Lists!$S$9:$T$12,2,FALSE()),0)</f>
        <v>3</v>
      </c>
      <c r="P68" s="58" t="n">
        <f aca="true">IF(AND($K68&lt;&gt;"",$K68&lt;TODAY(),$J68&lt;&gt;"Complete",$J68&lt;&gt;"N/A"),1,0)</f>
        <v>0</v>
      </c>
    </row>
    <row r="69" customFormat="false" ht="23.25" hidden="false" customHeight="true" outlineLevel="0" collapsed="false">
      <c r="B69" s="46" t="s">
        <v>360</v>
      </c>
      <c r="C69" s="47" t="s">
        <v>127</v>
      </c>
      <c r="D69" s="18" t="s">
        <v>361</v>
      </c>
      <c r="E69" s="48" t="s">
        <v>362</v>
      </c>
      <c r="F69" s="48" t="s">
        <v>197</v>
      </c>
      <c r="G69" s="48" t="s">
        <v>174</v>
      </c>
      <c r="H69" s="49" t="s">
        <v>170</v>
      </c>
      <c r="I69" s="30" t="s">
        <v>235</v>
      </c>
      <c r="J69" s="49" t="s">
        <v>77</v>
      </c>
      <c r="K69" s="50"/>
      <c r="L69" s="50"/>
      <c r="M69" s="48"/>
      <c r="N69" s="48"/>
      <c r="O69" s="51" t="n">
        <f aca="false">IFERROR(VLOOKUP($H69,Lists!$S$9:$T$12,2,FALSE()),0)</f>
        <v>3</v>
      </c>
      <c r="P69" s="51" t="n">
        <f aca="true">IF(AND($K69&lt;&gt;"",$K69&lt;TODAY(),$J69&lt;&gt;"Complete",$J69&lt;&gt;"N/A"),1,0)</f>
        <v>0</v>
      </c>
    </row>
    <row r="70" customFormat="false" ht="23.25" hidden="false" customHeight="true" outlineLevel="0" collapsed="false">
      <c r="B70" s="52" t="s">
        <v>363</v>
      </c>
      <c r="C70" s="53" t="s">
        <v>127</v>
      </c>
      <c r="D70" s="54" t="s">
        <v>364</v>
      </c>
      <c r="E70" s="55" t="s">
        <v>365</v>
      </c>
      <c r="F70" s="55" t="s">
        <v>197</v>
      </c>
      <c r="G70" s="55" t="s">
        <v>192</v>
      </c>
      <c r="H70" s="56" t="s">
        <v>188</v>
      </c>
      <c r="I70" s="35" t="s">
        <v>235</v>
      </c>
      <c r="J70" s="56" t="s">
        <v>77</v>
      </c>
      <c r="K70" s="57"/>
      <c r="L70" s="57"/>
      <c r="M70" s="55"/>
      <c r="N70" s="55"/>
      <c r="O70" s="58" t="n">
        <f aca="false">IFERROR(VLOOKUP($H70,Lists!$S$9:$T$12,2,FALSE()),0)</f>
        <v>2</v>
      </c>
      <c r="P70" s="58" t="n">
        <f aca="true">IF(AND($K70&lt;&gt;"",$K70&lt;TODAY(),$J70&lt;&gt;"Complete",$J70&lt;&gt;"N/A"),1,0)</f>
        <v>0</v>
      </c>
    </row>
    <row r="71" customFormat="false" ht="23.25" hidden="false" customHeight="true" outlineLevel="0" collapsed="false">
      <c r="B71" s="46" t="s">
        <v>366</v>
      </c>
      <c r="C71" s="47" t="s">
        <v>127</v>
      </c>
      <c r="D71" s="18" t="s">
        <v>367</v>
      </c>
      <c r="E71" s="48" t="s">
        <v>368</v>
      </c>
      <c r="F71" s="48" t="s">
        <v>197</v>
      </c>
      <c r="G71" s="48" t="s">
        <v>369</v>
      </c>
      <c r="H71" s="49" t="s">
        <v>161</v>
      </c>
      <c r="I71" s="30" t="s">
        <v>235</v>
      </c>
      <c r="J71" s="49" t="s">
        <v>77</v>
      </c>
      <c r="K71" s="50"/>
      <c r="L71" s="50"/>
      <c r="M71" s="48"/>
      <c r="N71" s="48"/>
      <c r="O71" s="51" t="n">
        <f aca="false">IFERROR(VLOOKUP($H71,Lists!$S$9:$T$12,2,FALSE()),0)</f>
        <v>5</v>
      </c>
      <c r="P71" s="51" t="n">
        <f aca="true">IF(AND($K71&lt;&gt;"",$K71&lt;TODAY(),$J71&lt;&gt;"Complete",$J71&lt;&gt;"N/A"),1,0)</f>
        <v>0</v>
      </c>
    </row>
    <row r="72" customFormat="false" ht="23.25" hidden="false" customHeight="true" outlineLevel="0" collapsed="false">
      <c r="B72" s="52" t="s">
        <v>370</v>
      </c>
      <c r="C72" s="53" t="s">
        <v>127</v>
      </c>
      <c r="D72" s="54" t="s">
        <v>371</v>
      </c>
      <c r="E72" s="55" t="s">
        <v>372</v>
      </c>
      <c r="F72" s="55" t="s">
        <v>197</v>
      </c>
      <c r="G72" s="55" t="s">
        <v>192</v>
      </c>
      <c r="H72" s="56" t="s">
        <v>188</v>
      </c>
      <c r="I72" s="35" t="s">
        <v>235</v>
      </c>
      <c r="J72" s="56" t="s">
        <v>77</v>
      </c>
      <c r="K72" s="57"/>
      <c r="L72" s="57"/>
      <c r="M72" s="55"/>
      <c r="N72" s="55"/>
      <c r="O72" s="58" t="n">
        <f aca="false">IFERROR(VLOOKUP($H72,Lists!$S$9:$T$12,2,FALSE()),0)</f>
        <v>2</v>
      </c>
      <c r="P72" s="58" t="n">
        <f aca="true">IF(AND($K72&lt;&gt;"",$K72&lt;TODAY(),$J72&lt;&gt;"Complete",$J72&lt;&gt;"N/A"),1,0)</f>
        <v>0</v>
      </c>
    </row>
    <row r="73" customFormat="false" ht="23.25" hidden="false" customHeight="true" outlineLevel="0" collapsed="false">
      <c r="B73" s="46" t="s">
        <v>373</v>
      </c>
      <c r="C73" s="47" t="s">
        <v>127</v>
      </c>
      <c r="D73" s="18" t="s">
        <v>374</v>
      </c>
      <c r="E73" s="48" t="s">
        <v>375</v>
      </c>
      <c r="F73" s="48" t="s">
        <v>197</v>
      </c>
      <c r="G73" s="48" t="s">
        <v>192</v>
      </c>
      <c r="H73" s="49" t="s">
        <v>188</v>
      </c>
      <c r="I73" s="30" t="s">
        <v>193</v>
      </c>
      <c r="J73" s="49" t="s">
        <v>77</v>
      </c>
      <c r="K73" s="50"/>
      <c r="L73" s="50"/>
      <c r="M73" s="48"/>
      <c r="N73" s="48"/>
      <c r="O73" s="51" t="n">
        <f aca="false">IFERROR(VLOOKUP($H73,Lists!$S$9:$T$12,2,FALSE()),0)</f>
        <v>2</v>
      </c>
      <c r="P73" s="51" t="n">
        <f aca="true">IF(AND($K73&lt;&gt;"",$K73&lt;TODAY(),$J73&lt;&gt;"Complete",$J73&lt;&gt;"N/A"),1,0)</f>
        <v>0</v>
      </c>
    </row>
    <row r="74" customFormat="false" ht="23.25" hidden="false" customHeight="true" outlineLevel="0" collapsed="false">
      <c r="B74" s="52" t="s">
        <v>376</v>
      </c>
      <c r="C74" s="53" t="s">
        <v>127</v>
      </c>
      <c r="D74" s="54" t="s">
        <v>377</v>
      </c>
      <c r="E74" s="55" t="s">
        <v>378</v>
      </c>
      <c r="F74" s="55" t="s">
        <v>197</v>
      </c>
      <c r="G74" s="55" t="s">
        <v>192</v>
      </c>
      <c r="H74" s="56" t="s">
        <v>170</v>
      </c>
      <c r="I74" s="35" t="s">
        <v>193</v>
      </c>
      <c r="J74" s="56" t="s">
        <v>77</v>
      </c>
      <c r="K74" s="57"/>
      <c r="L74" s="57"/>
      <c r="M74" s="55"/>
      <c r="N74" s="55"/>
      <c r="O74" s="58" t="n">
        <f aca="false">IFERROR(VLOOKUP($H74,Lists!$S$9:$T$12,2,FALSE()),0)</f>
        <v>3</v>
      </c>
      <c r="P74" s="58" t="n">
        <f aca="true">IF(AND($K74&lt;&gt;"",$K74&lt;TODAY(),$J74&lt;&gt;"Complete",$J74&lt;&gt;"N/A"),1,0)</f>
        <v>0</v>
      </c>
    </row>
    <row r="75" customFormat="false" ht="23.25" hidden="false" customHeight="true" outlineLevel="0" collapsed="false">
      <c r="B75" s="46" t="s">
        <v>379</v>
      </c>
      <c r="C75" s="47" t="s">
        <v>128</v>
      </c>
      <c r="D75" s="18" t="s">
        <v>380</v>
      </c>
      <c r="E75" s="48" t="s">
        <v>381</v>
      </c>
      <c r="F75" s="48" t="s">
        <v>204</v>
      </c>
      <c r="G75" s="48" t="s">
        <v>174</v>
      </c>
      <c r="H75" s="49" t="s">
        <v>161</v>
      </c>
      <c r="I75" s="30" t="s">
        <v>162</v>
      </c>
      <c r="J75" s="49" t="s">
        <v>77</v>
      </c>
      <c r="K75" s="50"/>
      <c r="L75" s="50"/>
      <c r="M75" s="48"/>
      <c r="N75" s="48"/>
      <c r="O75" s="51" t="n">
        <f aca="false">IFERROR(VLOOKUP($H75,Lists!$S$9:$T$12,2,FALSE()),0)</f>
        <v>5</v>
      </c>
      <c r="P75" s="51" t="n">
        <f aca="true">IF(AND($K75&lt;&gt;"",$K75&lt;TODAY(),$J75&lt;&gt;"Complete",$J75&lt;&gt;"N/A"),1,0)</f>
        <v>0</v>
      </c>
    </row>
    <row r="76" customFormat="false" ht="23.25" hidden="false" customHeight="true" outlineLevel="0" collapsed="false">
      <c r="B76" s="52" t="s">
        <v>382</v>
      </c>
      <c r="C76" s="53" t="s">
        <v>128</v>
      </c>
      <c r="D76" s="54" t="s">
        <v>383</v>
      </c>
      <c r="E76" s="55" t="s">
        <v>384</v>
      </c>
      <c r="F76" s="55" t="s">
        <v>197</v>
      </c>
      <c r="G76" s="55" t="s">
        <v>204</v>
      </c>
      <c r="H76" s="56" t="s">
        <v>161</v>
      </c>
      <c r="I76" s="35" t="s">
        <v>193</v>
      </c>
      <c r="J76" s="56" t="s">
        <v>77</v>
      </c>
      <c r="K76" s="57"/>
      <c r="L76" s="57"/>
      <c r="M76" s="55"/>
      <c r="N76" s="55"/>
      <c r="O76" s="58" t="n">
        <f aca="false">IFERROR(VLOOKUP($H76,Lists!$S$9:$T$12,2,FALSE()),0)</f>
        <v>5</v>
      </c>
      <c r="P76" s="58" t="n">
        <f aca="true">IF(AND($K76&lt;&gt;"",$K76&lt;TODAY(),$J76&lt;&gt;"Complete",$J76&lt;&gt;"N/A"),1,0)</f>
        <v>0</v>
      </c>
    </row>
    <row r="77" customFormat="false" ht="23.25" hidden="false" customHeight="true" outlineLevel="0" collapsed="false">
      <c r="B77" s="46" t="s">
        <v>385</v>
      </c>
      <c r="C77" s="47" t="s">
        <v>128</v>
      </c>
      <c r="D77" s="18" t="s">
        <v>386</v>
      </c>
      <c r="E77" s="48" t="s">
        <v>387</v>
      </c>
      <c r="F77" s="48" t="s">
        <v>204</v>
      </c>
      <c r="G77" s="48" t="s">
        <v>174</v>
      </c>
      <c r="H77" s="49" t="s">
        <v>170</v>
      </c>
      <c r="I77" s="30" t="s">
        <v>193</v>
      </c>
      <c r="J77" s="49" t="s">
        <v>77</v>
      </c>
      <c r="K77" s="50"/>
      <c r="L77" s="50"/>
      <c r="M77" s="48"/>
      <c r="N77" s="48"/>
      <c r="O77" s="51" t="n">
        <f aca="false">IFERROR(VLOOKUP($H77,Lists!$S$9:$T$12,2,FALSE()),0)</f>
        <v>3</v>
      </c>
      <c r="P77" s="51" t="n">
        <f aca="true">IF(AND($K77&lt;&gt;"",$K77&lt;TODAY(),$J77&lt;&gt;"Complete",$J77&lt;&gt;"N/A"),1,0)</f>
        <v>0</v>
      </c>
    </row>
    <row r="78" customFormat="false" ht="23.25" hidden="false" customHeight="true" outlineLevel="0" collapsed="false">
      <c r="B78" s="52" t="s">
        <v>388</v>
      </c>
      <c r="C78" s="53" t="s">
        <v>128</v>
      </c>
      <c r="D78" s="54" t="s">
        <v>389</v>
      </c>
      <c r="E78" s="55" t="s">
        <v>390</v>
      </c>
      <c r="F78" s="55" t="s">
        <v>192</v>
      </c>
      <c r="G78" s="55" t="s">
        <v>204</v>
      </c>
      <c r="H78" s="56" t="s">
        <v>170</v>
      </c>
      <c r="I78" s="35" t="s">
        <v>193</v>
      </c>
      <c r="J78" s="56" t="s">
        <v>77</v>
      </c>
      <c r="K78" s="57"/>
      <c r="L78" s="57"/>
      <c r="M78" s="55"/>
      <c r="N78" s="55"/>
      <c r="O78" s="58" t="n">
        <f aca="false">IFERROR(VLOOKUP($H78,Lists!$S$9:$T$12,2,FALSE()),0)</f>
        <v>3</v>
      </c>
      <c r="P78" s="58" t="n">
        <f aca="true">IF(AND($K78&lt;&gt;"",$K78&lt;TODAY(),$J78&lt;&gt;"Complete",$J78&lt;&gt;"N/A"),1,0)</f>
        <v>0</v>
      </c>
    </row>
    <row r="79" customFormat="false" ht="23.25" hidden="false" customHeight="true" outlineLevel="0" collapsed="false">
      <c r="B79" s="46" t="s">
        <v>391</v>
      </c>
      <c r="C79" s="47" t="s">
        <v>128</v>
      </c>
      <c r="D79" s="18" t="s">
        <v>392</v>
      </c>
      <c r="E79" s="48" t="s">
        <v>393</v>
      </c>
      <c r="F79" s="48" t="s">
        <v>192</v>
      </c>
      <c r="G79" s="48" t="s">
        <v>174</v>
      </c>
      <c r="H79" s="49" t="s">
        <v>170</v>
      </c>
      <c r="I79" s="30" t="s">
        <v>193</v>
      </c>
      <c r="J79" s="49" t="s">
        <v>77</v>
      </c>
      <c r="K79" s="50"/>
      <c r="L79" s="50"/>
      <c r="M79" s="48"/>
      <c r="N79" s="48"/>
      <c r="O79" s="51" t="n">
        <f aca="false">IFERROR(VLOOKUP($H79,Lists!$S$9:$T$12,2,FALSE()),0)</f>
        <v>3</v>
      </c>
      <c r="P79" s="51" t="n">
        <f aca="true">IF(AND($K79&lt;&gt;"",$K79&lt;TODAY(),$J79&lt;&gt;"Complete",$J79&lt;&gt;"N/A"),1,0)</f>
        <v>0</v>
      </c>
    </row>
    <row r="80" customFormat="false" ht="23.25" hidden="false" customHeight="true" outlineLevel="0" collapsed="false">
      <c r="B80" s="52" t="s">
        <v>394</v>
      </c>
      <c r="C80" s="53" t="s">
        <v>128</v>
      </c>
      <c r="D80" s="54" t="s">
        <v>395</v>
      </c>
      <c r="E80" s="55" t="s">
        <v>396</v>
      </c>
      <c r="F80" s="55" t="s">
        <v>204</v>
      </c>
      <c r="G80" s="55" t="s">
        <v>174</v>
      </c>
      <c r="H80" s="56" t="s">
        <v>161</v>
      </c>
      <c r="I80" s="35" t="s">
        <v>193</v>
      </c>
      <c r="J80" s="56" t="s">
        <v>77</v>
      </c>
      <c r="K80" s="57"/>
      <c r="L80" s="57"/>
      <c r="M80" s="55"/>
      <c r="N80" s="55"/>
      <c r="O80" s="58" t="n">
        <f aca="false">IFERROR(VLOOKUP($H80,Lists!$S$9:$T$12,2,FALSE()),0)</f>
        <v>5</v>
      </c>
      <c r="P80" s="58" t="n">
        <f aca="true">IF(AND($K80&lt;&gt;"",$K80&lt;TODAY(),$J80&lt;&gt;"Complete",$J80&lt;&gt;"N/A"),1,0)</f>
        <v>0</v>
      </c>
    </row>
    <row r="81" customFormat="false" ht="23.25" hidden="false" customHeight="true" outlineLevel="0" collapsed="false">
      <c r="B81" s="46" t="s">
        <v>397</v>
      </c>
      <c r="C81" s="47" t="s">
        <v>128</v>
      </c>
      <c r="D81" s="18" t="s">
        <v>398</v>
      </c>
      <c r="E81" s="48" t="s">
        <v>399</v>
      </c>
      <c r="F81" s="48" t="s">
        <v>204</v>
      </c>
      <c r="G81" s="48" t="s">
        <v>160</v>
      </c>
      <c r="H81" s="49" t="s">
        <v>170</v>
      </c>
      <c r="I81" s="30" t="s">
        <v>193</v>
      </c>
      <c r="J81" s="49" t="s">
        <v>77</v>
      </c>
      <c r="K81" s="50"/>
      <c r="L81" s="50"/>
      <c r="M81" s="48"/>
      <c r="N81" s="48"/>
      <c r="O81" s="51" t="n">
        <f aca="false">IFERROR(VLOOKUP($H81,Lists!$S$9:$T$12,2,FALSE()),0)</f>
        <v>3</v>
      </c>
      <c r="P81" s="51" t="n">
        <f aca="true">IF(AND($K81&lt;&gt;"",$K81&lt;TODAY(),$J81&lt;&gt;"Complete",$J81&lt;&gt;"N/A"),1,0)</f>
        <v>0</v>
      </c>
    </row>
    <row r="82" customFormat="false" ht="23.25" hidden="false" customHeight="true" outlineLevel="0" collapsed="false">
      <c r="B82" s="52" t="s">
        <v>400</v>
      </c>
      <c r="C82" s="53" t="s">
        <v>128</v>
      </c>
      <c r="D82" s="54" t="s">
        <v>401</v>
      </c>
      <c r="E82" s="55" t="s">
        <v>402</v>
      </c>
      <c r="F82" s="55" t="s">
        <v>192</v>
      </c>
      <c r="G82" s="55" t="s">
        <v>174</v>
      </c>
      <c r="H82" s="56" t="s">
        <v>161</v>
      </c>
      <c r="I82" s="35" t="s">
        <v>193</v>
      </c>
      <c r="J82" s="56" t="s">
        <v>77</v>
      </c>
      <c r="K82" s="57"/>
      <c r="L82" s="57"/>
      <c r="M82" s="55"/>
      <c r="N82" s="55"/>
      <c r="O82" s="58" t="n">
        <f aca="false">IFERROR(VLOOKUP($H82,Lists!$S$9:$T$12,2,FALSE()),0)</f>
        <v>5</v>
      </c>
      <c r="P82" s="58" t="n">
        <f aca="true">IF(AND($K82&lt;&gt;"",$K82&lt;TODAY(),$J82&lt;&gt;"Complete",$J82&lt;&gt;"N/A"),1,0)</f>
        <v>0</v>
      </c>
    </row>
    <row r="83" customFormat="false" ht="23.25" hidden="false" customHeight="true" outlineLevel="0" collapsed="false">
      <c r="B83" s="46" t="s">
        <v>403</v>
      </c>
      <c r="C83" s="47" t="s">
        <v>128</v>
      </c>
      <c r="D83" s="18" t="s">
        <v>404</v>
      </c>
      <c r="E83" s="48" t="s">
        <v>405</v>
      </c>
      <c r="F83" s="48" t="s">
        <v>192</v>
      </c>
      <c r="G83" s="48" t="s">
        <v>204</v>
      </c>
      <c r="H83" s="49" t="s">
        <v>170</v>
      </c>
      <c r="I83" s="30" t="s">
        <v>193</v>
      </c>
      <c r="J83" s="49" t="s">
        <v>77</v>
      </c>
      <c r="K83" s="50"/>
      <c r="L83" s="50"/>
      <c r="M83" s="48"/>
      <c r="N83" s="48"/>
      <c r="O83" s="51" t="n">
        <f aca="false">IFERROR(VLOOKUP($H83,Lists!$S$9:$T$12,2,FALSE()),0)</f>
        <v>3</v>
      </c>
      <c r="P83" s="51" t="n">
        <f aca="true">IF(AND($K83&lt;&gt;"",$K83&lt;TODAY(),$J83&lt;&gt;"Complete",$J83&lt;&gt;"N/A"),1,0)</f>
        <v>0</v>
      </c>
    </row>
    <row r="84" customFormat="false" ht="15" hidden="false" customHeight="true" outlineLevel="0" collapsed="false">
      <c r="B84" s="52" t="s">
        <v>406</v>
      </c>
      <c r="C84" s="53" t="s">
        <v>128</v>
      </c>
      <c r="D84" s="54" t="s">
        <v>407</v>
      </c>
      <c r="E84" s="55" t="s">
        <v>408</v>
      </c>
      <c r="F84" s="55" t="s">
        <v>192</v>
      </c>
      <c r="G84" s="55" t="s">
        <v>204</v>
      </c>
      <c r="H84" s="56" t="s">
        <v>188</v>
      </c>
      <c r="I84" s="35" t="s">
        <v>193</v>
      </c>
      <c r="J84" s="56" t="s">
        <v>77</v>
      </c>
      <c r="K84" s="57"/>
      <c r="L84" s="57"/>
      <c r="M84" s="55"/>
      <c r="N84" s="55"/>
      <c r="O84" s="58" t="n">
        <f aca="false">IFERROR(VLOOKUP($H84,Lists!$S$9:$T$12,2,FALSE()),0)</f>
        <v>2</v>
      </c>
      <c r="P84" s="58" t="n">
        <f aca="true">IF(AND($K84&lt;&gt;"",$K84&lt;TODAY(),$J84&lt;&gt;"Complete",$J84&lt;&gt;"N/A"),1,0)</f>
        <v>0</v>
      </c>
    </row>
    <row r="85" customFormat="false" ht="23.25" hidden="false" customHeight="true" outlineLevel="0" collapsed="false">
      <c r="B85" s="46" t="s">
        <v>409</v>
      </c>
      <c r="C85" s="47" t="s">
        <v>128</v>
      </c>
      <c r="D85" s="18" t="s">
        <v>410</v>
      </c>
      <c r="E85" s="48" t="s">
        <v>411</v>
      </c>
      <c r="F85" s="48" t="s">
        <v>204</v>
      </c>
      <c r="G85" s="48" t="s">
        <v>192</v>
      </c>
      <c r="H85" s="49" t="s">
        <v>188</v>
      </c>
      <c r="I85" s="30" t="s">
        <v>193</v>
      </c>
      <c r="J85" s="49" t="s">
        <v>77</v>
      </c>
      <c r="K85" s="50"/>
      <c r="L85" s="50"/>
      <c r="M85" s="48"/>
      <c r="N85" s="48"/>
      <c r="O85" s="51" t="n">
        <f aca="false">IFERROR(VLOOKUP($H85,Lists!$S$9:$T$12,2,FALSE()),0)</f>
        <v>2</v>
      </c>
      <c r="P85" s="51" t="n">
        <f aca="true">IF(AND($K85&lt;&gt;"",$K85&lt;TODAY(),$J85&lt;&gt;"Complete",$J85&lt;&gt;"N/A"),1,0)</f>
        <v>0</v>
      </c>
    </row>
    <row r="86" customFormat="false" ht="23.25" hidden="false" customHeight="true" outlineLevel="0" collapsed="false">
      <c r="B86" s="52" t="s">
        <v>412</v>
      </c>
      <c r="C86" s="53" t="s">
        <v>128</v>
      </c>
      <c r="D86" s="54" t="s">
        <v>413</v>
      </c>
      <c r="E86" s="55" t="s">
        <v>414</v>
      </c>
      <c r="F86" s="55" t="s">
        <v>258</v>
      </c>
      <c r="G86" s="55" t="s">
        <v>174</v>
      </c>
      <c r="H86" s="56" t="s">
        <v>188</v>
      </c>
      <c r="I86" s="35" t="s">
        <v>215</v>
      </c>
      <c r="J86" s="56" t="s">
        <v>77</v>
      </c>
      <c r="K86" s="57"/>
      <c r="L86" s="57"/>
      <c r="M86" s="55"/>
      <c r="N86" s="55"/>
      <c r="O86" s="58" t="n">
        <f aca="false">IFERROR(VLOOKUP($H86,Lists!$S$9:$T$12,2,FALSE()),0)</f>
        <v>2</v>
      </c>
      <c r="P86" s="58" t="n">
        <f aca="true">IF(AND($K86&lt;&gt;"",$K86&lt;TODAY(),$J86&lt;&gt;"Complete",$J86&lt;&gt;"N/A"),1,0)</f>
        <v>0</v>
      </c>
    </row>
    <row r="87" customFormat="false" ht="23.25" hidden="false" customHeight="true" outlineLevel="0" collapsed="false">
      <c r="B87" s="46" t="s">
        <v>415</v>
      </c>
      <c r="C87" s="47" t="s">
        <v>128</v>
      </c>
      <c r="D87" s="18" t="s">
        <v>416</v>
      </c>
      <c r="E87" s="48" t="s">
        <v>417</v>
      </c>
      <c r="F87" s="48" t="s">
        <v>204</v>
      </c>
      <c r="G87" s="48" t="s">
        <v>174</v>
      </c>
      <c r="H87" s="49" t="s">
        <v>188</v>
      </c>
      <c r="I87" s="30" t="s">
        <v>215</v>
      </c>
      <c r="J87" s="49" t="s">
        <v>77</v>
      </c>
      <c r="K87" s="50"/>
      <c r="L87" s="50"/>
      <c r="M87" s="48"/>
      <c r="N87" s="48"/>
      <c r="O87" s="51" t="n">
        <f aca="false">IFERROR(VLOOKUP($H87,Lists!$S$9:$T$12,2,FALSE()),0)</f>
        <v>2</v>
      </c>
      <c r="P87" s="51" t="n">
        <f aca="true">IF(AND($K87&lt;&gt;"",$K87&lt;TODAY(),$J87&lt;&gt;"Complete",$J87&lt;&gt;"N/A"),1,0)</f>
        <v>0</v>
      </c>
    </row>
    <row r="88" customFormat="false" ht="23.25" hidden="false" customHeight="true" outlineLevel="0" collapsed="false">
      <c r="B88" s="52" t="s">
        <v>418</v>
      </c>
      <c r="C88" s="53" t="s">
        <v>128</v>
      </c>
      <c r="D88" s="54" t="s">
        <v>419</v>
      </c>
      <c r="E88" s="55" t="s">
        <v>420</v>
      </c>
      <c r="F88" s="55" t="s">
        <v>174</v>
      </c>
      <c r="G88" s="55" t="s">
        <v>160</v>
      </c>
      <c r="H88" s="56" t="s">
        <v>188</v>
      </c>
      <c r="I88" s="35" t="s">
        <v>215</v>
      </c>
      <c r="J88" s="56" t="s">
        <v>77</v>
      </c>
      <c r="K88" s="57"/>
      <c r="L88" s="57"/>
      <c r="M88" s="55"/>
      <c r="N88" s="55"/>
      <c r="O88" s="58" t="n">
        <f aca="false">IFERROR(VLOOKUP($H88,Lists!$S$9:$T$12,2,FALSE()),0)</f>
        <v>2</v>
      </c>
      <c r="P88" s="58" t="n">
        <f aca="true">IF(AND($K88&lt;&gt;"",$K88&lt;TODAY(),$J88&lt;&gt;"Complete",$J88&lt;&gt;"N/A"),1,0)</f>
        <v>0</v>
      </c>
    </row>
    <row r="89" customFormat="false" ht="23.25" hidden="false" customHeight="true" outlineLevel="0" collapsed="false">
      <c r="B89" s="46" t="s">
        <v>421</v>
      </c>
      <c r="C89" s="47" t="s">
        <v>129</v>
      </c>
      <c r="D89" s="18" t="s">
        <v>422</v>
      </c>
      <c r="E89" s="48" t="s">
        <v>423</v>
      </c>
      <c r="F89" s="48" t="s">
        <v>204</v>
      </c>
      <c r="G89" s="48" t="s">
        <v>192</v>
      </c>
      <c r="H89" s="49" t="s">
        <v>170</v>
      </c>
      <c r="I89" s="30" t="s">
        <v>162</v>
      </c>
      <c r="J89" s="49" t="s">
        <v>77</v>
      </c>
      <c r="K89" s="50"/>
      <c r="L89" s="50"/>
      <c r="M89" s="48"/>
      <c r="N89" s="48"/>
      <c r="O89" s="51" t="n">
        <f aca="false">IFERROR(VLOOKUP($H89,Lists!$S$9:$T$12,2,FALSE()),0)</f>
        <v>3</v>
      </c>
      <c r="P89" s="51" t="n">
        <f aca="true">IF(AND($K89&lt;&gt;"",$K89&lt;TODAY(),$J89&lt;&gt;"Complete",$J89&lt;&gt;"N/A"),1,0)</f>
        <v>0</v>
      </c>
    </row>
    <row r="90" customFormat="false" ht="23.25" hidden="false" customHeight="true" outlineLevel="0" collapsed="false">
      <c r="B90" s="52" t="s">
        <v>424</v>
      </c>
      <c r="C90" s="53" t="s">
        <v>129</v>
      </c>
      <c r="D90" s="54" t="s">
        <v>425</v>
      </c>
      <c r="E90" s="55" t="s">
        <v>426</v>
      </c>
      <c r="F90" s="55" t="s">
        <v>197</v>
      </c>
      <c r="G90" s="55" t="s">
        <v>204</v>
      </c>
      <c r="H90" s="56" t="s">
        <v>161</v>
      </c>
      <c r="I90" s="35" t="s">
        <v>162</v>
      </c>
      <c r="J90" s="56" t="s">
        <v>77</v>
      </c>
      <c r="K90" s="57"/>
      <c r="L90" s="57"/>
      <c r="M90" s="55"/>
      <c r="N90" s="55"/>
      <c r="O90" s="58" t="n">
        <f aca="false">IFERROR(VLOOKUP($H90,Lists!$S$9:$T$12,2,FALSE()),0)</f>
        <v>5</v>
      </c>
      <c r="P90" s="58" t="n">
        <f aca="true">IF(AND($K90&lt;&gt;"",$K90&lt;TODAY(),$J90&lt;&gt;"Complete",$J90&lt;&gt;"N/A"),1,0)</f>
        <v>0</v>
      </c>
    </row>
    <row r="91" customFormat="false" ht="23.25" hidden="false" customHeight="true" outlineLevel="0" collapsed="false">
      <c r="B91" s="46" t="s">
        <v>427</v>
      </c>
      <c r="C91" s="47" t="s">
        <v>129</v>
      </c>
      <c r="D91" s="18" t="s">
        <v>428</v>
      </c>
      <c r="E91" s="48" t="s">
        <v>429</v>
      </c>
      <c r="F91" s="48" t="s">
        <v>192</v>
      </c>
      <c r="G91" s="48" t="s">
        <v>160</v>
      </c>
      <c r="H91" s="49" t="s">
        <v>170</v>
      </c>
      <c r="I91" s="30" t="s">
        <v>193</v>
      </c>
      <c r="J91" s="49" t="s">
        <v>77</v>
      </c>
      <c r="K91" s="50"/>
      <c r="L91" s="50"/>
      <c r="M91" s="48"/>
      <c r="N91" s="48"/>
      <c r="O91" s="51" t="n">
        <f aca="false">IFERROR(VLOOKUP($H91,Lists!$S$9:$T$12,2,FALSE()),0)</f>
        <v>3</v>
      </c>
      <c r="P91" s="51" t="n">
        <f aca="true">IF(AND($K91&lt;&gt;"",$K91&lt;TODAY(),$J91&lt;&gt;"Complete",$J91&lt;&gt;"N/A"),1,0)</f>
        <v>0</v>
      </c>
    </row>
    <row r="92" customFormat="false" ht="21.75" hidden="false" customHeight="true" outlineLevel="0" collapsed="false">
      <c r="B92" s="52" t="s">
        <v>430</v>
      </c>
      <c r="C92" s="53" t="s">
        <v>129</v>
      </c>
      <c r="D92" s="54" t="s">
        <v>431</v>
      </c>
      <c r="E92" s="55" t="s">
        <v>432</v>
      </c>
      <c r="F92" s="55" t="s">
        <v>197</v>
      </c>
      <c r="G92" s="55" t="s">
        <v>204</v>
      </c>
      <c r="H92" s="56" t="s">
        <v>170</v>
      </c>
      <c r="I92" s="35" t="s">
        <v>193</v>
      </c>
      <c r="J92" s="56" t="s">
        <v>77</v>
      </c>
      <c r="K92" s="57"/>
      <c r="L92" s="57"/>
      <c r="M92" s="55"/>
      <c r="N92" s="55"/>
      <c r="O92" s="58" t="n">
        <f aca="false">IFERROR(VLOOKUP($H92,Lists!$S$9:$T$12,2,FALSE()),0)</f>
        <v>3</v>
      </c>
      <c r="P92" s="58" t="n">
        <f aca="true">IF(AND($K92&lt;&gt;"",$K92&lt;TODAY(),$J92&lt;&gt;"Complete",$J92&lt;&gt;"N/A"),1,0)</f>
        <v>0</v>
      </c>
    </row>
    <row r="93" customFormat="false" ht="23.25" hidden="false" customHeight="true" outlineLevel="0" collapsed="false">
      <c r="B93" s="46" t="s">
        <v>433</v>
      </c>
      <c r="C93" s="47" t="s">
        <v>129</v>
      </c>
      <c r="D93" s="18" t="s">
        <v>434</v>
      </c>
      <c r="E93" s="48" t="s">
        <v>435</v>
      </c>
      <c r="F93" s="48" t="s">
        <v>197</v>
      </c>
      <c r="G93" s="48" t="s">
        <v>204</v>
      </c>
      <c r="H93" s="49" t="s">
        <v>161</v>
      </c>
      <c r="I93" s="30" t="s">
        <v>193</v>
      </c>
      <c r="J93" s="49" t="s">
        <v>77</v>
      </c>
      <c r="K93" s="50"/>
      <c r="L93" s="50"/>
      <c r="M93" s="48"/>
      <c r="N93" s="48"/>
      <c r="O93" s="51" t="n">
        <f aca="false">IFERROR(VLOOKUP($H93,Lists!$S$9:$T$12,2,FALSE()),0)</f>
        <v>5</v>
      </c>
      <c r="P93" s="51" t="n">
        <f aca="true">IF(AND($K93&lt;&gt;"",$K93&lt;TODAY(),$J93&lt;&gt;"Complete",$J93&lt;&gt;"N/A"),1,0)</f>
        <v>0</v>
      </c>
    </row>
    <row r="94" customFormat="false" ht="23.25" hidden="false" customHeight="true" outlineLevel="0" collapsed="false">
      <c r="B94" s="52" t="s">
        <v>436</v>
      </c>
      <c r="C94" s="53" t="s">
        <v>129</v>
      </c>
      <c r="D94" s="54" t="s">
        <v>437</v>
      </c>
      <c r="E94" s="55" t="s">
        <v>438</v>
      </c>
      <c r="F94" s="55" t="s">
        <v>192</v>
      </c>
      <c r="G94" s="55" t="s">
        <v>174</v>
      </c>
      <c r="H94" s="56" t="s">
        <v>170</v>
      </c>
      <c r="I94" s="35" t="s">
        <v>193</v>
      </c>
      <c r="J94" s="56" t="s">
        <v>77</v>
      </c>
      <c r="K94" s="57"/>
      <c r="L94" s="57"/>
      <c r="M94" s="55"/>
      <c r="N94" s="55"/>
      <c r="O94" s="58" t="n">
        <f aca="false">IFERROR(VLOOKUP($H94,Lists!$S$9:$T$12,2,FALSE()),0)</f>
        <v>3</v>
      </c>
      <c r="P94" s="58" t="n">
        <f aca="true">IF(AND($K94&lt;&gt;"",$K94&lt;TODAY(),$J94&lt;&gt;"Complete",$J94&lt;&gt;"N/A"),1,0)</f>
        <v>0</v>
      </c>
    </row>
    <row r="95" customFormat="false" ht="23.25" hidden="false" customHeight="true" outlineLevel="0" collapsed="false">
      <c r="B95" s="46" t="s">
        <v>439</v>
      </c>
      <c r="C95" s="47" t="s">
        <v>129</v>
      </c>
      <c r="D95" s="18" t="s">
        <v>440</v>
      </c>
      <c r="E95" s="48" t="s">
        <v>441</v>
      </c>
      <c r="F95" s="48" t="s">
        <v>197</v>
      </c>
      <c r="G95" s="48" t="s">
        <v>192</v>
      </c>
      <c r="H95" s="49" t="s">
        <v>161</v>
      </c>
      <c r="I95" s="30" t="s">
        <v>193</v>
      </c>
      <c r="J95" s="49" t="s">
        <v>77</v>
      </c>
      <c r="K95" s="50"/>
      <c r="L95" s="50"/>
      <c r="M95" s="48"/>
      <c r="N95" s="48"/>
      <c r="O95" s="51" t="n">
        <f aca="false">IFERROR(VLOOKUP($H95,Lists!$S$9:$T$12,2,FALSE()),0)</f>
        <v>5</v>
      </c>
      <c r="P95" s="51" t="n">
        <f aca="true">IF(AND($K95&lt;&gt;"",$K95&lt;TODAY(),$J95&lt;&gt;"Complete",$J95&lt;&gt;"N/A"),1,0)</f>
        <v>0</v>
      </c>
    </row>
    <row r="96" customFormat="false" ht="23.25" hidden="false" customHeight="true" outlineLevel="0" collapsed="false">
      <c r="B96" s="52" t="s">
        <v>442</v>
      </c>
      <c r="C96" s="53" t="s">
        <v>129</v>
      </c>
      <c r="D96" s="54" t="s">
        <v>443</v>
      </c>
      <c r="E96" s="55" t="s">
        <v>444</v>
      </c>
      <c r="F96" s="55" t="s">
        <v>192</v>
      </c>
      <c r="G96" s="55" t="s">
        <v>174</v>
      </c>
      <c r="H96" s="56" t="s">
        <v>161</v>
      </c>
      <c r="I96" s="35" t="s">
        <v>235</v>
      </c>
      <c r="J96" s="56" t="s">
        <v>77</v>
      </c>
      <c r="K96" s="57"/>
      <c r="L96" s="57"/>
      <c r="M96" s="55"/>
      <c r="N96" s="55"/>
      <c r="O96" s="58" t="n">
        <f aca="false">IFERROR(VLOOKUP($H96,Lists!$S$9:$T$12,2,FALSE()),0)</f>
        <v>5</v>
      </c>
      <c r="P96" s="58" t="n">
        <f aca="true">IF(AND($K96&lt;&gt;"",$K96&lt;TODAY(),$J96&lt;&gt;"Complete",$J96&lt;&gt;"N/A"),1,0)</f>
        <v>0</v>
      </c>
    </row>
    <row r="97" customFormat="false" ht="23.25" hidden="false" customHeight="true" outlineLevel="0" collapsed="false">
      <c r="B97" s="46" t="s">
        <v>445</v>
      </c>
      <c r="C97" s="47" t="s">
        <v>129</v>
      </c>
      <c r="D97" s="18" t="s">
        <v>446</v>
      </c>
      <c r="E97" s="48" t="s">
        <v>447</v>
      </c>
      <c r="F97" s="48" t="s">
        <v>197</v>
      </c>
      <c r="G97" s="48" t="s">
        <v>204</v>
      </c>
      <c r="H97" s="49" t="s">
        <v>188</v>
      </c>
      <c r="I97" s="30" t="s">
        <v>193</v>
      </c>
      <c r="J97" s="49" t="s">
        <v>77</v>
      </c>
      <c r="K97" s="50"/>
      <c r="L97" s="50"/>
      <c r="M97" s="48"/>
      <c r="N97" s="48"/>
      <c r="O97" s="51" t="n">
        <f aca="false">IFERROR(VLOOKUP($H97,Lists!$S$9:$T$12,2,FALSE()),0)</f>
        <v>2</v>
      </c>
      <c r="P97" s="51" t="n">
        <f aca="true">IF(AND($K97&lt;&gt;"",$K97&lt;TODAY(),$J97&lt;&gt;"Complete",$J97&lt;&gt;"N/A"),1,0)</f>
        <v>0</v>
      </c>
    </row>
    <row r="98" customFormat="false" ht="23.25" hidden="false" customHeight="true" outlineLevel="0" collapsed="false">
      <c r="B98" s="52" t="s">
        <v>448</v>
      </c>
      <c r="C98" s="53" t="s">
        <v>129</v>
      </c>
      <c r="D98" s="54" t="s">
        <v>449</v>
      </c>
      <c r="E98" s="55" t="s">
        <v>450</v>
      </c>
      <c r="F98" s="55" t="s">
        <v>271</v>
      </c>
      <c r="G98" s="55" t="s">
        <v>192</v>
      </c>
      <c r="H98" s="56" t="s">
        <v>170</v>
      </c>
      <c r="I98" s="35" t="s">
        <v>193</v>
      </c>
      <c r="J98" s="56" t="s">
        <v>77</v>
      </c>
      <c r="K98" s="57"/>
      <c r="L98" s="57"/>
      <c r="M98" s="55"/>
      <c r="N98" s="55"/>
      <c r="O98" s="58" t="n">
        <f aca="false">IFERROR(VLOOKUP($H98,Lists!$S$9:$T$12,2,FALSE()),0)</f>
        <v>3</v>
      </c>
      <c r="P98" s="58" t="n">
        <f aca="true">IF(AND($K98&lt;&gt;"",$K98&lt;TODAY(),$J98&lt;&gt;"Complete",$J98&lt;&gt;"N/A"),1,0)</f>
        <v>0</v>
      </c>
    </row>
    <row r="99" customFormat="false" ht="23.25" hidden="false" customHeight="true" outlineLevel="0" collapsed="false">
      <c r="B99" s="46" t="s">
        <v>451</v>
      </c>
      <c r="C99" s="47" t="s">
        <v>129</v>
      </c>
      <c r="D99" s="18" t="s">
        <v>452</v>
      </c>
      <c r="E99" s="48" t="s">
        <v>453</v>
      </c>
      <c r="F99" s="48" t="s">
        <v>258</v>
      </c>
      <c r="G99" s="48" t="s">
        <v>192</v>
      </c>
      <c r="H99" s="49" t="s">
        <v>170</v>
      </c>
      <c r="I99" s="30" t="s">
        <v>193</v>
      </c>
      <c r="J99" s="49" t="s">
        <v>77</v>
      </c>
      <c r="K99" s="50"/>
      <c r="L99" s="50"/>
      <c r="M99" s="48"/>
      <c r="N99" s="48"/>
      <c r="O99" s="51" t="n">
        <f aca="false">IFERROR(VLOOKUP($H99,Lists!$S$9:$T$12,2,FALSE()),0)</f>
        <v>3</v>
      </c>
      <c r="P99" s="51" t="n">
        <f aca="true">IF(AND($K99&lt;&gt;"",$K99&lt;TODAY(),$J99&lt;&gt;"Complete",$J99&lt;&gt;"N/A"),1,0)</f>
        <v>0</v>
      </c>
    </row>
    <row r="100" customFormat="false" ht="23.25" hidden="false" customHeight="true" outlineLevel="0" collapsed="false">
      <c r="B100" s="52" t="s">
        <v>454</v>
      </c>
      <c r="C100" s="53" t="s">
        <v>129</v>
      </c>
      <c r="D100" s="54" t="s">
        <v>455</v>
      </c>
      <c r="E100" s="55" t="s">
        <v>456</v>
      </c>
      <c r="F100" s="55" t="s">
        <v>197</v>
      </c>
      <c r="G100" s="55" t="s">
        <v>192</v>
      </c>
      <c r="H100" s="56" t="s">
        <v>170</v>
      </c>
      <c r="I100" s="35" t="s">
        <v>193</v>
      </c>
      <c r="J100" s="56" t="s">
        <v>77</v>
      </c>
      <c r="K100" s="57"/>
      <c r="L100" s="57"/>
      <c r="M100" s="55"/>
      <c r="N100" s="55"/>
      <c r="O100" s="58" t="n">
        <f aca="false">IFERROR(VLOOKUP($H100,Lists!$S$9:$T$12,2,FALSE()),0)</f>
        <v>3</v>
      </c>
      <c r="P100" s="58" t="n">
        <f aca="true">IF(AND($K100&lt;&gt;"",$K100&lt;TODAY(),$J100&lt;&gt;"Complete",$J100&lt;&gt;"N/A"),1,0)</f>
        <v>0</v>
      </c>
    </row>
    <row r="101" customFormat="false" ht="23.25" hidden="false" customHeight="true" outlineLevel="0" collapsed="false">
      <c r="B101" s="46" t="s">
        <v>457</v>
      </c>
      <c r="C101" s="47" t="s">
        <v>129</v>
      </c>
      <c r="D101" s="18" t="s">
        <v>458</v>
      </c>
      <c r="E101" s="48" t="s">
        <v>459</v>
      </c>
      <c r="F101" s="48" t="s">
        <v>197</v>
      </c>
      <c r="G101" s="48" t="s">
        <v>192</v>
      </c>
      <c r="H101" s="49" t="s">
        <v>188</v>
      </c>
      <c r="I101" s="30" t="s">
        <v>235</v>
      </c>
      <c r="J101" s="49" t="s">
        <v>77</v>
      </c>
      <c r="K101" s="50"/>
      <c r="L101" s="50"/>
      <c r="M101" s="48"/>
      <c r="N101" s="48"/>
      <c r="O101" s="51" t="n">
        <f aca="false">IFERROR(VLOOKUP($H101,Lists!$S$9:$T$12,2,FALSE()),0)</f>
        <v>2</v>
      </c>
      <c r="P101" s="51" t="n">
        <f aca="true">IF(AND($K101&lt;&gt;"",$K101&lt;TODAY(),$J101&lt;&gt;"Complete",$J101&lt;&gt;"N/A"),1,0)</f>
        <v>0</v>
      </c>
    </row>
    <row r="102" customFormat="false" ht="23.25" hidden="false" customHeight="true" outlineLevel="0" collapsed="false">
      <c r="B102" s="52" t="s">
        <v>460</v>
      </c>
      <c r="C102" s="53" t="s">
        <v>129</v>
      </c>
      <c r="D102" s="54" t="s">
        <v>461</v>
      </c>
      <c r="E102" s="55" t="s">
        <v>462</v>
      </c>
      <c r="F102" s="55" t="s">
        <v>169</v>
      </c>
      <c r="G102" s="55" t="s">
        <v>353</v>
      </c>
      <c r="H102" s="56" t="s">
        <v>170</v>
      </c>
      <c r="I102" s="35" t="s">
        <v>235</v>
      </c>
      <c r="J102" s="56" t="s">
        <v>77</v>
      </c>
      <c r="K102" s="57"/>
      <c r="L102" s="57"/>
      <c r="M102" s="55"/>
      <c r="N102" s="55"/>
      <c r="O102" s="58" t="n">
        <f aca="false">IFERROR(VLOOKUP($H102,Lists!$S$9:$T$12,2,FALSE()),0)</f>
        <v>3</v>
      </c>
      <c r="P102" s="58" t="n">
        <f aca="true">IF(AND($K102&lt;&gt;"",$K102&lt;TODAY(),$J102&lt;&gt;"Complete",$J102&lt;&gt;"N/A"),1,0)</f>
        <v>0</v>
      </c>
    </row>
    <row r="103" customFormat="false" ht="23.25" hidden="false" customHeight="true" outlineLevel="0" collapsed="false">
      <c r="B103" s="46" t="s">
        <v>463</v>
      </c>
      <c r="C103" s="47" t="s">
        <v>129</v>
      </c>
      <c r="D103" s="18" t="s">
        <v>464</v>
      </c>
      <c r="E103" s="48" t="s">
        <v>465</v>
      </c>
      <c r="F103" s="48" t="s">
        <v>192</v>
      </c>
      <c r="G103" s="48" t="s">
        <v>174</v>
      </c>
      <c r="H103" s="49" t="s">
        <v>161</v>
      </c>
      <c r="I103" s="30" t="s">
        <v>235</v>
      </c>
      <c r="J103" s="49" t="s">
        <v>77</v>
      </c>
      <c r="K103" s="50"/>
      <c r="L103" s="50"/>
      <c r="M103" s="48"/>
      <c r="N103" s="48"/>
      <c r="O103" s="51" t="n">
        <f aca="false">IFERROR(VLOOKUP($H103,Lists!$S$9:$T$12,2,FALSE()),0)</f>
        <v>5</v>
      </c>
      <c r="P103" s="51" t="n">
        <f aca="true">IF(AND($K103&lt;&gt;"",$K103&lt;TODAY(),$J103&lt;&gt;"Complete",$J103&lt;&gt;"N/A"),1,0)</f>
        <v>0</v>
      </c>
    </row>
    <row r="104" customFormat="false" ht="23.25" hidden="false" customHeight="true" outlineLevel="0" collapsed="false">
      <c r="B104" s="52" t="s">
        <v>466</v>
      </c>
      <c r="C104" s="53" t="s">
        <v>129</v>
      </c>
      <c r="D104" s="54" t="s">
        <v>467</v>
      </c>
      <c r="E104" s="55" t="s">
        <v>468</v>
      </c>
      <c r="F104" s="55" t="s">
        <v>204</v>
      </c>
      <c r="G104" s="55" t="s">
        <v>174</v>
      </c>
      <c r="H104" s="56" t="s">
        <v>170</v>
      </c>
      <c r="I104" s="35" t="s">
        <v>193</v>
      </c>
      <c r="J104" s="56" t="s">
        <v>77</v>
      </c>
      <c r="K104" s="57"/>
      <c r="L104" s="57"/>
      <c r="M104" s="55"/>
      <c r="N104" s="55"/>
      <c r="O104" s="58" t="n">
        <f aca="false">IFERROR(VLOOKUP($H104,Lists!$S$9:$T$12,2,FALSE()),0)</f>
        <v>3</v>
      </c>
      <c r="P104" s="58" t="n">
        <f aca="true">IF(AND($K104&lt;&gt;"",$K104&lt;TODAY(),$J104&lt;&gt;"Complete",$J104&lt;&gt;"N/A"),1,0)</f>
        <v>0</v>
      </c>
    </row>
    <row r="105" customFormat="false" ht="23.25" hidden="false" customHeight="true" outlineLevel="0" collapsed="false">
      <c r="B105" s="46" t="s">
        <v>469</v>
      </c>
      <c r="C105" s="47" t="s">
        <v>130</v>
      </c>
      <c r="D105" s="18" t="s">
        <v>470</v>
      </c>
      <c r="E105" s="48" t="s">
        <v>471</v>
      </c>
      <c r="F105" s="48" t="s">
        <v>197</v>
      </c>
      <c r="G105" s="48" t="s">
        <v>204</v>
      </c>
      <c r="H105" s="49" t="s">
        <v>161</v>
      </c>
      <c r="I105" s="30" t="s">
        <v>193</v>
      </c>
      <c r="J105" s="49" t="s">
        <v>77</v>
      </c>
      <c r="K105" s="50"/>
      <c r="L105" s="50"/>
      <c r="M105" s="48"/>
      <c r="N105" s="48"/>
      <c r="O105" s="51" t="n">
        <f aca="false">IFERROR(VLOOKUP($H105,Lists!$S$9:$T$12,2,FALSE()),0)</f>
        <v>5</v>
      </c>
      <c r="P105" s="51" t="n">
        <f aca="true">IF(AND($K105&lt;&gt;"",$K105&lt;TODAY(),$J105&lt;&gt;"Complete",$J105&lt;&gt;"N/A"),1,0)</f>
        <v>0</v>
      </c>
    </row>
    <row r="106" customFormat="false" ht="23.25" hidden="false" customHeight="true" outlineLevel="0" collapsed="false">
      <c r="B106" s="52" t="s">
        <v>472</v>
      </c>
      <c r="C106" s="53" t="s">
        <v>130</v>
      </c>
      <c r="D106" s="54" t="s">
        <v>473</v>
      </c>
      <c r="E106" s="55" t="s">
        <v>474</v>
      </c>
      <c r="F106" s="55" t="s">
        <v>204</v>
      </c>
      <c r="G106" s="55" t="s">
        <v>160</v>
      </c>
      <c r="H106" s="56" t="s">
        <v>170</v>
      </c>
      <c r="I106" s="35" t="s">
        <v>193</v>
      </c>
      <c r="J106" s="56" t="s">
        <v>77</v>
      </c>
      <c r="K106" s="57"/>
      <c r="L106" s="57"/>
      <c r="M106" s="55"/>
      <c r="N106" s="55"/>
      <c r="O106" s="58" t="n">
        <f aca="false">IFERROR(VLOOKUP($H106,Lists!$S$9:$T$12,2,FALSE()),0)</f>
        <v>3</v>
      </c>
      <c r="P106" s="58" t="n">
        <f aca="true">IF(AND($K106&lt;&gt;"",$K106&lt;TODAY(),$J106&lt;&gt;"Complete",$J106&lt;&gt;"N/A"),1,0)</f>
        <v>0</v>
      </c>
    </row>
    <row r="107" customFormat="false" ht="23.25" hidden="false" customHeight="true" outlineLevel="0" collapsed="false">
      <c r="B107" s="46" t="s">
        <v>475</v>
      </c>
      <c r="C107" s="47" t="s">
        <v>130</v>
      </c>
      <c r="D107" s="18" t="s">
        <v>476</v>
      </c>
      <c r="E107" s="48" t="s">
        <v>477</v>
      </c>
      <c r="F107" s="48" t="s">
        <v>204</v>
      </c>
      <c r="G107" s="48" t="s">
        <v>160</v>
      </c>
      <c r="H107" s="49" t="s">
        <v>161</v>
      </c>
      <c r="I107" s="30" t="s">
        <v>193</v>
      </c>
      <c r="J107" s="49" t="s">
        <v>77</v>
      </c>
      <c r="K107" s="50"/>
      <c r="L107" s="50"/>
      <c r="M107" s="48"/>
      <c r="N107" s="48"/>
      <c r="O107" s="51" t="n">
        <f aca="false">IFERROR(VLOOKUP($H107,Lists!$S$9:$T$12,2,FALSE()),0)</f>
        <v>5</v>
      </c>
      <c r="P107" s="51" t="n">
        <f aca="true">IF(AND($K107&lt;&gt;"",$K107&lt;TODAY(),$J107&lt;&gt;"Complete",$J107&lt;&gt;"N/A"),1,0)</f>
        <v>0</v>
      </c>
    </row>
    <row r="108" customFormat="false" ht="23.25" hidden="false" customHeight="true" outlineLevel="0" collapsed="false">
      <c r="B108" s="52" t="s">
        <v>478</v>
      </c>
      <c r="C108" s="53" t="s">
        <v>130</v>
      </c>
      <c r="D108" s="54" t="s">
        <v>479</v>
      </c>
      <c r="E108" s="55" t="s">
        <v>480</v>
      </c>
      <c r="F108" s="55" t="s">
        <v>204</v>
      </c>
      <c r="G108" s="55" t="s">
        <v>174</v>
      </c>
      <c r="H108" s="56" t="s">
        <v>161</v>
      </c>
      <c r="I108" s="35" t="s">
        <v>193</v>
      </c>
      <c r="J108" s="56" t="s">
        <v>77</v>
      </c>
      <c r="K108" s="57"/>
      <c r="L108" s="57"/>
      <c r="M108" s="55"/>
      <c r="N108" s="55"/>
      <c r="O108" s="58" t="n">
        <f aca="false">IFERROR(VLOOKUP($H108,Lists!$S$9:$T$12,2,FALSE()),0)</f>
        <v>5</v>
      </c>
      <c r="P108" s="58" t="n">
        <f aca="true">IF(AND($K108&lt;&gt;"",$K108&lt;TODAY(),$J108&lt;&gt;"Complete",$J108&lt;&gt;"N/A"),1,0)</f>
        <v>0</v>
      </c>
    </row>
    <row r="109" customFormat="false" ht="23.25" hidden="false" customHeight="true" outlineLevel="0" collapsed="false">
      <c r="B109" s="46" t="s">
        <v>481</v>
      </c>
      <c r="C109" s="47" t="s">
        <v>130</v>
      </c>
      <c r="D109" s="18" t="s">
        <v>482</v>
      </c>
      <c r="E109" s="48" t="s">
        <v>483</v>
      </c>
      <c r="F109" s="48" t="s">
        <v>204</v>
      </c>
      <c r="G109" s="48" t="s">
        <v>258</v>
      </c>
      <c r="H109" s="49" t="s">
        <v>188</v>
      </c>
      <c r="I109" s="30" t="s">
        <v>193</v>
      </c>
      <c r="J109" s="49" t="s">
        <v>77</v>
      </c>
      <c r="K109" s="50"/>
      <c r="L109" s="50"/>
      <c r="M109" s="48"/>
      <c r="N109" s="48"/>
      <c r="O109" s="51" t="n">
        <f aca="false">IFERROR(VLOOKUP($H109,Lists!$S$9:$T$12,2,FALSE()),0)</f>
        <v>2</v>
      </c>
      <c r="P109" s="51" t="n">
        <f aca="true">IF(AND($K109&lt;&gt;"",$K109&lt;TODAY(),$J109&lt;&gt;"Complete",$J109&lt;&gt;"N/A"),1,0)</f>
        <v>0</v>
      </c>
    </row>
    <row r="110" customFormat="false" ht="23.25" hidden="false" customHeight="true" outlineLevel="0" collapsed="false">
      <c r="B110" s="52" t="s">
        <v>484</v>
      </c>
      <c r="C110" s="53" t="s">
        <v>130</v>
      </c>
      <c r="D110" s="54" t="s">
        <v>485</v>
      </c>
      <c r="E110" s="55" t="s">
        <v>486</v>
      </c>
      <c r="F110" s="55" t="s">
        <v>204</v>
      </c>
      <c r="G110" s="55" t="s">
        <v>174</v>
      </c>
      <c r="H110" s="56" t="s">
        <v>170</v>
      </c>
      <c r="I110" s="35" t="s">
        <v>193</v>
      </c>
      <c r="J110" s="56" t="s">
        <v>77</v>
      </c>
      <c r="K110" s="57"/>
      <c r="L110" s="57"/>
      <c r="M110" s="55"/>
      <c r="N110" s="55"/>
      <c r="O110" s="58" t="n">
        <f aca="false">IFERROR(VLOOKUP($H110,Lists!$S$9:$T$12,2,FALSE()),0)</f>
        <v>3</v>
      </c>
      <c r="P110" s="58" t="n">
        <f aca="true">IF(AND($K110&lt;&gt;"",$K110&lt;TODAY(),$J110&lt;&gt;"Complete",$J110&lt;&gt;"N/A"),1,0)</f>
        <v>0</v>
      </c>
    </row>
    <row r="111" customFormat="false" ht="23.25" hidden="false" customHeight="true" outlineLevel="0" collapsed="false">
      <c r="B111" s="46" t="s">
        <v>487</v>
      </c>
      <c r="C111" s="47" t="s">
        <v>130</v>
      </c>
      <c r="D111" s="18" t="s">
        <v>488</v>
      </c>
      <c r="E111" s="48" t="s">
        <v>489</v>
      </c>
      <c r="F111" s="48" t="s">
        <v>197</v>
      </c>
      <c r="G111" s="48" t="s">
        <v>258</v>
      </c>
      <c r="H111" s="49" t="s">
        <v>188</v>
      </c>
      <c r="I111" s="30" t="s">
        <v>193</v>
      </c>
      <c r="J111" s="49" t="s">
        <v>77</v>
      </c>
      <c r="K111" s="50"/>
      <c r="L111" s="50"/>
      <c r="M111" s="48"/>
      <c r="N111" s="48"/>
      <c r="O111" s="51" t="n">
        <f aca="false">IFERROR(VLOOKUP($H111,Lists!$S$9:$T$12,2,FALSE()),0)</f>
        <v>2</v>
      </c>
      <c r="P111" s="51" t="n">
        <f aca="true">IF(AND($K111&lt;&gt;"",$K111&lt;TODAY(),$J111&lt;&gt;"Complete",$J111&lt;&gt;"N/A"),1,0)</f>
        <v>0</v>
      </c>
    </row>
    <row r="112" customFormat="false" ht="23.25" hidden="false" customHeight="true" outlineLevel="0" collapsed="false">
      <c r="B112" s="52" t="s">
        <v>490</v>
      </c>
      <c r="C112" s="53" t="s">
        <v>130</v>
      </c>
      <c r="D112" s="54" t="s">
        <v>491</v>
      </c>
      <c r="E112" s="55" t="s">
        <v>492</v>
      </c>
      <c r="F112" s="55" t="s">
        <v>197</v>
      </c>
      <c r="G112" s="55" t="s">
        <v>258</v>
      </c>
      <c r="H112" s="56" t="s">
        <v>188</v>
      </c>
      <c r="I112" s="35" t="s">
        <v>193</v>
      </c>
      <c r="J112" s="56" t="s">
        <v>77</v>
      </c>
      <c r="K112" s="57"/>
      <c r="L112" s="57"/>
      <c r="M112" s="55"/>
      <c r="N112" s="55"/>
      <c r="O112" s="58" t="n">
        <f aca="false">IFERROR(VLOOKUP($H112,Lists!$S$9:$T$12,2,FALSE()),0)</f>
        <v>2</v>
      </c>
      <c r="P112" s="58" t="n">
        <f aca="true">IF(AND($K112&lt;&gt;"",$K112&lt;TODAY(),$J112&lt;&gt;"Complete",$J112&lt;&gt;"N/A"),1,0)</f>
        <v>0</v>
      </c>
    </row>
    <row r="113" customFormat="false" ht="23.25" hidden="false" customHeight="true" outlineLevel="0" collapsed="false">
      <c r="B113" s="46" t="s">
        <v>493</v>
      </c>
      <c r="C113" s="47" t="s">
        <v>130</v>
      </c>
      <c r="D113" s="18" t="s">
        <v>494</v>
      </c>
      <c r="E113" s="48" t="s">
        <v>495</v>
      </c>
      <c r="F113" s="48" t="s">
        <v>369</v>
      </c>
      <c r="G113" s="48" t="s">
        <v>160</v>
      </c>
      <c r="H113" s="49" t="s">
        <v>161</v>
      </c>
      <c r="I113" s="30" t="s">
        <v>193</v>
      </c>
      <c r="J113" s="49" t="s">
        <v>77</v>
      </c>
      <c r="K113" s="50"/>
      <c r="L113" s="50"/>
      <c r="M113" s="48"/>
      <c r="N113" s="48"/>
      <c r="O113" s="51" t="n">
        <f aca="false">IFERROR(VLOOKUP($H113,Lists!$S$9:$T$12,2,FALSE()),0)</f>
        <v>5</v>
      </c>
      <c r="P113" s="51" t="n">
        <f aca="true">IF(AND($K113&lt;&gt;"",$K113&lt;TODAY(),$J113&lt;&gt;"Complete",$J113&lt;&gt;"N/A"),1,0)</f>
        <v>0</v>
      </c>
    </row>
    <row r="114" customFormat="false" ht="23.25" hidden="false" customHeight="true" outlineLevel="0" collapsed="false">
      <c r="B114" s="52" t="s">
        <v>496</v>
      </c>
      <c r="C114" s="53" t="s">
        <v>130</v>
      </c>
      <c r="D114" s="54" t="s">
        <v>497</v>
      </c>
      <c r="E114" s="55" t="s">
        <v>498</v>
      </c>
      <c r="F114" s="55" t="s">
        <v>369</v>
      </c>
      <c r="G114" s="55" t="s">
        <v>192</v>
      </c>
      <c r="H114" s="56" t="s">
        <v>161</v>
      </c>
      <c r="I114" s="35" t="s">
        <v>235</v>
      </c>
      <c r="J114" s="56" t="s">
        <v>77</v>
      </c>
      <c r="K114" s="57"/>
      <c r="L114" s="57"/>
      <c r="M114" s="55"/>
      <c r="N114" s="55"/>
      <c r="O114" s="58" t="n">
        <f aca="false">IFERROR(VLOOKUP($H114,Lists!$S$9:$T$12,2,FALSE()),0)</f>
        <v>5</v>
      </c>
      <c r="P114" s="58" t="n">
        <f aca="true">IF(AND($K114&lt;&gt;"",$K114&lt;TODAY(),$J114&lt;&gt;"Complete",$J114&lt;&gt;"N/A"),1,0)</f>
        <v>0</v>
      </c>
    </row>
    <row r="115" customFormat="false" ht="23.25" hidden="false" customHeight="true" outlineLevel="0" collapsed="false">
      <c r="B115" s="46" t="s">
        <v>499</v>
      </c>
      <c r="C115" s="47" t="s">
        <v>130</v>
      </c>
      <c r="D115" s="18" t="s">
        <v>500</v>
      </c>
      <c r="E115" s="48" t="s">
        <v>501</v>
      </c>
      <c r="F115" s="48" t="s">
        <v>239</v>
      </c>
      <c r="G115" s="48" t="s">
        <v>174</v>
      </c>
      <c r="H115" s="49" t="s">
        <v>161</v>
      </c>
      <c r="I115" s="30" t="s">
        <v>235</v>
      </c>
      <c r="J115" s="49" t="s">
        <v>77</v>
      </c>
      <c r="K115" s="50"/>
      <c r="L115" s="50"/>
      <c r="M115" s="48"/>
      <c r="N115" s="48"/>
      <c r="O115" s="51" t="n">
        <f aca="false">IFERROR(VLOOKUP($H115,Lists!$S$9:$T$12,2,FALSE()),0)</f>
        <v>5</v>
      </c>
      <c r="P115" s="51" t="n">
        <f aca="true">IF(AND($K115&lt;&gt;"",$K115&lt;TODAY(),$J115&lt;&gt;"Complete",$J115&lt;&gt;"N/A"),1,0)</f>
        <v>0</v>
      </c>
    </row>
    <row r="116" customFormat="false" ht="23.25" hidden="false" customHeight="true" outlineLevel="0" collapsed="false">
      <c r="B116" s="52" t="s">
        <v>502</v>
      </c>
      <c r="C116" s="53" t="s">
        <v>130</v>
      </c>
      <c r="D116" s="54" t="s">
        <v>503</v>
      </c>
      <c r="E116" s="55" t="s">
        <v>504</v>
      </c>
      <c r="F116" s="55" t="s">
        <v>204</v>
      </c>
      <c r="G116" s="55" t="s">
        <v>174</v>
      </c>
      <c r="H116" s="56" t="s">
        <v>170</v>
      </c>
      <c r="I116" s="35" t="s">
        <v>193</v>
      </c>
      <c r="J116" s="56" t="s">
        <v>77</v>
      </c>
      <c r="K116" s="57"/>
      <c r="L116" s="57"/>
      <c r="M116" s="55"/>
      <c r="N116" s="55"/>
      <c r="O116" s="58" t="n">
        <f aca="false">IFERROR(VLOOKUP($H116,Lists!$S$9:$T$12,2,FALSE()),0)</f>
        <v>3</v>
      </c>
      <c r="P116" s="58" t="n">
        <f aca="true">IF(AND($K116&lt;&gt;"",$K116&lt;TODAY(),$J116&lt;&gt;"Complete",$J116&lt;&gt;"N/A"),1,0)</f>
        <v>0</v>
      </c>
    </row>
    <row r="117" customFormat="false" ht="23.25" hidden="false" customHeight="true" outlineLevel="0" collapsed="false">
      <c r="B117" s="46" t="s">
        <v>505</v>
      </c>
      <c r="C117" s="47" t="s">
        <v>130</v>
      </c>
      <c r="D117" s="18" t="s">
        <v>506</v>
      </c>
      <c r="E117" s="48" t="s">
        <v>507</v>
      </c>
      <c r="F117" s="48" t="s">
        <v>204</v>
      </c>
      <c r="G117" s="48" t="s">
        <v>160</v>
      </c>
      <c r="H117" s="49" t="s">
        <v>161</v>
      </c>
      <c r="I117" s="30" t="s">
        <v>193</v>
      </c>
      <c r="J117" s="49" t="s">
        <v>77</v>
      </c>
      <c r="K117" s="50"/>
      <c r="L117" s="50"/>
      <c r="M117" s="48"/>
      <c r="N117" s="48"/>
      <c r="O117" s="51" t="n">
        <f aca="false">IFERROR(VLOOKUP($H117,Lists!$S$9:$T$12,2,FALSE()),0)</f>
        <v>5</v>
      </c>
      <c r="P117" s="51" t="n">
        <f aca="true">IF(AND($K117&lt;&gt;"",$K117&lt;TODAY(),$J117&lt;&gt;"Complete",$J117&lt;&gt;"N/A"),1,0)</f>
        <v>0</v>
      </c>
    </row>
    <row r="118" customFormat="false" ht="23.25" hidden="false" customHeight="true" outlineLevel="0" collapsed="false">
      <c r="B118" s="52" t="s">
        <v>508</v>
      </c>
      <c r="C118" s="53" t="s">
        <v>130</v>
      </c>
      <c r="D118" s="54" t="s">
        <v>509</v>
      </c>
      <c r="E118" s="55" t="s">
        <v>510</v>
      </c>
      <c r="F118" s="55" t="s">
        <v>349</v>
      </c>
      <c r="G118" s="55" t="s">
        <v>174</v>
      </c>
      <c r="H118" s="56" t="s">
        <v>170</v>
      </c>
      <c r="I118" s="35" t="s">
        <v>193</v>
      </c>
      <c r="J118" s="56" t="s">
        <v>77</v>
      </c>
      <c r="K118" s="57"/>
      <c r="L118" s="57"/>
      <c r="M118" s="55"/>
      <c r="N118" s="55"/>
      <c r="O118" s="58" t="n">
        <f aca="false">IFERROR(VLOOKUP($H118,Lists!$S$9:$T$12,2,FALSE()),0)</f>
        <v>3</v>
      </c>
      <c r="P118" s="58" t="n">
        <f aca="true">IF(AND($K118&lt;&gt;"",$K118&lt;TODAY(),$J118&lt;&gt;"Complete",$J118&lt;&gt;"N/A"),1,0)</f>
        <v>0</v>
      </c>
    </row>
    <row r="119" customFormat="false" ht="23.25" hidden="false" customHeight="true" outlineLevel="0" collapsed="false">
      <c r="B119" s="46" t="s">
        <v>511</v>
      </c>
      <c r="C119" s="47" t="s">
        <v>130</v>
      </c>
      <c r="D119" s="18" t="s">
        <v>512</v>
      </c>
      <c r="E119" s="48" t="s">
        <v>513</v>
      </c>
      <c r="F119" s="48" t="s">
        <v>159</v>
      </c>
      <c r="G119" s="48" t="s">
        <v>160</v>
      </c>
      <c r="H119" s="49" t="s">
        <v>188</v>
      </c>
      <c r="I119" s="30" t="s">
        <v>193</v>
      </c>
      <c r="J119" s="49" t="s">
        <v>77</v>
      </c>
      <c r="K119" s="50"/>
      <c r="L119" s="50"/>
      <c r="M119" s="48"/>
      <c r="N119" s="48"/>
      <c r="O119" s="51" t="n">
        <f aca="false">IFERROR(VLOOKUP($H119,Lists!$S$9:$T$12,2,FALSE()),0)</f>
        <v>2</v>
      </c>
      <c r="P119" s="51" t="n">
        <f aca="true">IF(AND($K119&lt;&gt;"",$K119&lt;TODAY(),$J119&lt;&gt;"Complete",$J119&lt;&gt;"N/A"),1,0)</f>
        <v>0</v>
      </c>
    </row>
    <row r="120" customFormat="false" ht="23.25" hidden="false" customHeight="true" outlineLevel="0" collapsed="false">
      <c r="B120" s="52" t="s">
        <v>514</v>
      </c>
      <c r="C120" s="53" t="s">
        <v>130</v>
      </c>
      <c r="D120" s="54" t="s">
        <v>515</v>
      </c>
      <c r="E120" s="55" t="s">
        <v>516</v>
      </c>
      <c r="F120" s="55" t="s">
        <v>197</v>
      </c>
      <c r="G120" s="55" t="s">
        <v>192</v>
      </c>
      <c r="H120" s="56" t="s">
        <v>214</v>
      </c>
      <c r="I120" s="35" t="s">
        <v>235</v>
      </c>
      <c r="J120" s="56" t="s">
        <v>77</v>
      </c>
      <c r="K120" s="57"/>
      <c r="L120" s="57"/>
      <c r="M120" s="55"/>
      <c r="N120" s="55"/>
      <c r="O120" s="58" t="n">
        <f aca="false">IFERROR(VLOOKUP($H120,Lists!$S$9:$T$12,2,FALSE()),0)</f>
        <v>1</v>
      </c>
      <c r="P120" s="58" t="n">
        <f aca="true">IF(AND($K120&lt;&gt;"",$K120&lt;TODAY(),$J120&lt;&gt;"Complete",$J120&lt;&gt;"N/A"),1,0)</f>
        <v>0</v>
      </c>
    </row>
    <row r="121" customFormat="false" ht="23.25" hidden="false" customHeight="true" outlineLevel="0" collapsed="false">
      <c r="B121" s="46" t="s">
        <v>517</v>
      </c>
      <c r="C121" s="47" t="s">
        <v>131</v>
      </c>
      <c r="D121" s="18" t="s">
        <v>518</v>
      </c>
      <c r="E121" s="48" t="s">
        <v>519</v>
      </c>
      <c r="F121" s="48" t="s">
        <v>197</v>
      </c>
      <c r="G121" s="48" t="s">
        <v>159</v>
      </c>
      <c r="H121" s="49" t="s">
        <v>161</v>
      </c>
      <c r="I121" s="30" t="s">
        <v>193</v>
      </c>
      <c r="J121" s="49" t="s">
        <v>77</v>
      </c>
      <c r="K121" s="50"/>
      <c r="L121" s="50"/>
      <c r="M121" s="48"/>
      <c r="N121" s="48"/>
      <c r="O121" s="51" t="n">
        <f aca="false">IFERROR(VLOOKUP($H121,Lists!$S$9:$T$12,2,FALSE()),0)</f>
        <v>5</v>
      </c>
      <c r="P121" s="51" t="n">
        <f aca="true">IF(AND($K121&lt;&gt;"",$K121&lt;TODAY(),$J121&lt;&gt;"Complete",$J121&lt;&gt;"N/A"),1,0)</f>
        <v>0</v>
      </c>
    </row>
    <row r="122" customFormat="false" ht="23.25" hidden="false" customHeight="true" outlineLevel="0" collapsed="false">
      <c r="B122" s="52" t="s">
        <v>520</v>
      </c>
      <c r="C122" s="53" t="s">
        <v>131</v>
      </c>
      <c r="D122" s="54" t="s">
        <v>521</v>
      </c>
      <c r="E122" s="55" t="s">
        <v>522</v>
      </c>
      <c r="F122" s="55" t="s">
        <v>159</v>
      </c>
      <c r="G122" s="55" t="s">
        <v>181</v>
      </c>
      <c r="H122" s="56" t="s">
        <v>161</v>
      </c>
      <c r="I122" s="35" t="s">
        <v>193</v>
      </c>
      <c r="J122" s="56" t="s">
        <v>77</v>
      </c>
      <c r="K122" s="57"/>
      <c r="L122" s="57"/>
      <c r="M122" s="55"/>
      <c r="N122" s="55"/>
      <c r="O122" s="58" t="n">
        <f aca="false">IFERROR(VLOOKUP($H122,Lists!$S$9:$T$12,2,FALSE()),0)</f>
        <v>5</v>
      </c>
      <c r="P122" s="58" t="n">
        <f aca="true">IF(AND($K122&lt;&gt;"",$K122&lt;TODAY(),$J122&lt;&gt;"Complete",$J122&lt;&gt;"N/A"),1,0)</f>
        <v>0</v>
      </c>
    </row>
    <row r="123" customFormat="false" ht="23.25" hidden="false" customHeight="true" outlineLevel="0" collapsed="false">
      <c r="B123" s="46" t="s">
        <v>523</v>
      </c>
      <c r="C123" s="47" t="s">
        <v>131</v>
      </c>
      <c r="D123" s="18" t="s">
        <v>524</v>
      </c>
      <c r="E123" s="48" t="s">
        <v>525</v>
      </c>
      <c r="F123" s="48" t="s">
        <v>197</v>
      </c>
      <c r="G123" s="48" t="s">
        <v>174</v>
      </c>
      <c r="H123" s="49" t="s">
        <v>170</v>
      </c>
      <c r="I123" s="30" t="s">
        <v>193</v>
      </c>
      <c r="J123" s="49" t="s">
        <v>77</v>
      </c>
      <c r="K123" s="50"/>
      <c r="L123" s="50"/>
      <c r="M123" s="48"/>
      <c r="N123" s="48"/>
      <c r="O123" s="51" t="n">
        <f aca="false">IFERROR(VLOOKUP($H123,Lists!$S$9:$T$12,2,FALSE()),0)</f>
        <v>3</v>
      </c>
      <c r="P123" s="51" t="n">
        <f aca="true">IF(AND($K123&lt;&gt;"",$K123&lt;TODAY(),$J123&lt;&gt;"Complete",$J123&lt;&gt;"N/A"),1,0)</f>
        <v>0</v>
      </c>
    </row>
    <row r="124" customFormat="false" ht="23.25" hidden="false" customHeight="true" outlineLevel="0" collapsed="false">
      <c r="B124" s="52" t="s">
        <v>526</v>
      </c>
      <c r="C124" s="53" t="s">
        <v>131</v>
      </c>
      <c r="D124" s="54" t="s">
        <v>527</v>
      </c>
      <c r="E124" s="55" t="s">
        <v>528</v>
      </c>
      <c r="F124" s="55" t="s">
        <v>197</v>
      </c>
      <c r="G124" s="55" t="s">
        <v>160</v>
      </c>
      <c r="H124" s="56" t="s">
        <v>170</v>
      </c>
      <c r="I124" s="35" t="s">
        <v>193</v>
      </c>
      <c r="J124" s="56" t="s">
        <v>77</v>
      </c>
      <c r="K124" s="57"/>
      <c r="L124" s="57"/>
      <c r="M124" s="55"/>
      <c r="N124" s="55"/>
      <c r="O124" s="58" t="n">
        <f aca="false">IFERROR(VLOOKUP($H124,Lists!$S$9:$T$12,2,FALSE()),0)</f>
        <v>3</v>
      </c>
      <c r="P124" s="58" t="n">
        <f aca="true">IF(AND($K124&lt;&gt;"",$K124&lt;TODAY(),$J124&lt;&gt;"Complete",$J124&lt;&gt;"N/A"),1,0)</f>
        <v>0</v>
      </c>
    </row>
    <row r="125" customFormat="false" ht="23.25" hidden="false" customHeight="true" outlineLevel="0" collapsed="false">
      <c r="B125" s="46" t="s">
        <v>529</v>
      </c>
      <c r="C125" s="47" t="s">
        <v>131</v>
      </c>
      <c r="D125" s="18" t="s">
        <v>530</v>
      </c>
      <c r="E125" s="48" t="s">
        <v>531</v>
      </c>
      <c r="F125" s="48" t="s">
        <v>159</v>
      </c>
      <c r="G125" s="48" t="s">
        <v>160</v>
      </c>
      <c r="H125" s="49" t="s">
        <v>170</v>
      </c>
      <c r="I125" s="30" t="s">
        <v>193</v>
      </c>
      <c r="J125" s="49" t="s">
        <v>77</v>
      </c>
      <c r="K125" s="50"/>
      <c r="L125" s="50"/>
      <c r="M125" s="48"/>
      <c r="N125" s="48"/>
      <c r="O125" s="51" t="n">
        <f aca="false">IFERROR(VLOOKUP($H125,Lists!$S$9:$T$12,2,FALSE()),0)</f>
        <v>3</v>
      </c>
      <c r="P125" s="51" t="n">
        <f aca="true">IF(AND($K125&lt;&gt;"",$K125&lt;TODAY(),$J125&lt;&gt;"Complete",$J125&lt;&gt;"N/A"),1,0)</f>
        <v>0</v>
      </c>
    </row>
    <row r="126" customFormat="false" ht="23.25" hidden="false" customHeight="true" outlineLevel="0" collapsed="false">
      <c r="B126" s="52" t="s">
        <v>532</v>
      </c>
      <c r="C126" s="53" t="s">
        <v>131</v>
      </c>
      <c r="D126" s="54" t="s">
        <v>533</v>
      </c>
      <c r="E126" s="55" t="s">
        <v>534</v>
      </c>
      <c r="F126" s="55" t="s">
        <v>159</v>
      </c>
      <c r="G126" s="55" t="s">
        <v>192</v>
      </c>
      <c r="H126" s="56" t="s">
        <v>161</v>
      </c>
      <c r="I126" s="35" t="s">
        <v>235</v>
      </c>
      <c r="J126" s="56" t="s">
        <v>77</v>
      </c>
      <c r="K126" s="57"/>
      <c r="L126" s="57"/>
      <c r="M126" s="55"/>
      <c r="N126" s="55"/>
      <c r="O126" s="58" t="n">
        <f aca="false">IFERROR(VLOOKUP($H126,Lists!$S$9:$T$12,2,FALSE()),0)</f>
        <v>5</v>
      </c>
      <c r="P126" s="58" t="n">
        <f aca="true">IF(AND($K126&lt;&gt;"",$K126&lt;TODAY(),$J126&lt;&gt;"Complete",$J126&lt;&gt;"N/A"),1,0)</f>
        <v>0</v>
      </c>
    </row>
    <row r="127" customFormat="false" ht="23.25" hidden="false" customHeight="true" outlineLevel="0" collapsed="false">
      <c r="B127" s="46" t="s">
        <v>535</v>
      </c>
      <c r="C127" s="47" t="s">
        <v>131</v>
      </c>
      <c r="D127" s="18" t="s">
        <v>536</v>
      </c>
      <c r="E127" s="48" t="s">
        <v>537</v>
      </c>
      <c r="F127" s="48" t="s">
        <v>181</v>
      </c>
      <c r="G127" s="48" t="s">
        <v>160</v>
      </c>
      <c r="H127" s="49" t="s">
        <v>161</v>
      </c>
      <c r="I127" s="30" t="s">
        <v>193</v>
      </c>
      <c r="J127" s="49" t="s">
        <v>77</v>
      </c>
      <c r="K127" s="50"/>
      <c r="L127" s="50"/>
      <c r="M127" s="48"/>
      <c r="N127" s="48"/>
      <c r="O127" s="51" t="n">
        <f aca="false">IFERROR(VLOOKUP($H127,Lists!$S$9:$T$12,2,FALSE()),0)</f>
        <v>5</v>
      </c>
      <c r="P127" s="51" t="n">
        <f aca="true">IF(AND($K127&lt;&gt;"",$K127&lt;TODAY(),$J127&lt;&gt;"Complete",$J127&lt;&gt;"N/A"),1,0)</f>
        <v>0</v>
      </c>
    </row>
    <row r="128" customFormat="false" ht="23.25" hidden="false" customHeight="true" outlineLevel="0" collapsed="false">
      <c r="B128" s="52" t="s">
        <v>538</v>
      </c>
      <c r="C128" s="53" t="s">
        <v>131</v>
      </c>
      <c r="D128" s="54" t="s">
        <v>539</v>
      </c>
      <c r="E128" s="55" t="s">
        <v>540</v>
      </c>
      <c r="F128" s="55" t="s">
        <v>159</v>
      </c>
      <c r="G128" s="55" t="s">
        <v>192</v>
      </c>
      <c r="H128" s="56" t="s">
        <v>161</v>
      </c>
      <c r="I128" s="35" t="s">
        <v>235</v>
      </c>
      <c r="J128" s="56" t="s">
        <v>77</v>
      </c>
      <c r="K128" s="57"/>
      <c r="L128" s="57"/>
      <c r="M128" s="55"/>
      <c r="N128" s="55"/>
      <c r="O128" s="58" t="n">
        <f aca="false">IFERROR(VLOOKUP($H128,Lists!$S$9:$T$12,2,FALSE()),0)</f>
        <v>5</v>
      </c>
      <c r="P128" s="58" t="n">
        <f aca="true">IF(AND($K128&lt;&gt;"",$K128&lt;TODAY(),$J128&lt;&gt;"Complete",$J128&lt;&gt;"N/A"),1,0)</f>
        <v>0</v>
      </c>
    </row>
    <row r="129" customFormat="false" ht="23.25" hidden="false" customHeight="true" outlineLevel="0" collapsed="false">
      <c r="B129" s="46" t="s">
        <v>541</v>
      </c>
      <c r="C129" s="47" t="s">
        <v>131</v>
      </c>
      <c r="D129" s="18" t="s">
        <v>542</v>
      </c>
      <c r="E129" s="48" t="s">
        <v>543</v>
      </c>
      <c r="F129" s="48" t="s">
        <v>159</v>
      </c>
      <c r="G129" s="48" t="s">
        <v>192</v>
      </c>
      <c r="H129" s="49" t="s">
        <v>170</v>
      </c>
      <c r="I129" s="30" t="s">
        <v>235</v>
      </c>
      <c r="J129" s="49" t="s">
        <v>77</v>
      </c>
      <c r="K129" s="50"/>
      <c r="L129" s="50"/>
      <c r="M129" s="48"/>
      <c r="N129" s="48"/>
      <c r="O129" s="51" t="n">
        <f aca="false">IFERROR(VLOOKUP($H129,Lists!$S$9:$T$12,2,FALSE()),0)</f>
        <v>3</v>
      </c>
      <c r="P129" s="51" t="n">
        <f aca="true">IF(AND($K129&lt;&gt;"",$K129&lt;TODAY(),$J129&lt;&gt;"Complete",$J129&lt;&gt;"N/A"),1,0)</f>
        <v>0</v>
      </c>
    </row>
    <row r="130" customFormat="false" ht="23.25" hidden="false" customHeight="true" outlineLevel="0" collapsed="false">
      <c r="B130" s="52" t="s">
        <v>544</v>
      </c>
      <c r="C130" s="53" t="s">
        <v>131</v>
      </c>
      <c r="D130" s="54" t="s">
        <v>545</v>
      </c>
      <c r="E130" s="55" t="s">
        <v>546</v>
      </c>
      <c r="F130" s="55" t="s">
        <v>197</v>
      </c>
      <c r="G130" s="55" t="s">
        <v>192</v>
      </c>
      <c r="H130" s="56" t="s">
        <v>170</v>
      </c>
      <c r="I130" s="35" t="s">
        <v>235</v>
      </c>
      <c r="J130" s="56" t="s">
        <v>77</v>
      </c>
      <c r="K130" s="57"/>
      <c r="L130" s="57"/>
      <c r="M130" s="55"/>
      <c r="N130" s="55"/>
      <c r="O130" s="58" t="n">
        <f aca="false">IFERROR(VLOOKUP($H130,Lists!$S$9:$T$12,2,FALSE()),0)</f>
        <v>3</v>
      </c>
      <c r="P130" s="58" t="n">
        <f aca="true">IF(AND($K130&lt;&gt;"",$K130&lt;TODAY(),$J130&lt;&gt;"Complete",$J130&lt;&gt;"N/A"),1,0)</f>
        <v>0</v>
      </c>
    </row>
    <row r="131" customFormat="false" ht="23.25" hidden="false" customHeight="true" outlineLevel="0" collapsed="false">
      <c r="B131" s="46" t="s">
        <v>547</v>
      </c>
      <c r="C131" s="47" t="s">
        <v>131</v>
      </c>
      <c r="D131" s="18" t="s">
        <v>548</v>
      </c>
      <c r="E131" s="48" t="s">
        <v>549</v>
      </c>
      <c r="F131" s="48" t="s">
        <v>159</v>
      </c>
      <c r="G131" s="48" t="s">
        <v>160</v>
      </c>
      <c r="H131" s="49" t="s">
        <v>188</v>
      </c>
      <c r="I131" s="30" t="s">
        <v>215</v>
      </c>
      <c r="J131" s="49" t="s">
        <v>77</v>
      </c>
      <c r="K131" s="50"/>
      <c r="L131" s="50"/>
      <c r="M131" s="48"/>
      <c r="N131" s="48"/>
      <c r="O131" s="51" t="n">
        <f aca="false">IFERROR(VLOOKUP($H131,Lists!$S$9:$T$12,2,FALSE()),0)</f>
        <v>2</v>
      </c>
      <c r="P131" s="51" t="n">
        <f aca="true">IF(AND($K131&lt;&gt;"",$K131&lt;TODAY(),$J131&lt;&gt;"Complete",$J131&lt;&gt;"N/A"),1,0)</f>
        <v>0</v>
      </c>
    </row>
    <row r="132" customFormat="false" ht="23.25" hidden="false" customHeight="true" outlineLevel="0" collapsed="false">
      <c r="B132" s="52" t="s">
        <v>550</v>
      </c>
      <c r="C132" s="53" t="s">
        <v>131</v>
      </c>
      <c r="D132" s="54" t="s">
        <v>551</v>
      </c>
      <c r="E132" s="55" t="s">
        <v>552</v>
      </c>
      <c r="F132" s="55" t="s">
        <v>160</v>
      </c>
      <c r="G132" s="55" t="s">
        <v>174</v>
      </c>
      <c r="H132" s="56" t="s">
        <v>188</v>
      </c>
      <c r="I132" s="35" t="s">
        <v>235</v>
      </c>
      <c r="J132" s="56" t="s">
        <v>77</v>
      </c>
      <c r="K132" s="57"/>
      <c r="L132" s="57"/>
      <c r="M132" s="55"/>
      <c r="N132" s="55"/>
      <c r="O132" s="58" t="n">
        <f aca="false">IFERROR(VLOOKUP($H132,Lists!$S$9:$T$12,2,FALSE()),0)</f>
        <v>2</v>
      </c>
      <c r="P132" s="58" t="n">
        <f aca="true">IF(AND($K132&lt;&gt;"",$K132&lt;TODAY(),$J132&lt;&gt;"Complete",$J132&lt;&gt;"N/A"),1,0)</f>
        <v>0</v>
      </c>
    </row>
    <row r="133" customFormat="false" ht="23.25" hidden="false" customHeight="true" outlineLevel="0" collapsed="false">
      <c r="B133" s="46" t="s">
        <v>553</v>
      </c>
      <c r="C133" s="47" t="s">
        <v>131</v>
      </c>
      <c r="D133" s="18" t="s">
        <v>554</v>
      </c>
      <c r="E133" s="48" t="s">
        <v>555</v>
      </c>
      <c r="F133" s="48" t="s">
        <v>197</v>
      </c>
      <c r="G133" s="48" t="s">
        <v>192</v>
      </c>
      <c r="H133" s="49" t="s">
        <v>161</v>
      </c>
      <c r="I133" s="30" t="s">
        <v>235</v>
      </c>
      <c r="J133" s="49" t="s">
        <v>77</v>
      </c>
      <c r="K133" s="50"/>
      <c r="L133" s="50"/>
      <c r="M133" s="48"/>
      <c r="N133" s="48"/>
      <c r="O133" s="51" t="n">
        <f aca="false">IFERROR(VLOOKUP($H133,Lists!$S$9:$T$12,2,FALSE()),0)</f>
        <v>5</v>
      </c>
      <c r="P133" s="51" t="n">
        <f aca="true">IF(AND($K133&lt;&gt;"",$K133&lt;TODAY(),$J133&lt;&gt;"Complete",$J133&lt;&gt;"N/A"),1,0)</f>
        <v>0</v>
      </c>
    </row>
    <row r="134" customFormat="false" ht="23.25" hidden="false" customHeight="true" outlineLevel="0" collapsed="false">
      <c r="B134" s="52" t="s">
        <v>556</v>
      </c>
      <c r="C134" s="53" t="s">
        <v>131</v>
      </c>
      <c r="D134" s="54" t="s">
        <v>557</v>
      </c>
      <c r="E134" s="55" t="s">
        <v>558</v>
      </c>
      <c r="F134" s="55" t="s">
        <v>192</v>
      </c>
      <c r="G134" s="55" t="s">
        <v>174</v>
      </c>
      <c r="H134" s="56" t="s">
        <v>188</v>
      </c>
      <c r="I134" s="35" t="s">
        <v>215</v>
      </c>
      <c r="J134" s="56" t="s">
        <v>77</v>
      </c>
      <c r="K134" s="57"/>
      <c r="L134" s="57"/>
      <c r="M134" s="55"/>
      <c r="N134" s="55"/>
      <c r="O134" s="58" t="n">
        <f aca="false">IFERROR(VLOOKUP($H134,Lists!$S$9:$T$12,2,FALSE()),0)</f>
        <v>2</v>
      </c>
      <c r="P134" s="58" t="n">
        <f aca="true">IF(AND($K134&lt;&gt;"",$K134&lt;TODAY(),$J134&lt;&gt;"Complete",$J134&lt;&gt;"N/A"),1,0)</f>
        <v>0</v>
      </c>
    </row>
    <row r="135" customFormat="false" ht="23.25" hidden="false" customHeight="true" outlineLevel="0" collapsed="false">
      <c r="B135" s="46" t="s">
        <v>559</v>
      </c>
      <c r="C135" s="47" t="s">
        <v>131</v>
      </c>
      <c r="D135" s="18" t="s">
        <v>560</v>
      </c>
      <c r="E135" s="48" t="s">
        <v>561</v>
      </c>
      <c r="F135" s="48" t="s">
        <v>192</v>
      </c>
      <c r="G135" s="48" t="s">
        <v>174</v>
      </c>
      <c r="H135" s="49" t="s">
        <v>188</v>
      </c>
      <c r="I135" s="30" t="s">
        <v>215</v>
      </c>
      <c r="J135" s="49" t="s">
        <v>77</v>
      </c>
      <c r="K135" s="50"/>
      <c r="L135" s="50"/>
      <c r="M135" s="48"/>
      <c r="N135" s="48"/>
      <c r="O135" s="51" t="n">
        <f aca="false">IFERROR(VLOOKUP($H135,Lists!$S$9:$T$12,2,FALSE()),0)</f>
        <v>2</v>
      </c>
      <c r="P135" s="51" t="n">
        <f aca="true">IF(AND($K135&lt;&gt;"",$K135&lt;TODAY(),$J135&lt;&gt;"Complete",$J135&lt;&gt;"N/A"),1,0)</f>
        <v>0</v>
      </c>
    </row>
    <row r="136" customFormat="false" ht="23.25" hidden="false" customHeight="true" outlineLevel="0" collapsed="false">
      <c r="B136" s="52" t="s">
        <v>562</v>
      </c>
      <c r="C136" s="53" t="s">
        <v>132</v>
      </c>
      <c r="D136" s="54" t="s">
        <v>563</v>
      </c>
      <c r="E136" s="55" t="s">
        <v>564</v>
      </c>
      <c r="F136" s="55" t="s">
        <v>192</v>
      </c>
      <c r="G136" s="55" t="s">
        <v>174</v>
      </c>
      <c r="H136" s="56" t="s">
        <v>170</v>
      </c>
      <c r="I136" s="35" t="s">
        <v>162</v>
      </c>
      <c r="J136" s="56" t="s">
        <v>77</v>
      </c>
      <c r="K136" s="57"/>
      <c r="L136" s="57"/>
      <c r="M136" s="55"/>
      <c r="N136" s="55"/>
      <c r="O136" s="58" t="n">
        <f aca="false">IFERROR(VLOOKUP($H136,Lists!$S$9:$T$12,2,FALSE()),0)</f>
        <v>3</v>
      </c>
      <c r="P136" s="58" t="n">
        <f aca="true">IF(AND($K136&lt;&gt;"",$K136&lt;TODAY(),$J136&lt;&gt;"Complete",$J136&lt;&gt;"N/A"),1,0)</f>
        <v>0</v>
      </c>
    </row>
    <row r="137" customFormat="false" ht="21.75" hidden="false" customHeight="true" outlineLevel="0" collapsed="false">
      <c r="B137" s="46" t="s">
        <v>565</v>
      </c>
      <c r="C137" s="47" t="s">
        <v>132</v>
      </c>
      <c r="D137" s="18" t="s">
        <v>566</v>
      </c>
      <c r="E137" s="48" t="s">
        <v>567</v>
      </c>
      <c r="F137" s="48" t="s">
        <v>197</v>
      </c>
      <c r="G137" s="48" t="s">
        <v>192</v>
      </c>
      <c r="H137" s="49" t="s">
        <v>170</v>
      </c>
      <c r="I137" s="30" t="s">
        <v>193</v>
      </c>
      <c r="J137" s="49" t="s">
        <v>77</v>
      </c>
      <c r="K137" s="50"/>
      <c r="L137" s="50"/>
      <c r="M137" s="48"/>
      <c r="N137" s="48"/>
      <c r="O137" s="51" t="n">
        <f aca="false">IFERROR(VLOOKUP($H137,Lists!$S$9:$T$12,2,FALSE()),0)</f>
        <v>3</v>
      </c>
      <c r="P137" s="51" t="n">
        <f aca="true">IF(AND($K137&lt;&gt;"",$K137&lt;TODAY(),$J137&lt;&gt;"Complete",$J137&lt;&gt;"N/A"),1,0)</f>
        <v>0</v>
      </c>
    </row>
    <row r="138" customFormat="false" ht="23.25" hidden="false" customHeight="true" outlineLevel="0" collapsed="false">
      <c r="B138" s="52" t="s">
        <v>568</v>
      </c>
      <c r="C138" s="53" t="s">
        <v>132</v>
      </c>
      <c r="D138" s="54" t="s">
        <v>569</v>
      </c>
      <c r="E138" s="55" t="s">
        <v>570</v>
      </c>
      <c r="F138" s="55" t="s">
        <v>197</v>
      </c>
      <c r="G138" s="55" t="s">
        <v>192</v>
      </c>
      <c r="H138" s="56" t="s">
        <v>170</v>
      </c>
      <c r="I138" s="35" t="s">
        <v>193</v>
      </c>
      <c r="J138" s="56" t="s">
        <v>77</v>
      </c>
      <c r="K138" s="57"/>
      <c r="L138" s="57"/>
      <c r="M138" s="55"/>
      <c r="N138" s="55"/>
      <c r="O138" s="58" t="n">
        <f aca="false">IFERROR(VLOOKUP($H138,Lists!$S$9:$T$12,2,FALSE()),0)</f>
        <v>3</v>
      </c>
      <c r="P138" s="58" t="n">
        <f aca="true">IF(AND($K138&lt;&gt;"",$K138&lt;TODAY(),$J138&lt;&gt;"Complete",$J138&lt;&gt;"N/A"),1,0)</f>
        <v>0</v>
      </c>
    </row>
    <row r="139" customFormat="false" ht="23.25" hidden="false" customHeight="true" outlineLevel="0" collapsed="false">
      <c r="B139" s="46" t="s">
        <v>571</v>
      </c>
      <c r="C139" s="47" t="s">
        <v>132</v>
      </c>
      <c r="D139" s="18" t="s">
        <v>572</v>
      </c>
      <c r="E139" s="48" t="s">
        <v>573</v>
      </c>
      <c r="F139" s="48" t="s">
        <v>197</v>
      </c>
      <c r="G139" s="48" t="s">
        <v>345</v>
      </c>
      <c r="H139" s="49" t="s">
        <v>161</v>
      </c>
      <c r="I139" s="30" t="s">
        <v>235</v>
      </c>
      <c r="J139" s="49" t="s">
        <v>77</v>
      </c>
      <c r="K139" s="50"/>
      <c r="L139" s="50"/>
      <c r="M139" s="48"/>
      <c r="N139" s="48"/>
      <c r="O139" s="51" t="n">
        <f aca="false">IFERROR(VLOOKUP($H139,Lists!$S$9:$T$12,2,FALSE()),0)</f>
        <v>5</v>
      </c>
      <c r="P139" s="51" t="n">
        <f aca="true">IF(AND($K139&lt;&gt;"",$K139&lt;TODAY(),$J139&lt;&gt;"Complete",$J139&lt;&gt;"N/A"),1,0)</f>
        <v>0</v>
      </c>
    </row>
    <row r="140" customFormat="false" ht="23.25" hidden="false" customHeight="true" outlineLevel="0" collapsed="false">
      <c r="B140" s="52" t="s">
        <v>574</v>
      </c>
      <c r="C140" s="53" t="s">
        <v>132</v>
      </c>
      <c r="D140" s="54" t="s">
        <v>575</v>
      </c>
      <c r="E140" s="55" t="s">
        <v>576</v>
      </c>
      <c r="F140" s="55" t="s">
        <v>345</v>
      </c>
      <c r="G140" s="55" t="s">
        <v>192</v>
      </c>
      <c r="H140" s="56" t="s">
        <v>170</v>
      </c>
      <c r="I140" s="35" t="s">
        <v>235</v>
      </c>
      <c r="J140" s="56" t="s">
        <v>77</v>
      </c>
      <c r="K140" s="57"/>
      <c r="L140" s="57"/>
      <c r="M140" s="55"/>
      <c r="N140" s="55"/>
      <c r="O140" s="58" t="n">
        <f aca="false">IFERROR(VLOOKUP($H140,Lists!$S$9:$T$12,2,FALSE()),0)</f>
        <v>3</v>
      </c>
      <c r="P140" s="58" t="n">
        <f aca="true">IF(AND($K140&lt;&gt;"",$K140&lt;TODAY(),$J140&lt;&gt;"Complete",$J140&lt;&gt;"N/A"),1,0)</f>
        <v>0</v>
      </c>
    </row>
    <row r="141" customFormat="false" ht="23.25" hidden="false" customHeight="true" outlineLevel="0" collapsed="false">
      <c r="B141" s="46" t="s">
        <v>577</v>
      </c>
      <c r="C141" s="47" t="s">
        <v>132</v>
      </c>
      <c r="D141" s="18" t="s">
        <v>578</v>
      </c>
      <c r="E141" s="48" t="s">
        <v>579</v>
      </c>
      <c r="F141" s="48" t="s">
        <v>197</v>
      </c>
      <c r="G141" s="48" t="s">
        <v>192</v>
      </c>
      <c r="H141" s="49" t="s">
        <v>188</v>
      </c>
      <c r="I141" s="30" t="s">
        <v>235</v>
      </c>
      <c r="J141" s="49" t="s">
        <v>77</v>
      </c>
      <c r="K141" s="50"/>
      <c r="L141" s="50"/>
      <c r="M141" s="48"/>
      <c r="N141" s="48"/>
      <c r="O141" s="51" t="n">
        <f aca="false">IFERROR(VLOOKUP($H141,Lists!$S$9:$T$12,2,FALSE()),0)</f>
        <v>2</v>
      </c>
      <c r="P141" s="51" t="n">
        <f aca="true">IF(AND($K141&lt;&gt;"",$K141&lt;TODAY(),$J141&lt;&gt;"Complete",$J141&lt;&gt;"N/A"),1,0)</f>
        <v>0</v>
      </c>
    </row>
    <row r="142" customFormat="false" ht="23.25" hidden="false" customHeight="true" outlineLevel="0" collapsed="false">
      <c r="B142" s="52" t="s">
        <v>580</v>
      </c>
      <c r="C142" s="53" t="s">
        <v>132</v>
      </c>
      <c r="D142" s="54" t="s">
        <v>581</v>
      </c>
      <c r="E142" s="55" t="s">
        <v>582</v>
      </c>
      <c r="F142" s="55" t="s">
        <v>197</v>
      </c>
      <c r="G142" s="55" t="s">
        <v>192</v>
      </c>
      <c r="H142" s="56" t="s">
        <v>188</v>
      </c>
      <c r="I142" s="35" t="s">
        <v>235</v>
      </c>
      <c r="J142" s="56" t="s">
        <v>77</v>
      </c>
      <c r="K142" s="57"/>
      <c r="L142" s="57"/>
      <c r="M142" s="55"/>
      <c r="N142" s="55"/>
      <c r="O142" s="58" t="n">
        <f aca="false">IFERROR(VLOOKUP($H142,Lists!$S$9:$T$12,2,FALSE()),0)</f>
        <v>2</v>
      </c>
      <c r="P142" s="58" t="n">
        <f aca="true">IF(AND($K142&lt;&gt;"",$K142&lt;TODAY(),$J142&lt;&gt;"Complete",$J142&lt;&gt;"N/A"),1,0)</f>
        <v>0</v>
      </c>
    </row>
    <row r="143" customFormat="false" ht="23.25" hidden="false" customHeight="true" outlineLevel="0" collapsed="false">
      <c r="B143" s="46" t="s">
        <v>583</v>
      </c>
      <c r="C143" s="47" t="s">
        <v>132</v>
      </c>
      <c r="D143" s="18" t="s">
        <v>584</v>
      </c>
      <c r="E143" s="48" t="s">
        <v>585</v>
      </c>
      <c r="F143" s="48" t="s">
        <v>192</v>
      </c>
      <c r="G143" s="48" t="s">
        <v>174</v>
      </c>
      <c r="H143" s="49" t="s">
        <v>188</v>
      </c>
      <c r="I143" s="30" t="s">
        <v>235</v>
      </c>
      <c r="J143" s="49" t="s">
        <v>77</v>
      </c>
      <c r="K143" s="50"/>
      <c r="L143" s="50"/>
      <c r="M143" s="48"/>
      <c r="N143" s="48"/>
      <c r="O143" s="51" t="n">
        <f aca="false">IFERROR(VLOOKUP($H143,Lists!$S$9:$T$12,2,FALSE()),0)</f>
        <v>2</v>
      </c>
      <c r="P143" s="51" t="n">
        <f aca="true">IF(AND($K143&lt;&gt;"",$K143&lt;TODAY(),$J143&lt;&gt;"Complete",$J143&lt;&gt;"N/A"),1,0)</f>
        <v>0</v>
      </c>
    </row>
    <row r="144" customFormat="false" ht="23.25" hidden="false" customHeight="true" outlineLevel="0" collapsed="false">
      <c r="B144" s="52" t="s">
        <v>586</v>
      </c>
      <c r="C144" s="53" t="s">
        <v>132</v>
      </c>
      <c r="D144" s="54" t="s">
        <v>587</v>
      </c>
      <c r="E144" s="55" t="s">
        <v>588</v>
      </c>
      <c r="F144" s="55" t="s">
        <v>192</v>
      </c>
      <c r="G144" s="55" t="s">
        <v>174</v>
      </c>
      <c r="H144" s="56" t="s">
        <v>188</v>
      </c>
      <c r="I144" s="35" t="s">
        <v>215</v>
      </c>
      <c r="J144" s="56" t="s">
        <v>77</v>
      </c>
      <c r="K144" s="57"/>
      <c r="L144" s="57"/>
      <c r="M144" s="55"/>
      <c r="N144" s="55"/>
      <c r="O144" s="58" t="n">
        <f aca="false">IFERROR(VLOOKUP($H144,Lists!$S$9:$T$12,2,FALSE()),0)</f>
        <v>2</v>
      </c>
      <c r="P144" s="58" t="n">
        <f aca="true">IF(AND($K144&lt;&gt;"",$K144&lt;TODAY(),$J144&lt;&gt;"Complete",$J144&lt;&gt;"N/A"),1,0)</f>
        <v>0</v>
      </c>
    </row>
    <row r="145" customFormat="false" ht="21.75" hidden="false" customHeight="true" outlineLevel="0" collapsed="false">
      <c r="B145" s="46" t="s">
        <v>589</v>
      </c>
      <c r="C145" s="47" t="s">
        <v>132</v>
      </c>
      <c r="D145" s="18" t="s">
        <v>590</v>
      </c>
      <c r="E145" s="48" t="s">
        <v>591</v>
      </c>
      <c r="F145" s="48" t="s">
        <v>192</v>
      </c>
      <c r="G145" s="48" t="s">
        <v>174</v>
      </c>
      <c r="H145" s="49" t="s">
        <v>188</v>
      </c>
      <c r="I145" s="30" t="s">
        <v>235</v>
      </c>
      <c r="J145" s="49" t="s">
        <v>77</v>
      </c>
      <c r="K145" s="50"/>
      <c r="L145" s="50"/>
      <c r="M145" s="48"/>
      <c r="N145" s="48"/>
      <c r="O145" s="51" t="n">
        <f aca="false">IFERROR(VLOOKUP($H145,Lists!$S$9:$T$12,2,FALSE()),0)</f>
        <v>2</v>
      </c>
      <c r="P145" s="51" t="n">
        <f aca="true">IF(AND($K145&lt;&gt;"",$K145&lt;TODAY(),$J145&lt;&gt;"Complete",$J145&lt;&gt;"N/A"),1,0)</f>
        <v>0</v>
      </c>
    </row>
    <row r="146" customFormat="false" ht="23.25" hidden="false" customHeight="true" outlineLevel="0" collapsed="false">
      <c r="B146" s="52" t="s">
        <v>592</v>
      </c>
      <c r="C146" s="53" t="s">
        <v>132</v>
      </c>
      <c r="D146" s="54" t="s">
        <v>593</v>
      </c>
      <c r="E146" s="55" t="s">
        <v>594</v>
      </c>
      <c r="F146" s="55" t="s">
        <v>349</v>
      </c>
      <c r="G146" s="55" t="s">
        <v>192</v>
      </c>
      <c r="H146" s="56" t="s">
        <v>161</v>
      </c>
      <c r="I146" s="35" t="s">
        <v>193</v>
      </c>
      <c r="J146" s="56" t="s">
        <v>77</v>
      </c>
      <c r="K146" s="57"/>
      <c r="L146" s="57"/>
      <c r="M146" s="55"/>
      <c r="N146" s="55"/>
      <c r="O146" s="58" t="n">
        <f aca="false">IFERROR(VLOOKUP($H146,Lists!$S$9:$T$12,2,FALSE()),0)</f>
        <v>5</v>
      </c>
      <c r="P146" s="58" t="n">
        <f aca="true">IF(AND($K146&lt;&gt;"",$K146&lt;TODAY(),$J146&lt;&gt;"Complete",$J146&lt;&gt;"N/A"),1,0)</f>
        <v>0</v>
      </c>
    </row>
    <row r="147" customFormat="false" ht="23.25" hidden="false" customHeight="true" outlineLevel="0" collapsed="false">
      <c r="B147" s="46" t="s">
        <v>595</v>
      </c>
      <c r="C147" s="47" t="s">
        <v>132</v>
      </c>
      <c r="D147" s="18" t="s">
        <v>596</v>
      </c>
      <c r="E147" s="48" t="s">
        <v>597</v>
      </c>
      <c r="F147" s="48" t="s">
        <v>197</v>
      </c>
      <c r="G147" s="48" t="s">
        <v>192</v>
      </c>
      <c r="H147" s="49" t="s">
        <v>214</v>
      </c>
      <c r="I147" s="30" t="s">
        <v>193</v>
      </c>
      <c r="J147" s="49" t="s">
        <v>77</v>
      </c>
      <c r="K147" s="50"/>
      <c r="L147" s="50"/>
      <c r="M147" s="48"/>
      <c r="N147" s="48"/>
      <c r="O147" s="51" t="n">
        <f aca="false">IFERROR(VLOOKUP($H147,Lists!$S$9:$T$12,2,FALSE()),0)</f>
        <v>1</v>
      </c>
      <c r="P147" s="51" t="n">
        <f aca="true">IF(AND($K147&lt;&gt;"",$K147&lt;TODAY(),$J147&lt;&gt;"Complete",$J147&lt;&gt;"N/A"),1,0)</f>
        <v>0</v>
      </c>
    </row>
    <row r="148" customFormat="false" ht="23.25" hidden="false" customHeight="true" outlineLevel="0" collapsed="false">
      <c r="B148" s="52" t="s">
        <v>598</v>
      </c>
      <c r="C148" s="53" t="s">
        <v>132</v>
      </c>
      <c r="D148" s="54" t="s">
        <v>599</v>
      </c>
      <c r="E148" s="55" t="s">
        <v>600</v>
      </c>
      <c r="F148" s="55" t="s">
        <v>197</v>
      </c>
      <c r="G148" s="55" t="s">
        <v>159</v>
      </c>
      <c r="H148" s="56" t="s">
        <v>214</v>
      </c>
      <c r="I148" s="35" t="s">
        <v>215</v>
      </c>
      <c r="J148" s="56" t="s">
        <v>77</v>
      </c>
      <c r="K148" s="57"/>
      <c r="L148" s="57"/>
      <c r="M148" s="55"/>
      <c r="N148" s="55"/>
      <c r="O148" s="58" t="n">
        <f aca="false">IFERROR(VLOOKUP($H148,Lists!$S$9:$T$12,2,FALSE()),0)</f>
        <v>1</v>
      </c>
      <c r="P148" s="58" t="n">
        <f aca="true">IF(AND($K148&lt;&gt;"",$K148&lt;TODAY(),$J148&lt;&gt;"Complete",$J148&lt;&gt;"N/A"),1,0)</f>
        <v>0</v>
      </c>
    </row>
    <row r="149" customFormat="false" ht="23.25" hidden="false" customHeight="true" outlineLevel="0" collapsed="false">
      <c r="B149" s="46" t="s">
        <v>601</v>
      </c>
      <c r="C149" s="47" t="s">
        <v>133</v>
      </c>
      <c r="D149" s="18" t="s">
        <v>602</v>
      </c>
      <c r="E149" s="48" t="s">
        <v>603</v>
      </c>
      <c r="F149" s="48" t="s">
        <v>192</v>
      </c>
      <c r="G149" s="48" t="s">
        <v>160</v>
      </c>
      <c r="H149" s="49" t="s">
        <v>170</v>
      </c>
      <c r="I149" s="30" t="s">
        <v>162</v>
      </c>
      <c r="J149" s="49" t="s">
        <v>77</v>
      </c>
      <c r="K149" s="50"/>
      <c r="L149" s="50"/>
      <c r="M149" s="48"/>
      <c r="N149" s="48"/>
      <c r="O149" s="51" t="n">
        <f aca="false">IFERROR(VLOOKUP($H149,Lists!$S$9:$T$12,2,FALSE()),0)</f>
        <v>3</v>
      </c>
      <c r="P149" s="51" t="n">
        <f aca="true">IF(AND($K149&lt;&gt;"",$K149&lt;TODAY(),$J149&lt;&gt;"Complete",$J149&lt;&gt;"N/A"),1,0)</f>
        <v>0</v>
      </c>
    </row>
    <row r="150" customFormat="false" ht="23.25" hidden="false" customHeight="true" outlineLevel="0" collapsed="false">
      <c r="B150" s="52" t="s">
        <v>604</v>
      </c>
      <c r="C150" s="53" t="s">
        <v>133</v>
      </c>
      <c r="D150" s="54" t="s">
        <v>605</v>
      </c>
      <c r="E150" s="55" t="s">
        <v>606</v>
      </c>
      <c r="F150" s="55" t="s">
        <v>197</v>
      </c>
      <c r="G150" s="55" t="s">
        <v>192</v>
      </c>
      <c r="H150" s="56" t="s">
        <v>170</v>
      </c>
      <c r="I150" s="35" t="s">
        <v>162</v>
      </c>
      <c r="J150" s="56" t="s">
        <v>77</v>
      </c>
      <c r="K150" s="57"/>
      <c r="L150" s="57"/>
      <c r="M150" s="55"/>
      <c r="N150" s="55"/>
      <c r="O150" s="58" t="n">
        <f aca="false">IFERROR(VLOOKUP($H150,Lists!$S$9:$T$12,2,FALSE()),0)</f>
        <v>3</v>
      </c>
      <c r="P150" s="58" t="n">
        <f aca="true">IF(AND($K150&lt;&gt;"",$K150&lt;TODAY(),$J150&lt;&gt;"Complete",$J150&lt;&gt;"N/A"),1,0)</f>
        <v>0</v>
      </c>
    </row>
    <row r="151" customFormat="false" ht="21.75" hidden="false" customHeight="true" outlineLevel="0" collapsed="false">
      <c r="B151" s="46" t="s">
        <v>607</v>
      </c>
      <c r="C151" s="47" t="s">
        <v>133</v>
      </c>
      <c r="D151" s="18" t="s">
        <v>608</v>
      </c>
      <c r="E151" s="48" t="s">
        <v>609</v>
      </c>
      <c r="F151" s="48" t="s">
        <v>197</v>
      </c>
      <c r="G151" s="48" t="s">
        <v>192</v>
      </c>
      <c r="H151" s="49" t="s">
        <v>188</v>
      </c>
      <c r="I151" s="30" t="s">
        <v>193</v>
      </c>
      <c r="J151" s="49" t="s">
        <v>77</v>
      </c>
      <c r="K151" s="50"/>
      <c r="L151" s="50"/>
      <c r="M151" s="48"/>
      <c r="N151" s="48"/>
      <c r="O151" s="51" t="n">
        <f aca="false">IFERROR(VLOOKUP($H151,Lists!$S$9:$T$12,2,FALSE()),0)</f>
        <v>2</v>
      </c>
      <c r="P151" s="51" t="n">
        <f aca="true">IF(AND($K151&lt;&gt;"",$K151&lt;TODAY(),$J151&lt;&gt;"Complete",$J151&lt;&gt;"N/A"),1,0)</f>
        <v>0</v>
      </c>
    </row>
    <row r="152" customFormat="false" ht="21.75" hidden="false" customHeight="true" outlineLevel="0" collapsed="false">
      <c r="B152" s="52" t="s">
        <v>610</v>
      </c>
      <c r="C152" s="53" t="s">
        <v>133</v>
      </c>
      <c r="D152" s="54" t="s">
        <v>611</v>
      </c>
      <c r="E152" s="55" t="s">
        <v>612</v>
      </c>
      <c r="F152" s="55" t="s">
        <v>197</v>
      </c>
      <c r="G152" s="55" t="s">
        <v>192</v>
      </c>
      <c r="H152" s="56" t="s">
        <v>161</v>
      </c>
      <c r="I152" s="35" t="s">
        <v>193</v>
      </c>
      <c r="J152" s="56" t="s">
        <v>77</v>
      </c>
      <c r="K152" s="57"/>
      <c r="L152" s="57"/>
      <c r="M152" s="55"/>
      <c r="N152" s="55"/>
      <c r="O152" s="58" t="n">
        <f aca="false">IFERROR(VLOOKUP($H152,Lists!$S$9:$T$12,2,FALSE()),0)</f>
        <v>5</v>
      </c>
      <c r="P152" s="58" t="n">
        <f aca="true">IF(AND($K152&lt;&gt;"",$K152&lt;TODAY(),$J152&lt;&gt;"Complete",$J152&lt;&gt;"N/A"),1,0)</f>
        <v>0</v>
      </c>
    </row>
    <row r="153" customFormat="false" ht="23.25" hidden="false" customHeight="true" outlineLevel="0" collapsed="false">
      <c r="B153" s="46" t="s">
        <v>613</v>
      </c>
      <c r="C153" s="47" t="s">
        <v>133</v>
      </c>
      <c r="D153" s="18" t="s">
        <v>614</v>
      </c>
      <c r="E153" s="48" t="s">
        <v>615</v>
      </c>
      <c r="F153" s="48" t="s">
        <v>197</v>
      </c>
      <c r="G153" s="48" t="s">
        <v>192</v>
      </c>
      <c r="H153" s="49" t="s">
        <v>170</v>
      </c>
      <c r="I153" s="30" t="s">
        <v>193</v>
      </c>
      <c r="J153" s="49" t="s">
        <v>77</v>
      </c>
      <c r="K153" s="50"/>
      <c r="L153" s="50"/>
      <c r="M153" s="48"/>
      <c r="N153" s="48"/>
      <c r="O153" s="51" t="n">
        <f aca="false">IFERROR(VLOOKUP($H153,Lists!$S$9:$T$12,2,FALSE()),0)</f>
        <v>3</v>
      </c>
      <c r="P153" s="51" t="n">
        <f aca="true">IF(AND($K153&lt;&gt;"",$K153&lt;TODAY(),$J153&lt;&gt;"Complete",$J153&lt;&gt;"N/A"),1,0)</f>
        <v>0</v>
      </c>
    </row>
    <row r="154" customFormat="false" ht="23.25" hidden="false" customHeight="true" outlineLevel="0" collapsed="false">
      <c r="B154" s="52" t="s">
        <v>616</v>
      </c>
      <c r="C154" s="53" t="s">
        <v>133</v>
      </c>
      <c r="D154" s="54" t="s">
        <v>617</v>
      </c>
      <c r="E154" s="55" t="s">
        <v>618</v>
      </c>
      <c r="F154" s="55" t="s">
        <v>192</v>
      </c>
      <c r="G154" s="55" t="s">
        <v>174</v>
      </c>
      <c r="H154" s="56" t="s">
        <v>161</v>
      </c>
      <c r="I154" s="35" t="s">
        <v>235</v>
      </c>
      <c r="J154" s="56" t="s">
        <v>77</v>
      </c>
      <c r="K154" s="57"/>
      <c r="L154" s="57"/>
      <c r="M154" s="55"/>
      <c r="N154" s="55"/>
      <c r="O154" s="58" t="n">
        <f aca="false">IFERROR(VLOOKUP($H154,Lists!$S$9:$T$12,2,FALSE()),0)</f>
        <v>5</v>
      </c>
      <c r="P154" s="58" t="n">
        <f aca="true">IF(AND($K154&lt;&gt;"",$K154&lt;TODAY(),$J154&lt;&gt;"Complete",$J154&lt;&gt;"N/A"),1,0)</f>
        <v>0</v>
      </c>
    </row>
    <row r="155" customFormat="false" ht="23.25" hidden="false" customHeight="true" outlineLevel="0" collapsed="false">
      <c r="B155" s="46" t="s">
        <v>619</v>
      </c>
      <c r="C155" s="47" t="s">
        <v>133</v>
      </c>
      <c r="D155" s="18" t="s">
        <v>620</v>
      </c>
      <c r="E155" s="48" t="s">
        <v>621</v>
      </c>
      <c r="F155" s="48" t="s">
        <v>197</v>
      </c>
      <c r="G155" s="48" t="s">
        <v>204</v>
      </c>
      <c r="H155" s="49" t="s">
        <v>188</v>
      </c>
      <c r="I155" s="30" t="s">
        <v>193</v>
      </c>
      <c r="J155" s="49" t="s">
        <v>77</v>
      </c>
      <c r="K155" s="50"/>
      <c r="L155" s="50"/>
      <c r="M155" s="48"/>
      <c r="N155" s="48"/>
      <c r="O155" s="51" t="n">
        <f aca="false">IFERROR(VLOOKUP($H155,Lists!$S$9:$T$12,2,FALSE()),0)</f>
        <v>2</v>
      </c>
      <c r="P155" s="51" t="n">
        <f aca="true">IF(AND($K155&lt;&gt;"",$K155&lt;TODAY(),$J155&lt;&gt;"Complete",$J155&lt;&gt;"N/A"),1,0)</f>
        <v>0</v>
      </c>
    </row>
    <row r="156" customFormat="false" ht="23.25" hidden="false" customHeight="true" outlineLevel="0" collapsed="false">
      <c r="B156" s="52" t="s">
        <v>622</v>
      </c>
      <c r="C156" s="53" t="s">
        <v>133</v>
      </c>
      <c r="D156" s="54" t="s">
        <v>623</v>
      </c>
      <c r="E156" s="55" t="s">
        <v>624</v>
      </c>
      <c r="F156" s="55" t="s">
        <v>197</v>
      </c>
      <c r="G156" s="55" t="s">
        <v>192</v>
      </c>
      <c r="H156" s="56" t="s">
        <v>170</v>
      </c>
      <c r="I156" s="35" t="s">
        <v>193</v>
      </c>
      <c r="J156" s="56" t="s">
        <v>77</v>
      </c>
      <c r="K156" s="57"/>
      <c r="L156" s="57"/>
      <c r="M156" s="55"/>
      <c r="N156" s="55"/>
      <c r="O156" s="58" t="n">
        <f aca="false">IFERROR(VLOOKUP($H156,Lists!$S$9:$T$12,2,FALSE()),0)</f>
        <v>3</v>
      </c>
      <c r="P156" s="58" t="n">
        <f aca="true">IF(AND($K156&lt;&gt;"",$K156&lt;TODAY(),$J156&lt;&gt;"Complete",$J156&lt;&gt;"N/A"),1,0)</f>
        <v>0</v>
      </c>
    </row>
    <row r="157" customFormat="false" ht="23.25" hidden="false" customHeight="true" outlineLevel="0" collapsed="false">
      <c r="B157" s="46" t="s">
        <v>625</v>
      </c>
      <c r="C157" s="47" t="s">
        <v>133</v>
      </c>
      <c r="D157" s="18" t="s">
        <v>626</v>
      </c>
      <c r="E157" s="48" t="s">
        <v>627</v>
      </c>
      <c r="F157" s="48" t="s">
        <v>192</v>
      </c>
      <c r="G157" s="48" t="s">
        <v>174</v>
      </c>
      <c r="H157" s="49" t="s">
        <v>188</v>
      </c>
      <c r="I157" s="30" t="s">
        <v>235</v>
      </c>
      <c r="J157" s="49" t="s">
        <v>77</v>
      </c>
      <c r="K157" s="50"/>
      <c r="L157" s="50"/>
      <c r="M157" s="48"/>
      <c r="N157" s="48"/>
      <c r="O157" s="51" t="n">
        <f aca="false">IFERROR(VLOOKUP($H157,Lists!$S$9:$T$12,2,FALSE()),0)</f>
        <v>2</v>
      </c>
      <c r="P157" s="51" t="n">
        <f aca="true">IF(AND($K157&lt;&gt;"",$K157&lt;TODAY(),$J157&lt;&gt;"Complete",$J157&lt;&gt;"N/A"),1,0)</f>
        <v>0</v>
      </c>
    </row>
    <row r="158" customFormat="false" ht="23.25" hidden="false" customHeight="true" outlineLevel="0" collapsed="false">
      <c r="B158" s="52" t="s">
        <v>628</v>
      </c>
      <c r="C158" s="53" t="s">
        <v>133</v>
      </c>
      <c r="D158" s="54" t="s">
        <v>629</v>
      </c>
      <c r="E158" s="55" t="s">
        <v>630</v>
      </c>
      <c r="F158" s="55" t="s">
        <v>169</v>
      </c>
      <c r="G158" s="55" t="s">
        <v>353</v>
      </c>
      <c r="H158" s="56" t="s">
        <v>170</v>
      </c>
      <c r="I158" s="35" t="s">
        <v>235</v>
      </c>
      <c r="J158" s="56" t="s">
        <v>77</v>
      </c>
      <c r="K158" s="57"/>
      <c r="L158" s="57"/>
      <c r="M158" s="55"/>
      <c r="N158" s="55"/>
      <c r="O158" s="58" t="n">
        <f aca="false">IFERROR(VLOOKUP($H158,Lists!$S$9:$T$12,2,FALSE()),0)</f>
        <v>3</v>
      </c>
      <c r="P158" s="58" t="n">
        <f aca="true">IF(AND($K158&lt;&gt;"",$K158&lt;TODAY(),$J158&lt;&gt;"Complete",$J158&lt;&gt;"N/A"),1,0)</f>
        <v>0</v>
      </c>
    </row>
    <row r="159" customFormat="false" ht="23.25" hidden="false" customHeight="true" outlineLevel="0" collapsed="false">
      <c r="B159" s="46" t="s">
        <v>631</v>
      </c>
      <c r="C159" s="47" t="s">
        <v>133</v>
      </c>
      <c r="D159" s="18" t="s">
        <v>632</v>
      </c>
      <c r="E159" s="48" t="s">
        <v>633</v>
      </c>
      <c r="F159" s="48" t="s">
        <v>369</v>
      </c>
      <c r="G159" s="48" t="s">
        <v>192</v>
      </c>
      <c r="H159" s="49" t="s">
        <v>161</v>
      </c>
      <c r="I159" s="30" t="s">
        <v>235</v>
      </c>
      <c r="J159" s="49" t="s">
        <v>77</v>
      </c>
      <c r="K159" s="50"/>
      <c r="L159" s="50"/>
      <c r="M159" s="48"/>
      <c r="N159" s="48"/>
      <c r="O159" s="51" t="n">
        <f aca="false">IFERROR(VLOOKUP($H159,Lists!$S$9:$T$12,2,FALSE()),0)</f>
        <v>5</v>
      </c>
      <c r="P159" s="51" t="n">
        <f aca="true">IF(AND($K159&lt;&gt;"",$K159&lt;TODAY(),$J159&lt;&gt;"Complete",$J159&lt;&gt;"N/A"),1,0)</f>
        <v>0</v>
      </c>
    </row>
    <row r="160" customFormat="false" ht="23.25" hidden="false" customHeight="true" outlineLevel="0" collapsed="false">
      <c r="B160" s="52" t="s">
        <v>634</v>
      </c>
      <c r="C160" s="53" t="s">
        <v>133</v>
      </c>
      <c r="D160" s="54" t="s">
        <v>635</v>
      </c>
      <c r="E160" s="55" t="s">
        <v>636</v>
      </c>
      <c r="F160" s="55" t="s">
        <v>169</v>
      </c>
      <c r="G160" s="55" t="s">
        <v>192</v>
      </c>
      <c r="H160" s="56" t="s">
        <v>188</v>
      </c>
      <c r="I160" s="35" t="s">
        <v>215</v>
      </c>
      <c r="J160" s="56" t="s">
        <v>77</v>
      </c>
      <c r="K160" s="57"/>
      <c r="L160" s="57"/>
      <c r="M160" s="55"/>
      <c r="N160" s="55"/>
      <c r="O160" s="58" t="n">
        <f aca="false">IFERROR(VLOOKUP($H160,Lists!$S$9:$T$12,2,FALSE()),0)</f>
        <v>2</v>
      </c>
      <c r="P160" s="58" t="n">
        <f aca="true">IF(AND($K160&lt;&gt;"",$K160&lt;TODAY(),$J160&lt;&gt;"Complete",$J160&lt;&gt;"N/A"),1,0)</f>
        <v>0</v>
      </c>
    </row>
    <row r="161" customFormat="false" ht="23.25" hidden="false" customHeight="true" outlineLevel="0" collapsed="false">
      <c r="B161" s="46" t="s">
        <v>637</v>
      </c>
      <c r="C161" s="47" t="s">
        <v>133</v>
      </c>
      <c r="D161" s="18" t="s">
        <v>638</v>
      </c>
      <c r="E161" s="48" t="s">
        <v>639</v>
      </c>
      <c r="F161" s="48" t="s">
        <v>192</v>
      </c>
      <c r="G161" s="48" t="s">
        <v>160</v>
      </c>
      <c r="H161" s="49" t="s">
        <v>188</v>
      </c>
      <c r="I161" s="30" t="s">
        <v>215</v>
      </c>
      <c r="J161" s="49" t="s">
        <v>77</v>
      </c>
      <c r="K161" s="50"/>
      <c r="L161" s="50"/>
      <c r="M161" s="48"/>
      <c r="N161" s="48"/>
      <c r="O161" s="51" t="n">
        <f aca="false">IFERROR(VLOOKUP($H161,Lists!$S$9:$T$12,2,FALSE()),0)</f>
        <v>2</v>
      </c>
      <c r="P161" s="51" t="n">
        <f aca="true">IF(AND($K161&lt;&gt;"",$K161&lt;TODAY(),$J161&lt;&gt;"Complete",$J161&lt;&gt;"N/A"),1,0)</f>
        <v>0</v>
      </c>
    </row>
    <row r="162" customFormat="false" ht="23.25" hidden="false" customHeight="true" outlineLevel="0" collapsed="false">
      <c r="B162" s="52" t="s">
        <v>640</v>
      </c>
      <c r="C162" s="53" t="s">
        <v>133</v>
      </c>
      <c r="D162" s="54" t="s">
        <v>641</v>
      </c>
      <c r="E162" s="55" t="s">
        <v>642</v>
      </c>
      <c r="F162" s="55" t="s">
        <v>192</v>
      </c>
      <c r="G162" s="55" t="s">
        <v>174</v>
      </c>
      <c r="H162" s="56" t="s">
        <v>214</v>
      </c>
      <c r="I162" s="35" t="s">
        <v>215</v>
      </c>
      <c r="J162" s="56" t="s">
        <v>77</v>
      </c>
      <c r="K162" s="57"/>
      <c r="L162" s="57"/>
      <c r="M162" s="55"/>
      <c r="N162" s="55"/>
      <c r="O162" s="58" t="n">
        <f aca="false">IFERROR(VLOOKUP($H162,Lists!$S$9:$T$12,2,FALSE()),0)</f>
        <v>1</v>
      </c>
      <c r="P162" s="58" t="n">
        <f aca="true">IF(AND($K162&lt;&gt;"",$K162&lt;TODAY(),$J162&lt;&gt;"Complete",$J162&lt;&gt;"N/A"),1,0)</f>
        <v>0</v>
      </c>
    </row>
    <row r="163" customFormat="false" ht="21.75" hidden="false" customHeight="true" outlineLevel="0" collapsed="false">
      <c r="B163" s="46" t="s">
        <v>643</v>
      </c>
      <c r="C163" s="47" t="s">
        <v>134</v>
      </c>
      <c r="D163" s="18" t="s">
        <v>644</v>
      </c>
      <c r="E163" s="48" t="s">
        <v>645</v>
      </c>
      <c r="F163" s="48" t="s">
        <v>174</v>
      </c>
      <c r="G163" s="48" t="s">
        <v>160</v>
      </c>
      <c r="H163" s="49" t="s">
        <v>170</v>
      </c>
      <c r="I163" s="30" t="s">
        <v>162</v>
      </c>
      <c r="J163" s="49" t="s">
        <v>77</v>
      </c>
      <c r="K163" s="50"/>
      <c r="L163" s="50"/>
      <c r="M163" s="48"/>
      <c r="N163" s="48"/>
      <c r="O163" s="51" t="n">
        <f aca="false">IFERROR(VLOOKUP($H163,Lists!$S$9:$T$12,2,FALSE()),0)</f>
        <v>3</v>
      </c>
      <c r="P163" s="51" t="n">
        <f aca="true">IF(AND($K163&lt;&gt;"",$K163&lt;TODAY(),$J163&lt;&gt;"Complete",$J163&lt;&gt;"N/A"),1,0)</f>
        <v>0</v>
      </c>
    </row>
    <row r="164" customFormat="false" ht="23.25" hidden="false" customHeight="true" outlineLevel="0" collapsed="false">
      <c r="B164" s="52" t="s">
        <v>646</v>
      </c>
      <c r="C164" s="53" t="s">
        <v>134</v>
      </c>
      <c r="D164" s="54" t="s">
        <v>647</v>
      </c>
      <c r="E164" s="55" t="s">
        <v>648</v>
      </c>
      <c r="F164" s="55" t="s">
        <v>174</v>
      </c>
      <c r="G164" s="55" t="s">
        <v>160</v>
      </c>
      <c r="H164" s="56" t="s">
        <v>161</v>
      </c>
      <c r="I164" s="35" t="s">
        <v>193</v>
      </c>
      <c r="J164" s="56" t="s">
        <v>77</v>
      </c>
      <c r="K164" s="57"/>
      <c r="L164" s="57"/>
      <c r="M164" s="55"/>
      <c r="N164" s="55"/>
      <c r="O164" s="58" t="n">
        <f aca="false">IFERROR(VLOOKUP($H164,Lists!$S$9:$T$12,2,FALSE()),0)</f>
        <v>5</v>
      </c>
      <c r="P164" s="58" t="n">
        <f aca="true">IF(AND($K164&lt;&gt;"",$K164&lt;TODAY(),$J164&lt;&gt;"Complete",$J164&lt;&gt;"N/A"),1,0)</f>
        <v>0</v>
      </c>
    </row>
    <row r="165" customFormat="false" ht="23.25" hidden="false" customHeight="true" outlineLevel="0" collapsed="false">
      <c r="B165" s="46" t="s">
        <v>649</v>
      </c>
      <c r="C165" s="47" t="s">
        <v>134</v>
      </c>
      <c r="D165" s="18" t="s">
        <v>650</v>
      </c>
      <c r="E165" s="48" t="s">
        <v>651</v>
      </c>
      <c r="F165" s="48" t="s">
        <v>192</v>
      </c>
      <c r="G165" s="48" t="s">
        <v>174</v>
      </c>
      <c r="H165" s="49" t="s">
        <v>170</v>
      </c>
      <c r="I165" s="30" t="s">
        <v>193</v>
      </c>
      <c r="J165" s="49" t="s">
        <v>77</v>
      </c>
      <c r="K165" s="50"/>
      <c r="L165" s="50"/>
      <c r="M165" s="48"/>
      <c r="N165" s="48"/>
      <c r="O165" s="51" t="n">
        <f aca="false">IFERROR(VLOOKUP($H165,Lists!$S$9:$T$12,2,FALSE()),0)</f>
        <v>3</v>
      </c>
      <c r="P165" s="51" t="n">
        <f aca="true">IF(AND($K165&lt;&gt;"",$K165&lt;TODAY(),$J165&lt;&gt;"Complete",$J165&lt;&gt;"N/A"),1,0)</f>
        <v>0</v>
      </c>
    </row>
    <row r="166" customFormat="false" ht="23.25" hidden="false" customHeight="true" outlineLevel="0" collapsed="false">
      <c r="B166" s="52" t="s">
        <v>652</v>
      </c>
      <c r="C166" s="53" t="s">
        <v>134</v>
      </c>
      <c r="D166" s="54" t="s">
        <v>653</v>
      </c>
      <c r="E166" s="55" t="s">
        <v>654</v>
      </c>
      <c r="F166" s="55" t="s">
        <v>192</v>
      </c>
      <c r="G166" s="55" t="s">
        <v>174</v>
      </c>
      <c r="H166" s="56" t="s">
        <v>161</v>
      </c>
      <c r="I166" s="35" t="s">
        <v>235</v>
      </c>
      <c r="J166" s="56" t="s">
        <v>77</v>
      </c>
      <c r="K166" s="57"/>
      <c r="L166" s="57"/>
      <c r="M166" s="55"/>
      <c r="N166" s="55"/>
      <c r="O166" s="58" t="n">
        <f aca="false">IFERROR(VLOOKUP($H166,Lists!$S$9:$T$12,2,FALSE()),0)</f>
        <v>5</v>
      </c>
      <c r="P166" s="58" t="n">
        <f aca="true">IF(AND($K166&lt;&gt;"",$K166&lt;TODAY(),$J166&lt;&gt;"Complete",$J166&lt;&gt;"N/A"),1,0)</f>
        <v>0</v>
      </c>
    </row>
    <row r="167" customFormat="false" ht="23.25" hidden="false" customHeight="true" outlineLevel="0" collapsed="false">
      <c r="B167" s="46" t="s">
        <v>655</v>
      </c>
      <c r="C167" s="47" t="s">
        <v>134</v>
      </c>
      <c r="D167" s="18" t="s">
        <v>656</v>
      </c>
      <c r="E167" s="48" t="s">
        <v>657</v>
      </c>
      <c r="F167" s="48" t="s">
        <v>192</v>
      </c>
      <c r="G167" s="48" t="s">
        <v>174</v>
      </c>
      <c r="H167" s="49" t="s">
        <v>161</v>
      </c>
      <c r="I167" s="30" t="s">
        <v>235</v>
      </c>
      <c r="J167" s="49" t="s">
        <v>77</v>
      </c>
      <c r="K167" s="50"/>
      <c r="L167" s="50"/>
      <c r="M167" s="48"/>
      <c r="N167" s="48"/>
      <c r="O167" s="51" t="n">
        <f aca="false">IFERROR(VLOOKUP($H167,Lists!$S$9:$T$12,2,FALSE()),0)</f>
        <v>5</v>
      </c>
      <c r="P167" s="51" t="n">
        <f aca="true">IF(AND($K167&lt;&gt;"",$K167&lt;TODAY(),$J167&lt;&gt;"Complete",$J167&lt;&gt;"N/A"),1,0)</f>
        <v>0</v>
      </c>
    </row>
    <row r="168" customFormat="false" ht="23.25" hidden="false" customHeight="true" outlineLevel="0" collapsed="false">
      <c r="B168" s="52" t="s">
        <v>658</v>
      </c>
      <c r="C168" s="53" t="s">
        <v>134</v>
      </c>
      <c r="D168" s="54" t="s">
        <v>659</v>
      </c>
      <c r="E168" s="55" t="s">
        <v>660</v>
      </c>
      <c r="F168" s="55" t="s">
        <v>192</v>
      </c>
      <c r="G168" s="55" t="s">
        <v>174</v>
      </c>
      <c r="H168" s="56" t="s">
        <v>161</v>
      </c>
      <c r="I168" s="35" t="s">
        <v>235</v>
      </c>
      <c r="J168" s="56" t="s">
        <v>77</v>
      </c>
      <c r="K168" s="57"/>
      <c r="L168" s="57"/>
      <c r="M168" s="55"/>
      <c r="N168" s="55"/>
      <c r="O168" s="58" t="n">
        <f aca="false">IFERROR(VLOOKUP($H168,Lists!$S$9:$T$12,2,FALSE()),0)</f>
        <v>5</v>
      </c>
      <c r="P168" s="58" t="n">
        <f aca="true">IF(AND($K168&lt;&gt;"",$K168&lt;TODAY(),$J168&lt;&gt;"Complete",$J168&lt;&gt;"N/A"),1,0)</f>
        <v>0</v>
      </c>
    </row>
    <row r="169" customFormat="false" ht="23.25" hidden="false" customHeight="true" outlineLevel="0" collapsed="false">
      <c r="B169" s="46" t="s">
        <v>661</v>
      </c>
      <c r="C169" s="47" t="s">
        <v>134</v>
      </c>
      <c r="D169" s="18" t="s">
        <v>662</v>
      </c>
      <c r="E169" s="48" t="s">
        <v>663</v>
      </c>
      <c r="F169" s="48" t="s">
        <v>192</v>
      </c>
      <c r="G169" s="48" t="s">
        <v>174</v>
      </c>
      <c r="H169" s="49" t="s">
        <v>170</v>
      </c>
      <c r="I169" s="30" t="s">
        <v>235</v>
      </c>
      <c r="J169" s="49" t="s">
        <v>77</v>
      </c>
      <c r="K169" s="50"/>
      <c r="L169" s="50"/>
      <c r="M169" s="48"/>
      <c r="N169" s="48"/>
      <c r="O169" s="51" t="n">
        <f aca="false">IFERROR(VLOOKUP($H169,Lists!$S$9:$T$12,2,FALSE()),0)</f>
        <v>3</v>
      </c>
      <c r="P169" s="51" t="n">
        <f aca="true">IF(AND($K169&lt;&gt;"",$K169&lt;TODAY(),$J169&lt;&gt;"Complete",$J169&lt;&gt;"N/A"),1,0)</f>
        <v>0</v>
      </c>
    </row>
    <row r="170" customFormat="false" ht="23.25" hidden="false" customHeight="true" outlineLevel="0" collapsed="false">
      <c r="B170" s="52" t="s">
        <v>664</v>
      </c>
      <c r="C170" s="53" t="s">
        <v>134</v>
      </c>
      <c r="D170" s="54" t="s">
        <v>665</v>
      </c>
      <c r="E170" s="55" t="s">
        <v>666</v>
      </c>
      <c r="F170" s="55" t="s">
        <v>192</v>
      </c>
      <c r="G170" s="55" t="s">
        <v>174</v>
      </c>
      <c r="H170" s="56" t="s">
        <v>170</v>
      </c>
      <c r="I170" s="35" t="s">
        <v>235</v>
      </c>
      <c r="J170" s="56" t="s">
        <v>77</v>
      </c>
      <c r="K170" s="57"/>
      <c r="L170" s="57"/>
      <c r="M170" s="55"/>
      <c r="N170" s="55"/>
      <c r="O170" s="58" t="n">
        <f aca="false">IFERROR(VLOOKUP($H170,Lists!$S$9:$T$12,2,FALSE()),0)</f>
        <v>3</v>
      </c>
      <c r="P170" s="58" t="n">
        <f aca="true">IF(AND($K170&lt;&gt;"",$K170&lt;TODAY(),$J170&lt;&gt;"Complete",$J170&lt;&gt;"N/A"),1,0)</f>
        <v>0</v>
      </c>
    </row>
    <row r="171" customFormat="false" ht="23.25" hidden="false" customHeight="true" outlineLevel="0" collapsed="false">
      <c r="B171" s="46" t="s">
        <v>667</v>
      </c>
      <c r="C171" s="47" t="s">
        <v>134</v>
      </c>
      <c r="D171" s="18" t="s">
        <v>668</v>
      </c>
      <c r="E171" s="48" t="s">
        <v>669</v>
      </c>
      <c r="F171" s="48" t="s">
        <v>192</v>
      </c>
      <c r="G171" s="48" t="s">
        <v>174</v>
      </c>
      <c r="H171" s="49" t="s">
        <v>188</v>
      </c>
      <c r="I171" s="30" t="s">
        <v>235</v>
      </c>
      <c r="J171" s="49" t="s">
        <v>77</v>
      </c>
      <c r="K171" s="50"/>
      <c r="L171" s="50"/>
      <c r="M171" s="48"/>
      <c r="N171" s="48"/>
      <c r="O171" s="51" t="n">
        <f aca="false">IFERROR(VLOOKUP($H171,Lists!$S$9:$T$12,2,FALSE()),0)</f>
        <v>2</v>
      </c>
      <c r="P171" s="51" t="n">
        <f aca="true">IF(AND($K171&lt;&gt;"",$K171&lt;TODAY(),$J171&lt;&gt;"Complete",$J171&lt;&gt;"N/A"),1,0)</f>
        <v>0</v>
      </c>
    </row>
    <row r="172" customFormat="false" ht="21.75" hidden="false" customHeight="true" outlineLevel="0" collapsed="false">
      <c r="B172" s="52" t="s">
        <v>670</v>
      </c>
      <c r="C172" s="53" t="s">
        <v>134</v>
      </c>
      <c r="D172" s="54" t="s">
        <v>671</v>
      </c>
      <c r="E172" s="55" t="s">
        <v>672</v>
      </c>
      <c r="F172" s="55" t="s">
        <v>345</v>
      </c>
      <c r="G172" s="55" t="s">
        <v>174</v>
      </c>
      <c r="H172" s="56" t="s">
        <v>170</v>
      </c>
      <c r="I172" s="35" t="s">
        <v>235</v>
      </c>
      <c r="J172" s="56" t="s">
        <v>77</v>
      </c>
      <c r="K172" s="57"/>
      <c r="L172" s="57"/>
      <c r="M172" s="55"/>
      <c r="N172" s="55"/>
      <c r="O172" s="58" t="n">
        <f aca="false">IFERROR(VLOOKUP($H172,Lists!$S$9:$T$12,2,FALSE()),0)</f>
        <v>3</v>
      </c>
      <c r="P172" s="58" t="n">
        <f aca="true">IF(AND($K172&lt;&gt;"",$K172&lt;TODAY(),$J172&lt;&gt;"Complete",$J172&lt;&gt;"N/A"),1,0)</f>
        <v>0</v>
      </c>
    </row>
    <row r="173" customFormat="false" ht="23.25" hidden="false" customHeight="true" outlineLevel="0" collapsed="false">
      <c r="B173" s="46" t="s">
        <v>673</v>
      </c>
      <c r="C173" s="47" t="s">
        <v>134</v>
      </c>
      <c r="D173" s="18" t="s">
        <v>674</v>
      </c>
      <c r="E173" s="48" t="s">
        <v>675</v>
      </c>
      <c r="F173" s="48" t="s">
        <v>192</v>
      </c>
      <c r="G173" s="48" t="s">
        <v>174</v>
      </c>
      <c r="H173" s="49" t="s">
        <v>161</v>
      </c>
      <c r="I173" s="30" t="s">
        <v>235</v>
      </c>
      <c r="J173" s="49" t="s">
        <v>77</v>
      </c>
      <c r="K173" s="50"/>
      <c r="L173" s="50"/>
      <c r="M173" s="48"/>
      <c r="N173" s="48"/>
      <c r="O173" s="51" t="n">
        <f aca="false">IFERROR(VLOOKUP($H173,Lists!$S$9:$T$12,2,FALSE()),0)</f>
        <v>5</v>
      </c>
      <c r="P173" s="51" t="n">
        <f aca="true">IF(AND($K173&lt;&gt;"",$K173&lt;TODAY(),$J173&lt;&gt;"Complete",$J173&lt;&gt;"N/A"),1,0)</f>
        <v>0</v>
      </c>
    </row>
    <row r="174" customFormat="false" ht="23.25" hidden="false" customHeight="true" outlineLevel="0" collapsed="false">
      <c r="B174" s="52" t="s">
        <v>676</v>
      </c>
      <c r="C174" s="53" t="s">
        <v>134</v>
      </c>
      <c r="D174" s="54" t="s">
        <v>677</v>
      </c>
      <c r="E174" s="55" t="s">
        <v>678</v>
      </c>
      <c r="F174" s="55" t="s">
        <v>197</v>
      </c>
      <c r="G174" s="55" t="s">
        <v>159</v>
      </c>
      <c r="H174" s="56" t="s">
        <v>188</v>
      </c>
      <c r="I174" s="35" t="s">
        <v>235</v>
      </c>
      <c r="J174" s="56" t="s">
        <v>77</v>
      </c>
      <c r="K174" s="57"/>
      <c r="L174" s="57"/>
      <c r="M174" s="55"/>
      <c r="N174" s="55"/>
      <c r="O174" s="58" t="n">
        <f aca="false">IFERROR(VLOOKUP($H174,Lists!$S$9:$T$12,2,FALSE()),0)</f>
        <v>2</v>
      </c>
      <c r="P174" s="58" t="n">
        <f aca="true">IF(AND($K174&lt;&gt;"",$K174&lt;TODAY(),$J174&lt;&gt;"Complete",$J174&lt;&gt;"N/A"),1,0)</f>
        <v>0</v>
      </c>
    </row>
    <row r="175" customFormat="false" ht="23.25" hidden="false" customHeight="true" outlineLevel="0" collapsed="false">
      <c r="B175" s="46" t="s">
        <v>679</v>
      </c>
      <c r="C175" s="47" t="s">
        <v>134</v>
      </c>
      <c r="D175" s="18" t="s">
        <v>680</v>
      </c>
      <c r="E175" s="48" t="s">
        <v>681</v>
      </c>
      <c r="F175" s="48" t="s">
        <v>192</v>
      </c>
      <c r="G175" s="48" t="s">
        <v>174</v>
      </c>
      <c r="H175" s="49" t="s">
        <v>170</v>
      </c>
      <c r="I175" s="30" t="s">
        <v>235</v>
      </c>
      <c r="J175" s="49" t="s">
        <v>77</v>
      </c>
      <c r="K175" s="50"/>
      <c r="L175" s="50"/>
      <c r="M175" s="48"/>
      <c r="N175" s="48"/>
      <c r="O175" s="51" t="n">
        <f aca="false">IFERROR(VLOOKUP($H175,Lists!$S$9:$T$12,2,FALSE()),0)</f>
        <v>3</v>
      </c>
      <c r="P175" s="51" t="n">
        <f aca="true">IF(AND($K175&lt;&gt;"",$K175&lt;TODAY(),$J175&lt;&gt;"Complete",$J175&lt;&gt;"N/A"),1,0)</f>
        <v>0</v>
      </c>
    </row>
    <row r="176" customFormat="false" ht="23.25" hidden="false" customHeight="true" outlineLevel="0" collapsed="false">
      <c r="B176" s="52" t="s">
        <v>682</v>
      </c>
      <c r="C176" s="53" t="s">
        <v>134</v>
      </c>
      <c r="D176" s="54" t="s">
        <v>683</v>
      </c>
      <c r="E176" s="55" t="s">
        <v>684</v>
      </c>
      <c r="F176" s="55" t="s">
        <v>197</v>
      </c>
      <c r="G176" s="55" t="s">
        <v>192</v>
      </c>
      <c r="H176" s="56" t="s">
        <v>161</v>
      </c>
      <c r="I176" s="35" t="s">
        <v>235</v>
      </c>
      <c r="J176" s="56" t="s">
        <v>77</v>
      </c>
      <c r="K176" s="57"/>
      <c r="L176" s="57"/>
      <c r="M176" s="55"/>
      <c r="N176" s="55"/>
      <c r="O176" s="58" t="n">
        <f aca="false">IFERROR(VLOOKUP($H176,Lists!$S$9:$T$12,2,FALSE()),0)</f>
        <v>5</v>
      </c>
      <c r="P176" s="58" t="n">
        <f aca="true">IF(AND($K176&lt;&gt;"",$K176&lt;TODAY(),$J176&lt;&gt;"Complete",$J176&lt;&gt;"N/A"),1,0)</f>
        <v>0</v>
      </c>
    </row>
    <row r="177" customFormat="false" ht="21.75" hidden="false" customHeight="true" outlineLevel="0" collapsed="false">
      <c r="B177" s="46" t="s">
        <v>685</v>
      </c>
      <c r="C177" s="47" t="s">
        <v>134</v>
      </c>
      <c r="D177" s="18" t="s">
        <v>686</v>
      </c>
      <c r="E177" s="48" t="s">
        <v>687</v>
      </c>
      <c r="F177" s="48" t="s">
        <v>174</v>
      </c>
      <c r="G177" s="48" t="s">
        <v>160</v>
      </c>
      <c r="H177" s="49" t="s">
        <v>188</v>
      </c>
      <c r="I177" s="30" t="s">
        <v>235</v>
      </c>
      <c r="J177" s="49" t="s">
        <v>77</v>
      </c>
      <c r="K177" s="50"/>
      <c r="L177" s="50"/>
      <c r="M177" s="48"/>
      <c r="N177" s="48"/>
      <c r="O177" s="51" t="n">
        <f aca="false">IFERROR(VLOOKUP($H177,Lists!$S$9:$T$12,2,FALSE()),0)</f>
        <v>2</v>
      </c>
      <c r="P177" s="51" t="n">
        <f aca="true">IF(AND($K177&lt;&gt;"",$K177&lt;TODAY(),$J177&lt;&gt;"Complete",$J177&lt;&gt;"N/A"),1,0)</f>
        <v>0</v>
      </c>
    </row>
    <row r="178" customFormat="false" ht="23.25" hidden="false" customHeight="true" outlineLevel="0" collapsed="false">
      <c r="B178" s="52" t="s">
        <v>688</v>
      </c>
      <c r="C178" s="53" t="s">
        <v>134</v>
      </c>
      <c r="D178" s="54" t="s">
        <v>689</v>
      </c>
      <c r="E178" s="55" t="s">
        <v>690</v>
      </c>
      <c r="F178" s="55" t="s">
        <v>192</v>
      </c>
      <c r="G178" s="55" t="s">
        <v>174</v>
      </c>
      <c r="H178" s="56" t="s">
        <v>170</v>
      </c>
      <c r="I178" s="35" t="s">
        <v>193</v>
      </c>
      <c r="J178" s="56" t="s">
        <v>77</v>
      </c>
      <c r="K178" s="57"/>
      <c r="L178" s="57"/>
      <c r="M178" s="55"/>
      <c r="N178" s="55"/>
      <c r="O178" s="58" t="n">
        <f aca="false">IFERROR(VLOOKUP($H178,Lists!$S$9:$T$12,2,FALSE()),0)</f>
        <v>3</v>
      </c>
      <c r="P178" s="58" t="n">
        <f aca="true">IF(AND($K178&lt;&gt;"",$K178&lt;TODAY(),$J178&lt;&gt;"Complete",$J178&lt;&gt;"N/A"),1,0)</f>
        <v>0</v>
      </c>
    </row>
    <row r="179" customFormat="false" ht="23.25" hidden="false" customHeight="true" outlineLevel="0" collapsed="false">
      <c r="B179" s="46" t="s">
        <v>691</v>
      </c>
      <c r="C179" s="47" t="s">
        <v>135</v>
      </c>
      <c r="D179" s="18" t="s">
        <v>692</v>
      </c>
      <c r="E179" s="48" t="s">
        <v>693</v>
      </c>
      <c r="F179" s="48" t="s">
        <v>160</v>
      </c>
      <c r="G179" s="48" t="s">
        <v>234</v>
      </c>
      <c r="H179" s="49" t="s">
        <v>161</v>
      </c>
      <c r="I179" s="30" t="s">
        <v>235</v>
      </c>
      <c r="J179" s="49" t="s">
        <v>77</v>
      </c>
      <c r="K179" s="50"/>
      <c r="L179" s="50"/>
      <c r="M179" s="48"/>
      <c r="N179" s="48"/>
      <c r="O179" s="51" t="n">
        <f aca="false">IFERROR(VLOOKUP($H179,Lists!$S$9:$T$12,2,FALSE()),0)</f>
        <v>5</v>
      </c>
      <c r="P179" s="51" t="n">
        <f aca="true">IF(AND($K179&lt;&gt;"",$K179&lt;TODAY(),$J179&lt;&gt;"Complete",$J179&lt;&gt;"N/A"),1,0)</f>
        <v>0</v>
      </c>
    </row>
    <row r="180" customFormat="false" ht="23.25" hidden="false" customHeight="true" outlineLevel="0" collapsed="false">
      <c r="B180" s="52" t="s">
        <v>694</v>
      </c>
      <c r="C180" s="53" t="s">
        <v>135</v>
      </c>
      <c r="D180" s="54" t="s">
        <v>695</v>
      </c>
      <c r="E180" s="55" t="s">
        <v>696</v>
      </c>
      <c r="F180" s="55" t="s">
        <v>174</v>
      </c>
      <c r="G180" s="55" t="s">
        <v>160</v>
      </c>
      <c r="H180" s="56" t="s">
        <v>161</v>
      </c>
      <c r="I180" s="35" t="s">
        <v>235</v>
      </c>
      <c r="J180" s="56" t="s">
        <v>77</v>
      </c>
      <c r="K180" s="57"/>
      <c r="L180" s="57"/>
      <c r="M180" s="55"/>
      <c r="N180" s="55"/>
      <c r="O180" s="58" t="n">
        <f aca="false">IFERROR(VLOOKUP($H180,Lists!$S$9:$T$12,2,FALSE()),0)</f>
        <v>5</v>
      </c>
      <c r="P180" s="58" t="n">
        <f aca="true">IF(AND($K180&lt;&gt;"",$K180&lt;TODAY(),$J180&lt;&gt;"Complete",$J180&lt;&gt;"N/A"),1,0)</f>
        <v>0</v>
      </c>
    </row>
    <row r="181" customFormat="false" ht="23.25" hidden="false" customHeight="true" outlineLevel="0" collapsed="false">
      <c r="B181" s="46" t="s">
        <v>697</v>
      </c>
      <c r="C181" s="47" t="s">
        <v>135</v>
      </c>
      <c r="D181" s="18" t="s">
        <v>698</v>
      </c>
      <c r="E181" s="48" t="s">
        <v>699</v>
      </c>
      <c r="F181" s="48" t="s">
        <v>159</v>
      </c>
      <c r="G181" s="48" t="s">
        <v>353</v>
      </c>
      <c r="H181" s="49" t="s">
        <v>170</v>
      </c>
      <c r="I181" s="30" t="s">
        <v>235</v>
      </c>
      <c r="J181" s="49" t="s">
        <v>77</v>
      </c>
      <c r="K181" s="50"/>
      <c r="L181" s="50"/>
      <c r="M181" s="48"/>
      <c r="N181" s="48"/>
      <c r="O181" s="51" t="n">
        <f aca="false">IFERROR(VLOOKUP($H181,Lists!$S$9:$T$12,2,FALSE()),0)</f>
        <v>3</v>
      </c>
      <c r="P181" s="51" t="n">
        <f aca="true">IF(AND($K181&lt;&gt;"",$K181&lt;TODAY(),$J181&lt;&gt;"Complete",$J181&lt;&gt;"N/A"),1,0)</f>
        <v>0</v>
      </c>
    </row>
    <row r="182" customFormat="false" ht="21.75" hidden="false" customHeight="true" outlineLevel="0" collapsed="false">
      <c r="B182" s="52" t="s">
        <v>700</v>
      </c>
      <c r="C182" s="53" t="s">
        <v>135</v>
      </c>
      <c r="D182" s="54" t="s">
        <v>701</v>
      </c>
      <c r="E182" s="55" t="s">
        <v>702</v>
      </c>
      <c r="F182" s="55" t="s">
        <v>192</v>
      </c>
      <c r="G182" s="55" t="s">
        <v>174</v>
      </c>
      <c r="H182" s="56" t="s">
        <v>188</v>
      </c>
      <c r="I182" s="35" t="s">
        <v>235</v>
      </c>
      <c r="J182" s="56" t="s">
        <v>77</v>
      </c>
      <c r="K182" s="57"/>
      <c r="L182" s="57"/>
      <c r="M182" s="55"/>
      <c r="N182" s="55"/>
      <c r="O182" s="58" t="n">
        <f aca="false">IFERROR(VLOOKUP($H182,Lists!$S$9:$T$12,2,FALSE()),0)</f>
        <v>2</v>
      </c>
      <c r="P182" s="58" t="n">
        <f aca="true">IF(AND($K182&lt;&gt;"",$K182&lt;TODAY(),$J182&lt;&gt;"Complete",$J182&lt;&gt;"N/A"),1,0)</f>
        <v>0</v>
      </c>
    </row>
    <row r="183" customFormat="false" ht="23.25" hidden="false" customHeight="true" outlineLevel="0" collapsed="false">
      <c r="B183" s="46" t="s">
        <v>703</v>
      </c>
      <c r="C183" s="47" t="s">
        <v>135</v>
      </c>
      <c r="D183" s="18" t="s">
        <v>704</v>
      </c>
      <c r="E183" s="48" t="s">
        <v>705</v>
      </c>
      <c r="F183" s="48" t="s">
        <v>349</v>
      </c>
      <c r="G183" s="48" t="s">
        <v>174</v>
      </c>
      <c r="H183" s="49" t="s">
        <v>161</v>
      </c>
      <c r="I183" s="30" t="s">
        <v>235</v>
      </c>
      <c r="J183" s="49" t="s">
        <v>77</v>
      </c>
      <c r="K183" s="50"/>
      <c r="L183" s="50"/>
      <c r="M183" s="48"/>
      <c r="N183" s="48"/>
      <c r="O183" s="51" t="n">
        <f aca="false">IFERROR(VLOOKUP($H183,Lists!$S$9:$T$12,2,FALSE()),0)</f>
        <v>5</v>
      </c>
      <c r="P183" s="51" t="n">
        <f aca="true">IF(AND($K183&lt;&gt;"",$K183&lt;TODAY(),$J183&lt;&gt;"Complete",$J183&lt;&gt;"N/A"),1,0)</f>
        <v>0</v>
      </c>
    </row>
    <row r="184" customFormat="false" ht="23.25" hidden="false" customHeight="true" outlineLevel="0" collapsed="false">
      <c r="B184" s="52" t="s">
        <v>706</v>
      </c>
      <c r="C184" s="53" t="s">
        <v>135</v>
      </c>
      <c r="D184" s="54" t="s">
        <v>707</v>
      </c>
      <c r="E184" s="55" t="s">
        <v>708</v>
      </c>
      <c r="F184" s="55" t="s">
        <v>349</v>
      </c>
      <c r="G184" s="55" t="s">
        <v>353</v>
      </c>
      <c r="H184" s="56" t="s">
        <v>170</v>
      </c>
      <c r="I184" s="35" t="s">
        <v>235</v>
      </c>
      <c r="J184" s="56" t="s">
        <v>77</v>
      </c>
      <c r="K184" s="57"/>
      <c r="L184" s="57"/>
      <c r="M184" s="55"/>
      <c r="N184" s="55"/>
      <c r="O184" s="58" t="n">
        <f aca="false">IFERROR(VLOOKUP($H184,Lists!$S$9:$T$12,2,FALSE()),0)</f>
        <v>3</v>
      </c>
      <c r="P184" s="58" t="n">
        <f aca="true">IF(AND($K184&lt;&gt;"",$K184&lt;TODAY(),$J184&lt;&gt;"Complete",$J184&lt;&gt;"N/A"),1,0)</f>
        <v>0</v>
      </c>
    </row>
    <row r="185" customFormat="false" ht="23.25" hidden="false" customHeight="true" outlineLevel="0" collapsed="false">
      <c r="B185" s="46" t="s">
        <v>709</v>
      </c>
      <c r="C185" s="47" t="s">
        <v>135</v>
      </c>
      <c r="D185" s="18" t="s">
        <v>710</v>
      </c>
      <c r="E185" s="48" t="s">
        <v>711</v>
      </c>
      <c r="F185" s="48" t="s">
        <v>159</v>
      </c>
      <c r="G185" s="48" t="s">
        <v>353</v>
      </c>
      <c r="H185" s="49" t="s">
        <v>170</v>
      </c>
      <c r="I185" s="30" t="s">
        <v>235</v>
      </c>
      <c r="J185" s="49" t="s">
        <v>77</v>
      </c>
      <c r="K185" s="50"/>
      <c r="L185" s="50"/>
      <c r="M185" s="48"/>
      <c r="N185" s="48"/>
      <c r="O185" s="51" t="n">
        <f aca="false">IFERROR(VLOOKUP($H185,Lists!$S$9:$T$12,2,FALSE()),0)</f>
        <v>3</v>
      </c>
      <c r="P185" s="51" t="n">
        <f aca="true">IF(AND($K185&lt;&gt;"",$K185&lt;TODAY(),$J185&lt;&gt;"Complete",$J185&lt;&gt;"N/A"),1,0)</f>
        <v>0</v>
      </c>
    </row>
    <row r="186" customFormat="false" ht="23.25" hidden="false" customHeight="true" outlineLevel="0" collapsed="false">
      <c r="B186" s="52" t="s">
        <v>712</v>
      </c>
      <c r="C186" s="53" t="s">
        <v>135</v>
      </c>
      <c r="D186" s="54" t="s">
        <v>713</v>
      </c>
      <c r="E186" s="55" t="s">
        <v>714</v>
      </c>
      <c r="F186" s="55" t="s">
        <v>169</v>
      </c>
      <c r="G186" s="55" t="s">
        <v>353</v>
      </c>
      <c r="H186" s="56" t="s">
        <v>188</v>
      </c>
      <c r="I186" s="35" t="s">
        <v>235</v>
      </c>
      <c r="J186" s="56" t="s">
        <v>77</v>
      </c>
      <c r="K186" s="57"/>
      <c r="L186" s="57"/>
      <c r="M186" s="55"/>
      <c r="N186" s="55"/>
      <c r="O186" s="58" t="n">
        <f aca="false">IFERROR(VLOOKUP($H186,Lists!$S$9:$T$12,2,FALSE()),0)</f>
        <v>2</v>
      </c>
      <c r="P186" s="58" t="n">
        <f aca="true">IF(AND($K186&lt;&gt;"",$K186&lt;TODAY(),$J186&lt;&gt;"Complete",$J186&lt;&gt;"N/A"),1,0)</f>
        <v>0</v>
      </c>
    </row>
    <row r="187" customFormat="false" ht="23.25" hidden="false" customHeight="true" outlineLevel="0" collapsed="false">
      <c r="B187" s="46" t="s">
        <v>715</v>
      </c>
      <c r="C187" s="47" t="s">
        <v>135</v>
      </c>
      <c r="D187" s="18" t="s">
        <v>716</v>
      </c>
      <c r="E187" s="48" t="s">
        <v>717</v>
      </c>
      <c r="F187" s="48" t="s">
        <v>192</v>
      </c>
      <c r="G187" s="48" t="s">
        <v>353</v>
      </c>
      <c r="H187" s="49" t="s">
        <v>170</v>
      </c>
      <c r="I187" s="30" t="s">
        <v>235</v>
      </c>
      <c r="J187" s="49" t="s">
        <v>77</v>
      </c>
      <c r="K187" s="50"/>
      <c r="L187" s="50"/>
      <c r="M187" s="48"/>
      <c r="N187" s="48"/>
      <c r="O187" s="51" t="n">
        <f aca="false">IFERROR(VLOOKUP($H187,Lists!$S$9:$T$12,2,FALSE()),0)</f>
        <v>3</v>
      </c>
      <c r="P187" s="51" t="n">
        <f aca="true">IF(AND($K187&lt;&gt;"",$K187&lt;TODAY(),$J187&lt;&gt;"Complete",$J187&lt;&gt;"N/A"),1,0)</f>
        <v>0</v>
      </c>
    </row>
    <row r="188" customFormat="false" ht="23.25" hidden="false" customHeight="true" outlineLevel="0" collapsed="false">
      <c r="B188" s="52" t="s">
        <v>718</v>
      </c>
      <c r="C188" s="53" t="s">
        <v>135</v>
      </c>
      <c r="D188" s="54" t="s">
        <v>719</v>
      </c>
      <c r="E188" s="55" t="s">
        <v>720</v>
      </c>
      <c r="F188" s="55" t="s">
        <v>169</v>
      </c>
      <c r="G188" s="55" t="s">
        <v>192</v>
      </c>
      <c r="H188" s="56" t="s">
        <v>170</v>
      </c>
      <c r="I188" s="35" t="s">
        <v>235</v>
      </c>
      <c r="J188" s="56" t="s">
        <v>77</v>
      </c>
      <c r="K188" s="57"/>
      <c r="L188" s="57"/>
      <c r="M188" s="55"/>
      <c r="N188" s="55"/>
      <c r="O188" s="58" t="n">
        <f aca="false">IFERROR(VLOOKUP($H188,Lists!$S$9:$T$12,2,FALSE()),0)</f>
        <v>3</v>
      </c>
      <c r="P188" s="58" t="n">
        <f aca="true">IF(AND($K188&lt;&gt;"",$K188&lt;TODAY(),$J188&lt;&gt;"Complete",$J188&lt;&gt;"N/A"),1,0)</f>
        <v>0</v>
      </c>
    </row>
    <row r="189" customFormat="false" ht="23.25" hidden="false" customHeight="true" outlineLevel="0" collapsed="false">
      <c r="B189" s="46" t="s">
        <v>721</v>
      </c>
      <c r="C189" s="47" t="s">
        <v>135</v>
      </c>
      <c r="D189" s="18" t="s">
        <v>722</v>
      </c>
      <c r="E189" s="48" t="s">
        <v>723</v>
      </c>
      <c r="F189" s="48" t="s">
        <v>197</v>
      </c>
      <c r="G189" s="48" t="s">
        <v>192</v>
      </c>
      <c r="H189" s="49" t="s">
        <v>170</v>
      </c>
      <c r="I189" s="30" t="s">
        <v>235</v>
      </c>
      <c r="J189" s="49" t="s">
        <v>77</v>
      </c>
      <c r="K189" s="50"/>
      <c r="L189" s="50"/>
      <c r="M189" s="48"/>
      <c r="N189" s="48"/>
      <c r="O189" s="51" t="n">
        <f aca="false">IFERROR(VLOOKUP($H189,Lists!$S$9:$T$12,2,FALSE()),0)</f>
        <v>3</v>
      </c>
      <c r="P189" s="51" t="n">
        <f aca="true">IF(AND($K189&lt;&gt;"",$K189&lt;TODAY(),$J189&lt;&gt;"Complete",$J189&lt;&gt;"N/A"),1,0)</f>
        <v>0</v>
      </c>
    </row>
    <row r="190" customFormat="false" ht="23.25" hidden="false" customHeight="true" outlineLevel="0" collapsed="false">
      <c r="B190" s="52" t="s">
        <v>724</v>
      </c>
      <c r="C190" s="53" t="s">
        <v>135</v>
      </c>
      <c r="D190" s="54" t="s">
        <v>725</v>
      </c>
      <c r="E190" s="55" t="s">
        <v>726</v>
      </c>
      <c r="F190" s="55" t="s">
        <v>353</v>
      </c>
      <c r="G190" s="55" t="s">
        <v>174</v>
      </c>
      <c r="H190" s="56" t="s">
        <v>188</v>
      </c>
      <c r="I190" s="35" t="s">
        <v>235</v>
      </c>
      <c r="J190" s="56" t="s">
        <v>77</v>
      </c>
      <c r="K190" s="57"/>
      <c r="L190" s="57"/>
      <c r="M190" s="55"/>
      <c r="N190" s="55"/>
      <c r="O190" s="58" t="n">
        <f aca="false">IFERROR(VLOOKUP($H190,Lists!$S$9:$T$12,2,FALSE()),0)</f>
        <v>2</v>
      </c>
      <c r="P190" s="58" t="n">
        <f aca="true">IF(AND($K190&lt;&gt;"",$K190&lt;TODAY(),$J190&lt;&gt;"Complete",$J190&lt;&gt;"N/A"),1,0)</f>
        <v>0</v>
      </c>
    </row>
    <row r="191" customFormat="false" ht="23.25" hidden="false" customHeight="true" outlineLevel="0" collapsed="false">
      <c r="B191" s="46" t="s">
        <v>727</v>
      </c>
      <c r="C191" s="47" t="s">
        <v>135</v>
      </c>
      <c r="D191" s="18" t="s">
        <v>728</v>
      </c>
      <c r="E191" s="48" t="s">
        <v>729</v>
      </c>
      <c r="F191" s="48" t="s">
        <v>192</v>
      </c>
      <c r="G191" s="48" t="s">
        <v>174</v>
      </c>
      <c r="H191" s="49" t="s">
        <v>188</v>
      </c>
      <c r="I191" s="30" t="s">
        <v>215</v>
      </c>
      <c r="J191" s="49" t="s">
        <v>77</v>
      </c>
      <c r="K191" s="50"/>
      <c r="L191" s="50"/>
      <c r="M191" s="48"/>
      <c r="N191" s="48"/>
      <c r="O191" s="51" t="n">
        <f aca="false">IFERROR(VLOOKUP($H191,Lists!$S$9:$T$12,2,FALSE()),0)</f>
        <v>2</v>
      </c>
      <c r="P191" s="51" t="n">
        <f aca="true">IF(AND($K191&lt;&gt;"",$K191&lt;TODAY(),$J191&lt;&gt;"Complete",$J191&lt;&gt;"N/A"),1,0)</f>
        <v>0</v>
      </c>
    </row>
    <row r="192" customFormat="false" ht="23.25" hidden="false" customHeight="true" outlineLevel="0" collapsed="false">
      <c r="B192" s="52" t="s">
        <v>730</v>
      </c>
      <c r="C192" s="53" t="s">
        <v>135</v>
      </c>
      <c r="D192" s="54" t="s">
        <v>731</v>
      </c>
      <c r="E192" s="55" t="s">
        <v>732</v>
      </c>
      <c r="F192" s="55" t="s">
        <v>239</v>
      </c>
      <c r="G192" s="55" t="s">
        <v>234</v>
      </c>
      <c r="H192" s="56" t="s">
        <v>161</v>
      </c>
      <c r="I192" s="35" t="s">
        <v>235</v>
      </c>
      <c r="J192" s="56" t="s">
        <v>77</v>
      </c>
      <c r="K192" s="57"/>
      <c r="L192" s="57"/>
      <c r="M192" s="55"/>
      <c r="N192" s="55"/>
      <c r="O192" s="58" t="n">
        <f aca="false">IFERROR(VLOOKUP($H192,Lists!$S$9:$T$12,2,FALSE()),0)</f>
        <v>5</v>
      </c>
      <c r="P192" s="58" t="n">
        <f aca="true">IF(AND($K192&lt;&gt;"",$K192&lt;TODAY(),$J192&lt;&gt;"Complete",$J192&lt;&gt;"N/A"),1,0)</f>
        <v>0</v>
      </c>
    </row>
    <row r="193" customFormat="false" ht="23.25" hidden="false" customHeight="true" outlineLevel="0" collapsed="false">
      <c r="B193" s="46" t="s">
        <v>733</v>
      </c>
      <c r="C193" s="47" t="s">
        <v>135</v>
      </c>
      <c r="D193" s="18" t="s">
        <v>734</v>
      </c>
      <c r="E193" s="48" t="s">
        <v>735</v>
      </c>
      <c r="F193" s="48" t="s">
        <v>369</v>
      </c>
      <c r="G193" s="48" t="s">
        <v>192</v>
      </c>
      <c r="H193" s="49" t="s">
        <v>170</v>
      </c>
      <c r="I193" s="30" t="s">
        <v>235</v>
      </c>
      <c r="J193" s="49" t="s">
        <v>77</v>
      </c>
      <c r="K193" s="50"/>
      <c r="L193" s="50"/>
      <c r="M193" s="48"/>
      <c r="N193" s="48"/>
      <c r="O193" s="51" t="n">
        <f aca="false">IFERROR(VLOOKUP($H193,Lists!$S$9:$T$12,2,FALSE()),0)</f>
        <v>3</v>
      </c>
      <c r="P193" s="51" t="n">
        <f aca="true">IF(AND($K193&lt;&gt;"",$K193&lt;TODAY(),$J193&lt;&gt;"Complete",$J193&lt;&gt;"N/A"),1,0)</f>
        <v>0</v>
      </c>
    </row>
    <row r="194" customFormat="false" ht="23.25" hidden="false" customHeight="true" outlineLevel="0" collapsed="false">
      <c r="B194" s="52" t="s">
        <v>736</v>
      </c>
      <c r="C194" s="53" t="s">
        <v>136</v>
      </c>
      <c r="D194" s="54" t="s">
        <v>737</v>
      </c>
      <c r="E194" s="55" t="s">
        <v>738</v>
      </c>
      <c r="F194" s="55" t="s">
        <v>345</v>
      </c>
      <c r="G194" s="55" t="s">
        <v>174</v>
      </c>
      <c r="H194" s="56" t="s">
        <v>161</v>
      </c>
      <c r="I194" s="35" t="s">
        <v>235</v>
      </c>
      <c r="J194" s="56" t="s">
        <v>77</v>
      </c>
      <c r="K194" s="57"/>
      <c r="L194" s="57"/>
      <c r="M194" s="55"/>
      <c r="N194" s="55"/>
      <c r="O194" s="58" t="n">
        <f aca="false">IFERROR(VLOOKUP($H194,Lists!$S$9:$T$12,2,FALSE()),0)</f>
        <v>5</v>
      </c>
      <c r="P194" s="58" t="n">
        <f aca="true">IF(AND($K194&lt;&gt;"",$K194&lt;TODAY(),$J194&lt;&gt;"Complete",$J194&lt;&gt;"N/A"),1,0)</f>
        <v>0</v>
      </c>
    </row>
    <row r="195" customFormat="false" ht="23.25" hidden="false" customHeight="true" outlineLevel="0" collapsed="false">
      <c r="B195" s="46" t="s">
        <v>739</v>
      </c>
      <c r="C195" s="47" t="s">
        <v>136</v>
      </c>
      <c r="D195" s="18" t="s">
        <v>740</v>
      </c>
      <c r="E195" s="48" t="s">
        <v>741</v>
      </c>
      <c r="F195" s="48" t="s">
        <v>345</v>
      </c>
      <c r="G195" s="48" t="s">
        <v>192</v>
      </c>
      <c r="H195" s="49" t="s">
        <v>170</v>
      </c>
      <c r="I195" s="30" t="s">
        <v>235</v>
      </c>
      <c r="J195" s="49" t="s">
        <v>77</v>
      </c>
      <c r="K195" s="50"/>
      <c r="L195" s="50"/>
      <c r="M195" s="48"/>
      <c r="N195" s="48"/>
      <c r="O195" s="51" t="n">
        <f aca="false">IFERROR(VLOOKUP($H195,Lists!$S$9:$T$12,2,FALSE()),0)</f>
        <v>3</v>
      </c>
      <c r="P195" s="51" t="n">
        <f aca="true">IF(AND($K195&lt;&gt;"",$K195&lt;TODAY(),$J195&lt;&gt;"Complete",$J195&lt;&gt;"N/A"),1,0)</f>
        <v>0</v>
      </c>
    </row>
    <row r="196" customFormat="false" ht="23.25" hidden="false" customHeight="true" outlineLevel="0" collapsed="false">
      <c r="B196" s="52" t="s">
        <v>742</v>
      </c>
      <c r="C196" s="53" t="s">
        <v>136</v>
      </c>
      <c r="D196" s="54" t="s">
        <v>743</v>
      </c>
      <c r="E196" s="55" t="s">
        <v>744</v>
      </c>
      <c r="F196" s="55" t="s">
        <v>345</v>
      </c>
      <c r="G196" s="55" t="s">
        <v>174</v>
      </c>
      <c r="H196" s="56" t="s">
        <v>161</v>
      </c>
      <c r="I196" s="35" t="s">
        <v>235</v>
      </c>
      <c r="J196" s="56" t="s">
        <v>77</v>
      </c>
      <c r="K196" s="57"/>
      <c r="L196" s="57"/>
      <c r="M196" s="55"/>
      <c r="N196" s="55"/>
      <c r="O196" s="58" t="n">
        <f aca="false">IFERROR(VLOOKUP($H196,Lists!$S$9:$T$12,2,FALSE()),0)</f>
        <v>5</v>
      </c>
      <c r="P196" s="58" t="n">
        <f aca="true">IF(AND($K196&lt;&gt;"",$K196&lt;TODAY(),$J196&lt;&gt;"Complete",$J196&lt;&gt;"N/A"),1,0)</f>
        <v>0</v>
      </c>
    </row>
    <row r="197" customFormat="false" ht="23.25" hidden="false" customHeight="true" outlineLevel="0" collapsed="false">
      <c r="B197" s="46" t="s">
        <v>745</v>
      </c>
      <c r="C197" s="47" t="s">
        <v>136</v>
      </c>
      <c r="D197" s="18" t="s">
        <v>746</v>
      </c>
      <c r="E197" s="48" t="s">
        <v>747</v>
      </c>
      <c r="F197" s="48" t="s">
        <v>345</v>
      </c>
      <c r="G197" s="48" t="s">
        <v>174</v>
      </c>
      <c r="H197" s="49" t="s">
        <v>170</v>
      </c>
      <c r="I197" s="30" t="s">
        <v>235</v>
      </c>
      <c r="J197" s="49" t="s">
        <v>77</v>
      </c>
      <c r="K197" s="50"/>
      <c r="L197" s="50"/>
      <c r="M197" s="48"/>
      <c r="N197" s="48"/>
      <c r="O197" s="51" t="n">
        <f aca="false">IFERROR(VLOOKUP($H197,Lists!$S$9:$T$12,2,FALSE()),0)</f>
        <v>3</v>
      </c>
      <c r="P197" s="51" t="n">
        <f aca="true">IF(AND($K197&lt;&gt;"",$K197&lt;TODAY(),$J197&lt;&gt;"Complete",$J197&lt;&gt;"N/A"),1,0)</f>
        <v>0</v>
      </c>
    </row>
    <row r="198" customFormat="false" ht="23.25" hidden="false" customHeight="true" outlineLevel="0" collapsed="false">
      <c r="B198" s="52" t="s">
        <v>748</v>
      </c>
      <c r="C198" s="53" t="s">
        <v>136</v>
      </c>
      <c r="D198" s="54" t="s">
        <v>749</v>
      </c>
      <c r="E198" s="55" t="s">
        <v>750</v>
      </c>
      <c r="F198" s="55" t="s">
        <v>349</v>
      </c>
      <c r="G198" s="55" t="s">
        <v>174</v>
      </c>
      <c r="H198" s="56" t="s">
        <v>161</v>
      </c>
      <c r="I198" s="35" t="s">
        <v>193</v>
      </c>
      <c r="J198" s="56" t="s">
        <v>77</v>
      </c>
      <c r="K198" s="57"/>
      <c r="L198" s="57"/>
      <c r="M198" s="55"/>
      <c r="N198" s="55"/>
      <c r="O198" s="58" t="n">
        <f aca="false">IFERROR(VLOOKUP($H198,Lists!$S$9:$T$12,2,FALSE()),0)</f>
        <v>5</v>
      </c>
      <c r="P198" s="58" t="n">
        <f aca="true">IF(AND($K198&lt;&gt;"",$K198&lt;TODAY(),$J198&lt;&gt;"Complete",$J198&lt;&gt;"N/A"),1,0)</f>
        <v>0</v>
      </c>
    </row>
    <row r="199" customFormat="false" ht="23.25" hidden="false" customHeight="true" outlineLevel="0" collapsed="false">
      <c r="B199" s="46" t="s">
        <v>751</v>
      </c>
      <c r="C199" s="47" t="s">
        <v>136</v>
      </c>
      <c r="D199" s="18" t="s">
        <v>752</v>
      </c>
      <c r="E199" s="48" t="s">
        <v>753</v>
      </c>
      <c r="F199" s="48" t="s">
        <v>197</v>
      </c>
      <c r="G199" s="48" t="s">
        <v>349</v>
      </c>
      <c r="H199" s="49" t="s">
        <v>161</v>
      </c>
      <c r="I199" s="30" t="s">
        <v>193</v>
      </c>
      <c r="J199" s="49" t="s">
        <v>77</v>
      </c>
      <c r="K199" s="50"/>
      <c r="L199" s="50"/>
      <c r="M199" s="48"/>
      <c r="N199" s="48"/>
      <c r="O199" s="51" t="n">
        <f aca="false">IFERROR(VLOOKUP($H199,Lists!$S$9:$T$12,2,FALSE()),0)</f>
        <v>5</v>
      </c>
      <c r="P199" s="51" t="n">
        <f aca="true">IF(AND($K199&lt;&gt;"",$K199&lt;TODAY(),$J199&lt;&gt;"Complete",$J199&lt;&gt;"N/A"),1,0)</f>
        <v>0</v>
      </c>
    </row>
    <row r="200" customFormat="false" ht="23.25" hidden="false" customHeight="true" outlineLevel="0" collapsed="false">
      <c r="B200" s="52" t="s">
        <v>754</v>
      </c>
      <c r="C200" s="53" t="s">
        <v>136</v>
      </c>
      <c r="D200" s="54" t="s">
        <v>755</v>
      </c>
      <c r="E200" s="55" t="s">
        <v>756</v>
      </c>
      <c r="F200" s="55" t="s">
        <v>349</v>
      </c>
      <c r="G200" s="55" t="s">
        <v>174</v>
      </c>
      <c r="H200" s="56" t="s">
        <v>161</v>
      </c>
      <c r="I200" s="35" t="s">
        <v>193</v>
      </c>
      <c r="J200" s="56" t="s">
        <v>77</v>
      </c>
      <c r="K200" s="57"/>
      <c r="L200" s="57"/>
      <c r="M200" s="55"/>
      <c r="N200" s="55"/>
      <c r="O200" s="58" t="n">
        <f aca="false">IFERROR(VLOOKUP($H200,Lists!$S$9:$T$12,2,FALSE()),0)</f>
        <v>5</v>
      </c>
      <c r="P200" s="58" t="n">
        <f aca="true">IF(AND($K200&lt;&gt;"",$K200&lt;TODAY(),$J200&lt;&gt;"Complete",$J200&lt;&gt;"N/A"),1,0)</f>
        <v>0</v>
      </c>
    </row>
    <row r="201" customFormat="false" ht="23.25" hidden="false" customHeight="true" outlineLevel="0" collapsed="false">
      <c r="B201" s="46" t="s">
        <v>757</v>
      </c>
      <c r="C201" s="47" t="s">
        <v>136</v>
      </c>
      <c r="D201" s="18" t="s">
        <v>758</v>
      </c>
      <c r="E201" s="48" t="s">
        <v>759</v>
      </c>
      <c r="F201" s="48" t="s">
        <v>349</v>
      </c>
      <c r="G201" s="48" t="s">
        <v>174</v>
      </c>
      <c r="H201" s="49" t="s">
        <v>170</v>
      </c>
      <c r="I201" s="30" t="s">
        <v>193</v>
      </c>
      <c r="J201" s="49" t="s">
        <v>77</v>
      </c>
      <c r="K201" s="50"/>
      <c r="L201" s="50"/>
      <c r="M201" s="48"/>
      <c r="N201" s="48"/>
      <c r="O201" s="51" t="n">
        <f aca="false">IFERROR(VLOOKUP($H201,Lists!$S$9:$T$12,2,FALSE()),0)</f>
        <v>3</v>
      </c>
      <c r="P201" s="51" t="n">
        <f aca="true">IF(AND($K201&lt;&gt;"",$K201&lt;TODAY(),$J201&lt;&gt;"Complete",$J201&lt;&gt;"N/A"),1,0)</f>
        <v>0</v>
      </c>
    </row>
    <row r="202" customFormat="false" ht="23.25" hidden="false" customHeight="true" outlineLevel="0" collapsed="false">
      <c r="B202" s="52" t="s">
        <v>760</v>
      </c>
      <c r="C202" s="53" t="s">
        <v>136</v>
      </c>
      <c r="D202" s="54" t="s">
        <v>761</v>
      </c>
      <c r="E202" s="55" t="s">
        <v>762</v>
      </c>
      <c r="F202" s="55" t="s">
        <v>349</v>
      </c>
      <c r="G202" s="55" t="s">
        <v>174</v>
      </c>
      <c r="H202" s="56" t="s">
        <v>161</v>
      </c>
      <c r="I202" s="35" t="s">
        <v>193</v>
      </c>
      <c r="J202" s="56" t="s">
        <v>77</v>
      </c>
      <c r="K202" s="57"/>
      <c r="L202" s="57"/>
      <c r="M202" s="55"/>
      <c r="N202" s="55"/>
      <c r="O202" s="58" t="n">
        <f aca="false">IFERROR(VLOOKUP($H202,Lists!$S$9:$T$12,2,FALSE()),0)</f>
        <v>5</v>
      </c>
      <c r="P202" s="58" t="n">
        <f aca="true">IF(AND($K202&lt;&gt;"",$K202&lt;TODAY(),$J202&lt;&gt;"Complete",$J202&lt;&gt;"N/A"),1,0)</f>
        <v>0</v>
      </c>
    </row>
    <row r="203" customFormat="false" ht="23.25" hidden="false" customHeight="true" outlineLevel="0" collapsed="false">
      <c r="B203" s="46" t="s">
        <v>763</v>
      </c>
      <c r="C203" s="47" t="s">
        <v>136</v>
      </c>
      <c r="D203" s="18" t="s">
        <v>764</v>
      </c>
      <c r="E203" s="48" t="s">
        <v>765</v>
      </c>
      <c r="F203" s="48" t="s">
        <v>349</v>
      </c>
      <c r="G203" s="48" t="s">
        <v>174</v>
      </c>
      <c r="H203" s="49" t="s">
        <v>170</v>
      </c>
      <c r="I203" s="30" t="s">
        <v>193</v>
      </c>
      <c r="J203" s="49" t="s">
        <v>77</v>
      </c>
      <c r="K203" s="50"/>
      <c r="L203" s="50"/>
      <c r="M203" s="48"/>
      <c r="N203" s="48"/>
      <c r="O203" s="51" t="n">
        <f aca="false">IFERROR(VLOOKUP($H203,Lists!$S$9:$T$12,2,FALSE()),0)</f>
        <v>3</v>
      </c>
      <c r="P203" s="51" t="n">
        <f aca="true">IF(AND($K203&lt;&gt;"",$K203&lt;TODAY(),$J203&lt;&gt;"Complete",$J203&lt;&gt;"N/A"),1,0)</f>
        <v>0</v>
      </c>
    </row>
    <row r="204" customFormat="false" ht="23.25" hidden="false" customHeight="true" outlineLevel="0" collapsed="false">
      <c r="B204" s="52" t="s">
        <v>766</v>
      </c>
      <c r="C204" s="53" t="s">
        <v>136</v>
      </c>
      <c r="D204" s="54" t="s">
        <v>767</v>
      </c>
      <c r="E204" s="55" t="s">
        <v>768</v>
      </c>
      <c r="F204" s="55" t="s">
        <v>349</v>
      </c>
      <c r="G204" s="55" t="s">
        <v>192</v>
      </c>
      <c r="H204" s="56" t="s">
        <v>170</v>
      </c>
      <c r="I204" s="35" t="s">
        <v>235</v>
      </c>
      <c r="J204" s="56" t="s">
        <v>77</v>
      </c>
      <c r="K204" s="57"/>
      <c r="L204" s="57"/>
      <c r="M204" s="55"/>
      <c r="N204" s="55"/>
      <c r="O204" s="58" t="n">
        <f aca="false">IFERROR(VLOOKUP($H204,Lists!$S$9:$T$12,2,FALSE()),0)</f>
        <v>3</v>
      </c>
      <c r="P204" s="58" t="n">
        <f aca="true">IF(AND($K204&lt;&gt;"",$K204&lt;TODAY(),$J204&lt;&gt;"Complete",$J204&lt;&gt;"N/A"),1,0)</f>
        <v>0</v>
      </c>
    </row>
    <row r="205" customFormat="false" ht="23.25" hidden="false" customHeight="true" outlineLevel="0" collapsed="false">
      <c r="B205" s="46" t="s">
        <v>769</v>
      </c>
      <c r="C205" s="47" t="s">
        <v>136</v>
      </c>
      <c r="D205" s="18" t="s">
        <v>770</v>
      </c>
      <c r="E205" s="48" t="s">
        <v>771</v>
      </c>
      <c r="F205" s="48" t="s">
        <v>204</v>
      </c>
      <c r="G205" s="48" t="s">
        <v>174</v>
      </c>
      <c r="H205" s="49" t="s">
        <v>214</v>
      </c>
      <c r="I205" s="30" t="s">
        <v>215</v>
      </c>
      <c r="J205" s="49" t="s">
        <v>77</v>
      </c>
      <c r="K205" s="50"/>
      <c r="L205" s="50"/>
      <c r="M205" s="48"/>
      <c r="N205" s="48"/>
      <c r="O205" s="51" t="n">
        <f aca="false">IFERROR(VLOOKUP($H205,Lists!$S$9:$T$12,2,FALSE()),0)</f>
        <v>1</v>
      </c>
      <c r="P205" s="51" t="n">
        <f aca="true">IF(AND($K205&lt;&gt;"",$K205&lt;TODAY(),$J205&lt;&gt;"Complete",$J205&lt;&gt;"N/A"),1,0)</f>
        <v>0</v>
      </c>
    </row>
    <row r="206" customFormat="false" ht="23.25" hidden="false" customHeight="true" outlineLevel="0" collapsed="false">
      <c r="B206" s="52" t="s">
        <v>772</v>
      </c>
      <c r="C206" s="53" t="s">
        <v>136</v>
      </c>
      <c r="D206" s="54" t="s">
        <v>773</v>
      </c>
      <c r="E206" s="55" t="s">
        <v>774</v>
      </c>
      <c r="F206" s="55" t="s">
        <v>345</v>
      </c>
      <c r="G206" s="55" t="s">
        <v>192</v>
      </c>
      <c r="H206" s="56" t="s">
        <v>170</v>
      </c>
      <c r="I206" s="35" t="s">
        <v>235</v>
      </c>
      <c r="J206" s="56" t="s">
        <v>77</v>
      </c>
      <c r="K206" s="57"/>
      <c r="L206" s="57"/>
      <c r="M206" s="55"/>
      <c r="N206" s="55"/>
      <c r="O206" s="58" t="n">
        <f aca="false">IFERROR(VLOOKUP($H206,Lists!$S$9:$T$12,2,FALSE()),0)</f>
        <v>3</v>
      </c>
      <c r="P206" s="58" t="n">
        <f aca="true">IF(AND($K206&lt;&gt;"",$K206&lt;TODAY(),$J206&lt;&gt;"Complete",$J206&lt;&gt;"N/A"),1,0)</f>
        <v>0</v>
      </c>
    </row>
    <row r="207" customFormat="false" ht="23.25" hidden="false" customHeight="true" outlineLevel="0" collapsed="false">
      <c r="B207" s="46" t="s">
        <v>775</v>
      </c>
      <c r="C207" s="47" t="s">
        <v>137</v>
      </c>
      <c r="D207" s="18" t="s">
        <v>776</v>
      </c>
      <c r="E207" s="48" t="s">
        <v>777</v>
      </c>
      <c r="F207" s="48" t="s">
        <v>314</v>
      </c>
      <c r="G207" s="48" t="s">
        <v>160</v>
      </c>
      <c r="H207" s="49" t="s">
        <v>170</v>
      </c>
      <c r="I207" s="30" t="s">
        <v>193</v>
      </c>
      <c r="J207" s="49" t="s">
        <v>77</v>
      </c>
      <c r="K207" s="50"/>
      <c r="L207" s="50"/>
      <c r="M207" s="48"/>
      <c r="N207" s="48"/>
      <c r="O207" s="51" t="n">
        <f aca="false">IFERROR(VLOOKUP($H207,Lists!$S$9:$T$12,2,FALSE()),0)</f>
        <v>3</v>
      </c>
      <c r="P207" s="51" t="n">
        <f aca="true">IF(AND($K207&lt;&gt;"",$K207&lt;TODAY(),$J207&lt;&gt;"Complete",$J207&lt;&gt;"N/A"),1,0)</f>
        <v>0</v>
      </c>
    </row>
    <row r="208" customFormat="false" ht="23.25" hidden="false" customHeight="true" outlineLevel="0" collapsed="false">
      <c r="B208" s="52" t="s">
        <v>778</v>
      </c>
      <c r="C208" s="53" t="s">
        <v>137</v>
      </c>
      <c r="D208" s="54" t="s">
        <v>779</v>
      </c>
      <c r="E208" s="55" t="s">
        <v>780</v>
      </c>
      <c r="F208" s="55" t="s">
        <v>314</v>
      </c>
      <c r="G208" s="55" t="s">
        <v>174</v>
      </c>
      <c r="H208" s="56" t="s">
        <v>170</v>
      </c>
      <c r="I208" s="35" t="s">
        <v>235</v>
      </c>
      <c r="J208" s="56" t="s">
        <v>77</v>
      </c>
      <c r="K208" s="57"/>
      <c r="L208" s="57"/>
      <c r="M208" s="55"/>
      <c r="N208" s="55"/>
      <c r="O208" s="58" t="n">
        <f aca="false">IFERROR(VLOOKUP($H208,Lists!$S$9:$T$12,2,FALSE()),0)</f>
        <v>3</v>
      </c>
      <c r="P208" s="58" t="n">
        <f aca="true">IF(AND($K208&lt;&gt;"",$K208&lt;TODAY(),$J208&lt;&gt;"Complete",$J208&lt;&gt;"N/A"),1,0)</f>
        <v>0</v>
      </c>
    </row>
    <row r="209" customFormat="false" ht="23.25" hidden="false" customHeight="true" outlineLevel="0" collapsed="false">
      <c r="B209" s="46" t="s">
        <v>781</v>
      </c>
      <c r="C209" s="47" t="s">
        <v>137</v>
      </c>
      <c r="D209" s="18" t="s">
        <v>782</v>
      </c>
      <c r="E209" s="48" t="s">
        <v>783</v>
      </c>
      <c r="F209" s="48" t="s">
        <v>314</v>
      </c>
      <c r="G209" s="48" t="s">
        <v>192</v>
      </c>
      <c r="H209" s="49" t="s">
        <v>170</v>
      </c>
      <c r="I209" s="30" t="s">
        <v>235</v>
      </c>
      <c r="J209" s="49" t="s">
        <v>77</v>
      </c>
      <c r="K209" s="50"/>
      <c r="L209" s="50"/>
      <c r="M209" s="48"/>
      <c r="N209" s="48"/>
      <c r="O209" s="51" t="n">
        <f aca="false">IFERROR(VLOOKUP($H209,Lists!$S$9:$T$12,2,FALSE()),0)</f>
        <v>3</v>
      </c>
      <c r="P209" s="51" t="n">
        <f aca="true">IF(AND($K209&lt;&gt;"",$K209&lt;TODAY(),$J209&lt;&gt;"Complete",$J209&lt;&gt;"N/A"),1,0)</f>
        <v>0</v>
      </c>
    </row>
    <row r="210" customFormat="false" ht="23.25" hidden="false" customHeight="true" outlineLevel="0" collapsed="false">
      <c r="B210" s="52" t="s">
        <v>784</v>
      </c>
      <c r="C210" s="53" t="s">
        <v>137</v>
      </c>
      <c r="D210" s="54" t="s">
        <v>785</v>
      </c>
      <c r="E210" s="55" t="s">
        <v>786</v>
      </c>
      <c r="F210" s="55" t="s">
        <v>314</v>
      </c>
      <c r="G210" s="55" t="s">
        <v>192</v>
      </c>
      <c r="H210" s="56" t="s">
        <v>188</v>
      </c>
      <c r="I210" s="35" t="s">
        <v>235</v>
      </c>
      <c r="J210" s="56" t="s">
        <v>77</v>
      </c>
      <c r="K210" s="57"/>
      <c r="L210" s="57"/>
      <c r="M210" s="55"/>
      <c r="N210" s="55"/>
      <c r="O210" s="58" t="n">
        <f aca="false">IFERROR(VLOOKUP($H210,Lists!$S$9:$T$12,2,FALSE()),0)</f>
        <v>2</v>
      </c>
      <c r="P210" s="58" t="n">
        <f aca="true">IF(AND($K210&lt;&gt;"",$K210&lt;TODAY(),$J210&lt;&gt;"Complete",$J210&lt;&gt;"N/A"),1,0)</f>
        <v>0</v>
      </c>
    </row>
    <row r="211" customFormat="false" ht="23.25" hidden="false" customHeight="true" outlineLevel="0" collapsed="false">
      <c r="B211" s="46" t="s">
        <v>787</v>
      </c>
      <c r="C211" s="47" t="s">
        <v>137</v>
      </c>
      <c r="D211" s="18" t="s">
        <v>788</v>
      </c>
      <c r="E211" s="48" t="s">
        <v>789</v>
      </c>
      <c r="F211" s="48" t="s">
        <v>314</v>
      </c>
      <c r="G211" s="48" t="s">
        <v>174</v>
      </c>
      <c r="H211" s="49" t="s">
        <v>170</v>
      </c>
      <c r="I211" s="30" t="s">
        <v>215</v>
      </c>
      <c r="J211" s="49" t="s">
        <v>77</v>
      </c>
      <c r="K211" s="50"/>
      <c r="L211" s="50"/>
      <c r="M211" s="48"/>
      <c r="N211" s="48"/>
      <c r="O211" s="51" t="n">
        <f aca="false">IFERROR(VLOOKUP($H211,Lists!$S$9:$T$12,2,FALSE()),0)</f>
        <v>3</v>
      </c>
      <c r="P211" s="51" t="n">
        <f aca="true">IF(AND($K211&lt;&gt;"",$K211&lt;TODAY(),$J211&lt;&gt;"Complete",$J211&lt;&gt;"N/A"),1,0)</f>
        <v>0</v>
      </c>
    </row>
    <row r="212" customFormat="false" ht="23.25" hidden="false" customHeight="true" outlineLevel="0" collapsed="false">
      <c r="B212" s="52" t="s">
        <v>790</v>
      </c>
      <c r="C212" s="53" t="s">
        <v>137</v>
      </c>
      <c r="D212" s="54" t="s">
        <v>791</v>
      </c>
      <c r="E212" s="55" t="s">
        <v>792</v>
      </c>
      <c r="F212" s="55" t="s">
        <v>271</v>
      </c>
      <c r="G212" s="55" t="s">
        <v>174</v>
      </c>
      <c r="H212" s="56" t="s">
        <v>170</v>
      </c>
      <c r="I212" s="35" t="s">
        <v>215</v>
      </c>
      <c r="J212" s="56" t="s">
        <v>77</v>
      </c>
      <c r="K212" s="57"/>
      <c r="L212" s="57"/>
      <c r="M212" s="55"/>
      <c r="N212" s="55"/>
      <c r="O212" s="58" t="n">
        <f aca="false">IFERROR(VLOOKUP($H212,Lists!$S$9:$T$12,2,FALSE()),0)</f>
        <v>3</v>
      </c>
      <c r="P212" s="58" t="n">
        <f aca="true">IF(AND($K212&lt;&gt;"",$K212&lt;TODAY(),$J212&lt;&gt;"Complete",$J212&lt;&gt;"N/A"),1,0)</f>
        <v>0</v>
      </c>
    </row>
    <row r="213" customFormat="false" ht="23.25" hidden="false" customHeight="true" outlineLevel="0" collapsed="false">
      <c r="B213" s="46" t="s">
        <v>793</v>
      </c>
      <c r="C213" s="47" t="s">
        <v>137</v>
      </c>
      <c r="D213" s="18" t="s">
        <v>794</v>
      </c>
      <c r="E213" s="48" t="s">
        <v>795</v>
      </c>
      <c r="F213" s="48" t="s">
        <v>197</v>
      </c>
      <c r="G213" s="48" t="s">
        <v>192</v>
      </c>
      <c r="H213" s="49" t="s">
        <v>188</v>
      </c>
      <c r="I213" s="30" t="s">
        <v>235</v>
      </c>
      <c r="J213" s="49" t="s">
        <v>77</v>
      </c>
      <c r="K213" s="50"/>
      <c r="L213" s="50"/>
      <c r="M213" s="48"/>
      <c r="N213" s="48"/>
      <c r="O213" s="51" t="n">
        <f aca="false">IFERROR(VLOOKUP($H213,Lists!$S$9:$T$12,2,FALSE()),0)</f>
        <v>2</v>
      </c>
      <c r="P213" s="51" t="n">
        <f aca="true">IF(AND($K213&lt;&gt;"",$K213&lt;TODAY(),$J213&lt;&gt;"Complete",$J213&lt;&gt;"N/A"),1,0)</f>
        <v>0</v>
      </c>
    </row>
    <row r="214" customFormat="false" ht="23.25" hidden="false" customHeight="true" outlineLevel="0" collapsed="false">
      <c r="B214" s="52" t="s">
        <v>796</v>
      </c>
      <c r="C214" s="53" t="s">
        <v>137</v>
      </c>
      <c r="D214" s="54" t="s">
        <v>797</v>
      </c>
      <c r="E214" s="55" t="s">
        <v>798</v>
      </c>
      <c r="F214" s="55" t="s">
        <v>314</v>
      </c>
      <c r="G214" s="55" t="s">
        <v>192</v>
      </c>
      <c r="H214" s="56" t="s">
        <v>188</v>
      </c>
      <c r="I214" s="35" t="s">
        <v>235</v>
      </c>
      <c r="J214" s="56" t="s">
        <v>77</v>
      </c>
      <c r="K214" s="57"/>
      <c r="L214" s="57"/>
      <c r="M214" s="55"/>
      <c r="N214" s="55"/>
      <c r="O214" s="58" t="n">
        <f aca="false">IFERROR(VLOOKUP($H214,Lists!$S$9:$T$12,2,FALSE()),0)</f>
        <v>2</v>
      </c>
      <c r="P214" s="58" t="n">
        <f aca="true">IF(AND($K214&lt;&gt;"",$K214&lt;TODAY(),$J214&lt;&gt;"Complete",$J214&lt;&gt;"N/A"),1,0)</f>
        <v>0</v>
      </c>
    </row>
    <row r="215" customFormat="false" ht="23.25" hidden="false" customHeight="true" outlineLevel="0" collapsed="false">
      <c r="B215" s="46" t="s">
        <v>799</v>
      </c>
      <c r="C215" s="47" t="s">
        <v>137</v>
      </c>
      <c r="D215" s="18" t="s">
        <v>800</v>
      </c>
      <c r="E215" s="48" t="s">
        <v>801</v>
      </c>
      <c r="F215" s="48" t="s">
        <v>159</v>
      </c>
      <c r="G215" s="48" t="s">
        <v>174</v>
      </c>
      <c r="H215" s="49" t="s">
        <v>170</v>
      </c>
      <c r="I215" s="30" t="s">
        <v>235</v>
      </c>
      <c r="J215" s="49" t="s">
        <v>77</v>
      </c>
      <c r="K215" s="50"/>
      <c r="L215" s="50"/>
      <c r="M215" s="48"/>
      <c r="N215" s="48"/>
      <c r="O215" s="51" t="n">
        <f aca="false">IFERROR(VLOOKUP($H215,Lists!$S$9:$T$12,2,FALSE()),0)</f>
        <v>3</v>
      </c>
      <c r="P215" s="51" t="n">
        <f aca="true">IF(AND($K215&lt;&gt;"",$K215&lt;TODAY(),$J215&lt;&gt;"Complete",$J215&lt;&gt;"N/A"),1,0)</f>
        <v>0</v>
      </c>
    </row>
    <row r="216" customFormat="false" ht="23.25" hidden="false" customHeight="true" outlineLevel="0" collapsed="false">
      <c r="B216" s="52" t="s">
        <v>802</v>
      </c>
      <c r="C216" s="53" t="s">
        <v>137</v>
      </c>
      <c r="D216" s="54" t="s">
        <v>803</v>
      </c>
      <c r="E216" s="55" t="s">
        <v>804</v>
      </c>
      <c r="F216" s="55" t="s">
        <v>369</v>
      </c>
      <c r="G216" s="55" t="s">
        <v>174</v>
      </c>
      <c r="H216" s="56" t="s">
        <v>161</v>
      </c>
      <c r="I216" s="35" t="s">
        <v>235</v>
      </c>
      <c r="J216" s="56" t="s">
        <v>77</v>
      </c>
      <c r="K216" s="57"/>
      <c r="L216" s="57"/>
      <c r="M216" s="55"/>
      <c r="N216" s="55"/>
      <c r="O216" s="58" t="n">
        <f aca="false">IFERROR(VLOOKUP($H216,Lists!$S$9:$T$12,2,FALSE()),0)</f>
        <v>5</v>
      </c>
      <c r="P216" s="58" t="n">
        <f aca="true">IF(AND($K216&lt;&gt;"",$K216&lt;TODAY(),$J216&lt;&gt;"Complete",$J216&lt;&gt;"N/A"),1,0)</f>
        <v>0</v>
      </c>
    </row>
    <row r="217" customFormat="false" ht="23.25" hidden="false" customHeight="true" outlineLevel="0" collapsed="false">
      <c r="B217" s="46" t="s">
        <v>805</v>
      </c>
      <c r="C217" s="47" t="s">
        <v>137</v>
      </c>
      <c r="D217" s="18" t="s">
        <v>806</v>
      </c>
      <c r="E217" s="48" t="s">
        <v>807</v>
      </c>
      <c r="F217" s="48" t="s">
        <v>314</v>
      </c>
      <c r="G217" s="48" t="s">
        <v>192</v>
      </c>
      <c r="H217" s="49" t="s">
        <v>170</v>
      </c>
      <c r="I217" s="30" t="s">
        <v>235</v>
      </c>
      <c r="J217" s="49" t="s">
        <v>77</v>
      </c>
      <c r="K217" s="50"/>
      <c r="L217" s="50"/>
      <c r="M217" s="48"/>
      <c r="N217" s="48"/>
      <c r="O217" s="51" t="n">
        <f aca="false">IFERROR(VLOOKUP($H217,Lists!$S$9:$T$12,2,FALSE()),0)</f>
        <v>3</v>
      </c>
      <c r="P217" s="51" t="n">
        <f aca="true">IF(AND($K217&lt;&gt;"",$K217&lt;TODAY(),$J217&lt;&gt;"Complete",$J217&lt;&gt;"N/A"),1,0)</f>
        <v>0</v>
      </c>
    </row>
    <row r="218" customFormat="false" ht="23.25" hidden="false" customHeight="true" outlineLevel="0" collapsed="false">
      <c r="B218" s="52" t="s">
        <v>808</v>
      </c>
      <c r="C218" s="53" t="s">
        <v>137</v>
      </c>
      <c r="D218" s="54" t="s">
        <v>809</v>
      </c>
      <c r="E218" s="55" t="s">
        <v>810</v>
      </c>
      <c r="F218" s="55" t="s">
        <v>192</v>
      </c>
      <c r="G218" s="55" t="s">
        <v>174</v>
      </c>
      <c r="H218" s="56" t="s">
        <v>188</v>
      </c>
      <c r="I218" s="35" t="s">
        <v>235</v>
      </c>
      <c r="J218" s="56" t="s">
        <v>77</v>
      </c>
      <c r="K218" s="57"/>
      <c r="L218" s="57"/>
      <c r="M218" s="55"/>
      <c r="N218" s="55"/>
      <c r="O218" s="58" t="n">
        <f aca="false">IFERROR(VLOOKUP($H218,Lists!$S$9:$T$12,2,FALSE()),0)</f>
        <v>2</v>
      </c>
      <c r="P218" s="58" t="n">
        <f aca="true">IF(AND($K218&lt;&gt;"",$K218&lt;TODAY(),$J218&lt;&gt;"Complete",$J218&lt;&gt;"N/A"),1,0)</f>
        <v>0</v>
      </c>
    </row>
    <row r="219" customFormat="false" ht="23.25" hidden="false" customHeight="true" outlineLevel="0" collapsed="false">
      <c r="B219" s="46" t="s">
        <v>811</v>
      </c>
      <c r="C219" s="47" t="s">
        <v>137</v>
      </c>
      <c r="D219" s="18" t="s">
        <v>812</v>
      </c>
      <c r="E219" s="48" t="s">
        <v>813</v>
      </c>
      <c r="F219" s="48" t="s">
        <v>314</v>
      </c>
      <c r="G219" s="48" t="s">
        <v>174</v>
      </c>
      <c r="H219" s="49" t="s">
        <v>214</v>
      </c>
      <c r="I219" s="30" t="s">
        <v>215</v>
      </c>
      <c r="J219" s="49" t="s">
        <v>77</v>
      </c>
      <c r="K219" s="50"/>
      <c r="L219" s="50"/>
      <c r="M219" s="48"/>
      <c r="N219" s="48"/>
      <c r="O219" s="51" t="n">
        <f aca="false">IFERROR(VLOOKUP($H219,Lists!$S$9:$T$12,2,FALSE()),0)</f>
        <v>1</v>
      </c>
      <c r="P219" s="51" t="n">
        <f aca="true">IF(AND($K219&lt;&gt;"",$K219&lt;TODAY(),$J219&lt;&gt;"Complete",$J219&lt;&gt;"N/A"),1,0)</f>
        <v>0</v>
      </c>
    </row>
    <row r="220" customFormat="false" ht="23.25" hidden="false" customHeight="true" outlineLevel="0" collapsed="false">
      <c r="B220" s="52" t="s">
        <v>814</v>
      </c>
      <c r="C220" s="53" t="s">
        <v>138</v>
      </c>
      <c r="D220" s="54" t="s">
        <v>815</v>
      </c>
      <c r="E220" s="55" t="s">
        <v>816</v>
      </c>
      <c r="F220" s="55" t="s">
        <v>169</v>
      </c>
      <c r="G220" s="55" t="s">
        <v>160</v>
      </c>
      <c r="H220" s="56" t="s">
        <v>170</v>
      </c>
      <c r="I220" s="35" t="s">
        <v>193</v>
      </c>
      <c r="J220" s="56" t="s">
        <v>77</v>
      </c>
      <c r="K220" s="57"/>
      <c r="L220" s="57"/>
      <c r="M220" s="55"/>
      <c r="N220" s="55"/>
      <c r="O220" s="58" t="n">
        <f aca="false">IFERROR(VLOOKUP($H220,Lists!$S$9:$T$12,2,FALSE()),0)</f>
        <v>3</v>
      </c>
      <c r="P220" s="58" t="n">
        <f aca="true">IF(AND($K220&lt;&gt;"",$K220&lt;TODAY(),$J220&lt;&gt;"Complete",$J220&lt;&gt;"N/A"),1,0)</f>
        <v>0</v>
      </c>
    </row>
    <row r="221" customFormat="false" ht="23.25" hidden="false" customHeight="true" outlineLevel="0" collapsed="false">
      <c r="B221" s="46" t="s">
        <v>817</v>
      </c>
      <c r="C221" s="47" t="s">
        <v>138</v>
      </c>
      <c r="D221" s="18" t="s">
        <v>818</v>
      </c>
      <c r="E221" s="48" t="s">
        <v>819</v>
      </c>
      <c r="F221" s="48" t="s">
        <v>197</v>
      </c>
      <c r="G221" s="48" t="s">
        <v>169</v>
      </c>
      <c r="H221" s="49" t="s">
        <v>170</v>
      </c>
      <c r="I221" s="30" t="s">
        <v>235</v>
      </c>
      <c r="J221" s="49" t="s">
        <v>77</v>
      </c>
      <c r="K221" s="50"/>
      <c r="L221" s="50"/>
      <c r="M221" s="48"/>
      <c r="N221" s="48"/>
      <c r="O221" s="51" t="n">
        <f aca="false">IFERROR(VLOOKUP($H221,Lists!$S$9:$T$12,2,FALSE()),0)</f>
        <v>3</v>
      </c>
      <c r="P221" s="51" t="n">
        <f aca="true">IF(AND($K221&lt;&gt;"",$K221&lt;TODAY(),$J221&lt;&gt;"Complete",$J221&lt;&gt;"N/A"),1,0)</f>
        <v>0</v>
      </c>
    </row>
    <row r="222" customFormat="false" ht="23.25" hidden="false" customHeight="true" outlineLevel="0" collapsed="false">
      <c r="B222" s="52" t="s">
        <v>820</v>
      </c>
      <c r="C222" s="53" t="s">
        <v>138</v>
      </c>
      <c r="D222" s="54" t="s">
        <v>821</v>
      </c>
      <c r="E222" s="55" t="s">
        <v>822</v>
      </c>
      <c r="F222" s="55" t="s">
        <v>169</v>
      </c>
      <c r="G222" s="55" t="s">
        <v>192</v>
      </c>
      <c r="H222" s="56" t="s">
        <v>188</v>
      </c>
      <c r="I222" s="35" t="s">
        <v>235</v>
      </c>
      <c r="J222" s="56" t="s">
        <v>77</v>
      </c>
      <c r="K222" s="57"/>
      <c r="L222" s="57"/>
      <c r="M222" s="55"/>
      <c r="N222" s="55"/>
      <c r="O222" s="58" t="n">
        <f aca="false">IFERROR(VLOOKUP($H222,Lists!$S$9:$T$12,2,FALSE()),0)</f>
        <v>2</v>
      </c>
      <c r="P222" s="58" t="n">
        <f aca="true">IF(AND($K222&lt;&gt;"",$K222&lt;TODAY(),$J222&lt;&gt;"Complete",$J222&lt;&gt;"N/A"),1,0)</f>
        <v>0</v>
      </c>
    </row>
    <row r="223" customFormat="false" ht="23.25" hidden="false" customHeight="true" outlineLevel="0" collapsed="false">
      <c r="B223" s="46" t="s">
        <v>823</v>
      </c>
      <c r="C223" s="47" t="s">
        <v>138</v>
      </c>
      <c r="D223" s="18" t="s">
        <v>824</v>
      </c>
      <c r="E223" s="48" t="s">
        <v>825</v>
      </c>
      <c r="F223" s="48" t="s">
        <v>169</v>
      </c>
      <c r="G223" s="48" t="s">
        <v>174</v>
      </c>
      <c r="H223" s="49" t="s">
        <v>170</v>
      </c>
      <c r="I223" s="30" t="s">
        <v>215</v>
      </c>
      <c r="J223" s="49" t="s">
        <v>77</v>
      </c>
      <c r="K223" s="50"/>
      <c r="L223" s="50"/>
      <c r="M223" s="48"/>
      <c r="N223" s="48"/>
      <c r="O223" s="51" t="n">
        <f aca="false">IFERROR(VLOOKUP($H223,Lists!$S$9:$T$12,2,FALSE()),0)</f>
        <v>3</v>
      </c>
      <c r="P223" s="51" t="n">
        <f aca="true">IF(AND($K223&lt;&gt;"",$K223&lt;TODAY(),$J223&lt;&gt;"Complete",$J223&lt;&gt;"N/A"),1,0)</f>
        <v>0</v>
      </c>
    </row>
    <row r="224" customFormat="false" ht="23.25" hidden="false" customHeight="true" outlineLevel="0" collapsed="false">
      <c r="B224" s="52" t="s">
        <v>826</v>
      </c>
      <c r="C224" s="53" t="s">
        <v>138</v>
      </c>
      <c r="D224" s="54" t="s">
        <v>827</v>
      </c>
      <c r="E224" s="55" t="s">
        <v>828</v>
      </c>
      <c r="F224" s="55" t="s">
        <v>271</v>
      </c>
      <c r="G224" s="55" t="s">
        <v>174</v>
      </c>
      <c r="H224" s="56" t="s">
        <v>170</v>
      </c>
      <c r="I224" s="35" t="s">
        <v>215</v>
      </c>
      <c r="J224" s="56" t="s">
        <v>77</v>
      </c>
      <c r="K224" s="57"/>
      <c r="L224" s="57"/>
      <c r="M224" s="55"/>
      <c r="N224" s="55"/>
      <c r="O224" s="58" t="n">
        <f aca="false">IFERROR(VLOOKUP($H224,Lists!$S$9:$T$12,2,FALSE()),0)</f>
        <v>3</v>
      </c>
      <c r="P224" s="58" t="n">
        <f aca="true">IF(AND($K224&lt;&gt;"",$K224&lt;TODAY(),$J224&lt;&gt;"Complete",$J224&lt;&gt;"N/A"),1,0)</f>
        <v>0</v>
      </c>
    </row>
    <row r="225" customFormat="false" ht="23.25" hidden="false" customHeight="true" outlineLevel="0" collapsed="false">
      <c r="B225" s="46" t="s">
        <v>829</v>
      </c>
      <c r="C225" s="47" t="s">
        <v>138</v>
      </c>
      <c r="D225" s="18" t="s">
        <v>830</v>
      </c>
      <c r="E225" s="48" t="s">
        <v>831</v>
      </c>
      <c r="F225" s="48" t="s">
        <v>192</v>
      </c>
      <c r="G225" s="48" t="s">
        <v>169</v>
      </c>
      <c r="H225" s="49" t="s">
        <v>188</v>
      </c>
      <c r="I225" s="30" t="s">
        <v>215</v>
      </c>
      <c r="J225" s="49" t="s">
        <v>77</v>
      </c>
      <c r="K225" s="50"/>
      <c r="L225" s="50"/>
      <c r="M225" s="48"/>
      <c r="N225" s="48"/>
      <c r="O225" s="51" t="n">
        <f aca="false">IFERROR(VLOOKUP($H225,Lists!$S$9:$T$12,2,FALSE()),0)</f>
        <v>2</v>
      </c>
      <c r="P225" s="51" t="n">
        <f aca="true">IF(AND($K225&lt;&gt;"",$K225&lt;TODAY(),$J225&lt;&gt;"Complete",$J225&lt;&gt;"N/A"),1,0)</f>
        <v>0</v>
      </c>
    </row>
    <row r="226" customFormat="false" ht="15" hidden="false" customHeight="true" outlineLevel="0" collapsed="false">
      <c r="B226" s="52" t="s">
        <v>832</v>
      </c>
      <c r="C226" s="53" t="s">
        <v>138</v>
      </c>
      <c r="D226" s="54" t="s">
        <v>833</v>
      </c>
      <c r="E226" s="55" t="s">
        <v>834</v>
      </c>
      <c r="F226" s="55" t="s">
        <v>169</v>
      </c>
      <c r="G226" s="55" t="s">
        <v>174</v>
      </c>
      <c r="H226" s="56" t="s">
        <v>170</v>
      </c>
      <c r="I226" s="35" t="s">
        <v>215</v>
      </c>
      <c r="J226" s="56" t="s">
        <v>77</v>
      </c>
      <c r="K226" s="57"/>
      <c r="L226" s="57"/>
      <c r="M226" s="55"/>
      <c r="N226" s="55"/>
      <c r="O226" s="58" t="n">
        <f aca="false">IFERROR(VLOOKUP($H226,Lists!$S$9:$T$12,2,FALSE()),0)</f>
        <v>3</v>
      </c>
      <c r="P226" s="58" t="n">
        <f aca="true">IF(AND($K226&lt;&gt;"",$K226&lt;TODAY(),$J226&lt;&gt;"Complete",$J226&lt;&gt;"N/A"),1,0)</f>
        <v>0</v>
      </c>
    </row>
    <row r="227" customFormat="false" ht="23.25" hidden="false" customHeight="true" outlineLevel="0" collapsed="false">
      <c r="B227" s="46" t="s">
        <v>835</v>
      </c>
      <c r="C227" s="47" t="s">
        <v>138</v>
      </c>
      <c r="D227" s="18" t="s">
        <v>836</v>
      </c>
      <c r="E227" s="48" t="s">
        <v>837</v>
      </c>
      <c r="F227" s="48" t="s">
        <v>169</v>
      </c>
      <c r="G227" s="48" t="s">
        <v>174</v>
      </c>
      <c r="H227" s="49" t="s">
        <v>188</v>
      </c>
      <c r="I227" s="30" t="s">
        <v>215</v>
      </c>
      <c r="J227" s="49" t="s">
        <v>77</v>
      </c>
      <c r="K227" s="50"/>
      <c r="L227" s="50"/>
      <c r="M227" s="48"/>
      <c r="N227" s="48"/>
      <c r="O227" s="51" t="n">
        <f aca="false">IFERROR(VLOOKUP($H227,Lists!$S$9:$T$12,2,FALSE()),0)</f>
        <v>2</v>
      </c>
      <c r="P227" s="51" t="n">
        <f aca="true">IF(AND($K227&lt;&gt;"",$K227&lt;TODAY(),$J227&lt;&gt;"Complete",$J227&lt;&gt;"N/A"),1,0)</f>
        <v>0</v>
      </c>
    </row>
    <row r="228" customFormat="false" ht="23.25" hidden="false" customHeight="true" outlineLevel="0" collapsed="false">
      <c r="B228" s="52" t="s">
        <v>838</v>
      </c>
      <c r="C228" s="53" t="s">
        <v>138</v>
      </c>
      <c r="D228" s="54" t="s">
        <v>839</v>
      </c>
      <c r="E228" s="55" t="s">
        <v>840</v>
      </c>
      <c r="F228" s="55" t="s">
        <v>314</v>
      </c>
      <c r="G228" s="55" t="s">
        <v>174</v>
      </c>
      <c r="H228" s="56" t="s">
        <v>170</v>
      </c>
      <c r="I228" s="35" t="s">
        <v>215</v>
      </c>
      <c r="J228" s="56" t="s">
        <v>77</v>
      </c>
      <c r="K228" s="57"/>
      <c r="L228" s="57"/>
      <c r="M228" s="55"/>
      <c r="N228" s="55"/>
      <c r="O228" s="58" t="n">
        <f aca="false">IFERROR(VLOOKUP($H228,Lists!$S$9:$T$12,2,FALSE()),0)</f>
        <v>3</v>
      </c>
      <c r="P228" s="58" t="n">
        <f aca="true">IF(AND($K228&lt;&gt;"",$K228&lt;TODAY(),$J228&lt;&gt;"Complete",$J228&lt;&gt;"N/A"),1,0)</f>
        <v>0</v>
      </c>
    </row>
    <row r="229" customFormat="false" ht="23.25" hidden="false" customHeight="true" outlineLevel="0" collapsed="false">
      <c r="B229" s="46" t="s">
        <v>841</v>
      </c>
      <c r="C229" s="47" t="s">
        <v>138</v>
      </c>
      <c r="D229" s="18" t="s">
        <v>842</v>
      </c>
      <c r="E229" s="48" t="s">
        <v>843</v>
      </c>
      <c r="F229" s="48" t="s">
        <v>169</v>
      </c>
      <c r="G229" s="48" t="s">
        <v>160</v>
      </c>
      <c r="H229" s="49" t="s">
        <v>188</v>
      </c>
      <c r="I229" s="30" t="s">
        <v>215</v>
      </c>
      <c r="J229" s="49" t="s">
        <v>77</v>
      </c>
      <c r="K229" s="50"/>
      <c r="L229" s="50"/>
      <c r="M229" s="48"/>
      <c r="N229" s="48"/>
      <c r="O229" s="51" t="n">
        <f aca="false">IFERROR(VLOOKUP($H229,Lists!$S$9:$T$12,2,FALSE()),0)</f>
        <v>2</v>
      </c>
      <c r="P229" s="51" t="n">
        <f aca="true">IF(AND($K229&lt;&gt;"",$K229&lt;TODAY(),$J229&lt;&gt;"Complete",$J229&lt;&gt;"N/A"),1,0)</f>
        <v>0</v>
      </c>
    </row>
    <row r="230" customFormat="false" ht="23.25" hidden="false" customHeight="true" outlineLevel="0" collapsed="false">
      <c r="B230" s="52" t="s">
        <v>844</v>
      </c>
      <c r="C230" s="53" t="s">
        <v>138</v>
      </c>
      <c r="D230" s="54" t="s">
        <v>845</v>
      </c>
      <c r="E230" s="55" t="s">
        <v>846</v>
      </c>
      <c r="F230" s="55" t="s">
        <v>169</v>
      </c>
      <c r="G230" s="55" t="s">
        <v>160</v>
      </c>
      <c r="H230" s="56" t="s">
        <v>188</v>
      </c>
      <c r="I230" s="35" t="s">
        <v>215</v>
      </c>
      <c r="J230" s="56" t="s">
        <v>77</v>
      </c>
      <c r="K230" s="57"/>
      <c r="L230" s="57"/>
      <c r="M230" s="55"/>
      <c r="N230" s="55"/>
      <c r="O230" s="58" t="n">
        <f aca="false">IFERROR(VLOOKUP($H230,Lists!$S$9:$T$12,2,FALSE()),0)</f>
        <v>2</v>
      </c>
      <c r="P230" s="58" t="n">
        <f aca="true">IF(AND($K230&lt;&gt;"",$K230&lt;TODAY(),$J230&lt;&gt;"Complete",$J230&lt;&gt;"N/A"),1,0)</f>
        <v>0</v>
      </c>
    </row>
    <row r="231" customFormat="false" ht="23.25" hidden="false" customHeight="true" outlineLevel="0" collapsed="false">
      <c r="B231" s="46" t="s">
        <v>847</v>
      </c>
      <c r="C231" s="47" t="s">
        <v>138</v>
      </c>
      <c r="D231" s="18" t="s">
        <v>848</v>
      </c>
      <c r="E231" s="48" t="s">
        <v>849</v>
      </c>
      <c r="F231" s="48" t="s">
        <v>169</v>
      </c>
      <c r="G231" s="48" t="s">
        <v>174</v>
      </c>
      <c r="H231" s="49" t="s">
        <v>188</v>
      </c>
      <c r="I231" s="30" t="s">
        <v>215</v>
      </c>
      <c r="J231" s="49" t="s">
        <v>77</v>
      </c>
      <c r="K231" s="50"/>
      <c r="L231" s="50"/>
      <c r="M231" s="48"/>
      <c r="N231" s="48"/>
      <c r="O231" s="51" t="n">
        <f aca="false">IFERROR(VLOOKUP($H231,Lists!$S$9:$T$12,2,FALSE()),0)</f>
        <v>2</v>
      </c>
      <c r="P231" s="51" t="n">
        <f aca="true">IF(AND($K231&lt;&gt;"",$K231&lt;TODAY(),$J231&lt;&gt;"Complete",$J231&lt;&gt;"N/A"),1,0)</f>
        <v>0</v>
      </c>
    </row>
    <row r="232" customFormat="false" ht="23.25" hidden="false" customHeight="true" outlineLevel="0" collapsed="false">
      <c r="B232" s="52" t="s">
        <v>850</v>
      </c>
      <c r="C232" s="53" t="s">
        <v>138</v>
      </c>
      <c r="D232" s="54" t="s">
        <v>851</v>
      </c>
      <c r="E232" s="55" t="s">
        <v>852</v>
      </c>
      <c r="F232" s="55" t="s">
        <v>258</v>
      </c>
      <c r="G232" s="55" t="s">
        <v>174</v>
      </c>
      <c r="H232" s="56" t="s">
        <v>188</v>
      </c>
      <c r="I232" s="35" t="s">
        <v>215</v>
      </c>
      <c r="J232" s="56" t="s">
        <v>77</v>
      </c>
      <c r="K232" s="57"/>
      <c r="L232" s="57"/>
      <c r="M232" s="55"/>
      <c r="N232" s="55"/>
      <c r="O232" s="58" t="n">
        <f aca="false">IFERROR(VLOOKUP($H232,Lists!$S$9:$T$12,2,FALSE()),0)</f>
        <v>2</v>
      </c>
      <c r="P232" s="58" t="n">
        <f aca="true">IF(AND($K232&lt;&gt;"",$K232&lt;TODAY(),$J232&lt;&gt;"Complete",$J232&lt;&gt;"N/A"),1,0)</f>
        <v>0</v>
      </c>
    </row>
    <row r="233" customFormat="false" ht="23.25" hidden="false" customHeight="true" outlineLevel="0" collapsed="false">
      <c r="B233" s="46" t="s">
        <v>853</v>
      </c>
      <c r="C233" s="47" t="s">
        <v>139</v>
      </c>
      <c r="D233" s="18" t="s">
        <v>854</v>
      </c>
      <c r="E233" s="48" t="s">
        <v>855</v>
      </c>
      <c r="F233" s="48" t="s">
        <v>204</v>
      </c>
      <c r="G233" s="48" t="s">
        <v>160</v>
      </c>
      <c r="H233" s="49" t="s">
        <v>161</v>
      </c>
      <c r="I233" s="30" t="s">
        <v>193</v>
      </c>
      <c r="J233" s="49" t="s">
        <v>77</v>
      </c>
      <c r="K233" s="50"/>
      <c r="L233" s="50"/>
      <c r="M233" s="48"/>
      <c r="N233" s="48"/>
      <c r="O233" s="51" t="n">
        <f aca="false">IFERROR(VLOOKUP($H233,Lists!$S$9:$T$12,2,FALSE()),0)</f>
        <v>5</v>
      </c>
      <c r="P233" s="51" t="n">
        <f aca="true">IF(AND($K233&lt;&gt;"",$K233&lt;TODAY(),$J233&lt;&gt;"Complete",$J233&lt;&gt;"N/A"),1,0)</f>
        <v>0</v>
      </c>
    </row>
    <row r="234" customFormat="false" ht="23.25" hidden="false" customHeight="true" outlineLevel="0" collapsed="false">
      <c r="B234" s="52" t="s">
        <v>856</v>
      </c>
      <c r="C234" s="53" t="s">
        <v>139</v>
      </c>
      <c r="D234" s="54" t="s">
        <v>857</v>
      </c>
      <c r="E234" s="55" t="s">
        <v>858</v>
      </c>
      <c r="F234" s="55" t="s">
        <v>159</v>
      </c>
      <c r="G234" s="55" t="s">
        <v>160</v>
      </c>
      <c r="H234" s="56" t="s">
        <v>161</v>
      </c>
      <c r="I234" s="35" t="s">
        <v>193</v>
      </c>
      <c r="J234" s="56" t="s">
        <v>77</v>
      </c>
      <c r="K234" s="57"/>
      <c r="L234" s="57"/>
      <c r="M234" s="55"/>
      <c r="N234" s="55"/>
      <c r="O234" s="58" t="n">
        <f aca="false">IFERROR(VLOOKUP($H234,Lists!$S$9:$T$12,2,FALSE()),0)</f>
        <v>5</v>
      </c>
      <c r="P234" s="58" t="n">
        <f aca="true">IF(AND($K234&lt;&gt;"",$K234&lt;TODAY(),$J234&lt;&gt;"Complete",$J234&lt;&gt;"N/A"),1,0)</f>
        <v>0</v>
      </c>
    </row>
    <row r="235" customFormat="false" ht="23.25" hidden="false" customHeight="true" outlineLevel="0" collapsed="false">
      <c r="B235" s="46" t="s">
        <v>859</v>
      </c>
      <c r="C235" s="47" t="s">
        <v>139</v>
      </c>
      <c r="D235" s="18" t="s">
        <v>860</v>
      </c>
      <c r="E235" s="48" t="s">
        <v>861</v>
      </c>
      <c r="F235" s="48" t="s">
        <v>181</v>
      </c>
      <c r="G235" s="48" t="s">
        <v>160</v>
      </c>
      <c r="H235" s="49" t="s">
        <v>161</v>
      </c>
      <c r="I235" s="30" t="s">
        <v>193</v>
      </c>
      <c r="J235" s="49" t="s">
        <v>77</v>
      </c>
      <c r="K235" s="50"/>
      <c r="L235" s="50"/>
      <c r="M235" s="48"/>
      <c r="N235" s="48"/>
      <c r="O235" s="51" t="n">
        <f aca="false">IFERROR(VLOOKUP($H235,Lists!$S$9:$T$12,2,FALSE()),0)</f>
        <v>5</v>
      </c>
      <c r="P235" s="51" t="n">
        <f aca="true">IF(AND($K235&lt;&gt;"",$K235&lt;TODAY(),$J235&lt;&gt;"Complete",$J235&lt;&gt;"N/A"),1,0)</f>
        <v>0</v>
      </c>
    </row>
    <row r="236" customFormat="false" ht="23.25" hidden="false" customHeight="true" outlineLevel="0" collapsed="false">
      <c r="B236" s="52" t="s">
        <v>862</v>
      </c>
      <c r="C236" s="53" t="s">
        <v>139</v>
      </c>
      <c r="D236" s="54" t="s">
        <v>863</v>
      </c>
      <c r="E236" s="55" t="s">
        <v>864</v>
      </c>
      <c r="F236" s="55" t="s">
        <v>197</v>
      </c>
      <c r="G236" s="55" t="s">
        <v>192</v>
      </c>
      <c r="H236" s="56" t="s">
        <v>170</v>
      </c>
      <c r="I236" s="35" t="s">
        <v>193</v>
      </c>
      <c r="J236" s="56" t="s">
        <v>77</v>
      </c>
      <c r="K236" s="57"/>
      <c r="L236" s="57"/>
      <c r="M236" s="55"/>
      <c r="N236" s="55"/>
      <c r="O236" s="58" t="n">
        <f aca="false">IFERROR(VLOOKUP($H236,Lists!$S$9:$T$12,2,FALSE()),0)</f>
        <v>3</v>
      </c>
      <c r="P236" s="58" t="n">
        <f aca="true">IF(AND($K236&lt;&gt;"",$K236&lt;TODAY(),$J236&lt;&gt;"Complete",$J236&lt;&gt;"N/A"),1,0)</f>
        <v>0</v>
      </c>
    </row>
    <row r="237" customFormat="false" ht="23.25" hidden="false" customHeight="true" outlineLevel="0" collapsed="false">
      <c r="B237" s="46" t="s">
        <v>865</v>
      </c>
      <c r="C237" s="47" t="s">
        <v>139</v>
      </c>
      <c r="D237" s="18" t="s">
        <v>866</v>
      </c>
      <c r="E237" s="48" t="s">
        <v>867</v>
      </c>
      <c r="F237" s="48" t="s">
        <v>159</v>
      </c>
      <c r="G237" s="48" t="s">
        <v>160</v>
      </c>
      <c r="H237" s="49" t="s">
        <v>161</v>
      </c>
      <c r="I237" s="30" t="s">
        <v>235</v>
      </c>
      <c r="J237" s="49" t="s">
        <v>77</v>
      </c>
      <c r="K237" s="50"/>
      <c r="L237" s="50"/>
      <c r="M237" s="48"/>
      <c r="N237" s="48"/>
      <c r="O237" s="51" t="n">
        <f aca="false">IFERROR(VLOOKUP($H237,Lists!$S$9:$T$12,2,FALSE()),0)</f>
        <v>5</v>
      </c>
      <c r="P237" s="51" t="n">
        <f aca="true">IF(AND($K237&lt;&gt;"",$K237&lt;TODAY(),$J237&lt;&gt;"Complete",$J237&lt;&gt;"N/A"),1,0)</f>
        <v>0</v>
      </c>
    </row>
    <row r="238" customFormat="false" ht="23.25" hidden="false" customHeight="true" outlineLevel="0" collapsed="false">
      <c r="B238" s="52" t="s">
        <v>868</v>
      </c>
      <c r="C238" s="53" t="s">
        <v>139</v>
      </c>
      <c r="D238" s="54" t="s">
        <v>869</v>
      </c>
      <c r="E238" s="55" t="s">
        <v>870</v>
      </c>
      <c r="F238" s="55" t="s">
        <v>160</v>
      </c>
      <c r="G238" s="55" t="s">
        <v>174</v>
      </c>
      <c r="H238" s="56" t="s">
        <v>161</v>
      </c>
      <c r="I238" s="35" t="s">
        <v>193</v>
      </c>
      <c r="J238" s="56" t="s">
        <v>77</v>
      </c>
      <c r="K238" s="57"/>
      <c r="L238" s="57"/>
      <c r="M238" s="55"/>
      <c r="N238" s="55"/>
      <c r="O238" s="58" t="n">
        <f aca="false">IFERROR(VLOOKUP($H238,Lists!$S$9:$T$12,2,FALSE()),0)</f>
        <v>5</v>
      </c>
      <c r="P238" s="58" t="n">
        <f aca="true">IF(AND($K238&lt;&gt;"",$K238&lt;TODAY(),$J238&lt;&gt;"Complete",$J238&lt;&gt;"N/A"),1,0)</f>
        <v>0</v>
      </c>
    </row>
    <row r="239" customFormat="false" ht="23.25" hidden="false" customHeight="true" outlineLevel="0" collapsed="false">
      <c r="B239" s="46" t="s">
        <v>871</v>
      </c>
      <c r="C239" s="47" t="s">
        <v>139</v>
      </c>
      <c r="D239" s="18" t="s">
        <v>872</v>
      </c>
      <c r="E239" s="48" t="s">
        <v>873</v>
      </c>
      <c r="F239" s="48" t="s">
        <v>160</v>
      </c>
      <c r="G239" s="48" t="s">
        <v>174</v>
      </c>
      <c r="H239" s="49" t="s">
        <v>161</v>
      </c>
      <c r="I239" s="30" t="s">
        <v>235</v>
      </c>
      <c r="J239" s="49" t="s">
        <v>77</v>
      </c>
      <c r="K239" s="50"/>
      <c r="L239" s="50"/>
      <c r="M239" s="48"/>
      <c r="N239" s="48"/>
      <c r="O239" s="51" t="n">
        <f aca="false">IFERROR(VLOOKUP($H239,Lists!$S$9:$T$12,2,FALSE()),0)</f>
        <v>5</v>
      </c>
      <c r="P239" s="51" t="n">
        <f aca="true">IF(AND($K239&lt;&gt;"",$K239&lt;TODAY(),$J239&lt;&gt;"Complete",$J239&lt;&gt;"N/A"),1,0)</f>
        <v>0</v>
      </c>
    </row>
    <row r="240" customFormat="false" ht="23.25" hidden="false" customHeight="true" outlineLevel="0" collapsed="false">
      <c r="B240" s="52" t="s">
        <v>874</v>
      </c>
      <c r="C240" s="53" t="s">
        <v>139</v>
      </c>
      <c r="D240" s="54" t="s">
        <v>875</v>
      </c>
      <c r="E240" s="55" t="s">
        <v>876</v>
      </c>
      <c r="F240" s="55" t="s">
        <v>181</v>
      </c>
      <c r="G240" s="55" t="s">
        <v>174</v>
      </c>
      <c r="H240" s="56" t="s">
        <v>161</v>
      </c>
      <c r="I240" s="35" t="s">
        <v>235</v>
      </c>
      <c r="J240" s="56" t="s">
        <v>77</v>
      </c>
      <c r="K240" s="57"/>
      <c r="L240" s="57"/>
      <c r="M240" s="55"/>
      <c r="N240" s="55"/>
      <c r="O240" s="58" t="n">
        <f aca="false">IFERROR(VLOOKUP($H240,Lists!$S$9:$T$12,2,FALSE()),0)</f>
        <v>5</v>
      </c>
      <c r="P240" s="58" t="n">
        <f aca="true">IF(AND($K240&lt;&gt;"",$K240&lt;TODAY(),$J240&lt;&gt;"Complete",$J240&lt;&gt;"N/A"),1,0)</f>
        <v>0</v>
      </c>
    </row>
    <row r="241" customFormat="false" ht="21.75" hidden="false" customHeight="true" outlineLevel="0" collapsed="false">
      <c r="B241" s="46" t="s">
        <v>877</v>
      </c>
      <c r="C241" s="47" t="s">
        <v>139</v>
      </c>
      <c r="D241" s="18" t="s">
        <v>878</v>
      </c>
      <c r="E241" s="48" t="s">
        <v>879</v>
      </c>
      <c r="F241" s="48" t="s">
        <v>159</v>
      </c>
      <c r="G241" s="48" t="s">
        <v>174</v>
      </c>
      <c r="H241" s="49" t="s">
        <v>161</v>
      </c>
      <c r="I241" s="30" t="s">
        <v>235</v>
      </c>
      <c r="J241" s="49" t="s">
        <v>77</v>
      </c>
      <c r="K241" s="50"/>
      <c r="L241" s="50"/>
      <c r="M241" s="48"/>
      <c r="N241" s="48"/>
      <c r="O241" s="51" t="n">
        <f aca="false">IFERROR(VLOOKUP($H241,Lists!$S$9:$T$12,2,FALSE()),0)</f>
        <v>5</v>
      </c>
      <c r="P241" s="51" t="n">
        <f aca="true">IF(AND($K241&lt;&gt;"",$K241&lt;TODAY(),$J241&lt;&gt;"Complete",$J241&lt;&gt;"N/A"),1,0)</f>
        <v>0</v>
      </c>
    </row>
    <row r="242" customFormat="false" ht="23.25" hidden="false" customHeight="true" outlineLevel="0" collapsed="false">
      <c r="B242" s="52" t="s">
        <v>880</v>
      </c>
      <c r="C242" s="53" t="s">
        <v>139</v>
      </c>
      <c r="D242" s="54" t="s">
        <v>881</v>
      </c>
      <c r="E242" s="55" t="s">
        <v>882</v>
      </c>
      <c r="F242" s="55" t="s">
        <v>174</v>
      </c>
      <c r="G242" s="55" t="s">
        <v>160</v>
      </c>
      <c r="H242" s="56" t="s">
        <v>161</v>
      </c>
      <c r="I242" s="35" t="s">
        <v>235</v>
      </c>
      <c r="J242" s="56" t="s">
        <v>77</v>
      </c>
      <c r="K242" s="57"/>
      <c r="L242" s="57"/>
      <c r="M242" s="55"/>
      <c r="N242" s="55"/>
      <c r="O242" s="58" t="n">
        <f aca="false">IFERROR(VLOOKUP($H242,Lists!$S$9:$T$12,2,FALSE()),0)</f>
        <v>5</v>
      </c>
      <c r="P242" s="58" t="n">
        <f aca="true">IF(AND($K242&lt;&gt;"",$K242&lt;TODAY(),$J242&lt;&gt;"Complete",$J242&lt;&gt;"N/A"),1,0)</f>
        <v>0</v>
      </c>
    </row>
    <row r="243" customFormat="false" ht="23.25" hidden="false" customHeight="true" outlineLevel="0" collapsed="false">
      <c r="B243" s="46" t="s">
        <v>883</v>
      </c>
      <c r="C243" s="47" t="s">
        <v>139</v>
      </c>
      <c r="D243" s="18" t="s">
        <v>884</v>
      </c>
      <c r="E243" s="48" t="s">
        <v>885</v>
      </c>
      <c r="F243" s="48" t="s">
        <v>197</v>
      </c>
      <c r="G243" s="48" t="s">
        <v>192</v>
      </c>
      <c r="H243" s="49" t="s">
        <v>161</v>
      </c>
      <c r="I243" s="30" t="s">
        <v>235</v>
      </c>
      <c r="J243" s="49" t="s">
        <v>77</v>
      </c>
      <c r="K243" s="50"/>
      <c r="L243" s="50"/>
      <c r="M243" s="48"/>
      <c r="N243" s="48"/>
      <c r="O243" s="51" t="n">
        <f aca="false">IFERROR(VLOOKUP($H243,Lists!$S$9:$T$12,2,FALSE()),0)</f>
        <v>5</v>
      </c>
      <c r="P243" s="51" t="n">
        <f aca="true">IF(AND($K243&lt;&gt;"",$K243&lt;TODAY(),$J243&lt;&gt;"Complete",$J243&lt;&gt;"N/A"),1,0)</f>
        <v>0</v>
      </c>
    </row>
    <row r="244" customFormat="false" ht="23.25" hidden="false" customHeight="true" outlineLevel="0" collapsed="false">
      <c r="B244" s="52" t="s">
        <v>886</v>
      </c>
      <c r="C244" s="53" t="s">
        <v>139</v>
      </c>
      <c r="D244" s="54" t="s">
        <v>887</v>
      </c>
      <c r="E244" s="55" t="s">
        <v>888</v>
      </c>
      <c r="F244" s="55" t="s">
        <v>159</v>
      </c>
      <c r="G244" s="55" t="s">
        <v>160</v>
      </c>
      <c r="H244" s="56" t="s">
        <v>170</v>
      </c>
      <c r="I244" s="35" t="s">
        <v>235</v>
      </c>
      <c r="J244" s="56" t="s">
        <v>77</v>
      </c>
      <c r="K244" s="57"/>
      <c r="L244" s="57"/>
      <c r="M244" s="55"/>
      <c r="N244" s="55"/>
      <c r="O244" s="58" t="n">
        <f aca="false">IFERROR(VLOOKUP($H244,Lists!$S$9:$T$12,2,FALSE()),0)</f>
        <v>3</v>
      </c>
      <c r="P244" s="58" t="n">
        <f aca="true">IF(AND($K244&lt;&gt;"",$K244&lt;TODAY(),$J244&lt;&gt;"Complete",$J244&lt;&gt;"N/A"),1,0)</f>
        <v>0</v>
      </c>
    </row>
    <row r="245" customFormat="false" ht="23.25" hidden="false" customHeight="true" outlineLevel="0" collapsed="false">
      <c r="B245" s="46" t="s">
        <v>889</v>
      </c>
      <c r="C245" s="47" t="s">
        <v>139</v>
      </c>
      <c r="D245" s="18" t="s">
        <v>890</v>
      </c>
      <c r="E245" s="48" t="s">
        <v>891</v>
      </c>
      <c r="F245" s="48" t="s">
        <v>159</v>
      </c>
      <c r="G245" s="48" t="s">
        <v>160</v>
      </c>
      <c r="H245" s="49" t="s">
        <v>188</v>
      </c>
      <c r="I245" s="30" t="s">
        <v>215</v>
      </c>
      <c r="J245" s="49" t="s">
        <v>77</v>
      </c>
      <c r="K245" s="50"/>
      <c r="L245" s="50"/>
      <c r="M245" s="48"/>
      <c r="N245" s="48"/>
      <c r="O245" s="51" t="n">
        <f aca="false">IFERROR(VLOOKUP($H245,Lists!$S$9:$T$12,2,FALSE()),0)</f>
        <v>2</v>
      </c>
      <c r="P245" s="51" t="n">
        <f aca="true">IF(AND($K245&lt;&gt;"",$K245&lt;TODAY(),$J245&lt;&gt;"Complete",$J245&lt;&gt;"N/A"),1,0)</f>
        <v>0</v>
      </c>
    </row>
  </sheetData>
  <autoFilter ref="B8:N245"/>
  <mergeCells count="1">
    <mergeCell ref="B7:N7"/>
  </mergeCells>
  <conditionalFormatting sqref="J9:J245">
    <cfRule type="cellIs" priority="2" operator="equal" aboveAverage="0" equalAverage="0" bottom="0" percent="0" rank="0" text="" dxfId="0">
      <formula>"Complete"</formula>
    </cfRule>
    <cfRule type="cellIs" priority="3" operator="equal" aboveAverage="0" equalAverage="0" bottom="0" percent="0" rank="0" text="" dxfId="11">
      <formula>"In progress"</formula>
    </cfRule>
    <cfRule type="cellIs" priority="4" operator="equal" aboveAverage="0" equalAverage="0" bottom="0" percent="0" rank="0" text="" dxfId="1">
      <formula>"Blocked"</formula>
    </cfRule>
    <cfRule type="cellIs" priority="5" operator="equal" aboveAverage="0" equalAverage="0" bottom="0" percent="0" rank="0" text="" dxfId="12">
      <formula>"Not started"</formula>
    </cfRule>
    <cfRule type="cellIs" priority="6" operator="equal" aboveAverage="0" equalAverage="0" bottom="0" percent="0" rank="0" text="" dxfId="12">
      <formula>"N/A"</formula>
    </cfRule>
  </conditionalFormatting>
  <conditionalFormatting sqref="K9:K245">
    <cfRule type="expression" priority="7" aboveAverage="0" equalAverage="0" bottom="0" percent="0" rank="0" text="" dxfId="13">
      <formula>AND($K9&lt;&gt;"",$K9&lt;TODAY(),$J9&lt;&gt;"Complete",$J9&lt;&gt;"N/A")</formula>
    </cfRule>
  </conditionalFormatting>
  <conditionalFormatting sqref="H9:H245">
    <cfRule type="cellIs" priority="8" operator="equal" aboveAverage="0" equalAverage="0" bottom="0" percent="0" rank="0" text="" dxfId="14">
      <formula>"Critical"</formula>
    </cfRule>
  </conditionalFormatting>
  <dataValidations count="5">
    <dataValidation allowBlank="true" errorStyle="stop" operator="between" showDropDown="false" showErrorMessage="false" showInputMessage="false" sqref="F9:G245" type="list">
      <formula1>Lists!$F$9:$F$28</formula1>
      <formula2>0</formula2>
    </dataValidation>
    <dataValidation allowBlank="true" errorStyle="stop" operator="between" showDropDown="false" showErrorMessage="false" showInputMessage="false" sqref="H9:H245" type="list">
      <formula1>Lists!$C$9:$C$12</formula1>
      <formula2>0</formula2>
    </dataValidation>
    <dataValidation allowBlank="true" errorStyle="stop" operator="between" showDropDown="false" showErrorMessage="false" showInputMessage="false" sqref="I9:I245" type="list">
      <formula1>Lists!$D$9:$D$12</formula1>
      <formula2>0</formula2>
    </dataValidation>
    <dataValidation allowBlank="true" errorStyle="stop" operator="between" prompt="Not started / In progress / Complete / Blocked / N/A" promptTitle="Select" showDropDown="false" showErrorMessage="false" showInputMessage="true" sqref="J9:J245" type="list">
      <formula1>Lists!$B$9:$B$13</formula1>
      <formula2>0</formula2>
    </dataValidation>
    <dataValidation allowBlank="true" errorStyle="stop" operator="between" showDropDown="false" showErrorMessage="false" showInputMessage="false" sqref="C9:C245" type="list">
      <formula1>Lists!$E$9:$E$24</formula1>
      <formula2>0</formula2>
    </dataValidation>
  </dataValidations>
  <printOptions headings="false" gridLines="false" gridLinesSet="true" horizontalCentered="true" verticalCentered="false"/>
  <pageMargins left="0.4" right="0.4" top="0.5" bottom="0.5" header="0.511811023622047" footer="0.5"/>
  <pageSetup paperSize="8" scale="100" fitToWidth="2" fitToHeight="0" pageOrder="downThenOver" orientation="landscape" blackAndWhite="false" draft="false" cellComments="none" horizontalDpi="300" verticalDpi="300" copies="1"/>
  <headerFooter differentFirst="false" differentOddEven="false">
    <oddHeader/>
    <oddFooter>&amp;L&amp;8 &amp;K8e98a2Template by Mastt  ·  mastt.com&amp;R&amp;8 &amp;K8e98a2Page &amp;P of &amp;N</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A1:M5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3" ySplit="11" topLeftCell="D12" activePane="bottomRight" state="frozen"/>
      <selection pane="topLeft" activeCell="A1" activeCellId="0" sqref="A1"/>
      <selection pane="topRight" activeCell="D1" activeCellId="0" sqref="D1"/>
      <selection pane="bottomLeft" activeCell="A12" activeCellId="0" sqref="A12"/>
      <selection pane="bottomRight" activeCell="A1" activeCellId="0" sqref="A1"/>
    </sheetView>
  </sheetViews>
  <sheetFormatPr defaultColWidth="8.6796875" defaultRowHeight="15" zeroHeight="false" outlineLevelRow="0" outlineLevelCol="0"/>
  <cols>
    <col collapsed="false" customWidth="true" hidden="false" outlineLevel="0" max="1" min="1" style="1" width="2.5"/>
    <col collapsed="false" customWidth="true" hidden="false" outlineLevel="0" max="2" min="2" style="1" width="20"/>
    <col collapsed="false" customWidth="true" hidden="false" outlineLevel="0" max="3" min="3" style="1" width="34"/>
    <col collapsed="false" customWidth="true" hidden="false" outlineLevel="0" max="4" min="4" style="1" width="24"/>
    <col collapsed="false" customWidth="true" hidden="false" outlineLevel="0" max="7" min="5" style="1" width="17"/>
    <col collapsed="false" customWidth="true" hidden="false" outlineLevel="0" max="8" min="8" style="1" width="14"/>
    <col collapsed="false" customWidth="true" hidden="false" outlineLevel="0" max="9" min="9" style="1" width="22"/>
    <col collapsed="false" customWidth="true" hidden="false" outlineLevel="0" max="10" min="10" style="1" width="12"/>
    <col collapsed="false" customWidth="true" hidden="false" outlineLevel="0" max="11" min="11" style="1" width="18"/>
    <col collapsed="false" customWidth="true" hidden="false" outlineLevel="0" max="12" min="12" style="1" width="17"/>
    <col collapsed="false" customWidth="true" hidden="false" outlineLevel="0" max="13" min="13" style="1" width="15"/>
  </cols>
  <sheetData>
    <row r="1" customFormat="false" ht="9.75" hidden="false" customHeight="true" outlineLevel="0" collapsed="false">
      <c r="A1" s="2"/>
      <c r="B1" s="2"/>
      <c r="C1" s="2"/>
      <c r="D1" s="2"/>
      <c r="E1" s="2"/>
      <c r="F1" s="2"/>
      <c r="G1" s="2"/>
      <c r="H1" s="2"/>
      <c r="I1" s="2"/>
      <c r="J1" s="2"/>
      <c r="K1" s="2"/>
      <c r="L1" s="2"/>
      <c r="M1" s="2"/>
    </row>
    <row r="2" customFormat="false" ht="33.75" hidden="false" customHeight="true" outlineLevel="0" collapsed="false">
      <c r="A2" s="2"/>
      <c r="B2" s="2"/>
      <c r="C2" s="2"/>
      <c r="D2" s="2"/>
      <c r="E2" s="2"/>
      <c r="F2" s="2"/>
      <c r="G2" s="2"/>
      <c r="H2" s="2"/>
      <c r="I2" s="2"/>
      <c r="J2" s="2"/>
      <c r="K2" s="2"/>
      <c r="L2" s="2"/>
      <c r="M2" s="2"/>
    </row>
    <row r="3" customFormat="false" ht="7.5" hidden="false" customHeight="true" outlineLevel="0" collapsed="false">
      <c r="A3" s="2"/>
      <c r="B3" s="2"/>
      <c r="C3" s="2"/>
      <c r="D3" s="2"/>
      <c r="E3" s="2"/>
      <c r="F3" s="2"/>
      <c r="G3" s="2"/>
      <c r="H3" s="2"/>
      <c r="I3" s="2"/>
      <c r="J3" s="2"/>
      <c r="K3" s="2"/>
      <c r="L3" s="2"/>
      <c r="M3" s="2"/>
    </row>
    <row r="4" customFormat="false" ht="30" hidden="false" customHeight="true" outlineLevel="0" collapsed="false">
      <c r="A4" s="2"/>
      <c r="B4" s="3" t="s">
        <v>892</v>
      </c>
      <c r="C4" s="2"/>
      <c r="D4" s="2"/>
      <c r="E4" s="2"/>
      <c r="F4" s="2"/>
      <c r="G4" s="2"/>
      <c r="H4" s="2"/>
      <c r="I4" s="2"/>
      <c r="J4" s="2"/>
      <c r="K4" s="2"/>
      <c r="L4" s="2"/>
      <c r="M4" s="2"/>
    </row>
    <row r="5" customFormat="false" ht="21.75" hidden="false" customHeight="true" outlineLevel="0" collapsed="false">
      <c r="A5" s="2"/>
      <c r="B5" s="4" t="s">
        <v>1</v>
      </c>
      <c r="C5" s="2"/>
      <c r="D5" s="2"/>
      <c r="E5" s="2"/>
      <c r="F5" s="2"/>
      <c r="G5" s="2"/>
      <c r="H5" s="2"/>
      <c r="I5" s="2"/>
      <c r="J5" s="2"/>
      <c r="K5" s="2"/>
      <c r="L5" s="2"/>
      <c r="M5" s="2"/>
    </row>
    <row r="6" customFormat="false" ht="7.5" hidden="false" customHeight="true" outlineLevel="0" collapsed="false"/>
    <row r="7" customFormat="false" ht="30" hidden="false" customHeight="true" outlineLevel="0" collapsed="false">
      <c r="B7" s="23" t="s">
        <v>893</v>
      </c>
      <c r="C7" s="23"/>
      <c r="D7" s="23"/>
      <c r="E7" s="23"/>
      <c r="F7" s="23"/>
      <c r="G7" s="23"/>
      <c r="H7" s="23"/>
      <c r="I7" s="23"/>
      <c r="J7" s="23"/>
      <c r="K7" s="23"/>
      <c r="L7" s="23"/>
      <c r="M7" s="23"/>
    </row>
    <row r="8" customFormat="false" ht="15.75" hidden="false" customHeight="true" outlineLevel="0" collapsed="false">
      <c r="B8" s="59" t="s">
        <v>894</v>
      </c>
      <c r="C8" s="59"/>
      <c r="D8" s="59" t="s">
        <v>895</v>
      </c>
      <c r="E8" s="59"/>
      <c r="F8" s="59" t="s">
        <v>896</v>
      </c>
      <c r="G8" s="59"/>
      <c r="H8" s="59" t="s">
        <v>897</v>
      </c>
      <c r="I8" s="59"/>
      <c r="J8" s="59" t="s">
        <v>898</v>
      </c>
      <c r="K8" s="59"/>
    </row>
    <row r="9" customFormat="false" ht="25.5" hidden="false" customHeight="true" outlineLevel="0" collapsed="false">
      <c r="B9" s="60" t="n">
        <f aca="false">COUNTA('Systems Commissioning Register'!$B$12:$B$59)</f>
        <v>48</v>
      </c>
      <c r="C9" s="60"/>
      <c r="D9" s="60" t="n">
        <f aca="false">COUNTIF('Systems Commissioning Register'!$M$12:$M$59,"Complete")</f>
        <v>0</v>
      </c>
      <c r="E9" s="60"/>
      <c r="F9" s="60" t="n">
        <f aca="false">COUNTIF('Systems Commissioning Register'!$G$12:$G$59,"Complete")+COUNTIF('Systems Commissioning Register'!$G$12:$G$59,"Witnessed")</f>
        <v>0</v>
      </c>
      <c r="G9" s="60"/>
      <c r="H9" s="60" t="n">
        <f aca="false">COUNTIF('Systems Commissioning Register'!$J$12:$J$59,"Yes")</f>
        <v>0</v>
      </c>
      <c r="I9" s="60"/>
      <c r="J9" s="60" t="n">
        <f aca="false">COUNTA('Systems Commissioning Register'!$B$12:$B$59)-COUNTIF('Systems Commissioning Register'!$M$12:$M$59,"Complete")-COUNTIF('Systems Commissioning Register'!$M$12:$M$59,"N/A")</f>
        <v>48</v>
      </c>
      <c r="K9" s="60"/>
    </row>
    <row r="11" customFormat="false" ht="43.5" hidden="false" customHeight="true" outlineLevel="0" collapsed="false">
      <c r="B11" s="9" t="s">
        <v>899</v>
      </c>
      <c r="C11" s="9" t="s">
        <v>900</v>
      </c>
      <c r="D11" s="9" t="s">
        <v>901</v>
      </c>
      <c r="E11" s="9" t="s">
        <v>902</v>
      </c>
      <c r="F11" s="9" t="s">
        <v>903</v>
      </c>
      <c r="G11" s="9" t="s">
        <v>904</v>
      </c>
      <c r="H11" s="9" t="s">
        <v>905</v>
      </c>
      <c r="I11" s="9" t="s">
        <v>906</v>
      </c>
      <c r="J11" s="9" t="s">
        <v>907</v>
      </c>
      <c r="K11" s="9" t="s">
        <v>908</v>
      </c>
      <c r="L11" s="9" t="s">
        <v>909</v>
      </c>
      <c r="M11" s="9" t="s">
        <v>72</v>
      </c>
    </row>
    <row r="12" customFormat="false" ht="15" hidden="false" customHeight="true" outlineLevel="0" collapsed="false">
      <c r="B12" s="46" t="s">
        <v>910</v>
      </c>
      <c r="C12" s="48" t="s">
        <v>911</v>
      </c>
      <c r="D12" s="48"/>
      <c r="E12" s="49" t="s">
        <v>77</v>
      </c>
      <c r="F12" s="49" t="s">
        <v>77</v>
      </c>
      <c r="G12" s="49" t="s">
        <v>77</v>
      </c>
      <c r="H12" s="50"/>
      <c r="I12" s="48"/>
      <c r="J12" s="49"/>
      <c r="K12" s="48"/>
      <c r="L12" s="50"/>
      <c r="M12" s="49" t="s">
        <v>77</v>
      </c>
    </row>
    <row r="13" customFormat="false" ht="15" hidden="false" customHeight="true" outlineLevel="0" collapsed="false">
      <c r="B13" s="52" t="s">
        <v>910</v>
      </c>
      <c r="C13" s="55" t="s">
        <v>912</v>
      </c>
      <c r="D13" s="55"/>
      <c r="E13" s="56" t="s">
        <v>77</v>
      </c>
      <c r="F13" s="56" t="s">
        <v>77</v>
      </c>
      <c r="G13" s="56" t="s">
        <v>77</v>
      </c>
      <c r="H13" s="57"/>
      <c r="I13" s="55"/>
      <c r="J13" s="56"/>
      <c r="K13" s="55"/>
      <c r="L13" s="57"/>
      <c r="M13" s="56" t="s">
        <v>77</v>
      </c>
    </row>
    <row r="14" customFormat="false" ht="15" hidden="false" customHeight="true" outlineLevel="0" collapsed="false">
      <c r="B14" s="46" t="s">
        <v>910</v>
      </c>
      <c r="C14" s="48" t="s">
        <v>913</v>
      </c>
      <c r="D14" s="48"/>
      <c r="E14" s="49" t="s">
        <v>77</v>
      </c>
      <c r="F14" s="49" t="s">
        <v>77</v>
      </c>
      <c r="G14" s="49" t="s">
        <v>77</v>
      </c>
      <c r="H14" s="50"/>
      <c r="I14" s="48"/>
      <c r="J14" s="49"/>
      <c r="K14" s="48"/>
      <c r="L14" s="50"/>
      <c r="M14" s="49" t="s">
        <v>77</v>
      </c>
    </row>
    <row r="15" customFormat="false" ht="15" hidden="false" customHeight="true" outlineLevel="0" collapsed="false">
      <c r="B15" s="52" t="s">
        <v>910</v>
      </c>
      <c r="C15" s="55" t="s">
        <v>914</v>
      </c>
      <c r="D15" s="55"/>
      <c r="E15" s="56" t="s">
        <v>77</v>
      </c>
      <c r="F15" s="56" t="s">
        <v>77</v>
      </c>
      <c r="G15" s="56" t="s">
        <v>77</v>
      </c>
      <c r="H15" s="57"/>
      <c r="I15" s="55"/>
      <c r="J15" s="56"/>
      <c r="K15" s="55"/>
      <c r="L15" s="57"/>
      <c r="M15" s="56" t="s">
        <v>77</v>
      </c>
    </row>
    <row r="16" customFormat="false" ht="15" hidden="false" customHeight="true" outlineLevel="0" collapsed="false">
      <c r="B16" s="46" t="s">
        <v>910</v>
      </c>
      <c r="C16" s="48" t="s">
        <v>915</v>
      </c>
      <c r="D16" s="48"/>
      <c r="E16" s="49" t="s">
        <v>77</v>
      </c>
      <c r="F16" s="49" t="s">
        <v>77</v>
      </c>
      <c r="G16" s="49" t="s">
        <v>77</v>
      </c>
      <c r="H16" s="50"/>
      <c r="I16" s="48"/>
      <c r="J16" s="49"/>
      <c r="K16" s="48"/>
      <c r="L16" s="50"/>
      <c r="M16" s="49" t="s">
        <v>77</v>
      </c>
    </row>
    <row r="17" customFormat="false" ht="15" hidden="false" customHeight="true" outlineLevel="0" collapsed="false">
      <c r="B17" s="52" t="s">
        <v>910</v>
      </c>
      <c r="C17" s="55" t="s">
        <v>916</v>
      </c>
      <c r="D17" s="55"/>
      <c r="E17" s="56" t="s">
        <v>77</v>
      </c>
      <c r="F17" s="56" t="s">
        <v>77</v>
      </c>
      <c r="G17" s="56" t="s">
        <v>77</v>
      </c>
      <c r="H17" s="57"/>
      <c r="I17" s="55"/>
      <c r="J17" s="56"/>
      <c r="K17" s="55"/>
      <c r="L17" s="57"/>
      <c r="M17" s="56" t="s">
        <v>77</v>
      </c>
    </row>
    <row r="18" customFormat="false" ht="15" hidden="false" customHeight="true" outlineLevel="0" collapsed="false">
      <c r="B18" s="46" t="s">
        <v>910</v>
      </c>
      <c r="C18" s="48" t="s">
        <v>917</v>
      </c>
      <c r="D18" s="48"/>
      <c r="E18" s="49" t="s">
        <v>77</v>
      </c>
      <c r="F18" s="49" t="s">
        <v>77</v>
      </c>
      <c r="G18" s="49" t="s">
        <v>77</v>
      </c>
      <c r="H18" s="50"/>
      <c r="I18" s="48"/>
      <c r="J18" s="49"/>
      <c r="K18" s="48"/>
      <c r="L18" s="50"/>
      <c r="M18" s="49" t="s">
        <v>77</v>
      </c>
    </row>
    <row r="19" customFormat="false" ht="15" hidden="false" customHeight="true" outlineLevel="0" collapsed="false">
      <c r="B19" s="52" t="s">
        <v>910</v>
      </c>
      <c r="C19" s="55" t="s">
        <v>918</v>
      </c>
      <c r="D19" s="55"/>
      <c r="E19" s="56" t="s">
        <v>77</v>
      </c>
      <c r="F19" s="56" t="s">
        <v>77</v>
      </c>
      <c r="G19" s="56" t="s">
        <v>77</v>
      </c>
      <c r="H19" s="57"/>
      <c r="I19" s="55"/>
      <c r="J19" s="56"/>
      <c r="K19" s="55"/>
      <c r="L19" s="57"/>
      <c r="M19" s="56" t="s">
        <v>77</v>
      </c>
    </row>
    <row r="20" customFormat="false" ht="23.25" hidden="false" customHeight="true" outlineLevel="0" collapsed="false">
      <c r="B20" s="46" t="s">
        <v>919</v>
      </c>
      <c r="C20" s="48" t="s">
        <v>920</v>
      </c>
      <c r="D20" s="48"/>
      <c r="E20" s="49" t="s">
        <v>77</v>
      </c>
      <c r="F20" s="49" t="s">
        <v>77</v>
      </c>
      <c r="G20" s="49" t="s">
        <v>77</v>
      </c>
      <c r="H20" s="50"/>
      <c r="I20" s="48"/>
      <c r="J20" s="49"/>
      <c r="K20" s="48"/>
      <c r="L20" s="50"/>
      <c r="M20" s="49" t="s">
        <v>77</v>
      </c>
    </row>
    <row r="21" customFormat="false" ht="15" hidden="false" customHeight="true" outlineLevel="0" collapsed="false">
      <c r="B21" s="52" t="s">
        <v>919</v>
      </c>
      <c r="C21" s="55" t="s">
        <v>921</v>
      </c>
      <c r="D21" s="55"/>
      <c r="E21" s="56" t="s">
        <v>77</v>
      </c>
      <c r="F21" s="56" t="s">
        <v>77</v>
      </c>
      <c r="G21" s="56" t="s">
        <v>77</v>
      </c>
      <c r="H21" s="57"/>
      <c r="I21" s="55"/>
      <c r="J21" s="56"/>
      <c r="K21" s="55"/>
      <c r="L21" s="57"/>
      <c r="M21" s="56" t="s">
        <v>77</v>
      </c>
    </row>
    <row r="22" customFormat="false" ht="15" hidden="false" customHeight="true" outlineLevel="0" collapsed="false">
      <c r="B22" s="46" t="s">
        <v>919</v>
      </c>
      <c r="C22" s="48" t="s">
        <v>922</v>
      </c>
      <c r="D22" s="48"/>
      <c r="E22" s="49" t="s">
        <v>77</v>
      </c>
      <c r="F22" s="49" t="s">
        <v>77</v>
      </c>
      <c r="G22" s="49" t="s">
        <v>77</v>
      </c>
      <c r="H22" s="50"/>
      <c r="I22" s="48"/>
      <c r="J22" s="49"/>
      <c r="K22" s="48"/>
      <c r="L22" s="50"/>
      <c r="M22" s="49" t="s">
        <v>77</v>
      </c>
    </row>
    <row r="23" customFormat="false" ht="15" hidden="false" customHeight="true" outlineLevel="0" collapsed="false">
      <c r="B23" s="52" t="s">
        <v>919</v>
      </c>
      <c r="C23" s="55" t="s">
        <v>923</v>
      </c>
      <c r="D23" s="55"/>
      <c r="E23" s="56" t="s">
        <v>77</v>
      </c>
      <c r="F23" s="56" t="s">
        <v>77</v>
      </c>
      <c r="G23" s="56" t="s">
        <v>77</v>
      </c>
      <c r="H23" s="57"/>
      <c r="I23" s="55"/>
      <c r="J23" s="56"/>
      <c r="K23" s="55"/>
      <c r="L23" s="57"/>
      <c r="M23" s="56" t="s">
        <v>77</v>
      </c>
    </row>
    <row r="24" customFormat="false" ht="15" hidden="false" customHeight="true" outlineLevel="0" collapsed="false">
      <c r="B24" s="46" t="s">
        <v>919</v>
      </c>
      <c r="C24" s="48" t="s">
        <v>924</v>
      </c>
      <c r="D24" s="48"/>
      <c r="E24" s="49" t="s">
        <v>77</v>
      </c>
      <c r="F24" s="49" t="s">
        <v>77</v>
      </c>
      <c r="G24" s="49" t="s">
        <v>77</v>
      </c>
      <c r="H24" s="50"/>
      <c r="I24" s="48"/>
      <c r="J24" s="49"/>
      <c r="K24" s="48"/>
      <c r="L24" s="50"/>
      <c r="M24" s="49" t="s">
        <v>77</v>
      </c>
    </row>
    <row r="25" customFormat="false" ht="15" hidden="false" customHeight="true" outlineLevel="0" collapsed="false">
      <c r="B25" s="52" t="s">
        <v>919</v>
      </c>
      <c r="C25" s="55" t="s">
        <v>925</v>
      </c>
      <c r="D25" s="55"/>
      <c r="E25" s="56" t="s">
        <v>77</v>
      </c>
      <c r="F25" s="56" t="s">
        <v>77</v>
      </c>
      <c r="G25" s="56" t="s">
        <v>77</v>
      </c>
      <c r="H25" s="57"/>
      <c r="I25" s="55"/>
      <c r="J25" s="56"/>
      <c r="K25" s="55"/>
      <c r="L25" s="57"/>
      <c r="M25" s="56" t="s">
        <v>77</v>
      </c>
    </row>
    <row r="26" customFormat="false" ht="15" hidden="false" customHeight="true" outlineLevel="0" collapsed="false">
      <c r="B26" s="46" t="s">
        <v>919</v>
      </c>
      <c r="C26" s="48" t="s">
        <v>926</v>
      </c>
      <c r="D26" s="48"/>
      <c r="E26" s="49" t="s">
        <v>77</v>
      </c>
      <c r="F26" s="49" t="s">
        <v>77</v>
      </c>
      <c r="G26" s="49" t="s">
        <v>77</v>
      </c>
      <c r="H26" s="50"/>
      <c r="I26" s="48"/>
      <c r="J26" s="49"/>
      <c r="K26" s="48"/>
      <c r="L26" s="50"/>
      <c r="M26" s="49" t="s">
        <v>77</v>
      </c>
    </row>
    <row r="27" customFormat="false" ht="15" hidden="false" customHeight="true" outlineLevel="0" collapsed="false">
      <c r="B27" s="52" t="s">
        <v>927</v>
      </c>
      <c r="C27" s="55" t="s">
        <v>928</v>
      </c>
      <c r="D27" s="55"/>
      <c r="E27" s="56" t="s">
        <v>77</v>
      </c>
      <c r="F27" s="56" t="s">
        <v>77</v>
      </c>
      <c r="G27" s="56" t="s">
        <v>77</v>
      </c>
      <c r="H27" s="57"/>
      <c r="I27" s="55"/>
      <c r="J27" s="56"/>
      <c r="K27" s="55"/>
      <c r="L27" s="57"/>
      <c r="M27" s="56" t="s">
        <v>77</v>
      </c>
    </row>
    <row r="28" customFormat="false" ht="23.25" hidden="false" customHeight="true" outlineLevel="0" collapsed="false">
      <c r="B28" s="46" t="s">
        <v>927</v>
      </c>
      <c r="C28" s="48" t="s">
        <v>929</v>
      </c>
      <c r="D28" s="48"/>
      <c r="E28" s="49" t="s">
        <v>77</v>
      </c>
      <c r="F28" s="49" t="s">
        <v>77</v>
      </c>
      <c r="G28" s="49" t="s">
        <v>77</v>
      </c>
      <c r="H28" s="50"/>
      <c r="I28" s="48"/>
      <c r="J28" s="49"/>
      <c r="K28" s="48"/>
      <c r="L28" s="50"/>
      <c r="M28" s="49" t="s">
        <v>77</v>
      </c>
    </row>
    <row r="29" customFormat="false" ht="15" hidden="false" customHeight="true" outlineLevel="0" collapsed="false">
      <c r="B29" s="52" t="s">
        <v>927</v>
      </c>
      <c r="C29" s="55" t="s">
        <v>930</v>
      </c>
      <c r="D29" s="55"/>
      <c r="E29" s="56" t="s">
        <v>77</v>
      </c>
      <c r="F29" s="56" t="s">
        <v>77</v>
      </c>
      <c r="G29" s="56" t="s">
        <v>77</v>
      </c>
      <c r="H29" s="57"/>
      <c r="I29" s="55"/>
      <c r="J29" s="56"/>
      <c r="K29" s="55"/>
      <c r="L29" s="57"/>
      <c r="M29" s="56" t="s">
        <v>77</v>
      </c>
    </row>
    <row r="30" customFormat="false" ht="15" hidden="false" customHeight="true" outlineLevel="0" collapsed="false">
      <c r="B30" s="46" t="s">
        <v>927</v>
      </c>
      <c r="C30" s="48" t="s">
        <v>931</v>
      </c>
      <c r="D30" s="48"/>
      <c r="E30" s="49" t="s">
        <v>77</v>
      </c>
      <c r="F30" s="49" t="s">
        <v>77</v>
      </c>
      <c r="G30" s="49" t="s">
        <v>77</v>
      </c>
      <c r="H30" s="50"/>
      <c r="I30" s="48"/>
      <c r="J30" s="49"/>
      <c r="K30" s="48"/>
      <c r="L30" s="50"/>
      <c r="M30" s="49" t="s">
        <v>77</v>
      </c>
    </row>
    <row r="31" customFormat="false" ht="15" hidden="false" customHeight="true" outlineLevel="0" collapsed="false">
      <c r="B31" s="52" t="s">
        <v>927</v>
      </c>
      <c r="C31" s="55" t="s">
        <v>932</v>
      </c>
      <c r="D31" s="55"/>
      <c r="E31" s="56" t="s">
        <v>77</v>
      </c>
      <c r="F31" s="56" t="s">
        <v>77</v>
      </c>
      <c r="G31" s="56" t="s">
        <v>77</v>
      </c>
      <c r="H31" s="57"/>
      <c r="I31" s="55"/>
      <c r="J31" s="56"/>
      <c r="K31" s="55"/>
      <c r="L31" s="57"/>
      <c r="M31" s="56" t="s">
        <v>77</v>
      </c>
    </row>
    <row r="32" customFormat="false" ht="15" hidden="false" customHeight="true" outlineLevel="0" collapsed="false">
      <c r="B32" s="46" t="s">
        <v>927</v>
      </c>
      <c r="C32" s="48" t="s">
        <v>933</v>
      </c>
      <c r="D32" s="48"/>
      <c r="E32" s="49" t="s">
        <v>77</v>
      </c>
      <c r="F32" s="49" t="s">
        <v>77</v>
      </c>
      <c r="G32" s="49" t="s">
        <v>77</v>
      </c>
      <c r="H32" s="50"/>
      <c r="I32" s="48"/>
      <c r="J32" s="49"/>
      <c r="K32" s="48"/>
      <c r="L32" s="50"/>
      <c r="M32" s="49" t="s">
        <v>77</v>
      </c>
    </row>
    <row r="33" customFormat="false" ht="15" hidden="false" customHeight="true" outlineLevel="0" collapsed="false">
      <c r="B33" s="52" t="s">
        <v>934</v>
      </c>
      <c r="C33" s="55" t="s">
        <v>935</v>
      </c>
      <c r="D33" s="55"/>
      <c r="E33" s="56" t="s">
        <v>77</v>
      </c>
      <c r="F33" s="56" t="s">
        <v>77</v>
      </c>
      <c r="G33" s="56" t="s">
        <v>77</v>
      </c>
      <c r="H33" s="57"/>
      <c r="I33" s="55"/>
      <c r="J33" s="56"/>
      <c r="K33" s="55"/>
      <c r="L33" s="57"/>
      <c r="M33" s="56" t="s">
        <v>77</v>
      </c>
    </row>
    <row r="34" customFormat="false" ht="15" hidden="false" customHeight="true" outlineLevel="0" collapsed="false">
      <c r="B34" s="46" t="s">
        <v>934</v>
      </c>
      <c r="C34" s="48" t="s">
        <v>936</v>
      </c>
      <c r="D34" s="48"/>
      <c r="E34" s="49" t="s">
        <v>77</v>
      </c>
      <c r="F34" s="49" t="s">
        <v>77</v>
      </c>
      <c r="G34" s="49" t="s">
        <v>77</v>
      </c>
      <c r="H34" s="50"/>
      <c r="I34" s="48"/>
      <c r="J34" s="49"/>
      <c r="K34" s="48"/>
      <c r="L34" s="50"/>
      <c r="M34" s="49" t="s">
        <v>77</v>
      </c>
    </row>
    <row r="35" customFormat="false" ht="15" hidden="false" customHeight="true" outlineLevel="0" collapsed="false">
      <c r="B35" s="52" t="s">
        <v>934</v>
      </c>
      <c r="C35" s="55" t="s">
        <v>937</v>
      </c>
      <c r="D35" s="55"/>
      <c r="E35" s="56" t="s">
        <v>77</v>
      </c>
      <c r="F35" s="56" t="s">
        <v>77</v>
      </c>
      <c r="G35" s="56" t="s">
        <v>77</v>
      </c>
      <c r="H35" s="57"/>
      <c r="I35" s="55"/>
      <c r="J35" s="56"/>
      <c r="K35" s="55"/>
      <c r="L35" s="57"/>
      <c r="M35" s="56" t="s">
        <v>77</v>
      </c>
    </row>
    <row r="36" customFormat="false" ht="23.25" hidden="false" customHeight="true" outlineLevel="0" collapsed="false">
      <c r="B36" s="46" t="s">
        <v>934</v>
      </c>
      <c r="C36" s="48" t="s">
        <v>938</v>
      </c>
      <c r="D36" s="48"/>
      <c r="E36" s="49" t="s">
        <v>77</v>
      </c>
      <c r="F36" s="49" t="s">
        <v>77</v>
      </c>
      <c r="G36" s="49" t="s">
        <v>77</v>
      </c>
      <c r="H36" s="50"/>
      <c r="I36" s="48"/>
      <c r="J36" s="49"/>
      <c r="K36" s="48"/>
      <c r="L36" s="50"/>
      <c r="M36" s="49" t="s">
        <v>77</v>
      </c>
    </row>
    <row r="37" customFormat="false" ht="23.25" hidden="false" customHeight="true" outlineLevel="0" collapsed="false">
      <c r="B37" s="52" t="s">
        <v>934</v>
      </c>
      <c r="C37" s="55" t="s">
        <v>939</v>
      </c>
      <c r="D37" s="55"/>
      <c r="E37" s="56" t="s">
        <v>77</v>
      </c>
      <c r="F37" s="56" t="s">
        <v>77</v>
      </c>
      <c r="G37" s="56" t="s">
        <v>77</v>
      </c>
      <c r="H37" s="57"/>
      <c r="I37" s="55"/>
      <c r="J37" s="56"/>
      <c r="K37" s="55"/>
      <c r="L37" s="57"/>
      <c r="M37" s="56" t="s">
        <v>77</v>
      </c>
    </row>
    <row r="38" customFormat="false" ht="23.25" hidden="false" customHeight="true" outlineLevel="0" collapsed="false">
      <c r="B38" s="46" t="s">
        <v>934</v>
      </c>
      <c r="C38" s="48" t="s">
        <v>940</v>
      </c>
      <c r="D38" s="48"/>
      <c r="E38" s="49" t="s">
        <v>77</v>
      </c>
      <c r="F38" s="49" t="s">
        <v>77</v>
      </c>
      <c r="G38" s="49" t="s">
        <v>77</v>
      </c>
      <c r="H38" s="50"/>
      <c r="I38" s="48"/>
      <c r="J38" s="49"/>
      <c r="K38" s="48"/>
      <c r="L38" s="50"/>
      <c r="M38" s="49" t="s">
        <v>77</v>
      </c>
    </row>
    <row r="39" customFormat="false" ht="23.25" hidden="false" customHeight="true" outlineLevel="0" collapsed="false">
      <c r="B39" s="52" t="s">
        <v>934</v>
      </c>
      <c r="C39" s="55" t="s">
        <v>941</v>
      </c>
      <c r="D39" s="55"/>
      <c r="E39" s="56" t="s">
        <v>77</v>
      </c>
      <c r="F39" s="56" t="s">
        <v>77</v>
      </c>
      <c r="G39" s="56" t="s">
        <v>77</v>
      </c>
      <c r="H39" s="57"/>
      <c r="I39" s="55"/>
      <c r="J39" s="56"/>
      <c r="K39" s="55"/>
      <c r="L39" s="57"/>
      <c r="M39" s="56" t="s">
        <v>77</v>
      </c>
    </row>
    <row r="40" customFormat="false" ht="15" hidden="false" customHeight="true" outlineLevel="0" collapsed="false">
      <c r="B40" s="46" t="s">
        <v>942</v>
      </c>
      <c r="C40" s="48" t="s">
        <v>943</v>
      </c>
      <c r="D40" s="48"/>
      <c r="E40" s="49" t="s">
        <v>77</v>
      </c>
      <c r="F40" s="49" t="s">
        <v>77</v>
      </c>
      <c r="G40" s="49" t="s">
        <v>77</v>
      </c>
      <c r="H40" s="50"/>
      <c r="I40" s="48"/>
      <c r="J40" s="49"/>
      <c r="K40" s="48"/>
      <c r="L40" s="50"/>
      <c r="M40" s="49" t="s">
        <v>77</v>
      </c>
    </row>
    <row r="41" customFormat="false" ht="15" hidden="false" customHeight="true" outlineLevel="0" collapsed="false">
      <c r="B41" s="52" t="s">
        <v>942</v>
      </c>
      <c r="C41" s="55" t="s">
        <v>944</v>
      </c>
      <c r="D41" s="55"/>
      <c r="E41" s="56" t="s">
        <v>77</v>
      </c>
      <c r="F41" s="56" t="s">
        <v>77</v>
      </c>
      <c r="G41" s="56" t="s">
        <v>77</v>
      </c>
      <c r="H41" s="57"/>
      <c r="I41" s="55"/>
      <c r="J41" s="56"/>
      <c r="K41" s="55"/>
      <c r="L41" s="57"/>
      <c r="M41" s="56" t="s">
        <v>77</v>
      </c>
    </row>
    <row r="42" customFormat="false" ht="15" hidden="false" customHeight="true" outlineLevel="0" collapsed="false">
      <c r="B42" s="46" t="s">
        <v>942</v>
      </c>
      <c r="C42" s="48" t="s">
        <v>945</v>
      </c>
      <c r="D42" s="48"/>
      <c r="E42" s="49" t="s">
        <v>77</v>
      </c>
      <c r="F42" s="49" t="s">
        <v>77</v>
      </c>
      <c r="G42" s="49" t="s">
        <v>77</v>
      </c>
      <c r="H42" s="50"/>
      <c r="I42" s="48"/>
      <c r="J42" s="49"/>
      <c r="K42" s="48"/>
      <c r="L42" s="50"/>
      <c r="M42" s="49" t="s">
        <v>77</v>
      </c>
    </row>
    <row r="43" customFormat="false" ht="15" hidden="false" customHeight="true" outlineLevel="0" collapsed="false">
      <c r="B43" s="52" t="s">
        <v>946</v>
      </c>
      <c r="C43" s="55" t="s">
        <v>947</v>
      </c>
      <c r="D43" s="55"/>
      <c r="E43" s="56" t="s">
        <v>77</v>
      </c>
      <c r="F43" s="56" t="s">
        <v>77</v>
      </c>
      <c r="G43" s="56" t="s">
        <v>77</v>
      </c>
      <c r="H43" s="57"/>
      <c r="I43" s="55"/>
      <c r="J43" s="56"/>
      <c r="K43" s="55"/>
      <c r="L43" s="57"/>
      <c r="M43" s="56" t="s">
        <v>77</v>
      </c>
    </row>
    <row r="44" customFormat="false" ht="15" hidden="false" customHeight="true" outlineLevel="0" collapsed="false">
      <c r="B44" s="46" t="s">
        <v>946</v>
      </c>
      <c r="C44" s="48" t="s">
        <v>948</v>
      </c>
      <c r="D44" s="48"/>
      <c r="E44" s="49" t="s">
        <v>77</v>
      </c>
      <c r="F44" s="49" t="s">
        <v>77</v>
      </c>
      <c r="G44" s="49" t="s">
        <v>77</v>
      </c>
      <c r="H44" s="50"/>
      <c r="I44" s="48"/>
      <c r="J44" s="49"/>
      <c r="K44" s="48"/>
      <c r="L44" s="50"/>
      <c r="M44" s="49" t="s">
        <v>77</v>
      </c>
    </row>
    <row r="45" customFormat="false" ht="15" hidden="false" customHeight="true" outlineLevel="0" collapsed="false">
      <c r="B45" s="52" t="s">
        <v>946</v>
      </c>
      <c r="C45" s="55" t="s">
        <v>949</v>
      </c>
      <c r="D45" s="55"/>
      <c r="E45" s="56" t="s">
        <v>77</v>
      </c>
      <c r="F45" s="56" t="s">
        <v>77</v>
      </c>
      <c r="G45" s="56" t="s">
        <v>77</v>
      </c>
      <c r="H45" s="57"/>
      <c r="I45" s="55"/>
      <c r="J45" s="56"/>
      <c r="K45" s="55"/>
      <c r="L45" s="57"/>
      <c r="M45" s="56" t="s">
        <v>77</v>
      </c>
    </row>
    <row r="46" customFormat="false" ht="15" hidden="false" customHeight="true" outlineLevel="0" collapsed="false">
      <c r="B46" s="46" t="s">
        <v>946</v>
      </c>
      <c r="C46" s="48" t="s">
        <v>950</v>
      </c>
      <c r="D46" s="48"/>
      <c r="E46" s="49" t="s">
        <v>77</v>
      </c>
      <c r="F46" s="49" t="s">
        <v>77</v>
      </c>
      <c r="G46" s="49" t="s">
        <v>77</v>
      </c>
      <c r="H46" s="50"/>
      <c r="I46" s="48"/>
      <c r="J46" s="49"/>
      <c r="K46" s="48"/>
      <c r="L46" s="50"/>
      <c r="M46" s="49" t="s">
        <v>77</v>
      </c>
    </row>
    <row r="47" customFormat="false" ht="23.25" hidden="false" customHeight="true" outlineLevel="0" collapsed="false">
      <c r="B47" s="52" t="s">
        <v>951</v>
      </c>
      <c r="C47" s="55" t="s">
        <v>952</v>
      </c>
      <c r="D47" s="55"/>
      <c r="E47" s="56" t="s">
        <v>77</v>
      </c>
      <c r="F47" s="56" t="s">
        <v>77</v>
      </c>
      <c r="G47" s="56" t="s">
        <v>77</v>
      </c>
      <c r="H47" s="57"/>
      <c r="I47" s="55"/>
      <c r="J47" s="56"/>
      <c r="K47" s="55"/>
      <c r="L47" s="57"/>
      <c r="M47" s="56" t="s">
        <v>77</v>
      </c>
    </row>
    <row r="48" customFormat="false" ht="15" hidden="false" customHeight="true" outlineLevel="0" collapsed="false">
      <c r="B48" s="46" t="s">
        <v>951</v>
      </c>
      <c r="C48" s="48" t="s">
        <v>953</v>
      </c>
      <c r="D48" s="48"/>
      <c r="E48" s="49" t="s">
        <v>77</v>
      </c>
      <c r="F48" s="49" t="s">
        <v>77</v>
      </c>
      <c r="G48" s="49" t="s">
        <v>77</v>
      </c>
      <c r="H48" s="50"/>
      <c r="I48" s="48"/>
      <c r="J48" s="49"/>
      <c r="K48" s="48"/>
      <c r="L48" s="50"/>
      <c r="M48" s="49" t="s">
        <v>77</v>
      </c>
    </row>
    <row r="49" customFormat="false" ht="15" hidden="false" customHeight="true" outlineLevel="0" collapsed="false">
      <c r="B49" s="52" t="s">
        <v>951</v>
      </c>
      <c r="C49" s="55" t="s">
        <v>954</v>
      </c>
      <c r="D49" s="55"/>
      <c r="E49" s="56" t="s">
        <v>77</v>
      </c>
      <c r="F49" s="56" t="s">
        <v>77</v>
      </c>
      <c r="G49" s="56" t="s">
        <v>77</v>
      </c>
      <c r="H49" s="57"/>
      <c r="I49" s="55"/>
      <c r="J49" s="56"/>
      <c r="K49" s="55"/>
      <c r="L49" s="57"/>
      <c r="M49" s="56" t="s">
        <v>77</v>
      </c>
    </row>
    <row r="50" customFormat="false" ht="15" hidden="false" customHeight="true" outlineLevel="0" collapsed="false">
      <c r="B50" s="46" t="s">
        <v>955</v>
      </c>
      <c r="C50" s="48" t="s">
        <v>956</v>
      </c>
      <c r="D50" s="48"/>
      <c r="E50" s="49" t="s">
        <v>77</v>
      </c>
      <c r="F50" s="49" t="s">
        <v>77</v>
      </c>
      <c r="G50" s="49" t="s">
        <v>77</v>
      </c>
      <c r="H50" s="50"/>
      <c r="I50" s="48"/>
      <c r="J50" s="49"/>
      <c r="K50" s="48"/>
      <c r="L50" s="50"/>
      <c r="M50" s="49" t="s">
        <v>77</v>
      </c>
    </row>
    <row r="51" customFormat="false" ht="15" hidden="false" customHeight="true" outlineLevel="0" collapsed="false">
      <c r="B51" s="52" t="s">
        <v>955</v>
      </c>
      <c r="C51" s="55" t="s">
        <v>957</v>
      </c>
      <c r="D51" s="55"/>
      <c r="E51" s="56" t="s">
        <v>77</v>
      </c>
      <c r="F51" s="56" t="s">
        <v>77</v>
      </c>
      <c r="G51" s="56" t="s">
        <v>77</v>
      </c>
      <c r="H51" s="57"/>
      <c r="I51" s="55"/>
      <c r="J51" s="56"/>
      <c r="K51" s="55"/>
      <c r="L51" s="57"/>
      <c r="M51" s="56" t="s">
        <v>77</v>
      </c>
    </row>
    <row r="52" customFormat="false" ht="15" hidden="false" customHeight="true" outlineLevel="0" collapsed="false">
      <c r="B52" s="46" t="s">
        <v>958</v>
      </c>
      <c r="C52" s="48" t="s">
        <v>959</v>
      </c>
      <c r="D52" s="48"/>
      <c r="E52" s="49" t="s">
        <v>77</v>
      </c>
      <c r="F52" s="49" t="s">
        <v>77</v>
      </c>
      <c r="G52" s="49" t="s">
        <v>77</v>
      </c>
      <c r="H52" s="50"/>
      <c r="I52" s="48"/>
      <c r="J52" s="49"/>
      <c r="K52" s="48"/>
      <c r="L52" s="50"/>
      <c r="M52" s="49" t="s">
        <v>77</v>
      </c>
    </row>
    <row r="53" customFormat="false" ht="15" hidden="false" customHeight="true" outlineLevel="0" collapsed="false">
      <c r="B53" s="52" t="s">
        <v>958</v>
      </c>
      <c r="C53" s="55" t="s">
        <v>960</v>
      </c>
      <c r="D53" s="55"/>
      <c r="E53" s="56" t="s">
        <v>77</v>
      </c>
      <c r="F53" s="56" t="s">
        <v>77</v>
      </c>
      <c r="G53" s="56" t="s">
        <v>77</v>
      </c>
      <c r="H53" s="57"/>
      <c r="I53" s="55"/>
      <c r="J53" s="56"/>
      <c r="K53" s="55"/>
      <c r="L53" s="57"/>
      <c r="M53" s="56" t="s">
        <v>77</v>
      </c>
    </row>
    <row r="54" customFormat="false" ht="15" hidden="false" customHeight="true" outlineLevel="0" collapsed="false">
      <c r="B54" s="46" t="s">
        <v>958</v>
      </c>
      <c r="C54" s="48" t="s">
        <v>961</v>
      </c>
      <c r="D54" s="48"/>
      <c r="E54" s="49" t="s">
        <v>77</v>
      </c>
      <c r="F54" s="49" t="s">
        <v>77</v>
      </c>
      <c r="G54" s="49" t="s">
        <v>77</v>
      </c>
      <c r="H54" s="50"/>
      <c r="I54" s="48"/>
      <c r="J54" s="49"/>
      <c r="K54" s="48"/>
      <c r="L54" s="50"/>
      <c r="M54" s="49" t="s">
        <v>77</v>
      </c>
    </row>
    <row r="55" customFormat="false" ht="15" hidden="false" customHeight="true" outlineLevel="0" collapsed="false">
      <c r="B55" s="52" t="s">
        <v>962</v>
      </c>
      <c r="C55" s="55" t="s">
        <v>963</v>
      </c>
      <c r="D55" s="55"/>
      <c r="E55" s="56" t="s">
        <v>77</v>
      </c>
      <c r="F55" s="56" t="s">
        <v>77</v>
      </c>
      <c r="G55" s="56" t="s">
        <v>77</v>
      </c>
      <c r="H55" s="57"/>
      <c r="I55" s="55"/>
      <c r="J55" s="56"/>
      <c r="K55" s="55"/>
      <c r="L55" s="57"/>
      <c r="M55" s="56" t="s">
        <v>77</v>
      </c>
    </row>
    <row r="56" customFormat="false" ht="15" hidden="false" customHeight="true" outlineLevel="0" collapsed="false">
      <c r="B56" s="46" t="s">
        <v>962</v>
      </c>
      <c r="C56" s="48" t="s">
        <v>964</v>
      </c>
      <c r="D56" s="48"/>
      <c r="E56" s="49" t="s">
        <v>77</v>
      </c>
      <c r="F56" s="49" t="s">
        <v>77</v>
      </c>
      <c r="G56" s="49" t="s">
        <v>77</v>
      </c>
      <c r="H56" s="50"/>
      <c r="I56" s="48"/>
      <c r="J56" s="49"/>
      <c r="K56" s="48"/>
      <c r="L56" s="50"/>
      <c r="M56" s="49" t="s">
        <v>77</v>
      </c>
    </row>
    <row r="57" customFormat="false" ht="15" hidden="false" customHeight="true" outlineLevel="0" collapsed="false">
      <c r="B57" s="52" t="s">
        <v>965</v>
      </c>
      <c r="C57" s="55" t="s">
        <v>966</v>
      </c>
      <c r="D57" s="55"/>
      <c r="E57" s="56" t="s">
        <v>77</v>
      </c>
      <c r="F57" s="56" t="s">
        <v>77</v>
      </c>
      <c r="G57" s="56" t="s">
        <v>77</v>
      </c>
      <c r="H57" s="57"/>
      <c r="I57" s="55"/>
      <c r="J57" s="56"/>
      <c r="K57" s="55"/>
      <c r="L57" s="57"/>
      <c r="M57" s="56" t="s">
        <v>77</v>
      </c>
    </row>
    <row r="58" customFormat="false" ht="15" hidden="false" customHeight="true" outlineLevel="0" collapsed="false">
      <c r="B58" s="46" t="s">
        <v>965</v>
      </c>
      <c r="C58" s="48" t="s">
        <v>967</v>
      </c>
      <c r="D58" s="48"/>
      <c r="E58" s="49" t="s">
        <v>77</v>
      </c>
      <c r="F58" s="49" t="s">
        <v>77</v>
      </c>
      <c r="G58" s="49" t="s">
        <v>77</v>
      </c>
      <c r="H58" s="50"/>
      <c r="I58" s="48"/>
      <c r="J58" s="49"/>
      <c r="K58" s="48"/>
      <c r="L58" s="50"/>
      <c r="M58" s="49" t="s">
        <v>77</v>
      </c>
    </row>
    <row r="59" customFormat="false" ht="23.25" hidden="false" customHeight="true" outlineLevel="0" collapsed="false">
      <c r="B59" s="52" t="s">
        <v>968</v>
      </c>
      <c r="C59" s="55" t="s">
        <v>969</v>
      </c>
      <c r="D59" s="55"/>
      <c r="E59" s="56" t="s">
        <v>77</v>
      </c>
      <c r="F59" s="56" t="s">
        <v>77</v>
      </c>
      <c r="G59" s="56" t="s">
        <v>77</v>
      </c>
      <c r="H59" s="57"/>
      <c r="I59" s="55"/>
      <c r="J59" s="56"/>
      <c r="K59" s="55"/>
      <c r="L59" s="57"/>
      <c r="M59" s="56" t="s">
        <v>77</v>
      </c>
    </row>
  </sheetData>
  <autoFilter ref="B11:M59"/>
  <mergeCells count="11">
    <mergeCell ref="B7:M7"/>
    <mergeCell ref="B8:C8"/>
    <mergeCell ref="D8:E8"/>
    <mergeCell ref="F8:G8"/>
    <mergeCell ref="H8:I8"/>
    <mergeCell ref="J8:K8"/>
    <mergeCell ref="B9:C9"/>
    <mergeCell ref="D9:E9"/>
    <mergeCell ref="F9:G9"/>
    <mergeCell ref="H9:I9"/>
    <mergeCell ref="J9:K9"/>
  </mergeCells>
  <conditionalFormatting sqref="E12:G59">
    <cfRule type="cellIs" priority="2" operator="equal" aboveAverage="0" equalAverage="0" bottom="0" percent="0" rank="0" text="" dxfId="0">
      <formula>"Complete"</formula>
    </cfRule>
    <cfRule type="cellIs" priority="3" operator="equal" aboveAverage="0" equalAverage="0" bottom="0" percent="0" rank="0" text="" dxfId="11">
      <formula>"In progress"</formula>
    </cfRule>
    <cfRule type="cellIs" priority="4" operator="equal" aboveAverage="0" equalAverage="0" bottom="0" percent="0" rank="0" text="" dxfId="1">
      <formula>"Blocked"</formula>
    </cfRule>
    <cfRule type="cellIs" priority="5" operator="equal" aboveAverage="0" equalAverage="0" bottom="0" percent="0" rank="0" text="" dxfId="12">
      <formula>"Not started"</formula>
    </cfRule>
    <cfRule type="cellIs" priority="6" operator="equal" aboveAverage="0" equalAverage="0" bottom="0" percent="0" rank="0" text="" dxfId="12">
      <formula>"N/A"</formula>
    </cfRule>
    <cfRule type="cellIs" priority="7" operator="equal" aboveAverage="0" equalAverage="0" bottom="0" percent="0" rank="0" text="" dxfId="0">
      <formula>"Witnessed"</formula>
    </cfRule>
  </conditionalFormatting>
  <conditionalFormatting sqref="M12:M59">
    <cfRule type="cellIs" priority="8" operator="equal" aboveAverage="0" equalAverage="0" bottom="0" percent="0" rank="0" text="" dxfId="0">
      <formula>"Complete"</formula>
    </cfRule>
    <cfRule type="cellIs" priority="9" operator="equal" aboveAverage="0" equalAverage="0" bottom="0" percent="0" rank="0" text="" dxfId="11">
      <formula>"In progress"</formula>
    </cfRule>
    <cfRule type="cellIs" priority="10" operator="equal" aboveAverage="0" equalAverage="0" bottom="0" percent="0" rank="0" text="" dxfId="1">
      <formula>"Blocked"</formula>
    </cfRule>
    <cfRule type="cellIs" priority="11" operator="equal" aboveAverage="0" equalAverage="0" bottom="0" percent="0" rank="0" text="" dxfId="12">
      <formula>"Not started"</formula>
    </cfRule>
    <cfRule type="cellIs" priority="12" operator="equal" aboveAverage="0" equalAverage="0" bottom="0" percent="0" rank="0" text="" dxfId="12">
      <formula>"N/A"</formula>
    </cfRule>
    <cfRule type="cellIs" priority="13" operator="equal" aboveAverage="0" equalAverage="0" bottom="0" percent="0" rank="0" text="" dxfId="0">
      <formula>"Witnessed"</formula>
    </cfRule>
  </conditionalFormatting>
  <dataValidations count="3">
    <dataValidation allowBlank="true" errorStyle="stop" operator="between" showDropDown="false" showErrorMessage="false" showInputMessage="false" sqref="E12:G59" type="list">
      <formula1>Lists!$H$9:$H$13</formula1>
      <formula2>0</formula2>
    </dataValidation>
    <dataValidation allowBlank="true" errorStyle="stop" operator="between" showDropDown="false" showErrorMessage="false" showInputMessage="false" sqref="J12:J59" type="list">
      <formula1>Lists!$G$9:$G$11</formula1>
      <formula2>0</formula2>
    </dataValidation>
    <dataValidation allowBlank="true" errorStyle="stop" operator="between" showDropDown="false" showErrorMessage="false" showInputMessage="false" sqref="M12:M59" type="list">
      <formula1>Lists!$B$9:$B$13</formula1>
      <formula2>0</formula2>
    </dataValidation>
  </dataValidations>
  <printOptions headings="false" gridLines="false" gridLinesSet="true" horizontalCentered="true" verticalCentered="false"/>
  <pageMargins left="0.4" right="0.4" top="0.5" bottom="0.5" header="0.511811023622047" footer="0.5"/>
  <pageSetup paperSize="8" scale="100" fitToWidth="1" fitToHeight="0" pageOrder="downThenOver" orientation="landscape" blackAndWhite="false" draft="false" cellComments="none" horizontalDpi="300" verticalDpi="300" copies="1"/>
  <headerFooter differentFirst="false" differentOddEven="false">
    <oddHeader/>
    <oddFooter>&amp;L&amp;8 &amp;K8e98a2Template by Mastt  ·  mastt.com&amp;R&amp;8 &amp;K8e98a2Page &amp;P of &amp;N</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A1:S5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3" ySplit="11" topLeftCell="D12" activePane="bottomRight" state="frozen"/>
      <selection pane="topLeft" activeCell="A1" activeCellId="0" sqref="A1"/>
      <selection pane="topRight" activeCell="D1" activeCellId="0" sqref="D1"/>
      <selection pane="bottomLeft" activeCell="A12" activeCellId="0" sqref="A12"/>
      <selection pane="bottomRight" activeCell="A1" activeCellId="0" sqref="A1"/>
    </sheetView>
  </sheetViews>
  <sheetFormatPr defaultColWidth="8.6796875" defaultRowHeight="15" zeroHeight="false" outlineLevelRow="0" outlineLevelCol="0"/>
  <cols>
    <col collapsed="false" customWidth="true" hidden="false" outlineLevel="0" max="1" min="1" style="1" width="2.5"/>
    <col collapsed="false" customWidth="true" hidden="false" outlineLevel="0" max="2" min="2" style="1" width="13"/>
    <col collapsed="false" customWidth="true" hidden="false" outlineLevel="0" max="3" min="3" style="1" width="34"/>
    <col collapsed="false" customWidth="true" hidden="false" outlineLevel="0" max="4" min="4" style="1" width="16"/>
    <col collapsed="false" customWidth="true" hidden="false" outlineLevel="0" max="5" min="5" style="1" width="18"/>
    <col collapsed="false" customWidth="true" hidden="false" outlineLevel="0" max="6" min="6" style="1" width="24"/>
    <col collapsed="false" customWidth="true" hidden="false" outlineLevel="0" max="7" min="7" style="1" width="18"/>
    <col collapsed="false" customWidth="true" hidden="false" outlineLevel="0" max="9" min="8" style="1" width="16"/>
    <col collapsed="false" customWidth="true" hidden="false" outlineLevel="0" max="11" min="10" style="1" width="13"/>
    <col collapsed="false" customWidth="true" hidden="false" outlineLevel="0" max="12" min="12" style="1" width="11"/>
    <col collapsed="false" customWidth="true" hidden="false" outlineLevel="0" max="13" min="13" style="1" width="13"/>
    <col collapsed="false" customWidth="true" hidden="false" outlineLevel="0" max="15" min="14" style="1" width="11"/>
    <col collapsed="false" customWidth="true" hidden="false" outlineLevel="0" max="16" min="16" style="1" width="12"/>
    <col collapsed="false" customWidth="true" hidden="false" outlineLevel="0" max="17" min="17" style="1" width="15"/>
    <col collapsed="false" customWidth="true" hidden="false" outlineLevel="0" max="18" min="18" style="1" width="18"/>
    <col collapsed="false" customWidth="true" hidden="false" outlineLevel="0" max="19" min="19" style="1" width="12"/>
  </cols>
  <sheetData>
    <row r="1" customFormat="false" ht="9.75" hidden="false" customHeight="true" outlineLevel="0" collapsed="false">
      <c r="A1" s="2"/>
      <c r="B1" s="2"/>
      <c r="C1" s="2"/>
      <c r="D1" s="2"/>
      <c r="E1" s="2"/>
      <c r="F1" s="2"/>
      <c r="G1" s="2"/>
      <c r="H1" s="2"/>
      <c r="I1" s="2"/>
      <c r="J1" s="2"/>
      <c r="K1" s="2"/>
      <c r="L1" s="2"/>
      <c r="M1" s="2"/>
      <c r="N1" s="2"/>
      <c r="O1" s="2"/>
      <c r="P1" s="2"/>
      <c r="Q1" s="2"/>
      <c r="R1" s="2"/>
      <c r="S1" s="2"/>
    </row>
    <row r="2" customFormat="false" ht="33.75" hidden="false" customHeight="true" outlineLevel="0" collapsed="false">
      <c r="A2" s="2"/>
      <c r="B2" s="2"/>
      <c r="C2" s="2"/>
      <c r="D2" s="2"/>
      <c r="E2" s="2"/>
      <c r="F2" s="2"/>
      <c r="G2" s="2"/>
      <c r="H2" s="2"/>
      <c r="I2" s="2"/>
      <c r="J2" s="2"/>
      <c r="K2" s="2"/>
      <c r="L2" s="2"/>
      <c r="M2" s="2"/>
      <c r="N2" s="2"/>
      <c r="O2" s="2"/>
      <c r="P2" s="2"/>
      <c r="Q2" s="2"/>
      <c r="R2" s="2"/>
      <c r="S2" s="2"/>
    </row>
    <row r="3" customFormat="false" ht="7.5" hidden="false" customHeight="true" outlineLevel="0" collapsed="false">
      <c r="A3" s="2"/>
      <c r="B3" s="2"/>
      <c r="C3" s="2"/>
      <c r="D3" s="2"/>
      <c r="E3" s="2"/>
      <c r="F3" s="2"/>
      <c r="G3" s="2"/>
      <c r="H3" s="2"/>
      <c r="I3" s="2"/>
      <c r="J3" s="2"/>
      <c r="K3" s="2"/>
      <c r="L3" s="2"/>
      <c r="M3" s="2"/>
      <c r="N3" s="2"/>
      <c r="O3" s="2"/>
      <c r="P3" s="2"/>
      <c r="Q3" s="2"/>
      <c r="R3" s="2"/>
      <c r="S3" s="2"/>
    </row>
    <row r="4" customFormat="false" ht="30" hidden="false" customHeight="true" outlineLevel="0" collapsed="false">
      <c r="A4" s="2"/>
      <c r="B4" s="3" t="s">
        <v>970</v>
      </c>
      <c r="C4" s="2"/>
      <c r="D4" s="2"/>
      <c r="E4" s="2"/>
      <c r="F4" s="2"/>
      <c r="G4" s="2"/>
      <c r="H4" s="2"/>
      <c r="I4" s="2"/>
      <c r="J4" s="2"/>
      <c r="K4" s="2"/>
      <c r="L4" s="2"/>
      <c r="M4" s="2"/>
      <c r="N4" s="2"/>
      <c r="O4" s="2"/>
      <c r="P4" s="2"/>
      <c r="Q4" s="2"/>
      <c r="R4" s="2"/>
      <c r="S4" s="2"/>
    </row>
    <row r="5" customFormat="false" ht="21.75" hidden="false" customHeight="true" outlineLevel="0" collapsed="false">
      <c r="A5" s="2"/>
      <c r="B5" s="4" t="s">
        <v>1</v>
      </c>
      <c r="C5" s="2"/>
      <c r="D5" s="2"/>
      <c r="E5" s="2"/>
      <c r="F5" s="2"/>
      <c r="G5" s="2"/>
      <c r="H5" s="2"/>
      <c r="I5" s="2"/>
      <c r="J5" s="2"/>
      <c r="K5" s="2"/>
      <c r="L5" s="2"/>
      <c r="M5" s="2"/>
      <c r="N5" s="2"/>
      <c r="O5" s="2"/>
      <c r="P5" s="2"/>
      <c r="Q5" s="2"/>
      <c r="R5" s="2"/>
      <c r="S5" s="2"/>
    </row>
    <row r="6" customFormat="false" ht="7.5" hidden="false" customHeight="true" outlineLevel="0" collapsed="false"/>
    <row r="7" customFormat="false" ht="30" hidden="false" customHeight="true" outlineLevel="0" collapsed="false">
      <c r="B7" s="23" t="s">
        <v>971</v>
      </c>
      <c r="C7" s="23"/>
      <c r="D7" s="23"/>
      <c r="E7" s="23"/>
      <c r="F7" s="23"/>
      <c r="G7" s="23"/>
      <c r="H7" s="23"/>
      <c r="I7" s="23"/>
      <c r="J7" s="23"/>
      <c r="K7" s="23"/>
      <c r="L7" s="23"/>
      <c r="M7" s="23"/>
      <c r="N7" s="23"/>
      <c r="O7" s="23"/>
      <c r="P7" s="23"/>
      <c r="Q7" s="23"/>
      <c r="R7" s="23"/>
      <c r="S7" s="23"/>
    </row>
    <row r="8" customFormat="false" ht="15.75" hidden="false" customHeight="true" outlineLevel="0" collapsed="false">
      <c r="B8" s="59" t="s">
        <v>972</v>
      </c>
      <c r="C8" s="59"/>
      <c r="D8" s="59" t="s">
        <v>973</v>
      </c>
      <c r="E8" s="59"/>
      <c r="F8" s="59" t="s">
        <v>974</v>
      </c>
      <c r="G8" s="59"/>
      <c r="H8" s="61" t="s">
        <v>975</v>
      </c>
      <c r="I8" s="61"/>
      <c r="J8" s="59" t="s">
        <v>976</v>
      </c>
      <c r="K8" s="59"/>
    </row>
    <row r="9" customFormat="false" ht="25.5" hidden="false" customHeight="true" outlineLevel="0" collapsed="false">
      <c r="B9" s="60" t="n">
        <f aca="false">COUNTA('Asset Register (Handover)'!$B$12:$B$51)</f>
        <v>40</v>
      </c>
      <c r="C9" s="60"/>
      <c r="D9" s="60" t="n">
        <f aca="false">COUNTIF('Asset Register (Handover)'!$S$12:$S$51,"Yes")</f>
        <v>3</v>
      </c>
      <c r="E9" s="60"/>
      <c r="F9" s="60" t="n">
        <f aca="false">COUNTIF('Asset Register (Handover)'!$N$12:$N$51,"Critical")</f>
        <v>0</v>
      </c>
      <c r="G9" s="60"/>
      <c r="H9" s="60" t="n">
        <f aca="false">SUMPRODUCT(('Asset Register (Handover)'!$N$12:$N$51&lt;&gt;"")*('Asset Register (Handover)'!$N$12:$N$51&gt;=0)*('Asset Register (Handover)'!$N$12:$N$51&lt;=90))</f>
        <v>0</v>
      </c>
      <c r="I9" s="60"/>
      <c r="J9" s="62" t="n">
        <f aca="false">SUM('Asset Register (Handover)'!$P$12:$P$51)</f>
        <v>75</v>
      </c>
      <c r="K9" s="62"/>
    </row>
    <row r="11" customFormat="false" ht="51.75" hidden="false" customHeight="true" outlineLevel="0" collapsed="false">
      <c r="B11" s="9" t="s">
        <v>977</v>
      </c>
      <c r="C11" s="9" t="s">
        <v>978</v>
      </c>
      <c r="D11" s="9" t="s">
        <v>119</v>
      </c>
      <c r="E11" s="9" t="s">
        <v>899</v>
      </c>
      <c r="F11" s="9" t="s">
        <v>979</v>
      </c>
      <c r="G11" s="9" t="s">
        <v>980</v>
      </c>
      <c r="H11" s="9" t="s">
        <v>981</v>
      </c>
      <c r="I11" s="9" t="s">
        <v>982</v>
      </c>
      <c r="J11" s="9" t="s">
        <v>983</v>
      </c>
      <c r="K11" s="9" t="s">
        <v>984</v>
      </c>
      <c r="L11" s="9" t="s">
        <v>985</v>
      </c>
      <c r="M11" s="9" t="s">
        <v>986</v>
      </c>
      <c r="N11" s="9" t="s">
        <v>987</v>
      </c>
      <c r="O11" s="9" t="s">
        <v>149</v>
      </c>
      <c r="P11" s="9" t="s">
        <v>988</v>
      </c>
      <c r="Q11" s="9" t="s">
        <v>989</v>
      </c>
      <c r="R11" s="9" t="s">
        <v>990</v>
      </c>
      <c r="S11" s="9" t="s">
        <v>991</v>
      </c>
    </row>
    <row r="12" customFormat="false" ht="23.25" hidden="false" customHeight="true" outlineLevel="0" collapsed="false">
      <c r="B12" s="46" t="s">
        <v>992</v>
      </c>
      <c r="C12" s="48" t="s">
        <v>993</v>
      </c>
      <c r="D12" s="63" t="s">
        <v>994</v>
      </c>
      <c r="E12" s="48" t="s">
        <v>995</v>
      </c>
      <c r="F12" s="48" t="s">
        <v>996</v>
      </c>
      <c r="G12" s="48" t="s">
        <v>997</v>
      </c>
      <c r="H12" s="48" t="s">
        <v>998</v>
      </c>
      <c r="I12" s="48" t="s">
        <v>999</v>
      </c>
      <c r="J12" s="50" t="n">
        <v>46130</v>
      </c>
      <c r="K12" s="50" t="n">
        <v>46262</v>
      </c>
      <c r="L12" s="64" t="n">
        <v>24</v>
      </c>
      <c r="M12" s="50" t="n">
        <f aca="false">IFERROR(IF(OR($K12="",$L12=""),"",EDATE($K12,$L12)),"")</f>
        <v>46993</v>
      </c>
      <c r="N12" s="64" t="n">
        <f aca="true">IFERROR(IF($M12="","",$M12-TODAY()),"")</f>
        <v>746</v>
      </c>
      <c r="O12" s="49" t="s">
        <v>161</v>
      </c>
      <c r="P12" s="64" t="n">
        <v>25</v>
      </c>
      <c r="Q12" s="65" t="n">
        <v>480000</v>
      </c>
      <c r="R12" s="48" t="s">
        <v>1000</v>
      </c>
      <c r="S12" s="49" t="s">
        <v>79</v>
      </c>
    </row>
    <row r="13" customFormat="false" ht="23.25" hidden="false" customHeight="true" outlineLevel="0" collapsed="false">
      <c r="B13" s="52" t="s">
        <v>1001</v>
      </c>
      <c r="C13" s="55" t="s">
        <v>1002</v>
      </c>
      <c r="D13" s="66" t="s">
        <v>994</v>
      </c>
      <c r="E13" s="55" t="s">
        <v>995</v>
      </c>
      <c r="F13" s="55" t="s">
        <v>996</v>
      </c>
      <c r="G13" s="55" t="s">
        <v>997</v>
      </c>
      <c r="H13" s="55" t="s">
        <v>998</v>
      </c>
      <c r="I13" s="55" t="s">
        <v>1003</v>
      </c>
      <c r="J13" s="57" t="n">
        <v>46134</v>
      </c>
      <c r="K13" s="57" t="n">
        <v>46262</v>
      </c>
      <c r="L13" s="67" t="n">
        <v>24</v>
      </c>
      <c r="M13" s="57" t="n">
        <f aca="false">IFERROR(IF(OR($K13="",$L13=""),"",EDATE($K13,$L13)),"")</f>
        <v>46993</v>
      </c>
      <c r="N13" s="67" t="n">
        <f aca="true">IFERROR(IF($M13="","",$M13-TODAY()),"")</f>
        <v>746</v>
      </c>
      <c r="O13" s="56" t="s">
        <v>161</v>
      </c>
      <c r="P13" s="67" t="n">
        <v>25</v>
      </c>
      <c r="Q13" s="68" t="n">
        <v>480000</v>
      </c>
      <c r="R13" s="55" t="s">
        <v>1000</v>
      </c>
      <c r="S13" s="56" t="s">
        <v>79</v>
      </c>
    </row>
    <row r="14" customFormat="false" ht="15" hidden="false" customHeight="true" outlineLevel="0" collapsed="false">
      <c r="B14" s="46" t="s">
        <v>1004</v>
      </c>
      <c r="C14" s="48" t="s">
        <v>1005</v>
      </c>
      <c r="D14" s="63" t="s">
        <v>994</v>
      </c>
      <c r="E14" s="48" t="s">
        <v>995</v>
      </c>
      <c r="F14" s="48"/>
      <c r="G14" s="48"/>
      <c r="H14" s="48"/>
      <c r="I14" s="48"/>
      <c r="J14" s="50"/>
      <c r="K14" s="50"/>
      <c r="L14" s="64"/>
      <c r="M14" s="50" t="str">
        <f aca="false">IFERROR(IF(OR($K14="",$L14=""),"",EDATE($K14,$L14)),"")</f>
        <v/>
      </c>
      <c r="N14" s="64" t="str">
        <f aca="true">IFERROR(IF($M14="","",$M14-TODAY()),"")</f>
        <v/>
      </c>
      <c r="O14" s="49"/>
      <c r="P14" s="64"/>
      <c r="Q14" s="65"/>
      <c r="R14" s="48"/>
      <c r="S14" s="49"/>
    </row>
    <row r="15" customFormat="false" ht="15" hidden="false" customHeight="true" outlineLevel="0" collapsed="false">
      <c r="B15" s="52" t="s">
        <v>1006</v>
      </c>
      <c r="C15" s="55" t="s">
        <v>1007</v>
      </c>
      <c r="D15" s="66" t="s">
        <v>994</v>
      </c>
      <c r="E15" s="55" t="s">
        <v>1008</v>
      </c>
      <c r="F15" s="55"/>
      <c r="G15" s="55"/>
      <c r="H15" s="55"/>
      <c r="I15" s="55"/>
      <c r="J15" s="57"/>
      <c r="K15" s="57"/>
      <c r="L15" s="67"/>
      <c r="M15" s="57" t="str">
        <f aca="false">IFERROR(IF(OR($K15="",$L15=""),"",EDATE($K15,$L15)),"")</f>
        <v/>
      </c>
      <c r="N15" s="67" t="str">
        <f aca="true">IFERROR(IF($M15="","",$M15-TODAY()),"")</f>
        <v/>
      </c>
      <c r="O15" s="56"/>
      <c r="P15" s="67"/>
      <c r="Q15" s="68"/>
      <c r="R15" s="55"/>
      <c r="S15" s="56"/>
    </row>
    <row r="16" customFormat="false" ht="23.25" hidden="false" customHeight="true" outlineLevel="0" collapsed="false">
      <c r="B16" s="46" t="s">
        <v>1009</v>
      </c>
      <c r="C16" s="48" t="s">
        <v>1010</v>
      </c>
      <c r="D16" s="63" t="s">
        <v>994</v>
      </c>
      <c r="E16" s="48" t="s">
        <v>1011</v>
      </c>
      <c r="F16" s="48"/>
      <c r="G16" s="48"/>
      <c r="H16" s="48"/>
      <c r="I16" s="48"/>
      <c r="J16" s="50"/>
      <c r="K16" s="50"/>
      <c r="L16" s="64"/>
      <c r="M16" s="50" t="str">
        <f aca="false">IFERROR(IF(OR($K16="",$L16=""),"",EDATE($K16,$L16)),"")</f>
        <v/>
      </c>
      <c r="N16" s="64" t="str">
        <f aca="true">IFERROR(IF($M16="","",$M16-TODAY()),"")</f>
        <v/>
      </c>
      <c r="O16" s="49"/>
      <c r="P16" s="64"/>
      <c r="Q16" s="65"/>
      <c r="R16" s="48"/>
      <c r="S16" s="49"/>
    </row>
    <row r="17" customFormat="false" ht="23.25" hidden="false" customHeight="true" outlineLevel="0" collapsed="false">
      <c r="B17" s="52" t="s">
        <v>1012</v>
      </c>
      <c r="C17" s="55" t="s">
        <v>1013</v>
      </c>
      <c r="D17" s="66" t="s">
        <v>994</v>
      </c>
      <c r="E17" s="55" t="s">
        <v>1011</v>
      </c>
      <c r="F17" s="55"/>
      <c r="G17" s="55"/>
      <c r="H17" s="55"/>
      <c r="I17" s="55"/>
      <c r="J17" s="57"/>
      <c r="K17" s="57"/>
      <c r="L17" s="67"/>
      <c r="M17" s="57" t="str">
        <f aca="false">IFERROR(IF(OR($K17="",$L17=""),"",EDATE($K17,$L17)),"")</f>
        <v/>
      </c>
      <c r="N17" s="67" t="str">
        <f aca="true">IFERROR(IF($M17="","",$M17-TODAY()),"")</f>
        <v/>
      </c>
      <c r="O17" s="56"/>
      <c r="P17" s="67"/>
      <c r="Q17" s="68"/>
      <c r="R17" s="55"/>
      <c r="S17" s="56"/>
    </row>
    <row r="18" customFormat="false" ht="15" hidden="false" customHeight="true" outlineLevel="0" collapsed="false">
      <c r="B18" s="46" t="s">
        <v>1014</v>
      </c>
      <c r="C18" s="48" t="s">
        <v>1015</v>
      </c>
      <c r="D18" s="63" t="s">
        <v>994</v>
      </c>
      <c r="E18" s="48" t="s">
        <v>1016</v>
      </c>
      <c r="F18" s="48"/>
      <c r="G18" s="48"/>
      <c r="H18" s="48"/>
      <c r="I18" s="48"/>
      <c r="J18" s="50"/>
      <c r="K18" s="50"/>
      <c r="L18" s="64"/>
      <c r="M18" s="50" t="str">
        <f aca="false">IFERROR(IF(OR($K18="",$L18=""),"",EDATE($K18,$L18)),"")</f>
        <v/>
      </c>
      <c r="N18" s="64" t="str">
        <f aca="true">IFERROR(IF($M18="","",$M18-TODAY()),"")</f>
        <v/>
      </c>
      <c r="O18" s="49"/>
      <c r="P18" s="64"/>
      <c r="Q18" s="65"/>
      <c r="R18" s="48"/>
      <c r="S18" s="49"/>
    </row>
    <row r="19" customFormat="false" ht="15" hidden="false" customHeight="true" outlineLevel="0" collapsed="false">
      <c r="B19" s="52" t="s">
        <v>1017</v>
      </c>
      <c r="C19" s="55" t="s">
        <v>1018</v>
      </c>
      <c r="D19" s="66" t="s">
        <v>994</v>
      </c>
      <c r="E19" s="55" t="s">
        <v>1016</v>
      </c>
      <c r="F19" s="55"/>
      <c r="G19" s="55"/>
      <c r="H19" s="55"/>
      <c r="I19" s="55"/>
      <c r="J19" s="57"/>
      <c r="K19" s="57"/>
      <c r="L19" s="67"/>
      <c r="M19" s="57" t="str">
        <f aca="false">IFERROR(IF(OR($K19="",$L19=""),"",EDATE($K19,$L19)),"")</f>
        <v/>
      </c>
      <c r="N19" s="67" t="str">
        <f aca="true">IFERROR(IF($M19="","",$M19-TODAY()),"")</f>
        <v/>
      </c>
      <c r="O19" s="56"/>
      <c r="P19" s="67"/>
      <c r="Q19" s="68"/>
      <c r="R19" s="55"/>
      <c r="S19" s="56"/>
    </row>
    <row r="20" customFormat="false" ht="15" hidden="false" customHeight="true" outlineLevel="0" collapsed="false">
      <c r="B20" s="46" t="s">
        <v>1019</v>
      </c>
      <c r="C20" s="48" t="s">
        <v>1020</v>
      </c>
      <c r="D20" s="63" t="s">
        <v>994</v>
      </c>
      <c r="E20" s="48" t="s">
        <v>1021</v>
      </c>
      <c r="F20" s="48"/>
      <c r="G20" s="48"/>
      <c r="H20" s="48"/>
      <c r="I20" s="48"/>
      <c r="J20" s="50"/>
      <c r="K20" s="50"/>
      <c r="L20" s="64"/>
      <c r="M20" s="50" t="str">
        <f aca="false">IFERROR(IF(OR($K20="",$L20=""),"",EDATE($K20,$L20)),"")</f>
        <v/>
      </c>
      <c r="N20" s="64" t="str">
        <f aca="true">IFERROR(IF($M20="","",$M20-TODAY()),"")</f>
        <v/>
      </c>
      <c r="O20" s="49"/>
      <c r="P20" s="64"/>
      <c r="Q20" s="65"/>
      <c r="R20" s="48"/>
      <c r="S20" s="49"/>
    </row>
    <row r="21" customFormat="false" ht="15" hidden="false" customHeight="true" outlineLevel="0" collapsed="false">
      <c r="B21" s="52" t="s">
        <v>1022</v>
      </c>
      <c r="C21" s="55" t="s">
        <v>1023</v>
      </c>
      <c r="D21" s="66" t="s">
        <v>994</v>
      </c>
      <c r="E21" s="55" t="s">
        <v>1021</v>
      </c>
      <c r="F21" s="55"/>
      <c r="G21" s="55"/>
      <c r="H21" s="55"/>
      <c r="I21" s="55"/>
      <c r="J21" s="57"/>
      <c r="K21" s="57"/>
      <c r="L21" s="67"/>
      <c r="M21" s="57" t="str">
        <f aca="false">IFERROR(IF(OR($K21="",$L21=""),"",EDATE($K21,$L21)),"")</f>
        <v/>
      </c>
      <c r="N21" s="67" t="str">
        <f aca="true">IFERROR(IF($M21="","",$M21-TODAY()),"")</f>
        <v/>
      </c>
      <c r="O21" s="56"/>
      <c r="P21" s="67"/>
      <c r="Q21" s="68"/>
      <c r="R21" s="55"/>
      <c r="S21" s="56"/>
    </row>
    <row r="22" customFormat="false" ht="15" hidden="false" customHeight="true" outlineLevel="0" collapsed="false">
      <c r="B22" s="46" t="s">
        <v>1024</v>
      </c>
      <c r="C22" s="48" t="s">
        <v>1025</v>
      </c>
      <c r="D22" s="63" t="s">
        <v>934</v>
      </c>
      <c r="E22" s="48" t="s">
        <v>1026</v>
      </c>
      <c r="F22" s="48"/>
      <c r="G22" s="48"/>
      <c r="H22" s="48"/>
      <c r="I22" s="48"/>
      <c r="J22" s="50"/>
      <c r="K22" s="50"/>
      <c r="L22" s="64"/>
      <c r="M22" s="50" t="str">
        <f aca="false">IFERROR(IF(OR($K22="",$L22=""),"",EDATE($K22,$L22)),"")</f>
        <v/>
      </c>
      <c r="N22" s="64" t="str">
        <f aca="true">IFERROR(IF($M22="","",$M22-TODAY()),"")</f>
        <v/>
      </c>
      <c r="O22" s="49"/>
      <c r="P22" s="64"/>
      <c r="Q22" s="65"/>
      <c r="R22" s="48"/>
      <c r="S22" s="49"/>
    </row>
    <row r="23" customFormat="false" ht="15" hidden="false" customHeight="true" outlineLevel="0" collapsed="false">
      <c r="B23" s="52" t="s">
        <v>1027</v>
      </c>
      <c r="C23" s="55" t="s">
        <v>1028</v>
      </c>
      <c r="D23" s="66" t="s">
        <v>919</v>
      </c>
      <c r="E23" s="55" t="s">
        <v>1029</v>
      </c>
      <c r="F23" s="55"/>
      <c r="G23" s="55"/>
      <c r="H23" s="55"/>
      <c r="I23" s="55"/>
      <c r="J23" s="57"/>
      <c r="K23" s="57"/>
      <c r="L23" s="67"/>
      <c r="M23" s="57" t="str">
        <f aca="false">IFERROR(IF(OR($K23="",$L23=""),"",EDATE($K23,$L23)),"")</f>
        <v/>
      </c>
      <c r="N23" s="67" t="str">
        <f aca="true">IFERROR(IF($M23="","",$M23-TODAY()),"")</f>
        <v/>
      </c>
      <c r="O23" s="56"/>
      <c r="P23" s="67"/>
      <c r="Q23" s="68"/>
      <c r="R23" s="55"/>
      <c r="S23" s="56"/>
    </row>
    <row r="24" customFormat="false" ht="15" hidden="false" customHeight="true" outlineLevel="0" collapsed="false">
      <c r="B24" s="46" t="s">
        <v>1030</v>
      </c>
      <c r="C24" s="48" t="s">
        <v>1031</v>
      </c>
      <c r="D24" s="63" t="s">
        <v>919</v>
      </c>
      <c r="E24" s="48" t="s">
        <v>1029</v>
      </c>
      <c r="F24" s="48"/>
      <c r="G24" s="48"/>
      <c r="H24" s="48"/>
      <c r="I24" s="48"/>
      <c r="J24" s="50"/>
      <c r="K24" s="50"/>
      <c r="L24" s="64"/>
      <c r="M24" s="50" t="str">
        <f aca="false">IFERROR(IF(OR($K24="",$L24=""),"",EDATE($K24,$L24)),"")</f>
        <v/>
      </c>
      <c r="N24" s="64" t="str">
        <f aca="true">IFERROR(IF($M24="","",$M24-TODAY()),"")</f>
        <v/>
      </c>
      <c r="O24" s="49"/>
      <c r="P24" s="64"/>
      <c r="Q24" s="65"/>
      <c r="R24" s="48"/>
      <c r="S24" s="49"/>
    </row>
    <row r="25" customFormat="false" ht="23.25" hidden="false" customHeight="true" outlineLevel="0" collapsed="false">
      <c r="B25" s="52" t="s">
        <v>1032</v>
      </c>
      <c r="C25" s="55" t="s">
        <v>1033</v>
      </c>
      <c r="D25" s="66" t="s">
        <v>919</v>
      </c>
      <c r="E25" s="55" t="s">
        <v>1034</v>
      </c>
      <c r="F25" s="55" t="s">
        <v>1035</v>
      </c>
      <c r="G25" s="55" t="s">
        <v>1036</v>
      </c>
      <c r="H25" s="55" t="s">
        <v>1037</v>
      </c>
      <c r="I25" s="55" t="s">
        <v>1038</v>
      </c>
      <c r="J25" s="57" t="n">
        <v>46148</v>
      </c>
      <c r="K25" s="57" t="n">
        <v>46262</v>
      </c>
      <c r="L25" s="67" t="n">
        <v>24</v>
      </c>
      <c r="M25" s="57" t="n">
        <f aca="false">IFERROR(IF(OR($K25="",$L25=""),"",EDATE($K25,$L25)),"")</f>
        <v>46993</v>
      </c>
      <c r="N25" s="67" t="n">
        <f aca="true">IFERROR(IF($M25="","",$M25-TODAY()),"")</f>
        <v>746</v>
      </c>
      <c r="O25" s="56" t="s">
        <v>161</v>
      </c>
      <c r="P25" s="67" t="n">
        <v>25</v>
      </c>
      <c r="Q25" s="68" t="n">
        <v>395000</v>
      </c>
      <c r="R25" s="55" t="s">
        <v>1000</v>
      </c>
      <c r="S25" s="56" t="s">
        <v>79</v>
      </c>
    </row>
    <row r="26" customFormat="false" ht="15" hidden="false" customHeight="true" outlineLevel="0" collapsed="false">
      <c r="B26" s="46" t="s">
        <v>1039</v>
      </c>
      <c r="C26" s="48" t="s">
        <v>1040</v>
      </c>
      <c r="D26" s="63" t="s">
        <v>919</v>
      </c>
      <c r="E26" s="48" t="s">
        <v>1034</v>
      </c>
      <c r="F26" s="48"/>
      <c r="G26" s="48"/>
      <c r="H26" s="48"/>
      <c r="I26" s="48"/>
      <c r="J26" s="50"/>
      <c r="K26" s="50"/>
      <c r="L26" s="64"/>
      <c r="M26" s="50" t="str">
        <f aca="false">IFERROR(IF(OR($K26="",$L26=""),"",EDATE($K26,$L26)),"")</f>
        <v/>
      </c>
      <c r="N26" s="64" t="str">
        <f aca="true">IFERROR(IF($M26="","",$M26-TODAY()),"")</f>
        <v/>
      </c>
      <c r="O26" s="49"/>
      <c r="P26" s="64"/>
      <c r="Q26" s="65"/>
      <c r="R26" s="48"/>
      <c r="S26" s="49"/>
    </row>
    <row r="27" customFormat="false" ht="15" hidden="false" customHeight="true" outlineLevel="0" collapsed="false">
      <c r="B27" s="52" t="s">
        <v>1041</v>
      </c>
      <c r="C27" s="55" t="s">
        <v>1042</v>
      </c>
      <c r="D27" s="66" t="s">
        <v>919</v>
      </c>
      <c r="E27" s="55" t="s">
        <v>1043</v>
      </c>
      <c r="F27" s="55"/>
      <c r="G27" s="55"/>
      <c r="H27" s="55"/>
      <c r="I27" s="55"/>
      <c r="J27" s="57"/>
      <c r="K27" s="57"/>
      <c r="L27" s="67"/>
      <c r="M27" s="57" t="str">
        <f aca="false">IFERROR(IF(OR($K27="",$L27=""),"",EDATE($K27,$L27)),"")</f>
        <v/>
      </c>
      <c r="N27" s="67" t="str">
        <f aca="true">IFERROR(IF($M27="","",$M27-TODAY()),"")</f>
        <v/>
      </c>
      <c r="O27" s="56"/>
      <c r="P27" s="67"/>
      <c r="Q27" s="68"/>
      <c r="R27" s="55"/>
      <c r="S27" s="56"/>
    </row>
    <row r="28" customFormat="false" ht="15" hidden="false" customHeight="true" outlineLevel="0" collapsed="false">
      <c r="B28" s="46" t="s">
        <v>1044</v>
      </c>
      <c r="C28" s="48" t="s">
        <v>1045</v>
      </c>
      <c r="D28" s="63" t="s">
        <v>919</v>
      </c>
      <c r="E28" s="48" t="s">
        <v>1046</v>
      </c>
      <c r="F28" s="48"/>
      <c r="G28" s="48"/>
      <c r="H28" s="48"/>
      <c r="I28" s="48"/>
      <c r="J28" s="50"/>
      <c r="K28" s="50"/>
      <c r="L28" s="64"/>
      <c r="M28" s="50" t="str">
        <f aca="false">IFERROR(IF(OR($K28="",$L28=""),"",EDATE($K28,$L28)),"")</f>
        <v/>
      </c>
      <c r="N28" s="64" t="str">
        <f aca="true">IFERROR(IF($M28="","",$M28-TODAY()),"")</f>
        <v/>
      </c>
      <c r="O28" s="49"/>
      <c r="P28" s="64"/>
      <c r="Q28" s="65"/>
      <c r="R28" s="48"/>
      <c r="S28" s="49"/>
    </row>
    <row r="29" customFormat="false" ht="15" hidden="false" customHeight="true" outlineLevel="0" collapsed="false">
      <c r="B29" s="52" t="s">
        <v>1047</v>
      </c>
      <c r="C29" s="55" t="s">
        <v>1048</v>
      </c>
      <c r="D29" s="66" t="s">
        <v>919</v>
      </c>
      <c r="E29" s="55" t="s">
        <v>1049</v>
      </c>
      <c r="F29" s="55"/>
      <c r="G29" s="55"/>
      <c r="H29" s="55"/>
      <c r="I29" s="55"/>
      <c r="J29" s="57"/>
      <c r="K29" s="57"/>
      <c r="L29" s="67"/>
      <c r="M29" s="57" t="str">
        <f aca="false">IFERROR(IF(OR($K29="",$L29=""),"",EDATE($K29,$L29)),"")</f>
        <v/>
      </c>
      <c r="N29" s="67" t="str">
        <f aca="true">IFERROR(IF($M29="","",$M29-TODAY()),"")</f>
        <v/>
      </c>
      <c r="O29" s="56"/>
      <c r="P29" s="67"/>
      <c r="Q29" s="68"/>
      <c r="R29" s="55"/>
      <c r="S29" s="56"/>
    </row>
    <row r="30" customFormat="false" ht="15" hidden="false" customHeight="true" outlineLevel="0" collapsed="false">
      <c r="B30" s="46" t="s">
        <v>1050</v>
      </c>
      <c r="C30" s="48" t="s">
        <v>1051</v>
      </c>
      <c r="D30" s="63" t="s">
        <v>927</v>
      </c>
      <c r="E30" s="48" t="s">
        <v>1052</v>
      </c>
      <c r="F30" s="48"/>
      <c r="G30" s="48"/>
      <c r="H30" s="48"/>
      <c r="I30" s="48"/>
      <c r="J30" s="50"/>
      <c r="K30" s="50"/>
      <c r="L30" s="64"/>
      <c r="M30" s="50" t="str">
        <f aca="false">IFERROR(IF(OR($K30="",$L30=""),"",EDATE($K30,$L30)),"")</f>
        <v/>
      </c>
      <c r="N30" s="64" t="str">
        <f aca="true">IFERROR(IF($M30="","",$M30-TODAY()),"")</f>
        <v/>
      </c>
      <c r="O30" s="49"/>
      <c r="P30" s="64"/>
      <c r="Q30" s="65"/>
      <c r="R30" s="48"/>
      <c r="S30" s="49"/>
    </row>
    <row r="31" customFormat="false" ht="15" hidden="false" customHeight="true" outlineLevel="0" collapsed="false">
      <c r="B31" s="52" t="s">
        <v>1053</v>
      </c>
      <c r="C31" s="55" t="s">
        <v>1054</v>
      </c>
      <c r="D31" s="66" t="s">
        <v>927</v>
      </c>
      <c r="E31" s="55" t="s">
        <v>1055</v>
      </c>
      <c r="F31" s="55"/>
      <c r="G31" s="55"/>
      <c r="H31" s="55"/>
      <c r="I31" s="55"/>
      <c r="J31" s="57"/>
      <c r="K31" s="57"/>
      <c r="L31" s="67"/>
      <c r="M31" s="57" t="str">
        <f aca="false">IFERROR(IF(OR($K31="",$L31=""),"",EDATE($K31,$L31)),"")</f>
        <v/>
      </c>
      <c r="N31" s="67" t="str">
        <f aca="true">IFERROR(IF($M31="","",$M31-TODAY()),"")</f>
        <v/>
      </c>
      <c r="O31" s="56"/>
      <c r="P31" s="67"/>
      <c r="Q31" s="68"/>
      <c r="R31" s="55"/>
      <c r="S31" s="56"/>
    </row>
    <row r="32" customFormat="false" ht="15" hidden="false" customHeight="true" outlineLevel="0" collapsed="false">
      <c r="B32" s="46" t="s">
        <v>1056</v>
      </c>
      <c r="C32" s="48" t="s">
        <v>1057</v>
      </c>
      <c r="D32" s="63" t="s">
        <v>927</v>
      </c>
      <c r="E32" s="48" t="s">
        <v>1058</v>
      </c>
      <c r="F32" s="48"/>
      <c r="G32" s="48"/>
      <c r="H32" s="48"/>
      <c r="I32" s="48"/>
      <c r="J32" s="50"/>
      <c r="K32" s="50"/>
      <c r="L32" s="64"/>
      <c r="M32" s="50" t="str">
        <f aca="false">IFERROR(IF(OR($K32="",$L32=""),"",EDATE($K32,$L32)),"")</f>
        <v/>
      </c>
      <c r="N32" s="64" t="str">
        <f aca="true">IFERROR(IF($M32="","",$M32-TODAY()),"")</f>
        <v/>
      </c>
      <c r="O32" s="49"/>
      <c r="P32" s="64"/>
      <c r="Q32" s="65"/>
      <c r="R32" s="48"/>
      <c r="S32" s="49"/>
    </row>
    <row r="33" customFormat="false" ht="15" hidden="false" customHeight="true" outlineLevel="0" collapsed="false">
      <c r="B33" s="52" t="s">
        <v>1059</v>
      </c>
      <c r="C33" s="55" t="s">
        <v>1060</v>
      </c>
      <c r="D33" s="66" t="s">
        <v>927</v>
      </c>
      <c r="E33" s="55" t="s">
        <v>1058</v>
      </c>
      <c r="F33" s="55"/>
      <c r="G33" s="55"/>
      <c r="H33" s="55"/>
      <c r="I33" s="55"/>
      <c r="J33" s="57"/>
      <c r="K33" s="57"/>
      <c r="L33" s="67"/>
      <c r="M33" s="57" t="str">
        <f aca="false">IFERROR(IF(OR($K33="",$L33=""),"",EDATE($K33,$L33)),"")</f>
        <v/>
      </c>
      <c r="N33" s="67" t="str">
        <f aca="true">IFERROR(IF($M33="","",$M33-TODAY()),"")</f>
        <v/>
      </c>
      <c r="O33" s="56"/>
      <c r="P33" s="67"/>
      <c r="Q33" s="68"/>
      <c r="R33" s="55"/>
      <c r="S33" s="56"/>
    </row>
    <row r="34" customFormat="false" ht="15" hidden="false" customHeight="true" outlineLevel="0" collapsed="false">
      <c r="B34" s="46" t="s">
        <v>1061</v>
      </c>
      <c r="C34" s="48" t="s">
        <v>1062</v>
      </c>
      <c r="D34" s="63" t="s">
        <v>927</v>
      </c>
      <c r="E34" s="48" t="s">
        <v>1063</v>
      </c>
      <c r="F34" s="48"/>
      <c r="G34" s="48"/>
      <c r="H34" s="48"/>
      <c r="I34" s="48"/>
      <c r="J34" s="50"/>
      <c r="K34" s="50"/>
      <c r="L34" s="64"/>
      <c r="M34" s="50" t="str">
        <f aca="false">IFERROR(IF(OR($K34="",$L34=""),"",EDATE($K34,$L34)),"")</f>
        <v/>
      </c>
      <c r="N34" s="64" t="str">
        <f aca="true">IFERROR(IF($M34="","",$M34-TODAY()),"")</f>
        <v/>
      </c>
      <c r="O34" s="49"/>
      <c r="P34" s="64"/>
      <c r="Q34" s="65"/>
      <c r="R34" s="48"/>
      <c r="S34" s="49"/>
    </row>
    <row r="35" customFormat="false" ht="15" hidden="false" customHeight="true" outlineLevel="0" collapsed="false">
      <c r="B35" s="52" t="s">
        <v>1064</v>
      </c>
      <c r="C35" s="55" t="s">
        <v>1065</v>
      </c>
      <c r="D35" s="66" t="s">
        <v>927</v>
      </c>
      <c r="E35" s="55" t="s">
        <v>1052</v>
      </c>
      <c r="F35" s="55"/>
      <c r="G35" s="55"/>
      <c r="H35" s="55"/>
      <c r="I35" s="55"/>
      <c r="J35" s="57"/>
      <c r="K35" s="57"/>
      <c r="L35" s="67"/>
      <c r="M35" s="57" t="str">
        <f aca="false">IFERROR(IF(OR($K35="",$L35=""),"",EDATE($K35,$L35)),"")</f>
        <v/>
      </c>
      <c r="N35" s="67" t="str">
        <f aca="true">IFERROR(IF($M35="","",$M35-TODAY()),"")</f>
        <v/>
      </c>
      <c r="O35" s="56"/>
      <c r="P35" s="67"/>
      <c r="Q35" s="68"/>
      <c r="R35" s="55"/>
      <c r="S35" s="56"/>
    </row>
    <row r="36" customFormat="false" ht="23.25" hidden="false" customHeight="true" outlineLevel="0" collapsed="false">
      <c r="B36" s="46" t="s">
        <v>1066</v>
      </c>
      <c r="C36" s="48" t="s">
        <v>1067</v>
      </c>
      <c r="D36" s="63" t="s">
        <v>934</v>
      </c>
      <c r="E36" s="48" t="s">
        <v>1068</v>
      </c>
      <c r="F36" s="48"/>
      <c r="G36" s="48"/>
      <c r="H36" s="48"/>
      <c r="I36" s="48"/>
      <c r="J36" s="50"/>
      <c r="K36" s="50"/>
      <c r="L36" s="64"/>
      <c r="M36" s="50" t="str">
        <f aca="false">IFERROR(IF(OR($K36="",$L36=""),"",EDATE($K36,$L36)),"")</f>
        <v/>
      </c>
      <c r="N36" s="64" t="str">
        <f aca="true">IFERROR(IF($M36="","",$M36-TODAY()),"")</f>
        <v/>
      </c>
      <c r="O36" s="49"/>
      <c r="P36" s="64"/>
      <c r="Q36" s="65"/>
      <c r="R36" s="48"/>
      <c r="S36" s="49"/>
    </row>
    <row r="37" customFormat="false" ht="23.25" hidden="false" customHeight="true" outlineLevel="0" collapsed="false">
      <c r="B37" s="52" t="s">
        <v>1069</v>
      </c>
      <c r="C37" s="55" t="s">
        <v>1070</v>
      </c>
      <c r="D37" s="66" t="s">
        <v>934</v>
      </c>
      <c r="E37" s="55" t="s">
        <v>1071</v>
      </c>
      <c r="F37" s="55"/>
      <c r="G37" s="55"/>
      <c r="H37" s="55"/>
      <c r="I37" s="55"/>
      <c r="J37" s="57"/>
      <c r="K37" s="57"/>
      <c r="L37" s="67"/>
      <c r="M37" s="57" t="str">
        <f aca="false">IFERROR(IF(OR($K37="",$L37=""),"",EDATE($K37,$L37)),"")</f>
        <v/>
      </c>
      <c r="N37" s="67" t="str">
        <f aca="true">IFERROR(IF($M37="","",$M37-TODAY()),"")</f>
        <v/>
      </c>
      <c r="O37" s="56"/>
      <c r="P37" s="67"/>
      <c r="Q37" s="68"/>
      <c r="R37" s="55"/>
      <c r="S37" s="56"/>
    </row>
    <row r="38" customFormat="false" ht="23.25" hidden="false" customHeight="true" outlineLevel="0" collapsed="false">
      <c r="B38" s="46" t="s">
        <v>1072</v>
      </c>
      <c r="C38" s="48" t="s">
        <v>1073</v>
      </c>
      <c r="D38" s="63" t="s">
        <v>934</v>
      </c>
      <c r="E38" s="48" t="s">
        <v>1071</v>
      </c>
      <c r="F38" s="48"/>
      <c r="G38" s="48"/>
      <c r="H38" s="48"/>
      <c r="I38" s="48"/>
      <c r="J38" s="50"/>
      <c r="K38" s="50"/>
      <c r="L38" s="64"/>
      <c r="M38" s="50" t="str">
        <f aca="false">IFERROR(IF(OR($K38="",$L38=""),"",EDATE($K38,$L38)),"")</f>
        <v/>
      </c>
      <c r="N38" s="64" t="str">
        <f aca="true">IFERROR(IF($M38="","",$M38-TODAY()),"")</f>
        <v/>
      </c>
      <c r="O38" s="49"/>
      <c r="P38" s="64"/>
      <c r="Q38" s="65"/>
      <c r="R38" s="48"/>
      <c r="S38" s="49"/>
    </row>
    <row r="39" customFormat="false" ht="23.25" hidden="false" customHeight="true" outlineLevel="0" collapsed="false">
      <c r="B39" s="52" t="s">
        <v>1074</v>
      </c>
      <c r="C39" s="55" t="s">
        <v>1075</v>
      </c>
      <c r="D39" s="66" t="s">
        <v>934</v>
      </c>
      <c r="E39" s="55" t="s">
        <v>1071</v>
      </c>
      <c r="F39" s="55"/>
      <c r="G39" s="55"/>
      <c r="H39" s="55"/>
      <c r="I39" s="55"/>
      <c r="J39" s="57"/>
      <c r="K39" s="57"/>
      <c r="L39" s="67"/>
      <c r="M39" s="57" t="str">
        <f aca="false">IFERROR(IF(OR($K39="",$L39=""),"",EDATE($K39,$L39)),"")</f>
        <v/>
      </c>
      <c r="N39" s="67" t="str">
        <f aca="true">IFERROR(IF($M39="","",$M39-TODAY()),"")</f>
        <v/>
      </c>
      <c r="O39" s="56"/>
      <c r="P39" s="67"/>
      <c r="Q39" s="68"/>
      <c r="R39" s="55"/>
      <c r="S39" s="56"/>
    </row>
    <row r="40" customFormat="false" ht="23.25" hidden="false" customHeight="true" outlineLevel="0" collapsed="false">
      <c r="B40" s="46" t="s">
        <v>1076</v>
      </c>
      <c r="C40" s="48" t="s">
        <v>1077</v>
      </c>
      <c r="D40" s="63" t="s">
        <v>934</v>
      </c>
      <c r="E40" s="48" t="s">
        <v>1071</v>
      </c>
      <c r="F40" s="48"/>
      <c r="G40" s="48"/>
      <c r="H40" s="48"/>
      <c r="I40" s="48"/>
      <c r="J40" s="50"/>
      <c r="K40" s="50"/>
      <c r="L40" s="64"/>
      <c r="M40" s="50" t="str">
        <f aca="false">IFERROR(IF(OR($K40="",$L40=""),"",EDATE($K40,$L40)),"")</f>
        <v/>
      </c>
      <c r="N40" s="64" t="str">
        <f aca="true">IFERROR(IF($M40="","",$M40-TODAY()),"")</f>
        <v/>
      </c>
      <c r="O40" s="49"/>
      <c r="P40" s="64"/>
      <c r="Q40" s="65"/>
      <c r="R40" s="48"/>
      <c r="S40" s="49"/>
    </row>
    <row r="41" customFormat="false" ht="15" hidden="false" customHeight="true" outlineLevel="0" collapsed="false">
      <c r="B41" s="52" t="s">
        <v>1078</v>
      </c>
      <c r="C41" s="55" t="s">
        <v>1079</v>
      </c>
      <c r="D41" s="66" t="s">
        <v>934</v>
      </c>
      <c r="E41" s="55" t="s">
        <v>1080</v>
      </c>
      <c r="F41" s="55"/>
      <c r="G41" s="55"/>
      <c r="H41" s="55"/>
      <c r="I41" s="55"/>
      <c r="J41" s="57"/>
      <c r="K41" s="57"/>
      <c r="L41" s="67"/>
      <c r="M41" s="57" t="str">
        <f aca="false">IFERROR(IF(OR($K41="",$L41=""),"",EDATE($K41,$L41)),"")</f>
        <v/>
      </c>
      <c r="N41" s="67" t="str">
        <f aca="true">IFERROR(IF($M41="","",$M41-TODAY()),"")</f>
        <v/>
      </c>
      <c r="O41" s="56"/>
      <c r="P41" s="67"/>
      <c r="Q41" s="68"/>
      <c r="R41" s="55"/>
      <c r="S41" s="56"/>
    </row>
    <row r="42" customFormat="false" ht="15" hidden="false" customHeight="true" outlineLevel="0" collapsed="false">
      <c r="B42" s="46" t="s">
        <v>1081</v>
      </c>
      <c r="C42" s="48" t="s">
        <v>1082</v>
      </c>
      <c r="D42" s="63" t="s">
        <v>942</v>
      </c>
      <c r="E42" s="48" t="s">
        <v>1083</v>
      </c>
      <c r="F42" s="48"/>
      <c r="G42" s="48"/>
      <c r="H42" s="48"/>
      <c r="I42" s="48"/>
      <c r="J42" s="50"/>
      <c r="K42" s="50"/>
      <c r="L42" s="64"/>
      <c r="M42" s="50" t="str">
        <f aca="false">IFERROR(IF(OR($K42="",$L42=""),"",EDATE($K42,$L42)),"")</f>
        <v/>
      </c>
      <c r="N42" s="64" t="str">
        <f aca="true">IFERROR(IF($M42="","",$M42-TODAY()),"")</f>
        <v/>
      </c>
      <c r="O42" s="49"/>
      <c r="P42" s="64"/>
      <c r="Q42" s="65"/>
      <c r="R42" s="48"/>
      <c r="S42" s="49"/>
    </row>
    <row r="43" customFormat="false" ht="15" hidden="false" customHeight="true" outlineLevel="0" collapsed="false">
      <c r="B43" s="52" t="s">
        <v>1084</v>
      </c>
      <c r="C43" s="55" t="s">
        <v>1085</v>
      </c>
      <c r="D43" s="66" t="s">
        <v>942</v>
      </c>
      <c r="E43" s="55" t="s">
        <v>1083</v>
      </c>
      <c r="F43" s="55"/>
      <c r="G43" s="55"/>
      <c r="H43" s="55"/>
      <c r="I43" s="55"/>
      <c r="J43" s="57"/>
      <c r="K43" s="57"/>
      <c r="L43" s="67"/>
      <c r="M43" s="57" t="str">
        <f aca="false">IFERROR(IF(OR($K43="",$L43=""),"",EDATE($K43,$L43)),"")</f>
        <v/>
      </c>
      <c r="N43" s="67" t="str">
        <f aca="true">IFERROR(IF($M43="","",$M43-TODAY()),"")</f>
        <v/>
      </c>
      <c r="O43" s="56"/>
      <c r="P43" s="67"/>
      <c r="Q43" s="68"/>
      <c r="R43" s="55"/>
      <c r="S43" s="56"/>
    </row>
    <row r="44" customFormat="false" ht="15" hidden="false" customHeight="true" outlineLevel="0" collapsed="false">
      <c r="B44" s="46" t="s">
        <v>1086</v>
      </c>
      <c r="C44" s="48" t="s">
        <v>1087</v>
      </c>
      <c r="D44" s="63" t="s">
        <v>942</v>
      </c>
      <c r="E44" s="48" t="s">
        <v>1083</v>
      </c>
      <c r="F44" s="48"/>
      <c r="G44" s="48"/>
      <c r="H44" s="48"/>
      <c r="I44" s="48"/>
      <c r="J44" s="50"/>
      <c r="K44" s="50"/>
      <c r="L44" s="64"/>
      <c r="M44" s="50" t="str">
        <f aca="false">IFERROR(IF(OR($K44="",$L44=""),"",EDATE($K44,$L44)),"")</f>
        <v/>
      </c>
      <c r="N44" s="64" t="str">
        <f aca="true">IFERROR(IF($M44="","",$M44-TODAY()),"")</f>
        <v/>
      </c>
      <c r="O44" s="49"/>
      <c r="P44" s="64"/>
      <c r="Q44" s="65"/>
      <c r="R44" s="48"/>
      <c r="S44" s="49"/>
    </row>
    <row r="45" customFormat="false" ht="15" hidden="false" customHeight="true" outlineLevel="0" collapsed="false">
      <c r="B45" s="52" t="s">
        <v>1088</v>
      </c>
      <c r="C45" s="55" t="s">
        <v>1089</v>
      </c>
      <c r="D45" s="66" t="s">
        <v>946</v>
      </c>
      <c r="E45" s="55" t="s">
        <v>1090</v>
      </c>
      <c r="F45" s="55"/>
      <c r="G45" s="55"/>
      <c r="H45" s="55"/>
      <c r="I45" s="55"/>
      <c r="J45" s="57"/>
      <c r="K45" s="57"/>
      <c r="L45" s="67"/>
      <c r="M45" s="57" t="str">
        <f aca="false">IFERROR(IF(OR($K45="",$L45=""),"",EDATE($K45,$L45)),"")</f>
        <v/>
      </c>
      <c r="N45" s="67" t="str">
        <f aca="true">IFERROR(IF($M45="","",$M45-TODAY()),"")</f>
        <v/>
      </c>
      <c r="O45" s="56"/>
      <c r="P45" s="67"/>
      <c r="Q45" s="68"/>
      <c r="R45" s="55"/>
      <c r="S45" s="56"/>
    </row>
    <row r="46" customFormat="false" ht="15" hidden="false" customHeight="true" outlineLevel="0" collapsed="false">
      <c r="B46" s="46" t="s">
        <v>1091</v>
      </c>
      <c r="C46" s="48" t="s">
        <v>1092</v>
      </c>
      <c r="D46" s="63" t="s">
        <v>946</v>
      </c>
      <c r="E46" s="48" t="s">
        <v>1093</v>
      </c>
      <c r="F46" s="48"/>
      <c r="G46" s="48"/>
      <c r="H46" s="48"/>
      <c r="I46" s="48"/>
      <c r="J46" s="50"/>
      <c r="K46" s="50"/>
      <c r="L46" s="64"/>
      <c r="M46" s="50" t="str">
        <f aca="false">IFERROR(IF(OR($K46="",$L46=""),"",EDATE($K46,$L46)),"")</f>
        <v/>
      </c>
      <c r="N46" s="64" t="str">
        <f aca="true">IFERROR(IF($M46="","",$M46-TODAY()),"")</f>
        <v/>
      </c>
      <c r="O46" s="49"/>
      <c r="P46" s="64"/>
      <c r="Q46" s="65"/>
      <c r="R46" s="48"/>
      <c r="S46" s="49"/>
    </row>
    <row r="47" customFormat="false" ht="15" hidden="false" customHeight="true" outlineLevel="0" collapsed="false">
      <c r="B47" s="52" t="s">
        <v>1094</v>
      </c>
      <c r="C47" s="55" t="s">
        <v>1095</v>
      </c>
      <c r="D47" s="66" t="s">
        <v>958</v>
      </c>
      <c r="E47" s="55" t="s">
        <v>1096</v>
      </c>
      <c r="F47" s="55"/>
      <c r="G47" s="55"/>
      <c r="H47" s="55"/>
      <c r="I47" s="55"/>
      <c r="J47" s="57"/>
      <c r="K47" s="57"/>
      <c r="L47" s="67"/>
      <c r="M47" s="57" t="str">
        <f aca="false">IFERROR(IF(OR($K47="",$L47=""),"",EDATE($K47,$L47)),"")</f>
        <v/>
      </c>
      <c r="N47" s="67" t="str">
        <f aca="true">IFERROR(IF($M47="","",$M47-TODAY()),"")</f>
        <v/>
      </c>
      <c r="O47" s="56"/>
      <c r="P47" s="67"/>
      <c r="Q47" s="68"/>
      <c r="R47" s="55"/>
      <c r="S47" s="56"/>
    </row>
    <row r="48" customFormat="false" ht="15" hidden="false" customHeight="true" outlineLevel="0" collapsed="false">
      <c r="B48" s="46" t="s">
        <v>1097</v>
      </c>
      <c r="C48" s="48" t="s">
        <v>1098</v>
      </c>
      <c r="D48" s="63" t="s">
        <v>958</v>
      </c>
      <c r="E48" s="48" t="s">
        <v>1099</v>
      </c>
      <c r="F48" s="48"/>
      <c r="G48" s="48"/>
      <c r="H48" s="48"/>
      <c r="I48" s="48"/>
      <c r="J48" s="50"/>
      <c r="K48" s="50"/>
      <c r="L48" s="64"/>
      <c r="M48" s="50" t="str">
        <f aca="false">IFERROR(IF(OR($K48="",$L48=""),"",EDATE($K48,$L48)),"")</f>
        <v/>
      </c>
      <c r="N48" s="64" t="str">
        <f aca="true">IFERROR(IF($M48="","",$M48-TODAY()),"")</f>
        <v/>
      </c>
      <c r="O48" s="49"/>
      <c r="P48" s="64"/>
      <c r="Q48" s="65"/>
      <c r="R48" s="48"/>
      <c r="S48" s="49"/>
    </row>
    <row r="49" customFormat="false" ht="15" hidden="false" customHeight="true" outlineLevel="0" collapsed="false">
      <c r="B49" s="52" t="s">
        <v>1100</v>
      </c>
      <c r="C49" s="55" t="s">
        <v>1101</v>
      </c>
      <c r="D49" s="66" t="s">
        <v>951</v>
      </c>
      <c r="E49" s="55" t="s">
        <v>1102</v>
      </c>
      <c r="F49" s="55"/>
      <c r="G49" s="55"/>
      <c r="H49" s="55"/>
      <c r="I49" s="55"/>
      <c r="J49" s="57"/>
      <c r="K49" s="57"/>
      <c r="L49" s="67"/>
      <c r="M49" s="57" t="str">
        <f aca="false">IFERROR(IF(OR($K49="",$L49=""),"",EDATE($K49,$L49)),"")</f>
        <v/>
      </c>
      <c r="N49" s="67" t="str">
        <f aca="true">IFERROR(IF($M49="","",$M49-TODAY()),"")</f>
        <v/>
      </c>
      <c r="O49" s="56"/>
      <c r="P49" s="67"/>
      <c r="Q49" s="68"/>
      <c r="R49" s="55"/>
      <c r="S49" s="56"/>
    </row>
    <row r="50" customFormat="false" ht="15" hidden="false" customHeight="true" outlineLevel="0" collapsed="false">
      <c r="B50" s="46" t="s">
        <v>1103</v>
      </c>
      <c r="C50" s="48" t="s">
        <v>1104</v>
      </c>
      <c r="D50" s="63" t="s">
        <v>968</v>
      </c>
      <c r="E50" s="48" t="s">
        <v>1105</v>
      </c>
      <c r="F50" s="48"/>
      <c r="G50" s="48"/>
      <c r="H50" s="48"/>
      <c r="I50" s="48"/>
      <c r="J50" s="50"/>
      <c r="K50" s="50"/>
      <c r="L50" s="64"/>
      <c r="M50" s="50" t="str">
        <f aca="false">IFERROR(IF(OR($K50="",$L50=""),"",EDATE($K50,$L50)),"")</f>
        <v/>
      </c>
      <c r="N50" s="64" t="str">
        <f aca="true">IFERROR(IF($M50="","",$M50-TODAY()),"")</f>
        <v/>
      </c>
      <c r="O50" s="49"/>
      <c r="P50" s="64"/>
      <c r="Q50" s="65"/>
      <c r="R50" s="48"/>
      <c r="S50" s="49"/>
    </row>
    <row r="51" customFormat="false" ht="15" hidden="false" customHeight="true" outlineLevel="0" collapsed="false">
      <c r="B51" s="52" t="s">
        <v>1106</v>
      </c>
      <c r="C51" s="55" t="s">
        <v>1107</v>
      </c>
      <c r="D51" s="66" t="s">
        <v>962</v>
      </c>
      <c r="E51" s="55" t="s">
        <v>1108</v>
      </c>
      <c r="F51" s="55"/>
      <c r="G51" s="55"/>
      <c r="H51" s="55"/>
      <c r="I51" s="55"/>
      <c r="J51" s="57"/>
      <c r="K51" s="57"/>
      <c r="L51" s="67"/>
      <c r="M51" s="57" t="str">
        <f aca="false">IFERROR(IF(OR($K51="",$L51=""),"",EDATE($K51,$L51)),"")</f>
        <v/>
      </c>
      <c r="N51" s="67" t="str">
        <f aca="true">IFERROR(IF($M51="","",$M51-TODAY()),"")</f>
        <v/>
      </c>
      <c r="O51" s="56"/>
      <c r="P51" s="67"/>
      <c r="Q51" s="68"/>
      <c r="R51" s="55"/>
      <c r="S51" s="56"/>
    </row>
  </sheetData>
  <autoFilter ref="B11:S51"/>
  <mergeCells count="11">
    <mergeCell ref="B7:S7"/>
    <mergeCell ref="B8:C8"/>
    <mergeCell ref="D8:E8"/>
    <mergeCell ref="F8:G8"/>
    <mergeCell ref="H8:I8"/>
    <mergeCell ref="J8:K8"/>
    <mergeCell ref="B9:C9"/>
    <mergeCell ref="D9:E9"/>
    <mergeCell ref="F9:G9"/>
    <mergeCell ref="H9:I9"/>
    <mergeCell ref="J9:K9"/>
  </mergeCells>
  <conditionalFormatting sqref="M12:N51">
    <cfRule type="expression" priority="2" aboveAverage="0" equalAverage="0" bottom="0" percent="0" rank="0" text="" dxfId="15">
      <formula>AND(ISNUMBER($N12),$N12&gt;=0,$N12&lt;=90)</formula>
    </cfRule>
    <cfRule type="expression" priority="3" aboveAverage="0" equalAverage="0" bottom="0" percent="0" rank="0" text="" dxfId="13">
      <formula>AND(ISNUMBER($N12),$N12&lt;0)</formula>
    </cfRule>
  </conditionalFormatting>
  <dataValidations count="3">
    <dataValidation allowBlank="true" errorStyle="stop" operator="between" showDropDown="false" showErrorMessage="false" showInputMessage="false" sqref="O12:O51" type="list">
      <formula1>Lists!$C$9:$C$12</formula1>
      <formula2>0</formula2>
    </dataValidation>
    <dataValidation allowBlank="true" errorStyle="stop" operator="between" showDropDown="false" showErrorMessage="false" showInputMessage="false" sqref="R12:R51" type="list">
      <formula1>Lists!$Q$9:$Q$13</formula1>
      <formula2>0</formula2>
    </dataValidation>
    <dataValidation allowBlank="true" errorStyle="stop" operator="between" showDropDown="false" showErrorMessage="false" showInputMessage="false" sqref="S12:S51" type="list">
      <formula1>Lists!$G$9:$G$11</formula1>
      <formula2>0</formula2>
    </dataValidation>
  </dataValidations>
  <printOptions headings="false" gridLines="false" gridLinesSet="true" horizontalCentered="true" verticalCentered="false"/>
  <pageMargins left="0.4" right="0.4" top="0.5" bottom="0.5" header="0.511811023622047" footer="0.5"/>
  <pageSetup paperSize="8" scale="100" fitToWidth="2" fitToHeight="0" pageOrder="downThenOver" orientation="landscape" blackAndWhite="false" draft="false" cellComments="none" horizontalDpi="300" verticalDpi="300" copies="1"/>
  <headerFooter differentFirst="false" differentOddEven="false">
    <oddHeader/>
    <oddFooter>&amp;L&amp;8 &amp;K8e98a2Template by Mastt  ·  mastt.com&amp;R&amp;8 &amp;K8e98a2Page &amp;P of &amp;N</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A1:M4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3" ySplit="11" topLeftCell="D12" activePane="bottomRight" state="frozen"/>
      <selection pane="topLeft" activeCell="A1" activeCellId="0" sqref="A1"/>
      <selection pane="topRight" activeCell="D1" activeCellId="0" sqref="D1"/>
      <selection pane="bottomLeft" activeCell="A12" activeCellId="0" sqref="A12"/>
      <selection pane="bottomRight" activeCell="A1" activeCellId="0" sqref="A1"/>
    </sheetView>
  </sheetViews>
  <sheetFormatPr defaultColWidth="8.6796875" defaultRowHeight="15" zeroHeight="false" outlineLevelRow="0" outlineLevelCol="0"/>
  <cols>
    <col collapsed="false" customWidth="true" hidden="false" outlineLevel="0" max="1" min="1" style="1" width="2.5"/>
    <col collapsed="false" customWidth="true" hidden="false" outlineLevel="0" max="2" min="2" style="1" width="12"/>
    <col collapsed="false" customWidth="true" hidden="false" outlineLevel="0" max="3" min="3" style="1" width="46"/>
    <col collapsed="false" customWidth="true" hidden="false" outlineLevel="0" max="4" min="4" style="1" width="20"/>
    <col collapsed="false" customWidth="true" hidden="false" outlineLevel="0" max="5" min="5" style="1" width="22"/>
    <col collapsed="false" customWidth="true" hidden="false" outlineLevel="0" max="6" min="6" style="1" width="15"/>
    <col collapsed="false" customWidth="true" hidden="false" outlineLevel="0" max="7" min="7" style="1" width="14"/>
    <col collapsed="false" customWidth="true" hidden="false" outlineLevel="0" max="8" min="8" style="1" width="12"/>
    <col collapsed="false" customWidth="true" hidden="false" outlineLevel="0" max="9" min="9" style="1" width="15"/>
    <col collapsed="false" customWidth="true" hidden="false" outlineLevel="0" max="10" min="10" style="1" width="14"/>
    <col collapsed="false" customWidth="true" hidden="false" outlineLevel="0" max="11" min="11" style="1" width="26"/>
    <col collapsed="false" customWidth="true" hidden="false" outlineLevel="0" max="12" min="12" style="1" width="20"/>
    <col collapsed="false" customWidth="true" hidden="false" outlineLevel="0" max="13" min="13" style="1" width="17"/>
  </cols>
  <sheetData>
    <row r="1" customFormat="false" ht="9.75" hidden="false" customHeight="true" outlineLevel="0" collapsed="false">
      <c r="A1" s="2"/>
      <c r="B1" s="2"/>
      <c r="C1" s="2"/>
      <c r="D1" s="2"/>
      <c r="E1" s="2"/>
      <c r="F1" s="2"/>
      <c r="G1" s="2"/>
      <c r="H1" s="2"/>
      <c r="I1" s="2"/>
      <c r="J1" s="2"/>
      <c r="K1" s="2"/>
      <c r="L1" s="2"/>
      <c r="M1" s="2"/>
    </row>
    <row r="2" customFormat="false" ht="33.75" hidden="false" customHeight="true" outlineLevel="0" collapsed="false">
      <c r="A2" s="2"/>
      <c r="B2" s="2"/>
      <c r="C2" s="2"/>
      <c r="D2" s="2"/>
      <c r="E2" s="2"/>
      <c r="F2" s="2"/>
      <c r="G2" s="2"/>
      <c r="H2" s="2"/>
      <c r="I2" s="2"/>
      <c r="J2" s="2"/>
      <c r="K2" s="2"/>
      <c r="L2" s="2"/>
      <c r="M2" s="2"/>
    </row>
    <row r="3" customFormat="false" ht="7.5" hidden="false" customHeight="true" outlineLevel="0" collapsed="false">
      <c r="A3" s="2"/>
      <c r="B3" s="2"/>
      <c r="C3" s="2"/>
      <c r="D3" s="2"/>
      <c r="E3" s="2"/>
      <c r="F3" s="2"/>
      <c r="G3" s="2"/>
      <c r="H3" s="2"/>
      <c r="I3" s="2"/>
      <c r="J3" s="2"/>
      <c r="K3" s="2"/>
      <c r="L3" s="2"/>
      <c r="M3" s="2"/>
    </row>
    <row r="4" customFormat="false" ht="30" hidden="false" customHeight="true" outlineLevel="0" collapsed="false">
      <c r="A4" s="2"/>
      <c r="B4" s="3" t="s">
        <v>1109</v>
      </c>
      <c r="C4" s="2"/>
      <c r="D4" s="2"/>
      <c r="E4" s="2"/>
      <c r="F4" s="2"/>
      <c r="G4" s="2"/>
      <c r="H4" s="2"/>
      <c r="I4" s="2"/>
      <c r="J4" s="2"/>
      <c r="K4" s="2"/>
      <c r="L4" s="2"/>
      <c r="M4" s="2"/>
    </row>
    <row r="5" customFormat="false" ht="21.75" hidden="false" customHeight="true" outlineLevel="0" collapsed="false">
      <c r="A5" s="2"/>
      <c r="B5" s="4" t="s">
        <v>1</v>
      </c>
      <c r="C5" s="2"/>
      <c r="D5" s="2"/>
      <c r="E5" s="2"/>
      <c r="F5" s="2"/>
      <c r="G5" s="2"/>
      <c r="H5" s="2"/>
      <c r="I5" s="2"/>
      <c r="J5" s="2"/>
      <c r="K5" s="2"/>
      <c r="L5" s="2"/>
      <c r="M5" s="2"/>
    </row>
    <row r="6" customFormat="false" ht="7.5" hidden="false" customHeight="true" outlineLevel="0" collapsed="false"/>
    <row r="7" customFormat="false" ht="30" hidden="false" customHeight="true" outlineLevel="0" collapsed="false">
      <c r="B7" s="23" t="s">
        <v>1110</v>
      </c>
      <c r="C7" s="23"/>
      <c r="D7" s="23"/>
      <c r="E7" s="23"/>
      <c r="F7" s="23"/>
      <c r="G7" s="23"/>
      <c r="H7" s="23"/>
      <c r="I7" s="23"/>
      <c r="J7" s="23"/>
      <c r="K7" s="23"/>
      <c r="L7" s="23"/>
      <c r="M7" s="23"/>
    </row>
    <row r="8" customFormat="false" ht="15.75" hidden="false" customHeight="true" outlineLevel="0" collapsed="false">
      <c r="B8" s="59" t="s">
        <v>1111</v>
      </c>
      <c r="C8" s="59"/>
      <c r="D8" s="59" t="s">
        <v>1112</v>
      </c>
      <c r="E8" s="59"/>
      <c r="F8" s="59" t="s">
        <v>1113</v>
      </c>
      <c r="G8" s="59"/>
      <c r="H8" s="59" t="s">
        <v>1114</v>
      </c>
      <c r="I8" s="59"/>
      <c r="J8" s="59" t="s">
        <v>1115</v>
      </c>
      <c r="K8" s="59"/>
      <c r="L8" s="59" t="s">
        <v>1116</v>
      </c>
      <c r="M8" s="59"/>
    </row>
    <row r="9" customFormat="false" ht="25.5" hidden="false" customHeight="true" outlineLevel="0" collapsed="false">
      <c r="B9" s="60" t="n">
        <f aca="false">COUNTA('O&amp;M Documentation Register'!$B$12:$B$46)</f>
        <v>35</v>
      </c>
      <c r="C9" s="60"/>
      <c r="D9" s="69" t="n">
        <f aca="false">IFERROR(COUNTIF('O&amp;M Documentation Register'!$G$12:$G$46,"Yes")/(COUNTA('O&amp;M Documentation Register'!$B$12:$B$46)-COUNTIF('O&amp;M Documentation Register'!$M$12:$M$46,"N/A")),0)</f>
        <v>0</v>
      </c>
      <c r="E9" s="69"/>
      <c r="F9" s="69" t="n">
        <f aca="false">IFERROR(COUNTIF('O&amp;M Documentation Register'!$H$12:$H$46,"Yes")/(COUNTA('O&amp;M Documentation Register'!$B$12:$B$46)-COUNTIF('O&amp;M Documentation Register'!$M$12:$M$46,"N/A")),0)</f>
        <v>0</v>
      </c>
      <c r="G9" s="69"/>
      <c r="H9" s="69" t="n">
        <f aca="false">IFERROR(COUNTIF('O&amp;M Documentation Register'!$I$12:$I$46,"Yes")/(COUNTA('O&amp;M Documentation Register'!$B$12:$B$46)-COUNTIF('O&amp;M Documentation Register'!$M$12:$M$46,"N/A")),0)</f>
        <v>0</v>
      </c>
      <c r="I9" s="69"/>
      <c r="J9" s="69" t="n">
        <f aca="false">IFERROR(COUNTIF('O&amp;M Documentation Register'!$J$12:$J$46,"Yes")/(COUNTA('O&amp;M Documentation Register'!$B$12:$B$46)-COUNTIF('O&amp;M Documentation Register'!$M$12:$M$46,"N/A")),0)</f>
        <v>0</v>
      </c>
      <c r="K9" s="69"/>
      <c r="L9" s="60" t="n">
        <f aca="false">COUNTIF('O&amp;M Documentation Register'!$M$12:$M$46,"Accepted")</f>
        <v>0</v>
      </c>
      <c r="M9" s="60"/>
    </row>
    <row r="11" customFormat="false" ht="43.5" hidden="false" customHeight="true" outlineLevel="0" collapsed="false">
      <c r="B11" s="9" t="s">
        <v>1117</v>
      </c>
      <c r="C11" s="9" t="s">
        <v>1118</v>
      </c>
      <c r="D11" s="9" t="s">
        <v>1119</v>
      </c>
      <c r="E11" s="9" t="s">
        <v>1120</v>
      </c>
      <c r="F11" s="9" t="s">
        <v>1121</v>
      </c>
      <c r="G11" s="9" t="s">
        <v>1122</v>
      </c>
      <c r="H11" s="9" t="s">
        <v>1123</v>
      </c>
      <c r="I11" s="9" t="s">
        <v>1124</v>
      </c>
      <c r="J11" s="9" t="s">
        <v>1125</v>
      </c>
      <c r="K11" s="9" t="s">
        <v>1126</v>
      </c>
      <c r="L11" s="9" t="s">
        <v>1127</v>
      </c>
      <c r="M11" s="9" t="s">
        <v>72</v>
      </c>
    </row>
    <row r="12" customFormat="false" ht="15" hidden="false" customHeight="true" outlineLevel="0" collapsed="false">
      <c r="B12" s="46" t="s">
        <v>1128</v>
      </c>
      <c r="C12" s="48" t="s">
        <v>1129</v>
      </c>
      <c r="D12" s="63" t="s">
        <v>994</v>
      </c>
      <c r="E12" s="48"/>
      <c r="F12" s="63"/>
      <c r="G12" s="49" t="s">
        <v>80</v>
      </c>
      <c r="H12" s="49" t="s">
        <v>80</v>
      </c>
      <c r="I12" s="49" t="s">
        <v>80</v>
      </c>
      <c r="J12" s="49" t="s">
        <v>80</v>
      </c>
      <c r="K12" s="48"/>
      <c r="L12" s="48"/>
      <c r="M12" s="49" t="s">
        <v>1130</v>
      </c>
    </row>
    <row r="13" customFormat="false" ht="15" hidden="false" customHeight="true" outlineLevel="0" collapsed="false">
      <c r="B13" s="52" t="s">
        <v>1131</v>
      </c>
      <c r="C13" s="55" t="s">
        <v>1132</v>
      </c>
      <c r="D13" s="66" t="s">
        <v>994</v>
      </c>
      <c r="E13" s="55"/>
      <c r="F13" s="66"/>
      <c r="G13" s="56" t="s">
        <v>80</v>
      </c>
      <c r="H13" s="56" t="s">
        <v>80</v>
      </c>
      <c r="I13" s="56" t="s">
        <v>80</v>
      </c>
      <c r="J13" s="56" t="s">
        <v>80</v>
      </c>
      <c r="K13" s="55"/>
      <c r="L13" s="55"/>
      <c r="M13" s="56" t="s">
        <v>1130</v>
      </c>
    </row>
    <row r="14" customFormat="false" ht="15" hidden="false" customHeight="true" outlineLevel="0" collapsed="false">
      <c r="B14" s="46" t="s">
        <v>1133</v>
      </c>
      <c r="C14" s="48" t="s">
        <v>1134</v>
      </c>
      <c r="D14" s="63" t="s">
        <v>994</v>
      </c>
      <c r="E14" s="48"/>
      <c r="F14" s="63"/>
      <c r="G14" s="49" t="s">
        <v>80</v>
      </c>
      <c r="H14" s="49" t="s">
        <v>80</v>
      </c>
      <c r="I14" s="49" t="s">
        <v>80</v>
      </c>
      <c r="J14" s="49" t="s">
        <v>80</v>
      </c>
      <c r="K14" s="48"/>
      <c r="L14" s="48"/>
      <c r="M14" s="49" t="s">
        <v>1130</v>
      </c>
    </row>
    <row r="15" customFormat="false" ht="15" hidden="false" customHeight="true" outlineLevel="0" collapsed="false">
      <c r="B15" s="52" t="s">
        <v>1135</v>
      </c>
      <c r="C15" s="55" t="s">
        <v>1136</v>
      </c>
      <c r="D15" s="66" t="s">
        <v>994</v>
      </c>
      <c r="E15" s="55"/>
      <c r="F15" s="66"/>
      <c r="G15" s="56" t="s">
        <v>80</v>
      </c>
      <c r="H15" s="56" t="s">
        <v>80</v>
      </c>
      <c r="I15" s="56" t="s">
        <v>80</v>
      </c>
      <c r="J15" s="56" t="s">
        <v>80</v>
      </c>
      <c r="K15" s="55"/>
      <c r="L15" s="55"/>
      <c r="M15" s="56" t="s">
        <v>1130</v>
      </c>
    </row>
    <row r="16" customFormat="false" ht="23.25" hidden="false" customHeight="true" outlineLevel="0" collapsed="false">
      <c r="B16" s="46" t="s">
        <v>1137</v>
      </c>
      <c r="C16" s="48" t="s">
        <v>1138</v>
      </c>
      <c r="D16" s="63" t="s">
        <v>994</v>
      </c>
      <c r="E16" s="48"/>
      <c r="F16" s="63"/>
      <c r="G16" s="49" t="s">
        <v>80</v>
      </c>
      <c r="H16" s="49" t="s">
        <v>80</v>
      </c>
      <c r="I16" s="49" t="s">
        <v>80</v>
      </c>
      <c r="J16" s="49" t="s">
        <v>80</v>
      </c>
      <c r="K16" s="48"/>
      <c r="L16" s="48"/>
      <c r="M16" s="49" t="s">
        <v>1130</v>
      </c>
    </row>
    <row r="17" customFormat="false" ht="15" hidden="false" customHeight="true" outlineLevel="0" collapsed="false">
      <c r="B17" s="52" t="s">
        <v>1139</v>
      </c>
      <c r="C17" s="55" t="s">
        <v>1140</v>
      </c>
      <c r="D17" s="66" t="s">
        <v>919</v>
      </c>
      <c r="E17" s="55"/>
      <c r="F17" s="66"/>
      <c r="G17" s="56" t="s">
        <v>80</v>
      </c>
      <c r="H17" s="56" t="s">
        <v>80</v>
      </c>
      <c r="I17" s="56" t="s">
        <v>80</v>
      </c>
      <c r="J17" s="56" t="s">
        <v>80</v>
      </c>
      <c r="K17" s="55"/>
      <c r="L17" s="55"/>
      <c r="M17" s="56" t="s">
        <v>1130</v>
      </c>
    </row>
    <row r="18" customFormat="false" ht="15" hidden="false" customHeight="true" outlineLevel="0" collapsed="false">
      <c r="B18" s="46" t="s">
        <v>1141</v>
      </c>
      <c r="C18" s="48" t="s">
        <v>1142</v>
      </c>
      <c r="D18" s="63" t="s">
        <v>919</v>
      </c>
      <c r="E18" s="48"/>
      <c r="F18" s="63"/>
      <c r="G18" s="49" t="s">
        <v>80</v>
      </c>
      <c r="H18" s="49" t="s">
        <v>80</v>
      </c>
      <c r="I18" s="49" t="s">
        <v>80</v>
      </c>
      <c r="J18" s="49" t="s">
        <v>80</v>
      </c>
      <c r="K18" s="48"/>
      <c r="L18" s="48"/>
      <c r="M18" s="49" t="s">
        <v>1130</v>
      </c>
    </row>
    <row r="19" customFormat="false" ht="15" hidden="false" customHeight="true" outlineLevel="0" collapsed="false">
      <c r="B19" s="52" t="s">
        <v>1143</v>
      </c>
      <c r="C19" s="55" t="s">
        <v>1144</v>
      </c>
      <c r="D19" s="66" t="s">
        <v>919</v>
      </c>
      <c r="E19" s="55"/>
      <c r="F19" s="66"/>
      <c r="G19" s="56" t="s">
        <v>80</v>
      </c>
      <c r="H19" s="56" t="s">
        <v>80</v>
      </c>
      <c r="I19" s="56" t="s">
        <v>80</v>
      </c>
      <c r="J19" s="56" t="s">
        <v>80</v>
      </c>
      <c r="K19" s="55"/>
      <c r="L19" s="55"/>
      <c r="M19" s="56" t="s">
        <v>1130</v>
      </c>
    </row>
    <row r="20" customFormat="false" ht="15" hidden="false" customHeight="true" outlineLevel="0" collapsed="false">
      <c r="B20" s="46" t="s">
        <v>1145</v>
      </c>
      <c r="C20" s="48" t="s">
        <v>1146</v>
      </c>
      <c r="D20" s="63" t="s">
        <v>919</v>
      </c>
      <c r="E20" s="48"/>
      <c r="F20" s="63"/>
      <c r="G20" s="49" t="s">
        <v>80</v>
      </c>
      <c r="H20" s="49" t="s">
        <v>80</v>
      </c>
      <c r="I20" s="49" t="s">
        <v>80</v>
      </c>
      <c r="J20" s="49" t="s">
        <v>80</v>
      </c>
      <c r="K20" s="48"/>
      <c r="L20" s="48"/>
      <c r="M20" s="49" t="s">
        <v>1130</v>
      </c>
    </row>
    <row r="21" customFormat="false" ht="15" hidden="false" customHeight="true" outlineLevel="0" collapsed="false">
      <c r="B21" s="52" t="s">
        <v>1147</v>
      </c>
      <c r="C21" s="55" t="s">
        <v>1148</v>
      </c>
      <c r="D21" s="66" t="s">
        <v>927</v>
      </c>
      <c r="E21" s="55"/>
      <c r="F21" s="66"/>
      <c r="G21" s="56" t="s">
        <v>80</v>
      </c>
      <c r="H21" s="56" t="s">
        <v>80</v>
      </c>
      <c r="I21" s="56" t="s">
        <v>80</v>
      </c>
      <c r="J21" s="56" t="s">
        <v>80</v>
      </c>
      <c r="K21" s="55"/>
      <c r="L21" s="55"/>
      <c r="M21" s="56" t="s">
        <v>1130</v>
      </c>
    </row>
    <row r="22" customFormat="false" ht="15" hidden="false" customHeight="true" outlineLevel="0" collapsed="false">
      <c r="B22" s="46" t="s">
        <v>1149</v>
      </c>
      <c r="C22" s="48" t="s">
        <v>1150</v>
      </c>
      <c r="D22" s="63" t="s">
        <v>927</v>
      </c>
      <c r="E22" s="48"/>
      <c r="F22" s="63"/>
      <c r="G22" s="49" t="s">
        <v>80</v>
      </c>
      <c r="H22" s="49" t="s">
        <v>80</v>
      </c>
      <c r="I22" s="49" t="s">
        <v>80</v>
      </c>
      <c r="J22" s="49" t="s">
        <v>80</v>
      </c>
      <c r="K22" s="48"/>
      <c r="L22" s="48"/>
      <c r="M22" s="49" t="s">
        <v>1130</v>
      </c>
    </row>
    <row r="23" customFormat="false" ht="15" hidden="false" customHeight="true" outlineLevel="0" collapsed="false">
      <c r="B23" s="52" t="s">
        <v>1151</v>
      </c>
      <c r="C23" s="55" t="s">
        <v>1152</v>
      </c>
      <c r="D23" s="66" t="s">
        <v>934</v>
      </c>
      <c r="E23" s="55"/>
      <c r="F23" s="66"/>
      <c r="G23" s="56" t="s">
        <v>80</v>
      </c>
      <c r="H23" s="56" t="s">
        <v>80</v>
      </c>
      <c r="I23" s="56" t="s">
        <v>80</v>
      </c>
      <c r="J23" s="56" t="s">
        <v>80</v>
      </c>
      <c r="K23" s="55"/>
      <c r="L23" s="55"/>
      <c r="M23" s="56" t="s">
        <v>1130</v>
      </c>
    </row>
    <row r="24" customFormat="false" ht="15" hidden="false" customHeight="true" outlineLevel="0" collapsed="false">
      <c r="B24" s="46" t="s">
        <v>1153</v>
      </c>
      <c r="C24" s="48" t="s">
        <v>1154</v>
      </c>
      <c r="D24" s="63" t="s">
        <v>934</v>
      </c>
      <c r="E24" s="48"/>
      <c r="F24" s="63"/>
      <c r="G24" s="49" t="s">
        <v>80</v>
      </c>
      <c r="H24" s="49" t="s">
        <v>80</v>
      </c>
      <c r="I24" s="49" t="s">
        <v>80</v>
      </c>
      <c r="J24" s="49" t="s">
        <v>80</v>
      </c>
      <c r="K24" s="48"/>
      <c r="L24" s="48"/>
      <c r="M24" s="49" t="s">
        <v>1130</v>
      </c>
    </row>
    <row r="25" customFormat="false" ht="15" hidden="false" customHeight="true" outlineLevel="0" collapsed="false">
      <c r="B25" s="52" t="s">
        <v>1155</v>
      </c>
      <c r="C25" s="55" t="s">
        <v>1156</v>
      </c>
      <c r="D25" s="66" t="s">
        <v>934</v>
      </c>
      <c r="E25" s="55"/>
      <c r="F25" s="66"/>
      <c r="G25" s="56" t="s">
        <v>80</v>
      </c>
      <c r="H25" s="56" t="s">
        <v>80</v>
      </c>
      <c r="I25" s="56" t="s">
        <v>80</v>
      </c>
      <c r="J25" s="56" t="s">
        <v>80</v>
      </c>
      <c r="K25" s="55"/>
      <c r="L25" s="55"/>
      <c r="M25" s="56" t="s">
        <v>1130</v>
      </c>
    </row>
    <row r="26" customFormat="false" ht="15" hidden="false" customHeight="true" outlineLevel="0" collapsed="false">
      <c r="B26" s="46" t="s">
        <v>1157</v>
      </c>
      <c r="C26" s="48" t="s">
        <v>1158</v>
      </c>
      <c r="D26" s="63" t="s">
        <v>934</v>
      </c>
      <c r="E26" s="48"/>
      <c r="F26" s="63"/>
      <c r="G26" s="49" t="s">
        <v>80</v>
      </c>
      <c r="H26" s="49" t="s">
        <v>80</v>
      </c>
      <c r="I26" s="49" t="s">
        <v>80</v>
      </c>
      <c r="J26" s="49" t="s">
        <v>80</v>
      </c>
      <c r="K26" s="48"/>
      <c r="L26" s="48"/>
      <c r="M26" s="49" t="s">
        <v>1130</v>
      </c>
    </row>
    <row r="27" customFormat="false" ht="15" hidden="false" customHeight="true" outlineLevel="0" collapsed="false">
      <c r="B27" s="52" t="s">
        <v>1159</v>
      </c>
      <c r="C27" s="55" t="s">
        <v>1160</v>
      </c>
      <c r="D27" s="66" t="s">
        <v>942</v>
      </c>
      <c r="E27" s="55"/>
      <c r="F27" s="66"/>
      <c r="G27" s="56" t="s">
        <v>80</v>
      </c>
      <c r="H27" s="56" t="s">
        <v>80</v>
      </c>
      <c r="I27" s="56" t="s">
        <v>80</v>
      </c>
      <c r="J27" s="56" t="s">
        <v>80</v>
      </c>
      <c r="K27" s="55"/>
      <c r="L27" s="55"/>
      <c r="M27" s="56" t="s">
        <v>1130</v>
      </c>
    </row>
    <row r="28" customFormat="false" ht="15" hidden="false" customHeight="true" outlineLevel="0" collapsed="false">
      <c r="B28" s="46" t="s">
        <v>1161</v>
      </c>
      <c r="C28" s="48" t="s">
        <v>1162</v>
      </c>
      <c r="D28" s="63" t="s">
        <v>942</v>
      </c>
      <c r="E28" s="48"/>
      <c r="F28" s="63"/>
      <c r="G28" s="49" t="s">
        <v>80</v>
      </c>
      <c r="H28" s="49" t="s">
        <v>80</v>
      </c>
      <c r="I28" s="49" t="s">
        <v>80</v>
      </c>
      <c r="J28" s="49" t="s">
        <v>80</v>
      </c>
      <c r="K28" s="48"/>
      <c r="L28" s="48"/>
      <c r="M28" s="49" t="s">
        <v>1130</v>
      </c>
    </row>
    <row r="29" customFormat="false" ht="15" hidden="false" customHeight="true" outlineLevel="0" collapsed="false">
      <c r="B29" s="52" t="s">
        <v>1163</v>
      </c>
      <c r="C29" s="55" t="s">
        <v>1164</v>
      </c>
      <c r="D29" s="66" t="s">
        <v>946</v>
      </c>
      <c r="E29" s="55"/>
      <c r="F29" s="66"/>
      <c r="G29" s="56" t="s">
        <v>80</v>
      </c>
      <c r="H29" s="56" t="s">
        <v>80</v>
      </c>
      <c r="I29" s="56" t="s">
        <v>80</v>
      </c>
      <c r="J29" s="56" t="s">
        <v>80</v>
      </c>
      <c r="K29" s="55"/>
      <c r="L29" s="55"/>
      <c r="M29" s="56" t="s">
        <v>1130</v>
      </c>
    </row>
    <row r="30" customFormat="false" ht="15" hidden="false" customHeight="true" outlineLevel="0" collapsed="false">
      <c r="B30" s="46" t="s">
        <v>1165</v>
      </c>
      <c r="C30" s="48" t="s">
        <v>1166</v>
      </c>
      <c r="D30" s="63" t="s">
        <v>951</v>
      </c>
      <c r="E30" s="48"/>
      <c r="F30" s="63"/>
      <c r="G30" s="49" t="s">
        <v>80</v>
      </c>
      <c r="H30" s="49" t="s">
        <v>80</v>
      </c>
      <c r="I30" s="49" t="s">
        <v>80</v>
      </c>
      <c r="J30" s="49" t="s">
        <v>80</v>
      </c>
      <c r="K30" s="48"/>
      <c r="L30" s="48"/>
      <c r="M30" s="49" t="s">
        <v>1130</v>
      </c>
    </row>
    <row r="31" customFormat="false" ht="15" hidden="false" customHeight="true" outlineLevel="0" collapsed="false">
      <c r="B31" s="52" t="s">
        <v>1167</v>
      </c>
      <c r="C31" s="55" t="s">
        <v>1168</v>
      </c>
      <c r="D31" s="66" t="s">
        <v>955</v>
      </c>
      <c r="E31" s="55"/>
      <c r="F31" s="66"/>
      <c r="G31" s="56" t="s">
        <v>80</v>
      </c>
      <c r="H31" s="56" t="s">
        <v>80</v>
      </c>
      <c r="I31" s="56" t="s">
        <v>80</v>
      </c>
      <c r="J31" s="56" t="s">
        <v>80</v>
      </c>
      <c r="K31" s="55"/>
      <c r="L31" s="55"/>
      <c r="M31" s="56" t="s">
        <v>1130</v>
      </c>
    </row>
    <row r="32" customFormat="false" ht="15" hidden="false" customHeight="true" outlineLevel="0" collapsed="false">
      <c r="B32" s="46" t="s">
        <v>1169</v>
      </c>
      <c r="C32" s="48" t="s">
        <v>1170</v>
      </c>
      <c r="D32" s="63" t="s">
        <v>958</v>
      </c>
      <c r="E32" s="48"/>
      <c r="F32" s="63"/>
      <c r="G32" s="49" t="s">
        <v>80</v>
      </c>
      <c r="H32" s="49" t="s">
        <v>80</v>
      </c>
      <c r="I32" s="49" t="s">
        <v>80</v>
      </c>
      <c r="J32" s="49" t="s">
        <v>80</v>
      </c>
      <c r="K32" s="48"/>
      <c r="L32" s="48"/>
      <c r="M32" s="49" t="s">
        <v>1130</v>
      </c>
    </row>
    <row r="33" customFormat="false" ht="15" hidden="false" customHeight="true" outlineLevel="0" collapsed="false">
      <c r="B33" s="52" t="s">
        <v>1171</v>
      </c>
      <c r="C33" s="55" t="s">
        <v>1172</v>
      </c>
      <c r="D33" s="66" t="s">
        <v>962</v>
      </c>
      <c r="E33" s="55"/>
      <c r="F33" s="66"/>
      <c r="G33" s="56" t="s">
        <v>80</v>
      </c>
      <c r="H33" s="56" t="s">
        <v>80</v>
      </c>
      <c r="I33" s="56" t="s">
        <v>80</v>
      </c>
      <c r="J33" s="56" t="s">
        <v>80</v>
      </c>
      <c r="K33" s="55"/>
      <c r="L33" s="55"/>
      <c r="M33" s="56" t="s">
        <v>1130</v>
      </c>
    </row>
    <row r="34" customFormat="false" ht="15" hidden="false" customHeight="true" outlineLevel="0" collapsed="false">
      <c r="B34" s="46" t="s">
        <v>1173</v>
      </c>
      <c r="C34" s="48" t="s">
        <v>1174</v>
      </c>
      <c r="D34" s="63" t="s">
        <v>1175</v>
      </c>
      <c r="E34" s="48"/>
      <c r="F34" s="63"/>
      <c r="G34" s="49" t="s">
        <v>80</v>
      </c>
      <c r="H34" s="49" t="s">
        <v>80</v>
      </c>
      <c r="I34" s="49" t="s">
        <v>80</v>
      </c>
      <c r="J34" s="49" t="s">
        <v>80</v>
      </c>
      <c r="K34" s="48"/>
      <c r="L34" s="48"/>
      <c r="M34" s="49" t="s">
        <v>1130</v>
      </c>
    </row>
    <row r="35" customFormat="false" ht="15" hidden="false" customHeight="true" outlineLevel="0" collapsed="false">
      <c r="B35" s="52" t="s">
        <v>1176</v>
      </c>
      <c r="C35" s="55" t="s">
        <v>1177</v>
      </c>
      <c r="D35" s="66" t="s">
        <v>1175</v>
      </c>
      <c r="E35" s="55"/>
      <c r="F35" s="66"/>
      <c r="G35" s="56" t="s">
        <v>80</v>
      </c>
      <c r="H35" s="56" t="s">
        <v>80</v>
      </c>
      <c r="I35" s="56" t="s">
        <v>80</v>
      </c>
      <c r="J35" s="56" t="s">
        <v>80</v>
      </c>
      <c r="K35" s="55"/>
      <c r="L35" s="55"/>
      <c r="M35" s="56" t="s">
        <v>1130</v>
      </c>
    </row>
    <row r="36" customFormat="false" ht="15" hidden="false" customHeight="true" outlineLevel="0" collapsed="false">
      <c r="B36" s="46" t="s">
        <v>1178</v>
      </c>
      <c r="C36" s="48" t="s">
        <v>1179</v>
      </c>
      <c r="D36" s="63" t="s">
        <v>968</v>
      </c>
      <c r="E36" s="48"/>
      <c r="F36" s="63"/>
      <c r="G36" s="49" t="s">
        <v>80</v>
      </c>
      <c r="H36" s="49" t="s">
        <v>80</v>
      </c>
      <c r="I36" s="49" t="s">
        <v>80</v>
      </c>
      <c r="J36" s="49" t="s">
        <v>80</v>
      </c>
      <c r="K36" s="48"/>
      <c r="L36" s="48"/>
      <c r="M36" s="49" t="s">
        <v>1130</v>
      </c>
    </row>
    <row r="37" customFormat="false" ht="15" hidden="false" customHeight="true" outlineLevel="0" collapsed="false">
      <c r="B37" s="52" t="s">
        <v>1180</v>
      </c>
      <c r="C37" s="55" t="s">
        <v>1181</v>
      </c>
      <c r="D37" s="66" t="s">
        <v>1182</v>
      </c>
      <c r="E37" s="55"/>
      <c r="F37" s="66"/>
      <c r="G37" s="56" t="s">
        <v>80</v>
      </c>
      <c r="H37" s="56" t="s">
        <v>80</v>
      </c>
      <c r="I37" s="56" t="s">
        <v>80</v>
      </c>
      <c r="J37" s="56" t="s">
        <v>80</v>
      </c>
      <c r="K37" s="55"/>
      <c r="L37" s="55"/>
      <c r="M37" s="56" t="s">
        <v>1130</v>
      </c>
    </row>
    <row r="38" customFormat="false" ht="15" hidden="false" customHeight="true" outlineLevel="0" collapsed="false">
      <c r="B38" s="46" t="s">
        <v>1183</v>
      </c>
      <c r="C38" s="48" t="s">
        <v>1184</v>
      </c>
      <c r="D38" s="63" t="s">
        <v>1185</v>
      </c>
      <c r="E38" s="48"/>
      <c r="F38" s="63"/>
      <c r="G38" s="49" t="s">
        <v>80</v>
      </c>
      <c r="H38" s="49" t="s">
        <v>80</v>
      </c>
      <c r="I38" s="49" t="s">
        <v>80</v>
      </c>
      <c r="J38" s="49" t="s">
        <v>80</v>
      </c>
      <c r="K38" s="48"/>
      <c r="L38" s="48"/>
      <c r="M38" s="49" t="s">
        <v>1130</v>
      </c>
    </row>
    <row r="39" customFormat="false" ht="15" hidden="false" customHeight="true" outlineLevel="0" collapsed="false">
      <c r="B39" s="52" t="s">
        <v>1186</v>
      </c>
      <c r="C39" s="55" t="s">
        <v>441</v>
      </c>
      <c r="D39" s="66" t="s">
        <v>1187</v>
      </c>
      <c r="E39" s="55"/>
      <c r="F39" s="66"/>
      <c r="G39" s="56" t="s">
        <v>80</v>
      </c>
      <c r="H39" s="56" t="s">
        <v>80</v>
      </c>
      <c r="I39" s="56" t="s">
        <v>80</v>
      </c>
      <c r="J39" s="56" t="s">
        <v>80</v>
      </c>
      <c r="K39" s="55"/>
      <c r="L39" s="55"/>
      <c r="M39" s="56" t="s">
        <v>1130</v>
      </c>
    </row>
    <row r="40" customFormat="false" ht="23.25" hidden="false" customHeight="true" outlineLevel="0" collapsed="false">
      <c r="B40" s="46" t="s">
        <v>1188</v>
      </c>
      <c r="C40" s="48" t="s">
        <v>1189</v>
      </c>
      <c r="D40" s="63" t="s">
        <v>1187</v>
      </c>
      <c r="E40" s="48"/>
      <c r="F40" s="63"/>
      <c r="G40" s="49" t="s">
        <v>80</v>
      </c>
      <c r="H40" s="49" t="s">
        <v>80</v>
      </c>
      <c r="I40" s="49" t="s">
        <v>80</v>
      </c>
      <c r="J40" s="49" t="s">
        <v>80</v>
      </c>
      <c r="K40" s="48"/>
      <c r="L40" s="48"/>
      <c r="M40" s="49" t="s">
        <v>1130</v>
      </c>
    </row>
    <row r="41" customFormat="false" ht="15" hidden="false" customHeight="true" outlineLevel="0" collapsed="false">
      <c r="B41" s="52" t="s">
        <v>1190</v>
      </c>
      <c r="C41" s="55" t="s">
        <v>1191</v>
      </c>
      <c r="D41" s="66" t="s">
        <v>1187</v>
      </c>
      <c r="E41" s="55"/>
      <c r="F41" s="66"/>
      <c r="G41" s="56" t="s">
        <v>80</v>
      </c>
      <c r="H41" s="56" t="s">
        <v>80</v>
      </c>
      <c r="I41" s="56" t="s">
        <v>80</v>
      </c>
      <c r="J41" s="56" t="s">
        <v>80</v>
      </c>
      <c r="K41" s="55"/>
      <c r="L41" s="55"/>
      <c r="M41" s="56" t="s">
        <v>1130</v>
      </c>
    </row>
    <row r="42" customFormat="false" ht="15" hidden="false" customHeight="true" outlineLevel="0" collapsed="false">
      <c r="B42" s="46" t="s">
        <v>1192</v>
      </c>
      <c r="C42" s="48" t="s">
        <v>1193</v>
      </c>
      <c r="D42" s="63" t="s">
        <v>1187</v>
      </c>
      <c r="E42" s="48"/>
      <c r="F42" s="63"/>
      <c r="G42" s="49" t="s">
        <v>80</v>
      </c>
      <c r="H42" s="49" t="s">
        <v>80</v>
      </c>
      <c r="I42" s="49" t="s">
        <v>80</v>
      </c>
      <c r="J42" s="49" t="s">
        <v>80</v>
      </c>
      <c r="K42" s="48"/>
      <c r="L42" s="48"/>
      <c r="M42" s="49" t="s">
        <v>1130</v>
      </c>
    </row>
    <row r="43" customFormat="false" ht="15" hidden="false" customHeight="true" outlineLevel="0" collapsed="false">
      <c r="B43" s="52" t="s">
        <v>1194</v>
      </c>
      <c r="C43" s="55" t="s">
        <v>1195</v>
      </c>
      <c r="D43" s="66" t="s">
        <v>1187</v>
      </c>
      <c r="E43" s="55"/>
      <c r="F43" s="66"/>
      <c r="G43" s="56" t="s">
        <v>80</v>
      </c>
      <c r="H43" s="56" t="s">
        <v>80</v>
      </c>
      <c r="I43" s="56" t="s">
        <v>80</v>
      </c>
      <c r="J43" s="56" t="s">
        <v>80</v>
      </c>
      <c r="K43" s="55"/>
      <c r="L43" s="55"/>
      <c r="M43" s="56" t="s">
        <v>1130</v>
      </c>
    </row>
    <row r="44" customFormat="false" ht="15" hidden="false" customHeight="true" outlineLevel="0" collapsed="false">
      <c r="B44" s="46" t="s">
        <v>1196</v>
      </c>
      <c r="C44" s="48" t="s">
        <v>1197</v>
      </c>
      <c r="D44" s="63" t="s">
        <v>1187</v>
      </c>
      <c r="E44" s="48"/>
      <c r="F44" s="63"/>
      <c r="G44" s="49" t="s">
        <v>80</v>
      </c>
      <c r="H44" s="49" t="s">
        <v>80</v>
      </c>
      <c r="I44" s="49" t="s">
        <v>80</v>
      </c>
      <c r="J44" s="49" t="s">
        <v>80</v>
      </c>
      <c r="K44" s="48"/>
      <c r="L44" s="48"/>
      <c r="M44" s="49" t="s">
        <v>1130</v>
      </c>
    </row>
    <row r="45" customFormat="false" ht="15" hidden="false" customHeight="true" outlineLevel="0" collapsed="false">
      <c r="B45" s="52" t="s">
        <v>1198</v>
      </c>
      <c r="C45" s="55" t="s">
        <v>1199</v>
      </c>
      <c r="D45" s="66" t="s">
        <v>1187</v>
      </c>
      <c r="E45" s="55"/>
      <c r="F45" s="66"/>
      <c r="G45" s="56" t="s">
        <v>80</v>
      </c>
      <c r="H45" s="56" t="s">
        <v>80</v>
      </c>
      <c r="I45" s="56" t="s">
        <v>80</v>
      </c>
      <c r="J45" s="56" t="s">
        <v>80</v>
      </c>
      <c r="K45" s="55"/>
      <c r="L45" s="55"/>
      <c r="M45" s="56" t="s">
        <v>1130</v>
      </c>
    </row>
    <row r="46" customFormat="false" ht="15" hidden="false" customHeight="true" outlineLevel="0" collapsed="false">
      <c r="B46" s="46" t="s">
        <v>1200</v>
      </c>
      <c r="C46" s="48" t="s">
        <v>1201</v>
      </c>
      <c r="D46" s="63" t="s">
        <v>1187</v>
      </c>
      <c r="E46" s="48"/>
      <c r="F46" s="63"/>
      <c r="G46" s="49" t="s">
        <v>80</v>
      </c>
      <c r="H46" s="49" t="s">
        <v>80</v>
      </c>
      <c r="I46" s="49" t="s">
        <v>80</v>
      </c>
      <c r="J46" s="49" t="s">
        <v>80</v>
      </c>
      <c r="K46" s="48"/>
      <c r="L46" s="48"/>
      <c r="M46" s="49" t="s">
        <v>1130</v>
      </c>
    </row>
  </sheetData>
  <autoFilter ref="B11:M46"/>
  <mergeCells count="13">
    <mergeCell ref="B7:M7"/>
    <mergeCell ref="B8:C8"/>
    <mergeCell ref="D8:E8"/>
    <mergeCell ref="F8:G8"/>
    <mergeCell ref="H8:I8"/>
    <mergeCell ref="J8:K8"/>
    <mergeCell ref="L8:M8"/>
    <mergeCell ref="B9:C9"/>
    <mergeCell ref="D9:E9"/>
    <mergeCell ref="F9:G9"/>
    <mergeCell ref="H9:I9"/>
    <mergeCell ref="J9:K9"/>
    <mergeCell ref="L9:M9"/>
  </mergeCells>
  <conditionalFormatting sqref="M12:M46">
    <cfRule type="cellIs" priority="2" operator="equal" aboveAverage="0" equalAverage="0" bottom="0" percent="0" rank="0" text="" dxfId="0">
      <formula>"Accepted"</formula>
    </cfRule>
    <cfRule type="cellIs" priority="3" operator="equal" aboveAverage="0" equalAverage="0" bottom="0" percent="0" rank="0" text="" dxfId="0">
      <formula>"Final received"</formula>
    </cfRule>
    <cfRule type="cellIs" priority="4" operator="equal" aboveAverage="0" equalAverage="0" bottom="0" percent="0" rank="0" text="" dxfId="11">
      <formula>"Under review"</formula>
    </cfRule>
    <cfRule type="cellIs" priority="5" operator="equal" aboveAverage="0" equalAverage="0" bottom="0" percent="0" rank="0" text="" dxfId="11">
      <formula>"Comments issued"</formula>
    </cfRule>
    <cfRule type="cellIs" priority="6" operator="equal" aboveAverage="0" equalAverage="0" bottom="0" percent="0" rank="0" text="" dxfId="11">
      <formula>"Draft received"</formula>
    </cfRule>
    <cfRule type="cellIs" priority="7" operator="equal" aboveAverage="0" equalAverage="0" bottom="0" percent="0" rank="0" text="" dxfId="1">
      <formula>"Not received"</formula>
    </cfRule>
    <cfRule type="cellIs" priority="8" operator="equal" aboveAverage="0" equalAverage="0" bottom="0" percent="0" rank="0" text="" dxfId="12">
      <formula>"N/A"</formula>
    </cfRule>
  </conditionalFormatting>
  <conditionalFormatting sqref="G12:J46">
    <cfRule type="cellIs" priority="9" operator="equal" aboveAverage="0" equalAverage="0" bottom="0" percent="0" rank="0" text="" dxfId="0">
      <formula>"Yes"</formula>
    </cfRule>
    <cfRule type="cellIs" priority="10" operator="equal" aboveAverage="0" equalAverage="0" bottom="0" percent="0" rank="0" text="" dxfId="1">
      <formula>"No"</formula>
    </cfRule>
    <cfRule type="cellIs" priority="11" operator="equal" aboveAverage="0" equalAverage="0" bottom="0" percent="0" rank="0" text="" dxfId="12">
      <formula>"N/A"</formula>
    </cfRule>
  </conditionalFormatting>
  <dataValidations count="3">
    <dataValidation allowBlank="true" errorStyle="stop" operator="between" showDropDown="false" showErrorMessage="false" showInputMessage="false" sqref="F12:F46" type="list">
      <formula1>Lists!$I$9:$I$14</formula1>
      <formula2>0</formula2>
    </dataValidation>
    <dataValidation allowBlank="true" errorStyle="stop" operator="between" showDropDown="false" showErrorMessage="false" showInputMessage="false" sqref="G12:J46" type="list">
      <formula1>Lists!$G$9:$G$11</formula1>
      <formula2>0</formula2>
    </dataValidation>
    <dataValidation allowBlank="true" errorStyle="stop" operator="between" showDropDown="false" showErrorMessage="false" showInputMessage="false" sqref="M12:M46" type="list">
      <formula1>Lists!$J$9:$J$15</formula1>
      <formula2>0</formula2>
    </dataValidation>
  </dataValidations>
  <printOptions headings="false" gridLines="false" gridLinesSet="true" horizontalCentered="true" verticalCentered="false"/>
  <pageMargins left="0.4" right="0.4" top="0.5" bottom="0.5" header="0.511811023622047" footer="0.5"/>
  <pageSetup paperSize="8" scale="100" fitToWidth="1" fitToHeight="0" pageOrder="downThenOver" orientation="landscape" blackAndWhite="false" draft="false" cellComments="none" horizontalDpi="300" verticalDpi="300" copies="1"/>
  <headerFooter differentFirst="false" differentOddEven="false">
    <oddHeader/>
    <oddFooter>&amp;L&amp;8 &amp;K8e98a2Template by Mastt  ·  mastt.com&amp;R&amp;8 &amp;K8e98a2Page &amp;P of &amp;N</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A1:M3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3" ySplit="11" topLeftCell="D12" activePane="bottomRight" state="frozen"/>
      <selection pane="topLeft" activeCell="A1" activeCellId="0" sqref="A1"/>
      <selection pane="topRight" activeCell="D1" activeCellId="0" sqref="D1"/>
      <selection pane="bottomLeft" activeCell="A12" activeCellId="0" sqref="A12"/>
      <selection pane="bottomRight" activeCell="A1" activeCellId="0" sqref="A1"/>
    </sheetView>
  </sheetViews>
  <sheetFormatPr defaultColWidth="8.6796875" defaultRowHeight="15" zeroHeight="false" outlineLevelRow="0" outlineLevelCol="0"/>
  <cols>
    <col collapsed="false" customWidth="true" hidden="false" outlineLevel="0" max="1" min="1" style="1" width="2.5"/>
    <col collapsed="false" customWidth="true" hidden="false" outlineLevel="0" max="2" min="2" style="1" width="11"/>
    <col collapsed="false" customWidth="true" hidden="false" outlineLevel="0" max="3" min="3" style="1" width="46"/>
    <col collapsed="false" customWidth="true" hidden="false" outlineLevel="0" max="4" min="4" style="1" width="26"/>
    <col collapsed="false" customWidth="true" hidden="false" outlineLevel="0" max="6" min="5" style="1" width="22"/>
    <col collapsed="false" customWidth="true" hidden="false" outlineLevel="0" max="7" min="7" style="1" width="12"/>
    <col collapsed="false" customWidth="true" hidden="false" outlineLevel="0" max="9" min="8" style="1" width="14"/>
    <col collapsed="false" customWidth="true" hidden="false" outlineLevel="0" max="10" min="10" style="1" width="12"/>
    <col collapsed="false" customWidth="true" hidden="false" outlineLevel="0" max="11" min="11" style="1" width="17"/>
    <col collapsed="false" customWidth="true" hidden="false" outlineLevel="0" max="12" min="12" style="1" width="26"/>
    <col collapsed="false" customWidth="true" hidden="false" outlineLevel="0" max="13" min="13" style="1" width="19"/>
  </cols>
  <sheetData>
    <row r="1" customFormat="false" ht="9.75" hidden="false" customHeight="true" outlineLevel="0" collapsed="false">
      <c r="A1" s="2"/>
      <c r="B1" s="2"/>
      <c r="C1" s="2"/>
      <c r="D1" s="2"/>
      <c r="E1" s="2"/>
      <c r="F1" s="2"/>
      <c r="G1" s="2"/>
      <c r="H1" s="2"/>
      <c r="I1" s="2"/>
      <c r="J1" s="2"/>
      <c r="K1" s="2"/>
      <c r="L1" s="2"/>
      <c r="M1" s="2"/>
    </row>
    <row r="2" customFormat="false" ht="33.75" hidden="false" customHeight="true" outlineLevel="0" collapsed="false">
      <c r="A2" s="2"/>
      <c r="B2" s="2"/>
      <c r="C2" s="2"/>
      <c r="D2" s="2"/>
      <c r="E2" s="2"/>
      <c r="F2" s="2"/>
      <c r="G2" s="2"/>
      <c r="H2" s="2"/>
      <c r="I2" s="2"/>
      <c r="J2" s="2"/>
      <c r="K2" s="2"/>
      <c r="L2" s="2"/>
      <c r="M2" s="2"/>
    </row>
    <row r="3" customFormat="false" ht="7.5" hidden="false" customHeight="true" outlineLevel="0" collapsed="false">
      <c r="A3" s="2"/>
      <c r="B3" s="2"/>
      <c r="C3" s="2"/>
      <c r="D3" s="2"/>
      <c r="E3" s="2"/>
      <c r="F3" s="2"/>
      <c r="G3" s="2"/>
      <c r="H3" s="2"/>
      <c r="I3" s="2"/>
      <c r="J3" s="2"/>
      <c r="K3" s="2"/>
      <c r="L3" s="2"/>
      <c r="M3" s="2"/>
    </row>
    <row r="4" customFormat="false" ht="30" hidden="false" customHeight="true" outlineLevel="0" collapsed="false">
      <c r="A4" s="2"/>
      <c r="B4" s="3" t="s">
        <v>1202</v>
      </c>
      <c r="C4" s="2"/>
      <c r="D4" s="2"/>
      <c r="E4" s="2"/>
      <c r="F4" s="2"/>
      <c r="G4" s="2"/>
      <c r="H4" s="2"/>
      <c r="I4" s="2"/>
      <c r="J4" s="2"/>
      <c r="K4" s="2"/>
      <c r="L4" s="2"/>
      <c r="M4" s="2"/>
    </row>
    <row r="5" customFormat="false" ht="21.75" hidden="false" customHeight="true" outlineLevel="0" collapsed="false">
      <c r="A5" s="2"/>
      <c r="B5" s="4" t="s">
        <v>1</v>
      </c>
      <c r="C5" s="2"/>
      <c r="D5" s="2"/>
      <c r="E5" s="2"/>
      <c r="F5" s="2"/>
      <c r="G5" s="2"/>
      <c r="H5" s="2"/>
      <c r="I5" s="2"/>
      <c r="J5" s="2"/>
      <c r="K5" s="2"/>
      <c r="L5" s="2"/>
      <c r="M5" s="2"/>
    </row>
    <row r="6" customFormat="false" ht="7.5" hidden="false" customHeight="true" outlineLevel="0" collapsed="false"/>
    <row r="7" customFormat="false" ht="30" hidden="false" customHeight="true" outlineLevel="0" collapsed="false">
      <c r="B7" s="23" t="s">
        <v>1203</v>
      </c>
      <c r="C7" s="23"/>
      <c r="D7" s="23"/>
      <c r="E7" s="23"/>
      <c r="F7" s="23"/>
      <c r="G7" s="23"/>
      <c r="H7" s="23"/>
      <c r="I7" s="23"/>
      <c r="J7" s="23"/>
      <c r="K7" s="23"/>
      <c r="L7" s="23"/>
      <c r="M7" s="23"/>
    </row>
    <row r="8" customFormat="false" ht="15.75" hidden="false" customHeight="true" outlineLevel="0" collapsed="false">
      <c r="B8" s="59" t="s">
        <v>1204</v>
      </c>
      <c r="C8" s="59"/>
      <c r="D8" s="59" t="s">
        <v>1205</v>
      </c>
      <c r="E8" s="59"/>
      <c r="F8" s="59" t="s">
        <v>1206</v>
      </c>
      <c r="G8" s="59"/>
      <c r="H8" s="59" t="s">
        <v>1207</v>
      </c>
      <c r="I8" s="59"/>
      <c r="J8" s="59" t="s">
        <v>1208</v>
      </c>
      <c r="K8" s="59"/>
    </row>
    <row r="9" customFormat="false" ht="25.5" hidden="false" customHeight="true" outlineLevel="0" collapsed="false">
      <c r="B9" s="60" t="n">
        <f aca="false">COUNTA('Training Register'!$B$12:$B$37)</f>
        <v>26</v>
      </c>
      <c r="C9" s="60"/>
      <c r="D9" s="60" t="n">
        <f aca="false">COUNTIF('Training Register'!$M$12:$M$37,"Delivered")+COUNTIF('Training Register'!$M$12:$M$37,"Competency verified")</f>
        <v>0</v>
      </c>
      <c r="E9" s="60"/>
      <c r="F9" s="60" t="n">
        <f aca="false">COUNTIF('Training Register'!$K$12:$K$37,"Yes")</f>
        <v>0</v>
      </c>
      <c r="G9" s="60"/>
      <c r="H9" s="60" t="n">
        <f aca="false">SUM('Training Register'!$J$12:$J$37)</f>
        <v>0</v>
      </c>
      <c r="I9" s="60"/>
      <c r="J9" s="69" t="n">
        <f aca="false">IFERROR((COUNTIF('Training Register'!$M$12:$M$37,"Delivered")+COUNTIF('Training Register'!$M$12:$M$37,"Competency verified"))/COUNTA('Training Register'!$B$12:$B$37),0)</f>
        <v>0</v>
      </c>
      <c r="K9" s="69"/>
    </row>
    <row r="11" customFormat="false" ht="43.5" hidden="false" customHeight="true" outlineLevel="0" collapsed="false">
      <c r="B11" s="9" t="s">
        <v>1209</v>
      </c>
      <c r="C11" s="9" t="s">
        <v>1210</v>
      </c>
      <c r="D11" s="9" t="s">
        <v>1211</v>
      </c>
      <c r="E11" s="9" t="s">
        <v>1212</v>
      </c>
      <c r="F11" s="9" t="s">
        <v>1213</v>
      </c>
      <c r="G11" s="9" t="s">
        <v>1214</v>
      </c>
      <c r="H11" s="9" t="s">
        <v>1215</v>
      </c>
      <c r="I11" s="9" t="s">
        <v>1216</v>
      </c>
      <c r="J11" s="9" t="s">
        <v>1217</v>
      </c>
      <c r="K11" s="9" t="s">
        <v>1218</v>
      </c>
      <c r="L11" s="9" t="s">
        <v>1219</v>
      </c>
      <c r="M11" s="9" t="s">
        <v>72</v>
      </c>
    </row>
    <row r="12" customFormat="false" ht="15" hidden="false" customHeight="true" outlineLevel="0" collapsed="false">
      <c r="B12" s="46" t="s">
        <v>1220</v>
      </c>
      <c r="C12" s="48" t="s">
        <v>1221</v>
      </c>
      <c r="D12" s="48" t="s">
        <v>1222</v>
      </c>
      <c r="E12" s="48"/>
      <c r="F12" s="48"/>
      <c r="G12" s="70"/>
      <c r="H12" s="50"/>
      <c r="I12" s="50"/>
      <c r="J12" s="64"/>
      <c r="K12" s="49" t="s">
        <v>80</v>
      </c>
      <c r="L12" s="48"/>
      <c r="M12" s="49" t="s">
        <v>1223</v>
      </c>
    </row>
    <row r="13" customFormat="false" ht="15" hidden="false" customHeight="true" outlineLevel="0" collapsed="false">
      <c r="B13" s="52" t="s">
        <v>1224</v>
      </c>
      <c r="C13" s="55" t="s">
        <v>1225</v>
      </c>
      <c r="D13" s="55" t="s">
        <v>1222</v>
      </c>
      <c r="E13" s="55"/>
      <c r="F13" s="55"/>
      <c r="G13" s="71"/>
      <c r="H13" s="57"/>
      <c r="I13" s="57"/>
      <c r="J13" s="67"/>
      <c r="K13" s="56" t="s">
        <v>80</v>
      </c>
      <c r="L13" s="55"/>
      <c r="M13" s="56" t="s">
        <v>1223</v>
      </c>
    </row>
    <row r="14" customFormat="false" ht="15" hidden="false" customHeight="true" outlineLevel="0" collapsed="false">
      <c r="B14" s="46" t="s">
        <v>1226</v>
      </c>
      <c r="C14" s="48" t="s">
        <v>1227</v>
      </c>
      <c r="D14" s="48" t="s">
        <v>1222</v>
      </c>
      <c r="E14" s="48"/>
      <c r="F14" s="48"/>
      <c r="G14" s="70"/>
      <c r="H14" s="50"/>
      <c r="I14" s="50"/>
      <c r="J14" s="64"/>
      <c r="K14" s="49" t="s">
        <v>80</v>
      </c>
      <c r="L14" s="48"/>
      <c r="M14" s="49" t="s">
        <v>1223</v>
      </c>
    </row>
    <row r="15" customFormat="false" ht="15" hidden="false" customHeight="true" outlineLevel="0" collapsed="false">
      <c r="B15" s="52" t="s">
        <v>1228</v>
      </c>
      <c r="C15" s="55" t="s">
        <v>1229</v>
      </c>
      <c r="D15" s="55" t="s">
        <v>1222</v>
      </c>
      <c r="E15" s="55"/>
      <c r="F15" s="55"/>
      <c r="G15" s="71"/>
      <c r="H15" s="57"/>
      <c r="I15" s="57"/>
      <c r="J15" s="67"/>
      <c r="K15" s="56" t="s">
        <v>80</v>
      </c>
      <c r="L15" s="55"/>
      <c r="M15" s="56" t="s">
        <v>1223</v>
      </c>
    </row>
    <row r="16" customFormat="false" ht="15" hidden="false" customHeight="true" outlineLevel="0" collapsed="false">
      <c r="B16" s="46" t="s">
        <v>1230</v>
      </c>
      <c r="C16" s="48" t="s">
        <v>1231</v>
      </c>
      <c r="D16" s="48" t="s">
        <v>1222</v>
      </c>
      <c r="E16" s="48"/>
      <c r="F16" s="48"/>
      <c r="G16" s="70"/>
      <c r="H16" s="50"/>
      <c r="I16" s="50"/>
      <c r="J16" s="64"/>
      <c r="K16" s="49" t="s">
        <v>80</v>
      </c>
      <c r="L16" s="48"/>
      <c r="M16" s="49" t="s">
        <v>1223</v>
      </c>
    </row>
    <row r="17" customFormat="false" ht="15" hidden="false" customHeight="true" outlineLevel="0" collapsed="false">
      <c r="B17" s="52" t="s">
        <v>1232</v>
      </c>
      <c r="C17" s="55" t="s">
        <v>1233</v>
      </c>
      <c r="D17" s="55" t="s">
        <v>1222</v>
      </c>
      <c r="E17" s="55"/>
      <c r="F17" s="55"/>
      <c r="G17" s="71"/>
      <c r="H17" s="57"/>
      <c r="I17" s="57"/>
      <c r="J17" s="67"/>
      <c r="K17" s="56" t="s">
        <v>80</v>
      </c>
      <c r="L17" s="55"/>
      <c r="M17" s="56" t="s">
        <v>1223</v>
      </c>
    </row>
    <row r="18" customFormat="false" ht="15" hidden="false" customHeight="true" outlineLevel="0" collapsed="false">
      <c r="B18" s="46" t="s">
        <v>1234</v>
      </c>
      <c r="C18" s="48" t="s">
        <v>1235</v>
      </c>
      <c r="D18" s="48" t="s">
        <v>1222</v>
      </c>
      <c r="E18" s="48"/>
      <c r="F18" s="48"/>
      <c r="G18" s="70"/>
      <c r="H18" s="50"/>
      <c r="I18" s="50"/>
      <c r="J18" s="64"/>
      <c r="K18" s="49" t="s">
        <v>80</v>
      </c>
      <c r="L18" s="48"/>
      <c r="M18" s="49" t="s">
        <v>1223</v>
      </c>
    </row>
    <row r="19" customFormat="false" ht="15" hidden="false" customHeight="true" outlineLevel="0" collapsed="false">
      <c r="B19" s="52" t="s">
        <v>1236</v>
      </c>
      <c r="C19" s="55" t="s">
        <v>1237</v>
      </c>
      <c r="D19" s="55" t="s">
        <v>1222</v>
      </c>
      <c r="E19" s="55"/>
      <c r="F19" s="55"/>
      <c r="G19" s="71"/>
      <c r="H19" s="57"/>
      <c r="I19" s="57"/>
      <c r="J19" s="67"/>
      <c r="K19" s="56" t="s">
        <v>80</v>
      </c>
      <c r="L19" s="55"/>
      <c r="M19" s="56" t="s">
        <v>1223</v>
      </c>
    </row>
    <row r="20" customFormat="false" ht="15" hidden="false" customHeight="true" outlineLevel="0" collapsed="false">
      <c r="B20" s="46" t="s">
        <v>1238</v>
      </c>
      <c r="C20" s="48" t="s">
        <v>1239</v>
      </c>
      <c r="D20" s="48" t="s">
        <v>1222</v>
      </c>
      <c r="E20" s="48"/>
      <c r="F20" s="48"/>
      <c r="G20" s="70"/>
      <c r="H20" s="50"/>
      <c r="I20" s="50"/>
      <c r="J20" s="64"/>
      <c r="K20" s="49" t="s">
        <v>80</v>
      </c>
      <c r="L20" s="48"/>
      <c r="M20" s="49" t="s">
        <v>1223</v>
      </c>
    </row>
    <row r="21" customFormat="false" ht="15" hidden="false" customHeight="true" outlineLevel="0" collapsed="false">
      <c r="B21" s="52" t="s">
        <v>1240</v>
      </c>
      <c r="C21" s="55" t="s">
        <v>1241</v>
      </c>
      <c r="D21" s="55" t="s">
        <v>1222</v>
      </c>
      <c r="E21" s="55"/>
      <c r="F21" s="55"/>
      <c r="G21" s="71"/>
      <c r="H21" s="57"/>
      <c r="I21" s="57"/>
      <c r="J21" s="67"/>
      <c r="K21" s="56" t="s">
        <v>80</v>
      </c>
      <c r="L21" s="55"/>
      <c r="M21" s="56" t="s">
        <v>1223</v>
      </c>
    </row>
    <row r="22" customFormat="false" ht="23.25" hidden="false" customHeight="true" outlineLevel="0" collapsed="false">
      <c r="B22" s="46" t="s">
        <v>1242</v>
      </c>
      <c r="C22" s="48" t="s">
        <v>1243</v>
      </c>
      <c r="D22" s="48" t="s">
        <v>1244</v>
      </c>
      <c r="E22" s="48"/>
      <c r="F22" s="48"/>
      <c r="G22" s="70"/>
      <c r="H22" s="50"/>
      <c r="I22" s="50"/>
      <c r="J22" s="64"/>
      <c r="K22" s="49" t="s">
        <v>80</v>
      </c>
      <c r="L22" s="48"/>
      <c r="M22" s="49" t="s">
        <v>1223</v>
      </c>
    </row>
    <row r="23" customFormat="false" ht="15" hidden="false" customHeight="true" outlineLevel="0" collapsed="false">
      <c r="B23" s="52" t="s">
        <v>1245</v>
      </c>
      <c r="C23" s="55" t="s">
        <v>1246</v>
      </c>
      <c r="D23" s="55" t="s">
        <v>1222</v>
      </c>
      <c r="E23" s="55"/>
      <c r="F23" s="55"/>
      <c r="G23" s="71"/>
      <c r="H23" s="57"/>
      <c r="I23" s="57"/>
      <c r="J23" s="67"/>
      <c r="K23" s="56" t="s">
        <v>80</v>
      </c>
      <c r="L23" s="55"/>
      <c r="M23" s="56" t="s">
        <v>1223</v>
      </c>
    </row>
    <row r="24" customFormat="false" ht="15" hidden="false" customHeight="true" outlineLevel="0" collapsed="false">
      <c r="B24" s="46" t="s">
        <v>1247</v>
      </c>
      <c r="C24" s="48" t="s">
        <v>1248</v>
      </c>
      <c r="D24" s="48" t="s">
        <v>1222</v>
      </c>
      <c r="E24" s="48"/>
      <c r="F24" s="48"/>
      <c r="G24" s="70"/>
      <c r="H24" s="50"/>
      <c r="I24" s="50"/>
      <c r="J24" s="64"/>
      <c r="K24" s="49" t="s">
        <v>80</v>
      </c>
      <c r="L24" s="48"/>
      <c r="M24" s="49" t="s">
        <v>1223</v>
      </c>
    </row>
    <row r="25" customFormat="false" ht="15" hidden="false" customHeight="true" outlineLevel="0" collapsed="false">
      <c r="B25" s="52" t="s">
        <v>1249</v>
      </c>
      <c r="C25" s="55" t="s">
        <v>1250</v>
      </c>
      <c r="D25" s="55" t="s">
        <v>1222</v>
      </c>
      <c r="E25" s="55"/>
      <c r="F25" s="55"/>
      <c r="G25" s="71"/>
      <c r="H25" s="57"/>
      <c r="I25" s="57"/>
      <c r="J25" s="67"/>
      <c r="K25" s="56" t="s">
        <v>80</v>
      </c>
      <c r="L25" s="55"/>
      <c r="M25" s="56" t="s">
        <v>1223</v>
      </c>
    </row>
    <row r="26" customFormat="false" ht="15" hidden="false" customHeight="true" outlineLevel="0" collapsed="false">
      <c r="B26" s="46" t="s">
        <v>1251</v>
      </c>
      <c r="C26" s="48" t="s">
        <v>1252</v>
      </c>
      <c r="D26" s="48" t="s">
        <v>1253</v>
      </c>
      <c r="E26" s="48"/>
      <c r="F26" s="48"/>
      <c r="G26" s="70"/>
      <c r="H26" s="50"/>
      <c r="I26" s="50"/>
      <c r="J26" s="64"/>
      <c r="K26" s="49" t="s">
        <v>80</v>
      </c>
      <c r="L26" s="48"/>
      <c r="M26" s="49" t="s">
        <v>1223</v>
      </c>
    </row>
    <row r="27" customFormat="false" ht="15" hidden="false" customHeight="true" outlineLevel="0" collapsed="false">
      <c r="B27" s="52" t="s">
        <v>1254</v>
      </c>
      <c r="C27" s="55" t="s">
        <v>1255</v>
      </c>
      <c r="D27" s="55" t="s">
        <v>1253</v>
      </c>
      <c r="E27" s="55"/>
      <c r="F27" s="55"/>
      <c r="G27" s="71"/>
      <c r="H27" s="57"/>
      <c r="I27" s="57"/>
      <c r="J27" s="67"/>
      <c r="K27" s="56" t="s">
        <v>80</v>
      </c>
      <c r="L27" s="55"/>
      <c r="M27" s="56" t="s">
        <v>1223</v>
      </c>
    </row>
    <row r="28" customFormat="false" ht="15" hidden="false" customHeight="true" outlineLevel="0" collapsed="false">
      <c r="B28" s="46" t="s">
        <v>1256</v>
      </c>
      <c r="C28" s="48" t="s">
        <v>1257</v>
      </c>
      <c r="D28" s="48" t="s">
        <v>1222</v>
      </c>
      <c r="E28" s="48"/>
      <c r="F28" s="48"/>
      <c r="G28" s="70"/>
      <c r="H28" s="50"/>
      <c r="I28" s="50"/>
      <c r="J28" s="64"/>
      <c r="K28" s="49" t="s">
        <v>80</v>
      </c>
      <c r="L28" s="48"/>
      <c r="M28" s="49" t="s">
        <v>1223</v>
      </c>
    </row>
    <row r="29" customFormat="false" ht="15" hidden="false" customHeight="true" outlineLevel="0" collapsed="false">
      <c r="B29" s="52" t="s">
        <v>1258</v>
      </c>
      <c r="C29" s="55" t="s">
        <v>1259</v>
      </c>
      <c r="D29" s="55" t="s">
        <v>1222</v>
      </c>
      <c r="E29" s="55"/>
      <c r="F29" s="55"/>
      <c r="G29" s="71"/>
      <c r="H29" s="57"/>
      <c r="I29" s="57"/>
      <c r="J29" s="67"/>
      <c r="K29" s="56" t="s">
        <v>80</v>
      </c>
      <c r="L29" s="55"/>
      <c r="M29" s="56" t="s">
        <v>1223</v>
      </c>
    </row>
    <row r="30" customFormat="false" ht="23.25" hidden="false" customHeight="true" outlineLevel="0" collapsed="false">
      <c r="B30" s="46" t="s">
        <v>1260</v>
      </c>
      <c r="C30" s="48" t="s">
        <v>1261</v>
      </c>
      <c r="D30" s="48" t="s">
        <v>1262</v>
      </c>
      <c r="E30" s="48"/>
      <c r="F30" s="48"/>
      <c r="G30" s="70"/>
      <c r="H30" s="50"/>
      <c r="I30" s="50"/>
      <c r="J30" s="64"/>
      <c r="K30" s="49" t="s">
        <v>80</v>
      </c>
      <c r="L30" s="48"/>
      <c r="M30" s="49" t="s">
        <v>1223</v>
      </c>
    </row>
    <row r="31" customFormat="false" ht="15" hidden="false" customHeight="true" outlineLevel="0" collapsed="false">
      <c r="B31" s="52" t="s">
        <v>1263</v>
      </c>
      <c r="C31" s="55" t="s">
        <v>1264</v>
      </c>
      <c r="D31" s="55" t="s">
        <v>1265</v>
      </c>
      <c r="E31" s="55"/>
      <c r="F31" s="55"/>
      <c r="G31" s="71"/>
      <c r="H31" s="57"/>
      <c r="I31" s="57"/>
      <c r="J31" s="67"/>
      <c r="K31" s="56" t="s">
        <v>80</v>
      </c>
      <c r="L31" s="55"/>
      <c r="M31" s="56" t="s">
        <v>1223</v>
      </c>
    </row>
    <row r="32" customFormat="false" ht="15" hidden="false" customHeight="true" outlineLevel="0" collapsed="false">
      <c r="B32" s="46" t="s">
        <v>1266</v>
      </c>
      <c r="C32" s="48" t="s">
        <v>1267</v>
      </c>
      <c r="D32" s="48" t="s">
        <v>1265</v>
      </c>
      <c r="E32" s="48"/>
      <c r="F32" s="48"/>
      <c r="G32" s="70"/>
      <c r="H32" s="50"/>
      <c r="I32" s="50"/>
      <c r="J32" s="64"/>
      <c r="K32" s="49" t="s">
        <v>80</v>
      </c>
      <c r="L32" s="48"/>
      <c r="M32" s="49" t="s">
        <v>1223</v>
      </c>
    </row>
    <row r="33" customFormat="false" ht="23.25" hidden="false" customHeight="true" outlineLevel="0" collapsed="false">
      <c r="B33" s="52" t="s">
        <v>1268</v>
      </c>
      <c r="C33" s="55" t="s">
        <v>1269</v>
      </c>
      <c r="D33" s="55" t="s">
        <v>1270</v>
      </c>
      <c r="E33" s="55"/>
      <c r="F33" s="55"/>
      <c r="G33" s="71"/>
      <c r="H33" s="57"/>
      <c r="I33" s="57"/>
      <c r="J33" s="67"/>
      <c r="K33" s="56" t="s">
        <v>80</v>
      </c>
      <c r="L33" s="55"/>
      <c r="M33" s="56" t="s">
        <v>1223</v>
      </c>
    </row>
    <row r="34" customFormat="false" ht="15" hidden="false" customHeight="true" outlineLevel="0" collapsed="false">
      <c r="B34" s="46" t="s">
        <v>1271</v>
      </c>
      <c r="C34" s="48" t="s">
        <v>1272</v>
      </c>
      <c r="D34" s="48" t="s">
        <v>1222</v>
      </c>
      <c r="E34" s="48"/>
      <c r="F34" s="48"/>
      <c r="G34" s="70"/>
      <c r="H34" s="50"/>
      <c r="I34" s="50"/>
      <c r="J34" s="64"/>
      <c r="K34" s="49" t="s">
        <v>80</v>
      </c>
      <c r="L34" s="48"/>
      <c r="M34" s="49" t="s">
        <v>1223</v>
      </c>
    </row>
    <row r="35" customFormat="false" ht="23.25" hidden="false" customHeight="true" outlineLevel="0" collapsed="false">
      <c r="B35" s="52" t="s">
        <v>1273</v>
      </c>
      <c r="C35" s="55" t="s">
        <v>1274</v>
      </c>
      <c r="D35" s="55" t="s">
        <v>1275</v>
      </c>
      <c r="E35" s="55"/>
      <c r="F35" s="55"/>
      <c r="G35" s="71"/>
      <c r="H35" s="57"/>
      <c r="I35" s="57"/>
      <c r="J35" s="67"/>
      <c r="K35" s="56" t="s">
        <v>80</v>
      </c>
      <c r="L35" s="55"/>
      <c r="M35" s="56" t="s">
        <v>1223</v>
      </c>
    </row>
    <row r="36" customFormat="false" ht="15" hidden="false" customHeight="true" outlineLevel="0" collapsed="false">
      <c r="B36" s="46" t="s">
        <v>1276</v>
      </c>
      <c r="C36" s="48" t="s">
        <v>1277</v>
      </c>
      <c r="D36" s="48" t="s">
        <v>1278</v>
      </c>
      <c r="E36" s="48"/>
      <c r="F36" s="48"/>
      <c r="G36" s="70"/>
      <c r="H36" s="50"/>
      <c r="I36" s="50"/>
      <c r="J36" s="64"/>
      <c r="K36" s="49" t="s">
        <v>80</v>
      </c>
      <c r="L36" s="48"/>
      <c r="M36" s="49" t="s">
        <v>1223</v>
      </c>
    </row>
    <row r="37" customFormat="false" ht="15" hidden="false" customHeight="true" outlineLevel="0" collapsed="false">
      <c r="B37" s="52" t="s">
        <v>1279</v>
      </c>
      <c r="C37" s="55" t="s">
        <v>1280</v>
      </c>
      <c r="D37" s="55" t="s">
        <v>1222</v>
      </c>
      <c r="E37" s="55"/>
      <c r="F37" s="55"/>
      <c r="G37" s="71"/>
      <c r="H37" s="57"/>
      <c r="I37" s="57"/>
      <c r="J37" s="67"/>
      <c r="K37" s="56" t="s">
        <v>80</v>
      </c>
      <c r="L37" s="55"/>
      <c r="M37" s="56" t="s">
        <v>1223</v>
      </c>
    </row>
  </sheetData>
  <autoFilter ref="B11:M37"/>
  <mergeCells count="11">
    <mergeCell ref="B7:M7"/>
    <mergeCell ref="B8:C8"/>
    <mergeCell ref="D8:E8"/>
    <mergeCell ref="F8:G8"/>
    <mergeCell ref="H8:I8"/>
    <mergeCell ref="J8:K8"/>
    <mergeCell ref="B9:C9"/>
    <mergeCell ref="D9:E9"/>
    <mergeCell ref="F9:G9"/>
    <mergeCell ref="H9:I9"/>
    <mergeCell ref="J9:K9"/>
  </mergeCells>
  <conditionalFormatting sqref="M12:M37">
    <cfRule type="cellIs" priority="2" operator="equal" aboveAverage="0" equalAverage="0" bottom="0" percent="0" rank="0" text="" dxfId="0">
      <formula>"Competency verified"</formula>
    </cfRule>
    <cfRule type="cellIs" priority="3" operator="equal" aboveAverage="0" equalAverage="0" bottom="0" percent="0" rank="0" text="" dxfId="0">
      <formula>"Delivered"</formula>
    </cfRule>
    <cfRule type="cellIs" priority="4" operator="equal" aboveAverage="0" equalAverage="0" bottom="0" percent="0" rank="0" text="" dxfId="11">
      <formula>"Scheduled"</formula>
    </cfRule>
    <cfRule type="cellIs" priority="5" operator="equal" aboveAverage="0" equalAverage="0" bottom="0" percent="0" rank="0" text="" dxfId="12">
      <formula>"Planned"</formula>
    </cfRule>
    <cfRule type="cellIs" priority="6" operator="equal" aboveAverage="0" equalAverage="0" bottom="0" percent="0" rank="0" text="" dxfId="1">
      <formula>"Deferred"</formula>
    </cfRule>
    <cfRule type="cellIs" priority="7" operator="equal" aboveAverage="0" equalAverage="0" bottom="0" percent="0" rank="0" text="" dxfId="1">
      <formula>"Cancelled"</formula>
    </cfRule>
  </conditionalFormatting>
  <conditionalFormatting sqref="K12:K37">
    <cfRule type="cellIs" priority="8" operator="equal" aboveAverage="0" equalAverage="0" bottom="0" percent="0" rank="0" text="" dxfId="0">
      <formula>"Yes"</formula>
    </cfRule>
    <cfRule type="cellIs" priority="9" operator="equal" aboveAverage="0" equalAverage="0" bottom="0" percent="0" rank="0" text="" dxfId="1">
      <formula>"No"</formula>
    </cfRule>
    <cfRule type="cellIs" priority="10" operator="equal" aboveAverage="0" equalAverage="0" bottom="0" percent="0" rank="0" text="" dxfId="12">
      <formula>"N/A"</formula>
    </cfRule>
  </conditionalFormatting>
  <dataValidations count="2">
    <dataValidation allowBlank="true" errorStyle="stop" operator="between" showDropDown="false" showErrorMessage="false" showInputMessage="false" sqref="K12:K37" type="list">
      <formula1>Lists!$G$9:$G$11</formula1>
      <formula2>0</formula2>
    </dataValidation>
    <dataValidation allowBlank="true" errorStyle="stop" operator="between" showDropDown="false" showErrorMessage="false" showInputMessage="false" sqref="M12:M37" type="list">
      <formula1>Lists!$K$9:$K$14</formula1>
      <formula2>0</formula2>
    </dataValidation>
  </dataValidations>
  <printOptions headings="false" gridLines="false" gridLinesSet="true" horizontalCentered="true" verticalCentered="false"/>
  <pageMargins left="0.4" right="0.4" top="0.5" bottom="0.5" header="0.511811023622047" footer="0.5"/>
  <pageSetup paperSize="8" scale="100" fitToWidth="1" fitToHeight="0" pageOrder="downThenOver" orientation="landscape" blackAndWhite="false" draft="false" cellComments="none" horizontalDpi="300" verticalDpi="300" copies="1"/>
  <headerFooter differentFirst="false" differentOddEven="false">
    <oddHeader/>
    <oddFooter>&amp;L&amp;8 &amp;K8e98a2Template by Mastt  ·  mastt.com&amp;R&amp;8 &amp;K8e98a2Page &amp;P of &amp;N</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A1:K4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11" topLeftCell="C12" activePane="bottomRight" state="frozen"/>
      <selection pane="topLeft" activeCell="A1" activeCellId="0" sqref="A1"/>
      <selection pane="topRight" activeCell="C1" activeCellId="0" sqref="C1"/>
      <selection pane="bottomLeft" activeCell="A12" activeCellId="0" sqref="A12"/>
      <selection pane="bottomRight" activeCell="A1" activeCellId="0" sqref="A1"/>
    </sheetView>
  </sheetViews>
  <sheetFormatPr defaultColWidth="8.6796875" defaultRowHeight="15" zeroHeight="false" outlineLevelRow="0" outlineLevelCol="0"/>
  <cols>
    <col collapsed="false" customWidth="true" hidden="false" outlineLevel="0" max="1" min="1" style="1" width="2.5"/>
    <col collapsed="false" customWidth="true" hidden="false" outlineLevel="0" max="2" min="2" style="1" width="40"/>
    <col collapsed="false" customWidth="true" hidden="false" outlineLevel="0" max="3" min="3" style="1" width="26"/>
    <col collapsed="false" customWidth="true" hidden="false" outlineLevel="0" max="4" min="4" style="1" width="28"/>
    <col collapsed="false" customWidth="true" hidden="false" outlineLevel="0" max="5" min="5" style="1" width="14"/>
    <col collapsed="false" customWidth="true" hidden="false" outlineLevel="0" max="6" min="6" style="1" width="13"/>
    <col collapsed="false" customWidth="true" hidden="false" outlineLevel="0" max="7" min="7" style="1" width="14"/>
    <col collapsed="false" customWidth="true" hidden="false" outlineLevel="0" max="8" min="8" style="1" width="16"/>
    <col collapsed="false" customWidth="true" hidden="false" outlineLevel="0" max="9" min="9" style="1" width="34"/>
    <col collapsed="false" customWidth="true" hidden="false" outlineLevel="0" max="10" min="10" style="1" width="24"/>
    <col collapsed="false" customWidth="true" hidden="false" outlineLevel="0" max="11" min="11" style="1" width="20"/>
  </cols>
  <sheetData>
    <row r="1" customFormat="false" ht="9.75" hidden="false" customHeight="true" outlineLevel="0" collapsed="false">
      <c r="A1" s="2"/>
      <c r="B1" s="2"/>
      <c r="C1" s="2"/>
      <c r="D1" s="2"/>
      <c r="E1" s="2"/>
      <c r="F1" s="2"/>
      <c r="G1" s="2"/>
      <c r="H1" s="2"/>
      <c r="I1" s="2"/>
      <c r="J1" s="2"/>
      <c r="K1" s="2"/>
    </row>
    <row r="2" customFormat="false" ht="33.75" hidden="false" customHeight="true" outlineLevel="0" collapsed="false">
      <c r="A2" s="2"/>
      <c r="B2" s="2"/>
      <c r="C2" s="2"/>
      <c r="D2" s="2"/>
      <c r="E2" s="2"/>
      <c r="F2" s="2"/>
      <c r="G2" s="2"/>
      <c r="H2" s="2"/>
      <c r="I2" s="2"/>
      <c r="J2" s="2"/>
      <c r="K2" s="2"/>
    </row>
    <row r="3" customFormat="false" ht="7.5" hidden="false" customHeight="true" outlineLevel="0" collapsed="false">
      <c r="A3" s="2"/>
      <c r="B3" s="2"/>
      <c r="C3" s="2"/>
      <c r="D3" s="2"/>
      <c r="E3" s="2"/>
      <c r="F3" s="2"/>
      <c r="G3" s="2"/>
      <c r="H3" s="2"/>
      <c r="I3" s="2"/>
      <c r="J3" s="2"/>
      <c r="K3" s="2"/>
    </row>
    <row r="4" customFormat="false" ht="30" hidden="false" customHeight="true" outlineLevel="0" collapsed="false">
      <c r="A4" s="2"/>
      <c r="B4" s="3" t="s">
        <v>1281</v>
      </c>
      <c r="C4" s="2"/>
      <c r="D4" s="2"/>
      <c r="E4" s="2"/>
      <c r="F4" s="2"/>
      <c r="G4" s="2"/>
      <c r="H4" s="2"/>
      <c r="I4" s="2"/>
      <c r="J4" s="2"/>
      <c r="K4" s="2"/>
    </row>
    <row r="5" customFormat="false" ht="21.75" hidden="false" customHeight="true" outlineLevel="0" collapsed="false">
      <c r="A5" s="2"/>
      <c r="B5" s="4" t="s">
        <v>1</v>
      </c>
      <c r="C5" s="2"/>
      <c r="D5" s="2"/>
      <c r="E5" s="2"/>
      <c r="F5" s="2"/>
      <c r="G5" s="2"/>
      <c r="H5" s="2"/>
      <c r="I5" s="2"/>
      <c r="J5" s="2"/>
      <c r="K5" s="2"/>
    </row>
    <row r="6" customFormat="false" ht="7.5" hidden="false" customHeight="true" outlineLevel="0" collapsed="false"/>
    <row r="7" customFormat="false" ht="30" hidden="false" customHeight="true" outlineLevel="0" collapsed="false">
      <c r="B7" s="23" t="s">
        <v>1282</v>
      </c>
      <c r="C7" s="23"/>
      <c r="D7" s="23"/>
      <c r="E7" s="23"/>
      <c r="F7" s="23"/>
      <c r="G7" s="23"/>
      <c r="H7" s="23"/>
      <c r="I7" s="23"/>
      <c r="J7" s="23"/>
      <c r="K7" s="23"/>
    </row>
    <row r="8" customFormat="false" ht="15.75" hidden="false" customHeight="true" outlineLevel="0" collapsed="false">
      <c r="B8" s="59" t="s">
        <v>1283</v>
      </c>
      <c r="C8" s="59"/>
      <c r="D8" s="59" t="s">
        <v>1284</v>
      </c>
      <c r="E8" s="59"/>
      <c r="F8" s="59" t="s">
        <v>1285</v>
      </c>
      <c r="G8" s="59"/>
      <c r="H8" s="59" t="s">
        <v>1286</v>
      </c>
      <c r="I8" s="59"/>
      <c r="J8" s="59" t="s">
        <v>1287</v>
      </c>
      <c r="K8" s="59"/>
    </row>
    <row r="9" customFormat="false" ht="25.5" hidden="false" customHeight="true" outlineLevel="0" collapsed="false">
      <c r="B9" s="60" t="n">
        <f aca="false">COUNTA('Warranty &amp; Defects Schedule'!$B$12:$B$41)</f>
        <v>30</v>
      </c>
      <c r="C9" s="60"/>
      <c r="D9" s="60" t="n">
        <f aca="false">COUNTIF('Warranty &amp; Defects Schedule'!$H$12:$H$41,"Active")</f>
        <v>0</v>
      </c>
      <c r="E9" s="60"/>
      <c r="F9" s="60" t="n">
        <f aca="false">COUNTIF('Warranty &amp; Defects Schedule'!$H$12:$H$41,"Expiring soon")</f>
        <v>0</v>
      </c>
      <c r="G9" s="60"/>
      <c r="H9" s="60" t="n">
        <f aca="false">COUNTIF('Warranty &amp; Defects Schedule'!$H$12:$H$41,"Expired")</f>
        <v>0</v>
      </c>
      <c r="I9" s="60"/>
      <c r="J9" s="60" t="n">
        <f aca="false">COUNT('Warranty &amp; Defects Schedule'!$E$12:$E$41)</f>
        <v>0</v>
      </c>
      <c r="K9" s="60"/>
    </row>
    <row r="11" customFormat="false" ht="43.5" hidden="false" customHeight="true" outlineLevel="0" collapsed="false">
      <c r="B11" s="9" t="s">
        <v>1288</v>
      </c>
      <c r="C11" s="9" t="s">
        <v>1289</v>
      </c>
      <c r="D11" s="9" t="s">
        <v>1290</v>
      </c>
      <c r="E11" s="9" t="s">
        <v>1291</v>
      </c>
      <c r="F11" s="9" t="s">
        <v>1292</v>
      </c>
      <c r="G11" s="9" t="s">
        <v>1293</v>
      </c>
      <c r="H11" s="9" t="s">
        <v>72</v>
      </c>
      <c r="I11" s="9" t="s">
        <v>1294</v>
      </c>
      <c r="J11" s="9" t="s">
        <v>1295</v>
      </c>
      <c r="K11" s="9" t="s">
        <v>1296</v>
      </c>
    </row>
    <row r="12" customFormat="false" ht="15" hidden="false" customHeight="true" outlineLevel="0" collapsed="false">
      <c r="B12" s="39" t="s">
        <v>1297</v>
      </c>
      <c r="C12" s="48"/>
      <c r="D12" s="48" t="s">
        <v>1298</v>
      </c>
      <c r="E12" s="50"/>
      <c r="F12" s="64" t="n">
        <v>12</v>
      </c>
      <c r="G12" s="50" t="str">
        <f aca="false">IFERROR(IF(OR($E12="",$F12=""),"",EDATE($E12,$F12)),"")</f>
        <v/>
      </c>
      <c r="H12" s="72" t="str">
        <f aca="true">IF($G12="","",IF($G12&lt;TODAY(),"Expired",IF($G12-TODAY()&lt;=90,"Expiring soon","Active")))</f>
        <v/>
      </c>
      <c r="I12" s="48"/>
      <c r="J12" s="48"/>
      <c r="K12" s="48"/>
    </row>
    <row r="13" customFormat="false" ht="15" hidden="false" customHeight="true" outlineLevel="0" collapsed="false">
      <c r="B13" s="41" t="s">
        <v>1299</v>
      </c>
      <c r="C13" s="55"/>
      <c r="D13" s="55" t="s">
        <v>1298</v>
      </c>
      <c r="E13" s="57"/>
      <c r="F13" s="67" t="n">
        <v>12</v>
      </c>
      <c r="G13" s="57" t="str">
        <f aca="false">IFERROR(IF(OR($E13="",$F13=""),"",EDATE($E13,$F13)),"")</f>
        <v/>
      </c>
      <c r="H13" s="73" t="str">
        <f aca="true">IF($G13="","",IF($G13&lt;TODAY(),"Expired",IF($G13-TODAY()&lt;=90,"Expiring soon","Active")))</f>
        <v/>
      </c>
      <c r="I13" s="55"/>
      <c r="J13" s="55"/>
      <c r="K13" s="55"/>
    </row>
    <row r="14" customFormat="false" ht="15" hidden="false" customHeight="true" outlineLevel="0" collapsed="false">
      <c r="B14" s="39" t="s">
        <v>1300</v>
      </c>
      <c r="C14" s="48"/>
      <c r="D14" s="48" t="s">
        <v>1301</v>
      </c>
      <c r="E14" s="50"/>
      <c r="F14" s="64" t="n">
        <v>120</v>
      </c>
      <c r="G14" s="50" t="str">
        <f aca="false">IFERROR(IF(OR($E14="",$F14=""),"",EDATE($E14,$F14)),"")</f>
        <v/>
      </c>
      <c r="H14" s="72" t="str">
        <f aca="true">IF($G14="","",IF($G14&lt;TODAY(),"Expired",IF($G14-TODAY()&lt;=90,"Expiring soon","Active")))</f>
        <v/>
      </c>
      <c r="I14" s="48"/>
      <c r="J14" s="48"/>
      <c r="K14" s="48"/>
    </row>
    <row r="15" customFormat="false" ht="15" hidden="false" customHeight="true" outlineLevel="0" collapsed="false">
      <c r="B15" s="41" t="s">
        <v>1302</v>
      </c>
      <c r="C15" s="55"/>
      <c r="D15" s="55" t="s">
        <v>1301</v>
      </c>
      <c r="E15" s="57"/>
      <c r="F15" s="67" t="n">
        <v>120</v>
      </c>
      <c r="G15" s="57" t="str">
        <f aca="false">IFERROR(IF(OR($E15="",$F15=""),"",EDATE($E15,$F15)),"")</f>
        <v/>
      </c>
      <c r="H15" s="73" t="str">
        <f aca="true">IF($G15="","",IF($G15&lt;TODAY(),"Expired",IF($G15-TODAY()&lt;=90,"Expiring soon","Active")))</f>
        <v/>
      </c>
      <c r="I15" s="55"/>
      <c r="J15" s="55"/>
      <c r="K15" s="55"/>
    </row>
    <row r="16" customFormat="false" ht="23.25" hidden="false" customHeight="true" outlineLevel="0" collapsed="false">
      <c r="B16" s="39" t="s">
        <v>1303</v>
      </c>
      <c r="C16" s="48"/>
      <c r="D16" s="48" t="s">
        <v>1301</v>
      </c>
      <c r="E16" s="50"/>
      <c r="F16" s="64" t="n">
        <v>120</v>
      </c>
      <c r="G16" s="50" t="str">
        <f aca="false">IFERROR(IF(OR($E16="",$F16=""),"",EDATE($E16,$F16)),"")</f>
        <v/>
      </c>
      <c r="H16" s="72" t="str">
        <f aca="true">IF($G16="","",IF($G16&lt;TODAY(),"Expired",IF($G16-TODAY()&lt;=90,"Expiring soon","Active")))</f>
        <v/>
      </c>
      <c r="I16" s="48"/>
      <c r="J16" s="48"/>
      <c r="K16" s="48"/>
    </row>
    <row r="17" customFormat="false" ht="15" hidden="false" customHeight="true" outlineLevel="0" collapsed="false">
      <c r="B17" s="41" t="s">
        <v>1304</v>
      </c>
      <c r="C17" s="55"/>
      <c r="D17" s="55" t="s">
        <v>1301</v>
      </c>
      <c r="E17" s="57"/>
      <c r="F17" s="67" t="n">
        <v>120</v>
      </c>
      <c r="G17" s="57" t="str">
        <f aca="false">IFERROR(IF(OR($E17="",$F17=""),"",EDATE($E17,$F17)),"")</f>
        <v/>
      </c>
      <c r="H17" s="73" t="str">
        <f aca="true">IF($G17="","",IF($G17&lt;TODAY(),"Expired",IF($G17-TODAY()&lt;=90,"Expiring soon","Active")))</f>
        <v/>
      </c>
      <c r="I17" s="55"/>
      <c r="J17" s="55"/>
      <c r="K17" s="55"/>
    </row>
    <row r="18" customFormat="false" ht="15" hidden="false" customHeight="true" outlineLevel="0" collapsed="false">
      <c r="B18" s="39" t="s">
        <v>1305</v>
      </c>
      <c r="C18" s="48"/>
      <c r="D18" s="48" t="s">
        <v>1306</v>
      </c>
      <c r="E18" s="50"/>
      <c r="F18" s="64" t="n">
        <v>24</v>
      </c>
      <c r="G18" s="50" t="str">
        <f aca="false">IFERROR(IF(OR($E18="",$F18=""),"",EDATE($E18,$F18)),"")</f>
        <v/>
      </c>
      <c r="H18" s="72" t="str">
        <f aca="true">IF($G18="","",IF($G18&lt;TODAY(),"Expired",IF($G18-TODAY()&lt;=90,"Expiring soon","Active")))</f>
        <v/>
      </c>
      <c r="I18" s="48"/>
      <c r="J18" s="48"/>
      <c r="K18" s="48"/>
    </row>
    <row r="19" customFormat="false" ht="15" hidden="false" customHeight="true" outlineLevel="0" collapsed="false">
      <c r="B19" s="41" t="s">
        <v>1307</v>
      </c>
      <c r="C19" s="55"/>
      <c r="D19" s="55" t="s">
        <v>1298</v>
      </c>
      <c r="E19" s="57"/>
      <c r="F19" s="67" t="n">
        <v>12</v>
      </c>
      <c r="G19" s="57" t="str">
        <f aca="false">IFERROR(IF(OR($E19="",$F19=""),"",EDATE($E19,$F19)),"")</f>
        <v/>
      </c>
      <c r="H19" s="73" t="str">
        <f aca="true">IF($G19="","",IF($G19&lt;TODAY(),"Expired",IF($G19-TODAY()&lt;=90,"Expiring soon","Active")))</f>
        <v/>
      </c>
      <c r="I19" s="55"/>
      <c r="J19" s="55"/>
      <c r="K19" s="55"/>
    </row>
    <row r="20" customFormat="false" ht="15" hidden="false" customHeight="true" outlineLevel="0" collapsed="false">
      <c r="B20" s="39" t="s">
        <v>1308</v>
      </c>
      <c r="C20" s="48"/>
      <c r="D20" s="48" t="s">
        <v>1306</v>
      </c>
      <c r="E20" s="50"/>
      <c r="F20" s="64" t="n">
        <v>60</v>
      </c>
      <c r="G20" s="50" t="str">
        <f aca="false">IFERROR(IF(OR($E20="",$F20=""),"",EDATE($E20,$F20)),"")</f>
        <v/>
      </c>
      <c r="H20" s="72" t="str">
        <f aca="true">IF($G20="","",IF($G20&lt;TODAY(),"Expired",IF($G20-TODAY()&lt;=90,"Expiring soon","Active")))</f>
        <v/>
      </c>
      <c r="I20" s="48"/>
      <c r="J20" s="48"/>
      <c r="K20" s="48"/>
    </row>
    <row r="21" customFormat="false" ht="15" hidden="false" customHeight="true" outlineLevel="0" collapsed="false">
      <c r="B21" s="41" t="s">
        <v>1309</v>
      </c>
      <c r="C21" s="55"/>
      <c r="D21" s="55" t="s">
        <v>1306</v>
      </c>
      <c r="E21" s="57"/>
      <c r="F21" s="67" t="n">
        <v>24</v>
      </c>
      <c r="G21" s="57" t="str">
        <f aca="false">IFERROR(IF(OR($E21="",$F21=""),"",EDATE($E21,$F21)),"")</f>
        <v/>
      </c>
      <c r="H21" s="73" t="str">
        <f aca="true">IF($G21="","",IF($G21&lt;TODAY(),"Expired",IF($G21-TODAY()&lt;=90,"Expiring soon","Active")))</f>
        <v/>
      </c>
      <c r="I21" s="55"/>
      <c r="J21" s="55"/>
      <c r="K21" s="55"/>
    </row>
    <row r="22" customFormat="false" ht="15" hidden="false" customHeight="true" outlineLevel="0" collapsed="false">
      <c r="B22" s="39" t="s">
        <v>1310</v>
      </c>
      <c r="C22" s="48"/>
      <c r="D22" s="48" t="s">
        <v>1306</v>
      </c>
      <c r="E22" s="50"/>
      <c r="F22" s="64" t="n">
        <v>24</v>
      </c>
      <c r="G22" s="50" t="str">
        <f aca="false">IFERROR(IF(OR($E22="",$F22=""),"",EDATE($E22,$F22)),"")</f>
        <v/>
      </c>
      <c r="H22" s="72" t="str">
        <f aca="true">IF($G22="","",IF($G22&lt;TODAY(),"Expired",IF($G22-TODAY()&lt;=90,"Expiring soon","Active")))</f>
        <v/>
      </c>
      <c r="I22" s="48"/>
      <c r="J22" s="48"/>
      <c r="K22" s="48"/>
    </row>
    <row r="23" customFormat="false" ht="15" hidden="false" customHeight="true" outlineLevel="0" collapsed="false">
      <c r="B23" s="41" t="s">
        <v>913</v>
      </c>
      <c r="C23" s="55"/>
      <c r="D23" s="55" t="s">
        <v>1306</v>
      </c>
      <c r="E23" s="57"/>
      <c r="F23" s="67" t="n">
        <v>24</v>
      </c>
      <c r="G23" s="57" t="str">
        <f aca="false">IFERROR(IF(OR($E23="",$F23=""),"",EDATE($E23,$F23)),"")</f>
        <v/>
      </c>
      <c r="H23" s="73" t="str">
        <f aca="true">IF($G23="","",IF($G23&lt;TODAY(),"Expired",IF($G23-TODAY()&lt;=90,"Expiring soon","Active")))</f>
        <v/>
      </c>
      <c r="I23" s="55"/>
      <c r="J23" s="55"/>
      <c r="K23" s="55"/>
    </row>
    <row r="24" customFormat="false" ht="15" hidden="false" customHeight="true" outlineLevel="0" collapsed="false">
      <c r="B24" s="39" t="s">
        <v>1311</v>
      </c>
      <c r="C24" s="48"/>
      <c r="D24" s="48" t="s">
        <v>1306</v>
      </c>
      <c r="E24" s="50"/>
      <c r="F24" s="64" t="n">
        <v>24</v>
      </c>
      <c r="G24" s="50" t="str">
        <f aca="false">IFERROR(IF(OR($E24="",$F24=""),"",EDATE($E24,$F24)),"")</f>
        <v/>
      </c>
      <c r="H24" s="72" t="str">
        <f aca="true">IF($G24="","",IF($G24&lt;TODAY(),"Expired",IF($G24-TODAY()&lt;=90,"Expiring soon","Active")))</f>
        <v/>
      </c>
      <c r="I24" s="48"/>
      <c r="J24" s="48"/>
      <c r="K24" s="48"/>
    </row>
    <row r="25" customFormat="false" ht="15" hidden="false" customHeight="true" outlineLevel="0" collapsed="false">
      <c r="B25" s="41" t="s">
        <v>915</v>
      </c>
      <c r="C25" s="55"/>
      <c r="D25" s="55" t="s">
        <v>1298</v>
      </c>
      <c r="E25" s="57"/>
      <c r="F25" s="67" t="n">
        <v>12</v>
      </c>
      <c r="G25" s="57" t="str">
        <f aca="false">IFERROR(IF(OR($E25="",$F25=""),"",EDATE($E25,$F25)),"")</f>
        <v/>
      </c>
      <c r="H25" s="73" t="str">
        <f aca="true">IF($G25="","",IF($G25&lt;TODAY(),"Expired",IF($G25-TODAY()&lt;=90,"Expiring soon","Active")))</f>
        <v/>
      </c>
      <c r="I25" s="55"/>
      <c r="J25" s="55"/>
      <c r="K25" s="55"/>
    </row>
    <row r="26" customFormat="false" ht="15" hidden="false" customHeight="true" outlineLevel="0" collapsed="false">
      <c r="B26" s="39" t="s">
        <v>1312</v>
      </c>
      <c r="C26" s="48"/>
      <c r="D26" s="48" t="s">
        <v>1306</v>
      </c>
      <c r="E26" s="50"/>
      <c r="F26" s="64" t="n">
        <v>24</v>
      </c>
      <c r="G26" s="50" t="str">
        <f aca="false">IFERROR(IF(OR($E26="",$F26=""),"",EDATE($E26,$F26)),"")</f>
        <v/>
      </c>
      <c r="H26" s="72" t="str">
        <f aca="true">IF($G26="","",IF($G26&lt;TODAY(),"Expired",IF($G26-TODAY()&lt;=90,"Expiring soon","Active")))</f>
        <v/>
      </c>
      <c r="I26" s="48"/>
      <c r="J26" s="48"/>
      <c r="K26" s="48"/>
    </row>
    <row r="27" customFormat="false" ht="15" hidden="false" customHeight="true" outlineLevel="0" collapsed="false">
      <c r="B27" s="41" t="s">
        <v>1313</v>
      </c>
      <c r="C27" s="55"/>
      <c r="D27" s="55" t="s">
        <v>1306</v>
      </c>
      <c r="E27" s="57"/>
      <c r="F27" s="67" t="n">
        <v>24</v>
      </c>
      <c r="G27" s="57" t="str">
        <f aca="false">IFERROR(IF(OR($E27="",$F27=""),"",EDATE($E27,$F27)),"")</f>
        <v/>
      </c>
      <c r="H27" s="73" t="str">
        <f aca="true">IF($G27="","",IF($G27&lt;TODAY(),"Expired",IF($G27-TODAY()&lt;=90,"Expiring soon","Active")))</f>
        <v/>
      </c>
      <c r="I27" s="55"/>
      <c r="J27" s="55"/>
      <c r="K27" s="55"/>
    </row>
    <row r="28" customFormat="false" ht="15" hidden="false" customHeight="true" outlineLevel="0" collapsed="false">
      <c r="B28" s="39" t="s">
        <v>1314</v>
      </c>
      <c r="C28" s="48"/>
      <c r="D28" s="48" t="s">
        <v>1306</v>
      </c>
      <c r="E28" s="50"/>
      <c r="F28" s="64" t="n">
        <v>24</v>
      </c>
      <c r="G28" s="50" t="str">
        <f aca="false">IFERROR(IF(OR($E28="",$F28=""),"",EDATE($E28,$F28)),"")</f>
        <v/>
      </c>
      <c r="H28" s="72" t="str">
        <f aca="true">IF($G28="","",IF($G28&lt;TODAY(),"Expired",IF($G28-TODAY()&lt;=90,"Expiring soon","Active")))</f>
        <v/>
      </c>
      <c r="I28" s="48"/>
      <c r="J28" s="48"/>
      <c r="K28" s="48"/>
    </row>
    <row r="29" customFormat="false" ht="15" hidden="false" customHeight="true" outlineLevel="0" collapsed="false">
      <c r="B29" s="41" t="s">
        <v>1315</v>
      </c>
      <c r="C29" s="55"/>
      <c r="D29" s="55" t="s">
        <v>1306</v>
      </c>
      <c r="E29" s="57"/>
      <c r="F29" s="67" t="n">
        <v>60</v>
      </c>
      <c r="G29" s="57" t="str">
        <f aca="false">IFERROR(IF(OR($E29="",$F29=""),"",EDATE($E29,$F29)),"")</f>
        <v/>
      </c>
      <c r="H29" s="73" t="str">
        <f aca="true">IF($G29="","",IF($G29&lt;TODAY(),"Expired",IF($G29-TODAY()&lt;=90,"Expiring soon","Active")))</f>
        <v/>
      </c>
      <c r="I29" s="55"/>
      <c r="J29" s="55"/>
      <c r="K29" s="55"/>
    </row>
    <row r="30" customFormat="false" ht="23.25" hidden="false" customHeight="true" outlineLevel="0" collapsed="false">
      <c r="B30" s="39" t="s">
        <v>1316</v>
      </c>
      <c r="C30" s="48"/>
      <c r="D30" s="48" t="s">
        <v>1306</v>
      </c>
      <c r="E30" s="50"/>
      <c r="F30" s="64" t="n">
        <v>120</v>
      </c>
      <c r="G30" s="50" t="str">
        <f aca="false">IFERROR(IF(OR($E30="",$F30=""),"",EDATE($E30,$F30)),"")</f>
        <v/>
      </c>
      <c r="H30" s="72" t="str">
        <f aca="true">IF($G30="","",IF($G30&lt;TODAY(),"Expired",IF($G30-TODAY()&lt;=90,"Expiring soon","Active")))</f>
        <v/>
      </c>
      <c r="I30" s="48"/>
      <c r="J30" s="48"/>
      <c r="K30" s="48"/>
    </row>
    <row r="31" customFormat="false" ht="15" hidden="false" customHeight="true" outlineLevel="0" collapsed="false">
      <c r="B31" s="41" t="s">
        <v>1317</v>
      </c>
      <c r="C31" s="55"/>
      <c r="D31" s="55" t="s">
        <v>1306</v>
      </c>
      <c r="E31" s="57"/>
      <c r="F31" s="67" t="n">
        <v>24</v>
      </c>
      <c r="G31" s="57" t="str">
        <f aca="false">IFERROR(IF(OR($E31="",$F31=""),"",EDATE($E31,$F31)),"")</f>
        <v/>
      </c>
      <c r="H31" s="73" t="str">
        <f aca="true">IF($G31="","",IF($G31&lt;TODAY(),"Expired",IF($G31-TODAY()&lt;=90,"Expiring soon","Active")))</f>
        <v/>
      </c>
      <c r="I31" s="55"/>
      <c r="J31" s="55"/>
      <c r="K31" s="55"/>
    </row>
    <row r="32" customFormat="false" ht="15" hidden="false" customHeight="true" outlineLevel="0" collapsed="false">
      <c r="B32" s="39" t="s">
        <v>1318</v>
      </c>
      <c r="C32" s="48"/>
      <c r="D32" s="48" t="s">
        <v>1306</v>
      </c>
      <c r="E32" s="50"/>
      <c r="F32" s="64" t="n">
        <v>24</v>
      </c>
      <c r="G32" s="50" t="str">
        <f aca="false">IFERROR(IF(OR($E32="",$F32=""),"",EDATE($E32,$F32)),"")</f>
        <v/>
      </c>
      <c r="H32" s="72" t="str">
        <f aca="true">IF($G32="","",IF($G32&lt;TODAY(),"Expired",IF($G32-TODAY()&lt;=90,"Expiring soon","Active")))</f>
        <v/>
      </c>
      <c r="I32" s="48"/>
      <c r="J32" s="48"/>
      <c r="K32" s="48"/>
    </row>
    <row r="33" customFormat="false" ht="15" hidden="false" customHeight="true" outlineLevel="0" collapsed="false">
      <c r="B33" s="41" t="s">
        <v>1319</v>
      </c>
      <c r="C33" s="55"/>
      <c r="D33" s="55" t="s">
        <v>1306</v>
      </c>
      <c r="E33" s="57"/>
      <c r="F33" s="67" t="n">
        <v>12</v>
      </c>
      <c r="G33" s="57" t="str">
        <f aca="false">IFERROR(IF(OR($E33="",$F33=""),"",EDATE($E33,$F33)),"")</f>
        <v/>
      </c>
      <c r="H33" s="73" t="str">
        <f aca="true">IF($G33="","",IF($G33&lt;TODAY(),"Expired",IF($G33-TODAY()&lt;=90,"Expiring soon","Active")))</f>
        <v/>
      </c>
      <c r="I33" s="55"/>
      <c r="J33" s="55"/>
      <c r="K33" s="55"/>
    </row>
    <row r="34" customFormat="false" ht="15" hidden="false" customHeight="true" outlineLevel="0" collapsed="false">
      <c r="B34" s="39" t="s">
        <v>1320</v>
      </c>
      <c r="C34" s="48"/>
      <c r="D34" s="48" t="s">
        <v>1306</v>
      </c>
      <c r="E34" s="50"/>
      <c r="F34" s="64" t="n">
        <v>12</v>
      </c>
      <c r="G34" s="50" t="str">
        <f aca="false">IFERROR(IF(OR($E34="",$F34=""),"",EDATE($E34,$F34)),"")</f>
        <v/>
      </c>
      <c r="H34" s="72" t="str">
        <f aca="true">IF($G34="","",IF($G34&lt;TODAY(),"Expired",IF($G34-TODAY()&lt;=90,"Expiring soon","Active")))</f>
        <v/>
      </c>
      <c r="I34" s="48"/>
      <c r="J34" s="48"/>
      <c r="K34" s="48"/>
    </row>
    <row r="35" customFormat="false" ht="15" hidden="false" customHeight="true" outlineLevel="0" collapsed="false">
      <c r="B35" s="41" t="s">
        <v>1321</v>
      </c>
      <c r="C35" s="55"/>
      <c r="D35" s="55" t="s">
        <v>1306</v>
      </c>
      <c r="E35" s="57"/>
      <c r="F35" s="67" t="n">
        <v>24</v>
      </c>
      <c r="G35" s="57" t="str">
        <f aca="false">IFERROR(IF(OR($E35="",$F35=""),"",EDATE($E35,$F35)),"")</f>
        <v/>
      </c>
      <c r="H35" s="73" t="str">
        <f aca="true">IF($G35="","",IF($G35&lt;TODAY(),"Expired",IF($G35-TODAY()&lt;=90,"Expiring soon","Active")))</f>
        <v/>
      </c>
      <c r="I35" s="55"/>
      <c r="J35" s="55"/>
      <c r="K35" s="55"/>
    </row>
    <row r="36" customFormat="false" ht="15" hidden="false" customHeight="true" outlineLevel="0" collapsed="false">
      <c r="B36" s="39" t="s">
        <v>1322</v>
      </c>
      <c r="C36" s="48"/>
      <c r="D36" s="48" t="s">
        <v>1306</v>
      </c>
      <c r="E36" s="50"/>
      <c r="F36" s="64" t="n">
        <v>24</v>
      </c>
      <c r="G36" s="50" t="str">
        <f aca="false">IFERROR(IF(OR($E36="",$F36=""),"",EDATE($E36,$F36)),"")</f>
        <v/>
      </c>
      <c r="H36" s="72" t="str">
        <f aca="true">IF($G36="","",IF($G36&lt;TODAY(),"Expired",IF($G36-TODAY()&lt;=90,"Expiring soon","Active")))</f>
        <v/>
      </c>
      <c r="I36" s="48"/>
      <c r="J36" s="48"/>
      <c r="K36" s="48"/>
    </row>
    <row r="37" customFormat="false" ht="15" hidden="false" customHeight="true" outlineLevel="0" collapsed="false">
      <c r="B37" s="41" t="s">
        <v>1323</v>
      </c>
      <c r="C37" s="55"/>
      <c r="D37" s="55" t="s">
        <v>1306</v>
      </c>
      <c r="E37" s="57"/>
      <c r="F37" s="67" t="n">
        <v>24</v>
      </c>
      <c r="G37" s="57" t="str">
        <f aca="false">IFERROR(IF(OR($E37="",$F37=""),"",EDATE($E37,$F37)),"")</f>
        <v/>
      </c>
      <c r="H37" s="73" t="str">
        <f aca="true">IF($G37="","",IF($G37&lt;TODAY(),"Expired",IF($G37-TODAY()&lt;=90,"Expiring soon","Active")))</f>
        <v/>
      </c>
      <c r="I37" s="55"/>
      <c r="J37" s="55"/>
      <c r="K37" s="55"/>
    </row>
    <row r="38" customFormat="false" ht="15" hidden="false" customHeight="true" outlineLevel="0" collapsed="false">
      <c r="B38" s="39" t="s">
        <v>1324</v>
      </c>
      <c r="C38" s="48"/>
      <c r="D38" s="48" t="s">
        <v>1301</v>
      </c>
      <c r="E38" s="50"/>
      <c r="F38" s="64" t="n">
        <v>300</v>
      </c>
      <c r="G38" s="50" t="str">
        <f aca="false">IFERROR(IF(OR($E38="",$F38=""),"",EDATE($E38,$F38)),"")</f>
        <v/>
      </c>
      <c r="H38" s="72" t="str">
        <f aca="true">IF($G38="","",IF($G38&lt;TODAY(),"Expired",IF($G38-TODAY()&lt;=90,"Expiring soon","Active")))</f>
        <v/>
      </c>
      <c r="I38" s="48"/>
      <c r="J38" s="48"/>
      <c r="K38" s="48"/>
    </row>
    <row r="39" customFormat="false" ht="15" hidden="false" customHeight="true" outlineLevel="0" collapsed="false">
      <c r="B39" s="41" t="s">
        <v>1325</v>
      </c>
      <c r="C39" s="55"/>
      <c r="D39" s="55" t="s">
        <v>1306</v>
      </c>
      <c r="E39" s="57"/>
      <c r="F39" s="67" t="n">
        <v>24</v>
      </c>
      <c r="G39" s="57" t="str">
        <f aca="false">IFERROR(IF(OR($E39="",$F39=""),"",EDATE($E39,$F39)),"")</f>
        <v/>
      </c>
      <c r="H39" s="73" t="str">
        <f aca="true">IF($G39="","",IF($G39&lt;TODAY(),"Expired",IF($G39-TODAY()&lt;=90,"Expiring soon","Active")))</f>
        <v/>
      </c>
      <c r="I39" s="55"/>
      <c r="J39" s="55"/>
      <c r="K39" s="55"/>
    </row>
    <row r="40" customFormat="false" ht="23.25" hidden="false" customHeight="true" outlineLevel="0" collapsed="false">
      <c r="B40" s="39" t="s">
        <v>1326</v>
      </c>
      <c r="C40" s="48"/>
      <c r="D40" s="48" t="s">
        <v>1298</v>
      </c>
      <c r="E40" s="50"/>
      <c r="F40" s="64" t="n">
        <v>24</v>
      </c>
      <c r="G40" s="50" t="str">
        <f aca="false">IFERROR(IF(OR($E40="",$F40=""),"",EDATE($E40,$F40)),"")</f>
        <v/>
      </c>
      <c r="H40" s="72" t="str">
        <f aca="true">IF($G40="","",IF($G40&lt;TODAY(),"Expired",IF($G40-TODAY()&lt;=90,"Expiring soon","Active")))</f>
        <v/>
      </c>
      <c r="I40" s="48"/>
      <c r="J40" s="48"/>
      <c r="K40" s="48"/>
    </row>
    <row r="41" customFormat="false" ht="15" hidden="false" customHeight="true" outlineLevel="0" collapsed="false">
      <c r="B41" s="41" t="s">
        <v>1327</v>
      </c>
      <c r="C41" s="55"/>
      <c r="D41" s="55" t="s">
        <v>1328</v>
      </c>
      <c r="E41" s="57"/>
      <c r="F41" s="67" t="n">
        <v>120</v>
      </c>
      <c r="G41" s="57" t="str">
        <f aca="false">IFERROR(IF(OR($E41="",$F41=""),"",EDATE($E41,$F41)),"")</f>
        <v/>
      </c>
      <c r="H41" s="73" t="str">
        <f aca="true">IF($G41="","",IF($G41&lt;TODAY(),"Expired",IF($G41-TODAY()&lt;=90,"Expiring soon","Active")))</f>
        <v/>
      </c>
      <c r="I41" s="55"/>
      <c r="J41" s="55"/>
      <c r="K41" s="55"/>
    </row>
  </sheetData>
  <autoFilter ref="B11:K41"/>
  <mergeCells count="11">
    <mergeCell ref="B7:K7"/>
    <mergeCell ref="B8:C8"/>
    <mergeCell ref="D8:E8"/>
    <mergeCell ref="F8:G8"/>
    <mergeCell ref="H8:I8"/>
    <mergeCell ref="J8:K8"/>
    <mergeCell ref="B9:C9"/>
    <mergeCell ref="D9:E9"/>
    <mergeCell ref="F9:G9"/>
    <mergeCell ref="H9:I9"/>
    <mergeCell ref="J9:K9"/>
  </mergeCells>
  <conditionalFormatting sqref="H12:H41">
    <cfRule type="cellIs" priority="2" operator="equal" aboveAverage="0" equalAverage="0" bottom="0" percent="0" rank="0" text="" dxfId="0">
      <formula>"Active"</formula>
    </cfRule>
    <cfRule type="cellIs" priority="3" operator="equal" aboveAverage="0" equalAverage="0" bottom="0" percent="0" rank="0" text="" dxfId="11">
      <formula>"Expiring soon"</formula>
    </cfRule>
    <cfRule type="cellIs" priority="4" operator="equal" aboveAverage="0" equalAverage="0" bottom="0" percent="0" rank="0" text="" dxfId="1">
      <formula>"Expired"</formula>
    </cfRule>
  </conditionalFormatting>
  <conditionalFormatting sqref="G12:G41">
    <cfRule type="expression" priority="5" aboveAverage="0" equalAverage="0" bottom="0" percent="0" rank="0" text="" dxfId="15">
      <formula>AND(ISNUMBER($G12),$G12-TODAY()&lt;=90,$G12&gt;=TODAY())</formula>
    </cfRule>
    <cfRule type="expression" priority="6" aboveAverage="0" equalAverage="0" bottom="0" percent="0" rank="0" text="" dxfId="13">
      <formula>AND(ISNUMBER($G12),$G12&lt;TODAY())</formula>
    </cfRule>
  </conditionalFormatting>
  <dataValidations count="1">
    <dataValidation allowBlank="true" errorStyle="stop" operator="between" showDropDown="false" showErrorMessage="false" showInputMessage="false" sqref="D12:D41" type="list">
      <formula1>Lists!$L$9:$L$14</formula1>
      <formula2>0</formula2>
    </dataValidation>
  </dataValidations>
  <printOptions headings="false" gridLines="false" gridLinesSet="true" horizontalCentered="true" verticalCentered="false"/>
  <pageMargins left="0.4" right="0.4" top="0.5" bottom="0.5" header="0.511811023622047" footer="0.5"/>
  <pageSetup paperSize="8" scale="100" fitToWidth="1" fitToHeight="0" pageOrder="downThenOver" orientation="landscape" blackAndWhite="false" draft="false" cellComments="none" horizontalDpi="300" verticalDpi="300" copies="1"/>
  <headerFooter differentFirst="false" differentOddEven="false">
    <oddHeader/>
    <oddFooter>&amp;L&amp;8 &amp;K8e98a2Template by Mastt  ·  mastt.com&amp;R&amp;8 &amp;K8e98a2Page &amp;P of &amp;N</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category>Project Management Template</cp:category>
  <dcterms:created xsi:type="dcterms:W3CDTF">2026-08-13T04:03:56Z</dcterms:created>
  <dc:creator>Mastt</dc:creator>
  <dc:description>Mastt template. General guidance only - not legal, financial or professional advice. Adapt to your contract, jurisdiction and organisational policies.</dc:description>
  <cp:keywords>Mastt construction project management template capital works</cp:keywords>
  <dc:language>en-US</dc:language>
  <cp:lastModifiedBy>Mastt</cp:lastModifiedBy>
  <dcterms:modified xsi:type="dcterms:W3CDTF">2026-08-13T05:29:11Z</dcterms:modified>
  <cp:revision>0</cp:revision>
  <dc:subject>Capital project delivery template</dc:subject>
  <dc:title>Construction Project Handover Checklist (Global)</dc:title>
</cp:coreProperties>
</file>

<file path=docProps/custom.xml><?xml version="1.0" encoding="utf-8"?>
<Properties xmlns="http://schemas.openxmlformats.org/officeDocument/2006/custom-properties" xmlns:vt="http://schemas.openxmlformats.org/officeDocument/2006/docPropsVTypes"/>
</file>