
<file path=[Content_Types].xml><?xml version="1.0" encoding="utf-8"?>
<Types xmlns="http://schemas.openxmlformats.org/package/2006/content-types">
  <Default Extension="xml" ContentType="application/xml"/>
  <Default Extension="rels" ContentType="application/vnd.openxmlformats-package.relationships+xml"/>
  <Default Extension="png" ContentType="image/png"/>
  <Default Extension="jpeg" ContentType="image/jpeg"/>
  <Override PartName="/xl/workbook.xml" ContentType="application/vnd.openxmlformats-officedocument.spreadsheetml.sheet.main+xml"/>
  <Override PartName="/xl/theme/theme1.xml" ContentType="application/vnd.openxmlformats-officedocument.theme+xml"/>
  <Override PartName="/xl/styles.xml" ContentType="application/vnd.openxmlformats-officedocument.spreadsheetml.styles+xml"/>
  <Override PartName="/xl/worksheets/sheet1.xml" ContentType="application/vnd.openxmlformats-officedocument.spreadsheetml.worksheet+xml"/>
  <Override PartName="/xl/worksheets/sheet12.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_rels/sheet11.xml.rels" ContentType="application/vnd.openxmlformats-package.relationships+xml"/>
  <Override PartName="/xl/worksheets/_rels/sheet5.xml.rels" ContentType="application/vnd.openxmlformats-package.relationships+xml"/>
  <Override PartName="/xl/worksheets/_rels/sheet10.xml.rels" ContentType="application/vnd.openxmlformats-package.relationships+xml"/>
  <Override PartName="/xl/worksheets/_rels/sheet4.xml.rels" ContentType="application/vnd.openxmlformats-package.relationships+xml"/>
  <Override PartName="/xl/worksheets/_rels/sheet9.xml.rels" ContentType="application/vnd.openxmlformats-package.relationships+xml"/>
  <Override PartName="/xl/worksheets/_rels/sheet8.xml.rels" ContentType="application/vnd.openxmlformats-package.relationships+xml"/>
  <Override PartName="/xl/worksheets/_rels/sheet7.xml.rels" ContentType="application/vnd.openxmlformats-package.relationships+xml"/>
  <Override PartName="/xl/worksheets/_rels/sheet6.xml.rels" ContentType="application/vnd.openxmlformats-package.relationships+xml"/>
  <Override PartName="/xl/worksheets/_rels/sheet12.xml.rels" ContentType="application/vnd.openxmlformats-package.relationships+xml"/>
  <Override PartName="/xl/worksheets/_rels/sheet3.xml.rels" ContentType="application/vnd.openxmlformats-package.relationships+xml"/>
  <Override PartName="/xl/worksheets/_rels/sheet2.xml.rels" ContentType="application/vnd.openxmlformats-package.relationships+xml"/>
  <Override PartName="/xl/worksheets/_rels/sheet1.xml.rels" ContentType="application/vnd.openxmlformats-package.relationships+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_rels/drawing9.xml.rels" ContentType="application/vnd.openxmlformats-package.relationships+xml"/>
  <Override PartName="/xl/drawings/_rels/drawing12.xml.rels" ContentType="application/vnd.openxmlformats-package.relationships+xml"/>
  <Override PartName="/xl/drawings/_rels/drawing7.xml.rels" ContentType="application/vnd.openxmlformats-package.relationships+xml"/>
  <Override PartName="/xl/drawings/_rels/drawing8.xml.rels" ContentType="application/vnd.openxmlformats-package.relationships+xml"/>
  <Override PartName="/xl/drawings/_rels/drawing11.xml.rels" ContentType="application/vnd.openxmlformats-package.relationships+xml"/>
  <Override PartName="/xl/drawings/_rels/drawing6.xml.rels" ContentType="application/vnd.openxmlformats-package.relationships+xml"/>
  <Override PartName="/xl/drawings/_rels/drawing10.xml.rels" ContentType="application/vnd.openxmlformats-package.relationships+xml"/>
  <Override PartName="/xl/drawings/_rels/drawing5.xml.rels" ContentType="application/vnd.openxmlformats-package.relationships+xml"/>
  <Override PartName="/xl/drawings/_rels/drawing4.xml.rels" ContentType="application/vnd.openxmlformats-package.relationships+xml"/>
  <Override PartName="/xl/drawings/_rels/drawing3.xml.rels" ContentType="application/vnd.openxmlformats-package.relationships+xml"/>
  <Override PartName="/xl/drawings/_rels/drawing2.xml.rels" ContentType="application/vnd.openxmlformats-package.relationships+xml"/>
  <Override PartName="/xl/drawings/_rels/drawing1.xml.rels" ContentType="application/vnd.openxmlformats-package.relationships+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10.xml" ContentType="application/vnd.openxmlformats-officedocument.drawing+xml"/>
  <Override PartName="/xl/drawings/drawing7.xml" ContentType="application/vnd.openxmlformats-officedocument.drawing+xml"/>
  <Override PartName="/xl/drawings/drawing11.xml" ContentType="application/vnd.openxmlformats-officedocument.drawing+xml"/>
  <Override PartName="/xl/drawings/drawing8.xml" ContentType="application/vnd.openxmlformats-officedocument.drawing+xml"/>
  <Override PartName="/xl/drawings/drawing12.xml" ContentType="application/vnd.openxmlformats-officedocument.drawing+xml"/>
  <Override PartName="/xl/drawings/drawing9.xml" ContentType="application/vnd.openxmlformats-officedocument.drawing+xml"/>
  <Override PartName="/xl/_rels/workbook.xml.rels" ContentType="application/vnd.openxmlformats-package.relationships+xml"/>
  <Override PartName="/xl/media/image1.png" ContentType="image/png"/>
  <Override PartName="/_rels/.rels" ContentType="application/vnd.openxmlformats-package.relationship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 Id="rId4" Type="http://schemas.openxmlformats.org/officeDocument/2006/relationships/custom-properties" Target="docProps/custom.xml"/>
</Relationships>
</file>

<file path=xl/workbook.xml><?xml version="1.0" encoding="utf-8"?>
<workbook xmlns="http://schemas.openxmlformats.org/spreadsheetml/2006/main" xmlns:r="http://schemas.openxmlformats.org/officeDocument/2006/relationships">
  <fileVersion appName="Calc"/>
  <workbookPr backupFile="false" showObjects="all" date1904="false"/>
  <workbookProtection/>
  <bookViews>
    <workbookView showHorizontalScroll="true" showVerticalScroll="true" showSheetTabs="true" xWindow="0" yWindow="0" windowWidth="16384" windowHeight="8192" tabRatio="500" firstSheet="0" activeTab="0"/>
  </bookViews>
  <sheets>
    <sheet name="Cover" sheetId="1" state="visible" r:id="rId3"/>
    <sheet name="Instructions" sheetId="2" state="visible" r:id="rId4"/>
    <sheet name="Inputs &amp; Assumptions" sheetId="3" state="visible" r:id="rId5"/>
    <sheet name="Cost Inputs" sheetId="4" state="visible" r:id="rId6"/>
    <sheet name="Benefit Inputs" sheetId="5" state="visible" r:id="rId7"/>
    <sheet name="Cash Flow" sheetId="6" state="visible" r:id="rId8"/>
    <sheet name="Results &amp; Appraisal Summary" sheetId="7" state="visible" r:id="rId9"/>
    <sheet name="Sensitivity Analysis" sheetId="8" state="visible" r:id="rId10"/>
    <sheet name="Scenario &amp; Options Comparison" sheetId="9" state="visible" r:id="rId11"/>
    <sheet name="Risk &amp; Optimism Bias" sheetId="10" state="visible" r:id="rId12"/>
    <sheet name="Distributional Impacts" sheetId="11" state="visible" r:id="rId13"/>
    <sheet name="Lists" sheetId="12" state="visible" r:id="rId14"/>
  </sheets>
  <definedNames>
    <definedName function="false" hidden="false" name="ApprYears" vbProcedure="false">'Inputs &amp; Assumptions'!$C$20</definedName>
    <definedName function="false" hidden="false" name="AssetLife" vbProcedure="false">'Inputs &amp; Assumptions'!$C$37</definedName>
    <definedName function="false" hidden="false" name="BaseCaseDesc" vbProcedure="false">'Inputs &amp; Assumptions'!$C$13</definedName>
    <definedName function="false" hidden="false" name="BCRBase" vbProcedure="false">'Results &amp; Appraisal Summary'!$C$22</definedName>
    <definedName function="false" hidden="false" name="BenProfileList" vbProcedure="false">Lists!$D$9:$D$11</definedName>
    <definedName function="false" hidden="false" name="CapexTotal" vbProcedure="false">'Inputs &amp; Assumptions'!$C$39</definedName>
    <definedName function="false" hidden="false" name="CarbonPrice" vbProcedure="false">'Inputs &amp; Assumptions'!$C$45</definedName>
    <definedName function="false" hidden="false" name="CarbonTonnes" vbProcedure="false">'Inputs &amp; Assumptions'!$C$46</definedName>
    <definedName function="false" hidden="false" name="CFCumPV" vbProcedure="false">'Cash Flow'!$Q$11:$Q$50</definedName>
    <definedName function="false" hidden="false" name="CFCumUndisc" vbProcedure="false">'Cash Flow'!$T$11:$T$50</definedName>
    <definedName function="false" hidden="false" name="CFDF" vbProcedure="false">'Cash Flow'!$M$11:$M$50</definedName>
    <definedName function="false" hidden="false" name="CFEsc" vbProcedure="false">'Cash Flow'!$R$11:$R$50</definedName>
    <definedName function="false" hidden="false" name="CFFlag" vbProcedure="false">'Cash Flow'!$S$11:$S$50</definedName>
    <definedName function="false" hidden="false" name="CFNet" vbProcedure="false">'Cash Flow'!$L$11:$L$50</definedName>
    <definedName function="false" hidden="false" name="CFTotBen" vbProcedure="false">'Cash Flow'!$K$11:$K$50</definedName>
    <definedName function="false" hidden="false" name="CFTotCost" vbProcedure="false">'Cash Flow'!$H$11:$H$50</definedName>
    <definedName function="false" hidden="false" name="CFYear" vbProcedure="false">'Cash Flow'!$C$11:$C$50</definedName>
    <definedName function="false" hidden="false" name="CFYearIdx" vbProcedure="false">'Cash Flow'!$B$11:$B$50</definedName>
    <definedName function="false" hidden="false" name="ConfidenceList" vbProcedure="false">Lists!$E$9:$E$11</definedName>
    <definedName function="false" hidden="false" name="ConstrYears" vbProcedure="false">'Inputs &amp; Assumptions'!$C$22</definedName>
    <definedName function="false" hidden="false" name="ContPct" vbProcedure="false">'Inputs &amp; Assumptions'!$C$32</definedName>
    <definedName function="false" hidden="false" name="CostProfileList" vbProcedure="false">Lists!$C$9:$C$11</definedName>
    <definedName function="false" hidden="false" name="CostTypeList" vbProcedure="false">Lists!$B$9:$B$11</definedName>
    <definedName function="false" hidden="false" name="CurrLabel" vbProcedure="false">'Inputs &amp; Assumptions'!$C$14</definedName>
    <definedName function="false" hidden="false" name="DeclineDR" vbProcedure="false">'Inputs &amp; Assumptions'!$C$24</definedName>
    <definedName function="false" hidden="false" name="DirectionList" vbProcedure="false">Lists!$J$9:$J$11</definedName>
    <definedName function="false" hidden="false" name="DiscRate" vbProcedure="false">'Inputs &amp; Assumptions'!$C$23</definedName>
    <definedName function="false" hidden="false" name="DPBYear" vbProcedure="false">'Results &amp; Appraisal Summary'!$C$29</definedName>
    <definedName function="false" hidden="false" name="DPBYrs" vbProcedure="false">'Results &amp; Appraisal Summary'!$C$30</definedName>
    <definedName function="false" hidden="false" name="DRHigh" vbProcedure="false">'Inputs &amp; Assumptions'!$C$54</definedName>
    <definedName function="false" hidden="false" name="DRLow" vbProcedure="false">'Inputs &amp; Assumptions'!$C$52</definedName>
    <definedName function="false" hidden="false" name="DRMid" vbProcedure="false">'Inputs &amp; Assumptions'!$C$53</definedName>
    <definedName function="false" hidden="false" name="EAC" vbProcedure="false">'Results &amp; Appraisal Summary'!$C$34</definedName>
    <definedName function="false" hidden="false" name="EAV" vbProcedure="false">'Results &amp; Appraisal Summary'!$C$33</definedName>
    <definedName function="false" hidden="false" name="EffDiscRate" vbProcedure="false">'Inputs &amp; Assumptions'!$C$27</definedName>
    <definedName function="false" hidden="false" name="InflRate" vbProcedure="false">'Inputs &amp; Assumptions'!$C$26</definedName>
    <definedName function="false" hidden="false" name="IRRBase" vbProcedure="false">'Results &amp; Appraisal Summary'!$C$28</definedName>
    <definedName function="false" hidden="false" name="MaxYears" vbProcedure="false">'Inputs &amp; Assumptions'!$C$21</definedName>
    <definedName function="false" hidden="false" name="NetBCR" vbProcedure="false">'Results &amp; Appraisal Summary'!$C$27</definedName>
    <definedName function="false" hidden="false" name="NPVBase" vbProcedure="false">'Results &amp; Appraisal Summary'!$C$21</definedName>
    <definedName function="false" hidden="false" name="NPVPerCap" vbProcedure="false">'Results &amp; Appraisal Summary'!$C$32</definedName>
    <definedName function="false" hidden="false" name="OptBias" vbProcedure="false">'Inputs &amp; Assumptions'!$C$31</definedName>
    <definedName function="false" hidden="false" name="OptName" vbProcedure="false">'Inputs &amp; Assumptions'!$C$12</definedName>
    <definedName function="false" hidden="false" name="PriceBase" vbProcedure="false">'Inputs &amp; Assumptions'!$C$15</definedName>
    <definedName function="false" hidden="false" name="PriceBasis" vbProcedure="false">'Inputs &amp; Assumptions'!$C$25</definedName>
    <definedName function="false" hidden="false" name="PriceBasisList" vbProcedure="false">Lists!$G$9:$G$10</definedName>
    <definedName function="false" hidden="false" name="ProjName" vbProcedure="false">'Inputs &amp; Assumptions'!$C$11</definedName>
    <definedName function="false" hidden="false" name="PVB" vbProcedure="false">'Results &amp; Appraisal Summary'!$C$20</definedName>
    <definedName function="false" hidden="false" name="PVBenMon" vbProcedure="false">'Results &amp; Appraisal Summary'!$C$25</definedName>
    <definedName function="false" hidden="false" name="PVC" vbProcedure="false">'Results &amp; Appraisal Summary'!$C$19</definedName>
    <definedName function="false" hidden="false" name="PVCapital" vbProcedure="false">'Results &amp; Appraisal Summary'!$C$23</definedName>
    <definedName function="false" hidden="false" name="PVOpexCost" vbProcedure="false">'Results &amp; Appraisal Summary'!$C$24</definedName>
    <definedName function="false" hidden="false" name="PVResid" vbProcedure="false">'Results &amp; Appraisal Summary'!$C$26</definedName>
    <definedName function="false" hidden="false" name="RampYears" vbProcedure="false">'Inputs &amp; Assumptions'!$C$44</definedName>
    <definedName function="false" hidden="false" name="ResidMethod" vbProcedure="false">'Inputs &amp; Assumptions'!$C$36</definedName>
    <definedName function="false" hidden="false" name="ResidMethodList" vbProcedure="false">Lists!$H$9:$H$11</definedName>
    <definedName function="false" hidden="false" name="ResidPct" vbProcedure="false">'Inputs &amp; Assumptions'!$C$38</definedName>
    <definedName function="false" hidden="false" name="ResidVal" vbProcedure="false">'Inputs &amp; Assumptions'!$C$40</definedName>
    <definedName function="false" hidden="false" name="RiskRatingList" vbProcedure="false">Lists!$I$9:$I$12</definedName>
    <definedName function="false" hidden="false" name="SensA" vbProcedure="false">'Inputs &amp; Assumptions'!$C$50</definedName>
    <definedName function="false" hidden="false" name="SensB" vbProcedure="false">'Inputs &amp; Assumptions'!$C$51</definedName>
    <definedName function="false" hidden="false" name="SignificanceList" vbProcedure="false">Lists!$K$9:$K$12</definedName>
    <definedName function="false" hidden="false" name="SPBYrs" vbProcedure="false">'Results &amp; Appraisal Summary'!$C$31</definedName>
    <definedName function="false" hidden="false" name="StartYear" vbProcedure="false">'Inputs &amp; Assumptions'!$C$16</definedName>
    <definedName function="false" hidden="false" name="Verdict" vbProcedure="false">'Results &amp; Appraisal Summary'!$C$36</definedName>
    <definedName function="false" hidden="false" name="YesNoList" vbProcedure="false">Lists!$F$9:$F$10</definedName>
  </definedNames>
  <calcPr iterateCount="100" refMode="A1" iterate="false" iterateDelta="0.0001"/>
  <extLst>
    <ext xmlns:loext="http://schemas.libreoffice.org/" uri="{7626C862-2A13-11E5-B345-FEFF819CDC9F}">
      <loext:extCalcPr stringRefSyntax="ExcelA1"/>
    </ext>
  </extLst>
</workbook>
</file>

<file path=xl/sharedStrings.xml><?xml version="1.0" encoding="utf-8"?>
<sst xmlns="http://schemas.openxmlformats.org/spreadsheetml/2006/main" count="1140" uniqueCount="791">
  <si>
    <t xml:space="preserve">Cost Benefit Analysis Template</t>
  </si>
  <si>
    <t xml:space="preserve">Capital project economic appraisal - global edition</t>
  </si>
  <si>
    <t xml:space="preserve">Purpose</t>
  </si>
  <si>
    <t xml:space="preserve">A complete, formula-driven cost benefit analysis model for capital projects. It discounts whole-of-life costs and monetised benefits over an appraisal period, applies optimism bias and risk adjustment, and reports NPV, BCR, IRR and payback with full sensitivity, switching-value, options, risk and distributional analysis. Built to the common core of international appraisal practice and shipped with a worked example you can replace.</t>
  </si>
  <si>
    <t xml:space="preserve">How to use this template</t>
  </si>
  <si>
    <t xml:space="preserve">• Start on the Instructions sheet, then set every driver on the Inputs &amp; Assumptions sheet - the whole model runs from there.</t>
  </si>
  <si>
    <t xml:space="preserve">•   Set the real discount rate mandated by your jurisdiction or organisation. The 7% shown is a neutral placeholder only.</t>
  </si>
  <si>
    <t xml:space="preserve">•   Replace the example cost and benefit line items with your own. Year profiles, subtotals and the cash flow build themselves.</t>
  </si>
  <si>
    <t xml:space="preserve">•   Read the Results sheet for the headline appraisal, then the Sensitivity sheet for robustness and switching values.</t>
  </si>
  <si>
    <t xml:space="preserve">• Record non-monetised and distributional impacts - a monetised NPV alone is not a business case.</t>
  </si>
  <si>
    <t xml:space="preserve">• White cells are your inputs, tinted blue cells are assumptions to evidence, off-white cells are calculated - do not overtype them.</t>
  </si>
  <si>
    <t xml:space="preserve">Scope, standards and jurisdiction</t>
  </si>
  <si>
    <t xml:space="preserve">•   Jurisdiction-neutral. Aligned to the common core of HM Treasury's Green Book, Infrastructure Australia's assessment framework, the European Commission's CBA Guide, and World Bank and ADB economic appraisal practice.</t>
  </si>
  <si>
    <t xml:space="preserve">•   No jurisdiction's mandated discount rate, optimism bias uplift or carbon value is asserted. Every such parameter is an editable assumption you must set from your own policy source.</t>
  </si>
  <si>
    <t xml:space="preserve">• Covers social and economic CBA and financial CBA. Keep the two separate in reporting - transfer payments belong in the distributional table, not the economic NPV.</t>
  </si>
  <si>
    <t xml:space="preserve">•   All values are incremental: with-project minus the Base Case (do-minimum). Analysis is in real (constant) prices by default, with a nominal option.</t>
  </si>
  <si>
    <t xml:space="preserve">•   Every example figure in this workbook is illustrative and must be replaced before the model is relied on.</t>
  </si>
  <si>
    <t xml:space="preserve">Document control</t>
  </si>
  <si>
    <t xml:space="preserve">Field</t>
  </si>
  <si>
    <t xml:space="preserve">Detail</t>
  </si>
  <si>
    <t xml:space="preserve">Template name</t>
  </si>
  <si>
    <t xml:space="preserve">Template version</t>
  </si>
  <si>
    <t xml:space="preserve">1.0</t>
  </si>
  <si>
    <t xml:space="preserve">Project name</t>
  </si>
  <si>
    <t xml:space="preserve">Project number</t>
  </si>
  <si>
    <t xml:space="preserve">Client / asset owner</t>
  </si>
  <si>
    <t xml:space="preserve">Prepared by</t>
  </si>
  <si>
    <t xml:space="preserve">Date prepared</t>
  </si>
  <si>
    <t xml:space="preserve">Reviewed by</t>
  </si>
  <si>
    <t xml:space="preserve">Revision</t>
  </si>
  <si>
    <t xml:space="preserve">Approved by</t>
  </si>
  <si>
    <t xml:space="preserve">Disclaimer</t>
  </si>
  <si>
    <t xml:space="preserve">This template is provided by Mastt as general guidance for capital project delivery. It is not legal, financial or professional advice. Users must adapt it to the contract, jurisdiction, statutory regime and organisational policies applicable to their project, and should obtain independent professional advice where appropriate. Mastt accepts no liability arising from use of this template.</t>
  </si>
  <si>
    <t xml:space="preserve">Built for capital project teams - plan, track and report with Mastt.</t>
  </si>
  <si>
    <t xml:space="preserve">Visit mastt.com  ↗</t>
  </si>
  <si>
    <t xml:space="preserve">Instructions</t>
  </si>
  <si>
    <t xml:space="preserve">How to use this model, what to change, and how to read the outputs.</t>
  </si>
  <si>
    <t xml:space="preserve">What this model does</t>
  </si>
  <si>
    <t xml:space="preserve">This is a discounted cash flow cost benefit analysis for a capital project. It compares a with-project option against a Base Case (do-minimum) on an incremental basis, discounts the resulting cost and benefit streams over an appraisal period, and reports NPV, BCR, IRR and payback together with sensitivity, switching values, options comparison, quantified risk and distributional analysis.
The structure is jurisdiction-neutral and follows the common core of international appraisal practice - HM Treasury's Green Book, Infrastructure Australia's assessment framework, the European Commission's CBA Guide, and World Bank and ADB economic analysis guidance. It does not assert any single jurisdiction's mandated parameters. You must set the discount rate, optimism bias uplift, carbon price and appraisal period required by your own jurisdiction or organisation.</t>
  </si>
  <si>
    <t xml:space="preserve">Cell colour convention</t>
  </si>
  <si>
    <t xml:space="preserve">Appearance</t>
  </si>
  <si>
    <t xml:space="preserve">Meaning</t>
  </si>
  <si>
    <t xml:space="preserve">What you should do</t>
  </si>
  <si>
    <t xml:space="preserve">White cell with a thin border</t>
  </si>
  <si>
    <t xml:space="preserve">User input</t>
  </si>
  <si>
    <t xml:space="preserve">Type your own value here. These are the raw data of your appraisal.</t>
  </si>
  <si>
    <t xml:space="preserve">Tinted blue</t>
  </si>
  <si>
    <t xml:space="preserve">Assumption</t>
  </si>
  <si>
    <t xml:space="preserve">A judgement or policy parameter. Review every one, evidence it, and record the source.</t>
  </si>
  <si>
    <t xml:space="preserve">Off-white tint</t>
  </si>
  <si>
    <t xml:space="preserve">Calculated - do not edit</t>
  </si>
  <si>
    <t xml:space="preserve">Contains a live formula. Overtyping breaks the model. Change the driver on the Inputs sheet instead.</t>
  </si>
  <si>
    <t xml:space="preserve">Order of operations</t>
  </si>
  <si>
    <t xml:space="preserve">Step</t>
  </si>
  <si>
    <t xml:space="preserve">Sheet</t>
  </si>
  <si>
    <t xml:space="preserve">What to do</t>
  </si>
  <si>
    <t xml:space="preserve">1</t>
  </si>
  <si>
    <t xml:space="preserve">Inputs &amp; Assumptions</t>
  </si>
  <si>
    <t xml:space="preserve">Set the project name, currency label, price base year and analysis start year. Then set the appraisal period, construction period and - most importantly - the real discount rate mandated by your jurisdiction or organisation. The 7% default is a neutral placeholder, not a recommendation.</t>
  </si>
  <si>
    <t xml:space="preserve">2</t>
  </si>
  <si>
    <t xml:space="preserve">Set the optimism bias uplift and contingency percentage, the residual value method and asset life, the benefit ramp-up period and the carbon price. Decide whether you are working in real or nominal terms.</t>
  </si>
  <si>
    <t xml:space="preserve">3</t>
  </si>
  <si>
    <t xml:space="preserve">Cost Inputs</t>
  </si>
  <si>
    <t xml:space="preserve">Replace the example cost lines with your own. For each line set the Type (Capital, Operating or Lifecycle), the Profile, the Amount, the Start year index and the Duration or interval. The year columns fill themselves.</t>
  </si>
  <si>
    <t xml:space="preserve">4</t>
  </si>
  <si>
    <t xml:space="preserve">Benefit Inputs</t>
  </si>
  <si>
    <t xml:space="preserve">Replace the example benefit lines. Enter the annual value at full realisation, the valuation basis and the source of evidence. The ramp-up factor is applied automatically from the Inputs sheet.</t>
  </si>
  <si>
    <t xml:space="preserve">5</t>
  </si>
  <si>
    <t xml:space="preserve">Cash Flow</t>
  </si>
  <si>
    <t xml:space="preserve">Read only. Check that the spend and benefit profiles look right year by year. Do not type on this sheet.</t>
  </si>
  <si>
    <t xml:space="preserve">6</t>
  </si>
  <si>
    <t xml:space="preserve">Results &amp; Appraisal Summary</t>
  </si>
  <si>
    <t xml:space="preserve">Read the headline NPV, BCR, IRR and payback. Record the non-monetised impacts - they are part of the decision, not an afterthought.</t>
  </si>
  <si>
    <t xml:space="preserve">7</t>
  </si>
  <si>
    <t xml:space="preserve">Sensitivity Analysis</t>
  </si>
  <si>
    <t xml:space="preserve">Check which drivers move the result and how far each has to move before the recommendation changes.</t>
  </si>
  <si>
    <t xml:space="preserve">8</t>
  </si>
  <si>
    <t xml:space="preserve">Risk &amp; Optimism Bias</t>
  </si>
  <si>
    <t xml:space="preserve">Build the quantified risk register and test whether your contingency covers the residual risk.</t>
  </si>
  <si>
    <t xml:space="preserve">9</t>
  </si>
  <si>
    <t xml:space="preserve">Scenario &amp; Options Comparison</t>
  </si>
  <si>
    <t xml:space="preserve">Bring in the results of each option's own model run and compare them side by side.</t>
  </si>
  <si>
    <t xml:space="preserve">10</t>
  </si>
  <si>
    <t xml:space="preserve">Distributional Impacts</t>
  </si>
  <si>
    <t xml:space="preserve">Allocate the costs and benefits across stakeholder groups and record the equity implications.</t>
  </si>
  <si>
    <t xml:space="preserve">What to change and what to leave alone</t>
  </si>
  <si>
    <t xml:space="preserve">Change freely</t>
  </si>
  <si>
    <t xml:space="preserve">Every white input cell, every tinted-blue assumption, and the line items on the Cost Inputs and Benefit Inputs sheets. Add or delete rows within the existing item blocks.</t>
  </si>
  <si>
    <t xml:space="preserve">Change with care</t>
  </si>
  <si>
    <t xml:space="preserve">The category and profile labels - they feed SUMIF subtotals and the dropdown lists on the Lists sheet. If you add a new Type or Profile, add it to the Lists sheet too.</t>
  </si>
  <si>
    <t xml:space="preserve">Do not change</t>
  </si>
  <si>
    <t xml:space="preserve">Anything on the Cash Flow sheet, the calculated cells on the Results and Sensitivity sheets, the year index rows on the Cost and Benefit Inputs sheets, or the defined names.</t>
  </si>
  <si>
    <t xml:space="preserve">Adding options</t>
  </si>
  <si>
    <t xml:space="preserve">This workbook models one option at a time. To appraise a second option, save a copy of the whole workbook, change the option name and the cost and benefit lines, then paste the resulting PV of costs, PV of benefits, IRR and payback into the Option 2 and Option 3 columns on the Scenario &amp; Options Comparison sheet.</t>
  </si>
  <si>
    <t xml:space="preserve">Extending the horizon</t>
  </si>
  <si>
    <t xml:space="preserve">The model is built with 40 year columns. The appraisal period must not exceed that. To go further, insert additional year columns on the Cost Inputs, Benefit Inputs and Cash Flow sheets and copy the formulas across.</t>
  </si>
  <si>
    <t xml:space="preserve">How to read the sensitivity outputs</t>
  </si>
  <si>
    <t xml:space="preserve">•   The one-way table re-derives NPV and BCR with one driver moved at a time. Everything else is held at its base value.</t>
  </si>
  <si>
    <t xml:space="preserve">• The tornado ranks the drivers by how much the NPV moves across the outer sensitivity band. Rank 1 is the driver that matters most - put your estimating and assurance effort there.</t>
  </si>
  <si>
    <t xml:space="preserve">•   A switching value is the change that drives NPV to exactly zero. A benefits switching value of -30% means benefits could fall by 30% before the case fails. Small switching values mean a fragile case.</t>
  </si>
  <si>
    <t xml:space="preserve">•   The switching discount rate is the IRR. If it sits close to your mandated discount rate, the case is marginal.</t>
  </si>
  <si>
    <t xml:space="preserve">•   Negative NPV cells are shaded red and positive cells green throughout the sensitivity sheet.</t>
  </si>
  <si>
    <t xml:space="preserve">•   Sensitivity is not risk analysis. Use it alongside the quantified risk register, not instead of it.</t>
  </si>
  <si>
    <t xml:space="preserve">Glossary of appraisal concepts</t>
  </si>
  <si>
    <t xml:space="preserve">Term</t>
  </si>
  <si>
    <t xml:space="preserve">Definition</t>
  </si>
  <si>
    <t xml:space="preserve">Present value (PV)</t>
  </si>
  <si>
    <t xml:space="preserve">The value today of a future cash flow, obtained by multiplying it by the discount factor for the year in which it occurs.</t>
  </si>
  <si>
    <t xml:space="preserve">Net present value (NPV)</t>
  </si>
  <si>
    <t xml:space="preserve">PV of benefits less PV of costs. The primary decision measure: an option is economically worthwhile when NPV is positive at the mandated discount rate.</t>
  </si>
  <si>
    <t xml:space="preserve">Benefit cost ratio (BCR)</t>
  </si>
  <si>
    <t xml:space="preserve">PV of benefits divided by PV of costs. Useful for ranking under capital rationing. It should not be used to choose between mutually exclusive options - use incremental NPV.</t>
  </si>
  <si>
    <t xml:space="preserve">Net BCR</t>
  </si>
  <si>
    <t xml:space="preserve">Net benefits (benefits less recurrent costs) divided by the PV of capital invested. Shows the return on the capital rather than on the whole cost stream.</t>
  </si>
  <si>
    <t xml:space="preserve">Internal rate of return (IRR)</t>
  </si>
  <si>
    <t xml:space="preserve">The discount rate at which NPV equals zero. Reported for information only: it is undefined or ambiguous when the net cash flow changes sign more than once, and it ignores project scale.</t>
  </si>
  <si>
    <t xml:space="preserve">Payback period</t>
  </si>
  <si>
    <t xml:space="preserve">The elapsed time until cumulative net benefits turn positive. Reported here both discounted and undiscounted. It ignores everything that happens after payback, so it is a liquidity measure, not a value measure.</t>
  </si>
  <si>
    <t xml:space="preserve">Discount rate</t>
  </si>
  <si>
    <t xml:space="preserve">The rate used to convert future values to present values. It reflects social time preference and the opportunity cost of capital. It is set by policy in most jurisdictions - never invent one.</t>
  </si>
  <si>
    <t xml:space="preserve">Real vs nominal</t>
  </si>
  <si>
    <t xml:space="preserve">Real analysis uses constant prices and a real discount rate. Nominal analysis escalates cash flows for inflation and uses a nominal discount rate. NPV is the same either way provided the two are used consistently - mixing them is the most common error in appraisal.</t>
  </si>
  <si>
    <t xml:space="preserve">Incremental analysis</t>
  </si>
  <si>
    <t xml:space="preserve">All costs and benefits are measured as the difference between the with-project case and the Base Case (do-minimum). Anything that happens in both cases is excluded.</t>
  </si>
  <si>
    <t xml:space="preserve">Base Case / do-minimum</t>
  </si>
  <si>
    <t xml:space="preserve">The realistic counterfactual - what actually happens if the project does not proceed, including the minimum works needed to keep the asset safe, legal and operating. It is not 'do nothing'.</t>
  </si>
  <si>
    <t xml:space="preserve">Residual value</t>
  </si>
  <si>
    <t xml:space="preserve">The value of the asset remaining at the end of the appraisal period, recognised as a benefit in the final year. Methods here are a percentage of capital cost or the unexpired share of economic life.</t>
  </si>
  <si>
    <t xml:space="preserve">Optimism bias</t>
  </si>
  <si>
    <t xml:space="preserve">The demonstrated systematic tendency for appraisers to be too optimistic about capital cost, duration and benefits. Corrected by an explicit uplift drawn from reference-class outturn evidence.</t>
  </si>
  <si>
    <t xml:space="preserve">Contingency</t>
  </si>
  <si>
    <t xml:space="preserve">A cost allowance for identified risks within the defined scope. It is not the same as optimism bias - contingency covers known risk, optimism bias covers systematic appraisal error. Do not double count.</t>
  </si>
  <si>
    <t xml:space="preserve">Switching value</t>
  </si>
  <si>
    <t xml:space="preserve">The change in a single input required to drive NPV to zero. It expresses how much headroom the case has before the decision flips.</t>
  </si>
  <si>
    <t xml:space="preserve">Sensitivity analysis</t>
  </si>
  <si>
    <t xml:space="preserve">Recalculating the result with one or more inputs moved, to show how robust the conclusion is.</t>
  </si>
  <si>
    <t xml:space="preserve">Ramp-up</t>
  </si>
  <si>
    <t xml:space="preserve">The period over which benefits build from zero to full realisation once the asset is operational. Assuming instant full benefits is a common source of overstatement.</t>
  </si>
  <si>
    <t xml:space="preserve">Distributional analysis</t>
  </si>
  <si>
    <t xml:space="preserve">Identification of which groups bear the costs and which receive the benefits, and whether the pattern is equitable. Some jurisdictions apply explicit welfare weights.</t>
  </si>
  <si>
    <t xml:space="preserve">Non-monetised impacts</t>
  </si>
  <si>
    <t xml:space="preserve">Effects that are real and material but cannot be reliably valued in money. They are recorded qualitatively and must be weighed alongside the NPV, not ignored because they lack a number.</t>
  </si>
  <si>
    <t xml:space="preserve">PERT expected value</t>
  </si>
  <si>
    <t xml:space="preserve">A three-point estimate weighting: (minimum + 4 x most likely + maximum) / 6. Used on the Risk sheet, then multiplied by likelihood to give the expected cost of each risk.</t>
  </si>
  <si>
    <t xml:space="preserve">Equivalent annual value</t>
  </si>
  <si>
    <t xml:space="preserve">The NPV expressed as a constant annual amount over the appraisal period. Use the equivalent annual cost to compare options with different asset lives.</t>
  </si>
  <si>
    <t xml:space="preserve">ILLUSTRATIVE WORKED EXAMPLE - every value shown is example data for a mid-size community health and aquatic centre. Replace all example figures with your own project data before use. The worked example is a mid-size community health and aquatic centre with roughly 45 million of base capital cost, a three-year delivery programme and a 30-year appraisal period.</t>
  </si>
  <si>
    <t xml:space="preserve">The single control sheet - every calculation in this workbook is driven from here.</t>
  </si>
  <si>
    <t xml:space="preserve">ILLUSTRATIVE WORKED EXAMPLE - every value shown is example data for a mid-size community health and aquatic centre. Replace all example figures with your own project data before use.</t>
  </si>
  <si>
    <t xml:space="preserve">A.  Project identification</t>
  </si>
  <si>
    <t xml:space="preserve">Input</t>
  </si>
  <si>
    <t xml:space="preserve">Value</t>
  </si>
  <si>
    <t xml:space="preserve">Unit</t>
  </si>
  <si>
    <t xml:space="preserve">Guidance / source</t>
  </si>
  <si>
    <t xml:space="preserve">Riverside Community Health &amp; Aquatic Centre</t>
  </si>
  <si>
    <t xml:space="preserve">text</t>
  </si>
  <si>
    <t xml:space="preserve">Free text. Appears on the Results sheet.</t>
  </si>
  <si>
    <t xml:space="preserve">Option / scenario name</t>
  </si>
  <si>
    <t xml:space="preserve">Option 1 - New integrated facility</t>
  </si>
  <si>
    <t xml:space="preserve">The with-project option being appraised against the Base Case (do-minimum).</t>
  </si>
  <si>
    <t xml:space="preserve">Base Case description</t>
  </si>
  <si>
    <t xml:space="preserve">Do-minimum - continue operating the existing 1974 facility with reactive repairs</t>
  </si>
  <si>
    <t xml:space="preserve">All costs and benefits in this workbook are INCREMENTAL: with-project minus Base Case.</t>
  </si>
  <si>
    <t xml:space="preserve">Currency label</t>
  </si>
  <si>
    <t xml:space="preserve">USD</t>
  </si>
  <si>
    <t xml:space="preserve">Purely a label. All money cells are formatted #,##0 in this unit - no FX conversion is applied.</t>
  </si>
  <si>
    <t xml:space="preserve">Price base year</t>
  </si>
  <si>
    <t xml:space="preserve">year</t>
  </si>
  <si>
    <t xml:space="preserve">The year in which real prices are expressed. Keep costs and benefits on the same price base.</t>
  </si>
  <si>
    <t xml:space="preserve">Analysis start year (Year 0)</t>
  </si>
  <si>
    <t xml:space="preserve">Year index 0. Drives every calendar year label in the model.</t>
  </si>
  <si>
    <t xml:space="preserve">B.  Appraisal period and discounting</t>
  </si>
  <si>
    <t xml:space="preserve">Appraisal period</t>
  </si>
  <si>
    <t xml:space="preserve">years</t>
  </si>
  <si>
    <t xml:space="preserve">Length of the evaluation horizon. Must not exceed the model horizon below.</t>
  </si>
  <si>
    <t xml:space="preserve">Model horizon (maximum periods built)</t>
  </si>
  <si>
    <t xml:space="preserve">Fixed structural limit - the number of year columns built into this workbook. To go beyond it, extend the year columns on the Cost Inputs, Benefit Inputs and Cash Flow sheets.</t>
  </si>
  <si>
    <t xml:space="preserve">Construction / delivery period</t>
  </si>
  <si>
    <t xml:space="preserve">Year indices 0 to n-1 are the delivery phase; operations and benefits begin at year index n.</t>
  </si>
  <si>
    <t xml:space="preserve">Real discount rate (social / economic)</t>
  </si>
  <si>
    <t xml:space="preserve">% p.a.</t>
  </si>
  <si>
    <t xml:space="preserve">SET THE RATE MANDATED BY YOUR JURISDICTION OR ORGANISATION. 7% is a neutral placeholder only. Practice varies widely - HM Treasury Green Book uses a 3.5% social time preference rate, Infrastructure Australia has used 7% real with 4% and 10% sensitivities, the EU CBA Guide suggests 3-5% social / 4% financial, and World Bank and ADB appraisals commonly use 6-12%.</t>
  </si>
  <si>
    <t xml:space="preserve">Apply declining long-run discount rate?</t>
  </si>
  <si>
    <t xml:space="preserve">No</t>
  </si>
  <si>
    <t xml:space="preserve">Yes / No</t>
  </si>
  <si>
    <t xml:space="preserve">If Yes, the rate steps down for distant years (x1.000 to year 30, x0.857 to year 75, x0.714 beyond) in the style of the Green Book declining schedule. Has no effect on a 30-year appraisal.</t>
  </si>
  <si>
    <t xml:space="preserve">Price basis</t>
  </si>
  <si>
    <t xml:space="preserve">Real</t>
  </si>
  <si>
    <t xml:space="preserve">Real / Nominal</t>
  </si>
  <si>
    <t xml:space="preserve">Real = constant prices, real discount rate. Nominal = cash flows escalated at the inflation rate below and discounted at the Fisher-adjusted nominal rate. NPV is invariant between the two - a useful integrity check.</t>
  </si>
  <si>
    <t xml:space="preserve">Inflation / escalation rate</t>
  </si>
  <si>
    <t xml:space="preserve">Used only when Price basis = Nominal. Applied to all cash flows and to the discount rate.</t>
  </si>
  <si>
    <t xml:space="preserve">Effective discount rate applied</t>
  </si>
  <si>
    <t xml:space="preserve">Calculated. Fisher relation: (1+real)(1+inflation)-1 when working in nominal terms.</t>
  </si>
  <si>
    <t xml:space="preserve">C.  Risk, optimism bias and contingency</t>
  </si>
  <si>
    <t xml:space="preserve">Optimism bias uplift on capital cost</t>
  </si>
  <si>
    <t xml:space="preserve">%</t>
  </si>
  <si>
    <t xml:space="preserve">Systematic appraisal optimism correction applied to total capital cost in the Cash Flow. Set from your reference-class evidence - see the reference table on the Risk &amp; Optimism Bias sheet.</t>
  </si>
  <si>
    <t xml:space="preserve">Contingency allowance</t>
  </si>
  <si>
    <t xml:space="preserve">Drives the contingency line item on the Cost Inputs sheet (a percentage of base capital cost). Compare against the quantified risk register on the Risk &amp; Optimism Bias sheet.</t>
  </si>
  <si>
    <t xml:space="preserve">D.  Residual value</t>
  </si>
  <si>
    <t xml:space="preserve">Residual value method</t>
  </si>
  <si>
    <t xml:space="preserve">Straight-line remaining life</t>
  </si>
  <si>
    <t xml:space="preserve">method</t>
  </si>
  <si>
    <t xml:space="preserve">'% of capex' applies the percentage below. 'Straight-line remaining life' values the unexpired portion of the asset's economic life. 'None' sets residual value to zero.</t>
  </si>
  <si>
    <t xml:space="preserve">Asset economic life</t>
  </si>
  <si>
    <t xml:space="preserve">Used by the straight-line remaining life method.</t>
  </si>
  <si>
    <t xml:space="preserve">Residual value as % of capital cost</t>
  </si>
  <si>
    <t xml:space="preserve">Used only when the method above is '% of capex'.</t>
  </si>
  <si>
    <t xml:space="preserve">Total capital cost from Cost Inputs (incl. contingency, excl. optimism bias)</t>
  </si>
  <si>
    <t xml:space="preserve">amount</t>
  </si>
  <si>
    <t xml:space="preserve">Calculated from the Cost Inputs sheet - the sum of every line item typed as Capital, including the contingency line.</t>
  </si>
  <si>
    <t xml:space="preserve">Residual value (recognised in the final appraisal year)</t>
  </si>
  <si>
    <t xml:space="preserve">Calculated. Recognised as a benefit in year index (Appraisal period - 1).</t>
  </si>
  <si>
    <t xml:space="preserve">E.  Benefit realisation and valuation</t>
  </si>
  <si>
    <t xml:space="preserve">Benefit ramp-up period</t>
  </si>
  <si>
    <t xml:space="preserve">Years from the start of operations to full benefit realisation. A linear ramp is applied on the Benefit Inputs sheet.</t>
  </si>
  <si>
    <t xml:space="preserve">Carbon price</t>
  </si>
  <si>
    <t xml:space="preserve">per tonne CO2-e</t>
  </si>
  <si>
    <t xml:space="preserve">Used to value the energy and carbon benefit line. Use the shadow carbon price mandated by your jurisdiction.</t>
  </si>
  <si>
    <t xml:space="preserve">Annual carbon abatement</t>
  </si>
  <si>
    <t xml:space="preserve">tCO2-e p.a.</t>
  </si>
  <si>
    <t xml:space="preserve">Tonnes of CO2-e avoided each year once the asset is operational.</t>
  </si>
  <si>
    <t xml:space="preserve">F.  Sensitivity settings</t>
  </si>
  <si>
    <t xml:space="preserve">Sensitivity step 1</t>
  </si>
  <si>
    <t xml:space="preserve">Inner sensitivity band applied to every driver on the Sensitivity Analysis sheet.</t>
  </si>
  <si>
    <t xml:space="preserve">Sensitivity step 2</t>
  </si>
  <si>
    <t xml:space="preserve">Outer sensitivity band. Also drives the tornado swing ranking.</t>
  </si>
  <si>
    <t xml:space="preserve">Discount rate sensitivity point - low</t>
  </si>
  <si>
    <t xml:space="preserve">Explicit discount rate test point (e.g. a social time preference rate).</t>
  </si>
  <si>
    <t xml:space="preserve">Discount rate sensitivity point - central</t>
  </si>
  <si>
    <t xml:space="preserve">Explicit discount rate test point.</t>
  </si>
  <si>
    <t xml:space="preserve">Discount rate sensitivity point - high</t>
  </si>
  <si>
    <t xml:space="preserve">White with a thin border</t>
  </si>
  <si>
    <t xml:space="preserve">User input - type over these</t>
  </si>
  <si>
    <t xml:space="preserve">Assumption - a judgement or policy parameter you should review</t>
  </si>
  <si>
    <t xml:space="preserve">Off-white</t>
  </si>
  <si>
    <t xml:space="preserve">Calculated - contains a formula, do not overtype</t>
  </si>
  <si>
    <t xml:space="preserve">Named drivers available in formulas: ApprYears, AssetLife, BaseCaseDesc, CapexTotal, CarbonPrice, CarbonTonnes, ConstrYears, ContPct, CurrLabel, DRHigh, DRLow, DRMid, DeclineDR, DiscRate, EffDiscRate, InflRate, MaxYears, OptBias, OptName, PriceBase, PriceBasis, ProjName, RampYears, ResidMethod, ResidPct, ResidVal, SensA, SensB, StartYear</t>
  </si>
  <si>
    <t xml:space="preserve">Whole-of-life incremental costs by line item, spread across the appraisal horizon by formula.</t>
  </si>
  <si>
    <t xml:space="preserve">Cost line items - incremental (with-project minus Base Case)</t>
  </si>
  <si>
    <t xml:space="preserve">Amount, start year and duration drive the year profile.</t>
  </si>
  <si>
    <t xml:space="preserve">Year index →</t>
  </si>
  <si>
    <t xml:space="preserve">Ref</t>
  </si>
  <si>
    <t xml:space="preserve">Category</t>
  </si>
  <si>
    <t xml:space="preserve">Cost item</t>
  </si>
  <si>
    <t xml:space="preserve">Type</t>
  </si>
  <si>
    <t xml:space="preserve">Profile</t>
  </si>
  <si>
    <t xml:space="preserve">Amount</t>
  </si>
  <si>
    <t xml:space="preserve">Start year (idx)</t>
  </si>
  <si>
    <t xml:space="preserve">Duration / interval (yrs)</t>
  </si>
  <si>
    <t xml:space="preserve">Basis of estimate</t>
  </si>
  <si>
    <t xml:space="preserve">Confidence</t>
  </si>
  <si>
    <t xml:space="preserve">Total (undiscounted)</t>
  </si>
  <si>
    <t xml:space="preserve">C-01</t>
  </si>
  <si>
    <t xml:space="preserve">Land and acquisition</t>
  </si>
  <si>
    <t xml:space="preserve">Site acquisition</t>
  </si>
  <si>
    <t xml:space="preserve">Capital</t>
  </si>
  <si>
    <t xml:space="preserve">Spread</t>
  </si>
  <si>
    <t xml:space="preserve">Independent market valuation</t>
  </si>
  <si>
    <t xml:space="preserve">Medium</t>
  </si>
  <si>
    <t xml:space="preserve">C-02</t>
  </si>
  <si>
    <t xml:space="preserve">Site remediation and services relocation</t>
  </si>
  <si>
    <t xml:space="preserve">Contractor budget quotation</t>
  </si>
  <si>
    <t xml:space="preserve">Low</t>
  </si>
  <si>
    <t xml:space="preserve">C-03</t>
  </si>
  <si>
    <t xml:space="preserve">Design and professional fees</t>
  </si>
  <si>
    <t xml:space="preserve">Design, engineering and technical advisory</t>
  </si>
  <si>
    <t xml:space="preserve">Percentage of construction value</t>
  </si>
  <si>
    <t xml:space="preserve">C-04</t>
  </si>
  <si>
    <t xml:space="preserve">Planning, approvals and statutory fees</t>
  </si>
  <si>
    <t xml:space="preserve">Published schedule of fees</t>
  </si>
  <si>
    <t xml:space="preserve">High</t>
  </si>
  <si>
    <t xml:space="preserve">C-05</t>
  </si>
  <si>
    <t xml:space="preserve">Construction</t>
  </si>
  <si>
    <t xml:space="preserve">Main works - health and aquatic facility</t>
  </si>
  <si>
    <t xml:space="preserve">Elemental cost plan, P50</t>
  </si>
  <si>
    <t xml:space="preserve">C-06</t>
  </si>
  <si>
    <t xml:space="preserve">Site establishment and preliminaries</t>
  </si>
  <si>
    <t xml:space="preserve">C-07</t>
  </si>
  <si>
    <t xml:space="preserve">External works, landscaping and car parking</t>
  </si>
  <si>
    <t xml:space="preserve">Rate per square metre benchmark</t>
  </si>
  <si>
    <t xml:space="preserve">C-08</t>
  </si>
  <si>
    <t xml:space="preserve">Client-side costs</t>
  </si>
  <si>
    <t xml:space="preserve">Client project management and superintendence</t>
  </si>
  <si>
    <t xml:space="preserve">Resource plan x day rates</t>
  </si>
  <si>
    <t xml:space="preserve">C-09</t>
  </si>
  <si>
    <t xml:space="preserve">Legal, insurances and financing costs</t>
  </si>
  <si>
    <t xml:space="preserve">Advisor fee proposals</t>
  </si>
  <si>
    <t xml:space="preserve">C-10</t>
  </si>
  <si>
    <t xml:space="preserve">ICT and FF&amp;E</t>
  </si>
  <si>
    <t xml:space="preserve">ICT, audio-visual and security systems</t>
  </si>
  <si>
    <t xml:space="preserve">Vendor budget pricing</t>
  </si>
  <si>
    <t xml:space="preserve">C-11</t>
  </si>
  <si>
    <t xml:space="preserve">Furniture, fittings and equipment</t>
  </si>
  <si>
    <t xml:space="preserve">Room data sheets x unit rates</t>
  </si>
  <si>
    <t xml:space="preserve">C-12</t>
  </si>
  <si>
    <t xml:space="preserve">Decant and enabling works</t>
  </si>
  <si>
    <t xml:space="preserve">Temporary facilities and service decant</t>
  </si>
  <si>
    <t xml:space="preserve">Comparable project benchmark</t>
  </si>
  <si>
    <t xml:space="preserve">C-13</t>
  </si>
  <si>
    <t xml:space="preserve">Enabling works and early utilities</t>
  </si>
  <si>
    <t xml:space="preserve">Utility authority estimate</t>
  </si>
  <si>
    <t xml:space="preserve">C-14</t>
  </si>
  <si>
    <t xml:space="preserve">Risk allowance</t>
  </si>
  <si>
    <t xml:space="preserve">Contingency allowance (driven by Inputs)</t>
  </si>
  <si>
    <t xml:space="preserve">Percentage of base capital cost from Inputs</t>
  </si>
  <si>
    <t xml:space="preserve">C-15</t>
  </si>
  <si>
    <t xml:space="preserve">Operating costs</t>
  </si>
  <si>
    <t xml:space="preserve">Facility operations and management</t>
  </si>
  <si>
    <t xml:space="preserve">Operating</t>
  </si>
  <si>
    <t xml:space="preserve">Annual</t>
  </si>
  <si>
    <t xml:space="preserve">Operating model, FTE and service contracts</t>
  </si>
  <si>
    <t xml:space="preserve">C-16</t>
  </si>
  <si>
    <t xml:space="preserve">Staffing</t>
  </si>
  <si>
    <t xml:space="preserve">Incremental staffing and workforce costs</t>
  </si>
  <si>
    <t xml:space="preserve">Establishment schedule x award rates</t>
  </si>
  <si>
    <t xml:space="preserve">C-17</t>
  </si>
  <si>
    <t xml:space="preserve">Energy and utilities</t>
  </si>
  <si>
    <t xml:space="preserve">Energy, water and utilities</t>
  </si>
  <si>
    <t xml:space="preserve">Modelled consumption x tariff</t>
  </si>
  <si>
    <t xml:space="preserve">C-18</t>
  </si>
  <si>
    <t xml:space="preserve">Maintenance</t>
  </si>
  <si>
    <t xml:space="preserve">Routine and planned maintenance</t>
  </si>
  <si>
    <t xml:space="preserve">Percentage of asset replacement value</t>
  </si>
  <si>
    <t xml:space="preserve">C-19</t>
  </si>
  <si>
    <t xml:space="preserve">Insurance, rates and corporate overhead</t>
  </si>
  <si>
    <t xml:space="preserve">Corporate policy allocation</t>
  </si>
  <si>
    <t xml:space="preserve">C-20</t>
  </si>
  <si>
    <t xml:space="preserve">Maintenance and lifecycle</t>
  </si>
  <si>
    <t xml:space="preserve">Plant and equipment renewal (cyclical)</t>
  </si>
  <si>
    <t xml:space="preserve">Lifecycle</t>
  </si>
  <si>
    <t xml:space="preserve">Periodic</t>
  </si>
  <si>
    <t xml:space="preserve">Lifecycle model, 10-year cycle</t>
  </si>
  <si>
    <t xml:space="preserve">C-21</t>
  </si>
  <si>
    <t xml:space="preserve">Building fabric and finishes refresh</t>
  </si>
  <si>
    <t xml:space="preserve">Lifecycle model, 15-year cycle</t>
  </si>
  <si>
    <t xml:space="preserve">C-22</t>
  </si>
  <si>
    <t xml:space="preserve">ICT and FF&amp;E replacement cycle</t>
  </si>
  <si>
    <t xml:space="preserve">Asset register replacement cycle</t>
  </si>
  <si>
    <t xml:space="preserve">C-23</t>
  </si>
  <si>
    <t xml:space="preserve">Decommissioning</t>
  </si>
  <si>
    <t xml:space="preserve">Decommissioning and disposal provision</t>
  </si>
  <si>
    <t xml:space="preserve">Provisional allowance</t>
  </si>
  <si>
    <t xml:space="preserve">TOTAL</t>
  </si>
  <si>
    <t xml:space="preserve">Capital costs - total by year (undiscounted)</t>
  </si>
  <si>
    <t xml:space="preserve">Operating costs - total by year (undiscounted)</t>
  </si>
  <si>
    <t xml:space="preserve">Lifecycle costs - total by year (undiscounted)</t>
  </si>
  <si>
    <t xml:space="preserve">All costs - total by year (undiscounted)</t>
  </si>
  <si>
    <t xml:space="preserve">Subtotal by category (SUMIF over the whole appraisal horizon)</t>
  </si>
  <si>
    <t xml:space="preserve">S-01</t>
  </si>
  <si>
    <t xml:space="preserve">S-02</t>
  </si>
  <si>
    <t xml:space="preserve">S-03</t>
  </si>
  <si>
    <t xml:space="preserve">S-04</t>
  </si>
  <si>
    <t xml:space="preserve">S-05</t>
  </si>
  <si>
    <t xml:space="preserve">S-06</t>
  </si>
  <si>
    <t xml:space="preserve">S-07</t>
  </si>
  <si>
    <t xml:space="preserve">S-08</t>
  </si>
  <si>
    <t xml:space="preserve">S-09</t>
  </si>
  <si>
    <t xml:space="preserve">S-10</t>
  </si>
  <si>
    <t xml:space="preserve">S-11</t>
  </si>
  <si>
    <t xml:space="preserve">S-12</t>
  </si>
  <si>
    <t xml:space="preserve">S-13</t>
  </si>
  <si>
    <t xml:space="preserve">All categories</t>
  </si>
  <si>
    <t xml:space="preserve">Profile key:  Spread = amount divided evenly across 'Duration' years from 'Start year'.   Annual = amount recurs every year from 'Start year' (duration 0 = to the end of the model horizon).   Periodic = amount recurs every 'Interval' years from 'Start year'.</t>
  </si>
  <si>
    <t xml:space="preserve">Monetised incremental benefits, with the ramp-up profile applied by formula from the Inputs sheet.</t>
  </si>
  <si>
    <t xml:space="preserve">Monetised benefit line items - incremental (with-project minus Base Case)</t>
  </si>
  <si>
    <t xml:space="preserve">Ramped items follow the ramp-up factor row below.</t>
  </si>
  <si>
    <t xml:space="preserve">Ramp-up factor →</t>
  </si>
  <si>
    <t xml:space="preserve">Benefit item</t>
  </si>
  <si>
    <t xml:space="preserve">Annual value at full realisation</t>
  </si>
  <si>
    <t xml:space="preserve">Duration (yrs)</t>
  </si>
  <si>
    <t xml:space="preserve">Valuation basis</t>
  </si>
  <si>
    <t xml:space="preserve">Source of evidence</t>
  </si>
  <si>
    <t xml:space="preserve">B-01</t>
  </si>
  <si>
    <t xml:space="preserve">Avoided cost</t>
  </si>
  <si>
    <t xml:space="preserve">Avoided operating cost of the legacy facility</t>
  </si>
  <si>
    <t xml:space="preserve">Ramped</t>
  </si>
  <si>
    <t xml:space="preserve">Resource cost saving - avoided expenditure</t>
  </si>
  <si>
    <t xml:space="preserve">Legacy facility actual costs, 3-year average</t>
  </si>
  <si>
    <t xml:space="preserve">B-02</t>
  </si>
  <si>
    <t xml:space="preserve">Avoided renewal and deferred maintenance backlog</t>
  </si>
  <si>
    <t xml:space="preserve">Avoided capital renewal, annualised</t>
  </si>
  <si>
    <t xml:space="preserve">Condition audit and backlog register</t>
  </si>
  <si>
    <t xml:space="preserve">B-03</t>
  </si>
  <si>
    <t xml:space="preserve">Productivity</t>
  </si>
  <si>
    <t xml:space="preserve">Service delivery productivity gains</t>
  </si>
  <si>
    <t xml:space="preserve">Staff hours released x fully loaded hourly cost</t>
  </si>
  <si>
    <t xml:space="preserve">Time and motion study, comparable sites</t>
  </si>
  <si>
    <t xml:space="preserve">B-04</t>
  </si>
  <si>
    <t xml:space="preserve">Capacity and throughput</t>
  </si>
  <si>
    <t xml:space="preserve">Additional service episodes delivered</t>
  </si>
  <si>
    <t xml:space="preserve">Incremental throughput x unit value of service</t>
  </si>
  <si>
    <t xml:space="preserve">Demand model and unit cost benchmarks</t>
  </si>
  <si>
    <t xml:space="preserve">B-05</t>
  </si>
  <si>
    <t xml:space="preserve">User time savings</t>
  </si>
  <si>
    <t xml:space="preserve">User and carer travel time savings</t>
  </si>
  <si>
    <t xml:space="preserve">Hours saved x value of travel time savings</t>
  </si>
  <si>
    <t xml:space="preserve">Catchment travel model, national VTTS values</t>
  </si>
  <si>
    <t xml:space="preserve">B-06</t>
  </si>
  <si>
    <t xml:space="preserve">Energy and carbon</t>
  </si>
  <si>
    <t xml:space="preserve">Energy efficiency and carbon abatement</t>
  </si>
  <si>
    <t xml:space="preserve">tCO2-e abated x shadow carbon price (from Inputs)</t>
  </si>
  <si>
    <t xml:space="preserve">Energy model and jurisdictional carbon values</t>
  </si>
  <si>
    <t xml:space="preserve">B-07</t>
  </si>
  <si>
    <t xml:space="preserve">Safety</t>
  </si>
  <si>
    <t xml:space="preserve">Reduced incidents, injuries and slips</t>
  </si>
  <si>
    <t xml:space="preserve">Incidents avoided x value of prevented injury</t>
  </si>
  <si>
    <t xml:space="preserve">Incident register and national safety values</t>
  </si>
  <si>
    <t xml:space="preserve">B-08</t>
  </si>
  <si>
    <t xml:space="preserve">Revenue and commercial</t>
  </si>
  <si>
    <t xml:space="preserve">Memberships, programme fees and commercial hire</t>
  </si>
  <si>
    <t xml:space="preserve">Net incremental revenue (financial CBA line)</t>
  </si>
  <si>
    <t xml:space="preserve">Business plan and comparable facility yields</t>
  </si>
  <si>
    <t xml:space="preserve">B-09</t>
  </si>
  <si>
    <t xml:space="preserve">Wider economic</t>
  </si>
  <si>
    <t xml:space="preserve">Wider economic and agglomeration effects</t>
  </si>
  <si>
    <t xml:space="preserve">Wider economic impact uplift, capped</t>
  </si>
  <si>
    <t xml:space="preserve">Regional economic model</t>
  </si>
  <si>
    <t xml:space="preserve">B-10</t>
  </si>
  <si>
    <t xml:space="preserve">Compliance</t>
  </si>
  <si>
    <t xml:space="preserve">Avoided compliance and regulatory penalties</t>
  </si>
  <si>
    <t xml:space="preserve">Expected penalty x probability avoided</t>
  </si>
  <si>
    <t xml:space="preserve">Regulator correspondence and notices</t>
  </si>
  <si>
    <t xml:space="preserve">B-11</t>
  </si>
  <si>
    <t xml:space="preserve">Disposal</t>
  </si>
  <si>
    <t xml:space="preserve">Disposal receipts - legacy site divestment</t>
  </si>
  <si>
    <t xml:space="preserve">One-off</t>
  </si>
  <si>
    <t xml:space="preserve">Net realisable value at disposal</t>
  </si>
  <si>
    <t xml:space="preserve">Independent valuation</t>
  </si>
  <si>
    <t xml:space="preserve">All monetised benefits - total by year (undiscounted)</t>
  </si>
  <si>
    <t xml:space="preserve">Subtotal by benefit category (SUMIF over the whole appraisal horizon)</t>
  </si>
  <si>
    <t xml:space="preserve">Profile key: Ramped = annual value multiplied by the ramp-up factor row above, from 'Start year' (duration 0 = to the end of the model horizon). One-off = single amount in 'Start year'. Periodic = amount recurs every 'Duration' years. Residual value is NOT entered here - it is derived on the Inputs sheet and recognised in the Cash Flow.</t>
  </si>
  <si>
    <t xml:space="preserve">Cash Flow &amp; Discounting</t>
  </si>
  <si>
    <t xml:space="preserve">The calculation engine - one row per year. Every cell is a formula. This sheet is the source of truth for all results.</t>
  </si>
  <si>
    <t xml:space="preserve">Do not overtype anything on this sheet. Change the drivers on the Inputs &amp; Assumptions sheet instead. Rows beyond the appraisal period are switched off by the 'In appraisal period' flag.</t>
  </si>
  <si>
    <t xml:space="preserve">Discounted cash flow</t>
  </si>
  <si>
    <t xml:space="preserve">Discount factor = 1 / (1 + effective discount rate) ^ year index</t>
  </si>
  <si>
    <t xml:space="preserve">Year index</t>
  </si>
  <si>
    <t xml:space="preserve">Calendar year</t>
  </si>
  <si>
    <t xml:space="preserve">Capital costs</t>
  </si>
  <si>
    <t xml:space="preserve">Lifecycle costs</t>
  </si>
  <si>
    <t xml:space="preserve">Optimism bias adjustment</t>
  </si>
  <si>
    <t xml:space="preserve">Total costs</t>
  </si>
  <si>
    <t xml:space="preserve">Monetised benefits</t>
  </si>
  <si>
    <t xml:space="preserve">Total benefits</t>
  </si>
  <si>
    <t xml:space="preserve">Net cash flow</t>
  </si>
  <si>
    <t xml:space="preserve">Discount factor</t>
  </si>
  <si>
    <t xml:space="preserve">PV of costs</t>
  </si>
  <si>
    <t xml:space="preserve">PV of benefits</t>
  </si>
  <si>
    <t xml:space="preserve">PV net</t>
  </si>
  <si>
    <t xml:space="preserve">Cumulative PV net</t>
  </si>
  <si>
    <t xml:space="preserve">Escalation factor</t>
  </si>
  <si>
    <t xml:space="preserve">In appraisal period</t>
  </si>
  <si>
    <t xml:space="preserve">Cumulative net cash flow (undiscounted)</t>
  </si>
  <si>
    <t xml:space="preserve">Headline appraisal metrics - every figure is calculated from the Cash Flow sheet.</t>
  </si>
  <si>
    <t xml:space="preserve">Headline result</t>
  </si>
  <si>
    <t xml:space="preserve">NET PRESENT VALUE</t>
  </si>
  <si>
    <t xml:space="preserve">BENEFIT COST RATIO</t>
  </si>
  <si>
    <t xml:space="preserve">INTERNAL RATE OF RETURN</t>
  </si>
  <si>
    <t xml:space="preserve">DISCOUNTED PAYBACK (YEARS)</t>
  </si>
  <si>
    <t xml:space="preserve">PV OF BENEFITS</t>
  </si>
  <si>
    <t xml:space="preserve">PV OF COSTS</t>
  </si>
  <si>
    <t xml:space="preserve">EQUIVALENT ANNUAL VALUE</t>
  </si>
  <si>
    <t xml:space="preserve">PV OF CAPITAL INVESTED</t>
  </si>
  <si>
    <t xml:space="preserve">Appraisal results</t>
  </si>
  <si>
    <t xml:space="preserve">All figures are present values unless stated.</t>
  </si>
  <si>
    <t xml:space="preserve">Measure</t>
  </si>
  <si>
    <t xml:space="preserve">Basis</t>
  </si>
  <si>
    <t xml:space="preserve">Present value of costs (PVC)</t>
  </si>
  <si>
    <t xml:space="preserve">Sum of discounted total costs, including the optimism bias adjustment.</t>
  </si>
  <si>
    <t xml:space="preserve">Present value of benefits (PVB)</t>
  </si>
  <si>
    <t xml:space="preserve">Sum of discounted monetised benefits plus residual value.</t>
  </si>
  <si>
    <t xml:space="preserve">NPV = PVB - PVC. The primary decision measure.</t>
  </si>
  <si>
    <t xml:space="preserve">ratio</t>
  </si>
  <si>
    <t xml:space="preserve">PVB / PVC. A BCR above 1.0 indicates monetised benefits exceed monetised costs.</t>
  </si>
  <si>
    <t xml:space="preserve">PV of capital cost (incl. optimism bias)</t>
  </si>
  <si>
    <t xml:space="preserve">Discounted capital expenditure plus the optimism bias uplift.</t>
  </si>
  <si>
    <t xml:space="preserve">PV of operating and lifecycle cost</t>
  </si>
  <si>
    <t xml:space="preserve">Discounted recurrent and lifecycle renewal cost.</t>
  </si>
  <si>
    <t xml:space="preserve">PV of monetised benefits (excl. residual value)</t>
  </si>
  <si>
    <t xml:space="preserve">Discounted benefit stream from the Benefit Inputs sheet.</t>
  </si>
  <si>
    <t xml:space="preserve">PV of residual value</t>
  </si>
  <si>
    <t xml:space="preserve">Discounted residual value recognised in the final appraisal year.</t>
  </si>
  <si>
    <t xml:space="preserve">Net benefit cost ratio (net BCR)</t>
  </si>
  <si>
    <t xml:space="preserve">Net benefits (benefits less recurrent cost) divided by PV of capital invested.</t>
  </si>
  <si>
    <t xml:space="preserve">Discount rate at which NPV = 0, on the undiscounted net cash flow.</t>
  </si>
  <si>
    <t xml:space="preserve">Discounted payback - calendar year</t>
  </si>
  <si>
    <t xml:space="preserve">First year in which cumulative PV net turns positive.</t>
  </si>
  <si>
    <t xml:space="preserve">Discounted payback - years from start</t>
  </si>
  <si>
    <t xml:space="preserve">Year index at which cumulative PV net turns positive.</t>
  </si>
  <si>
    <t xml:space="preserve">Simple payback - years from start (undiscounted)</t>
  </si>
  <si>
    <t xml:space="preserve">Year index at which cumulative undiscounted net cash flow turns positive.</t>
  </si>
  <si>
    <t xml:space="preserve">NPV per unit of capital invested</t>
  </si>
  <si>
    <t xml:space="preserve">NPV divided by the PV of capital cost - a capital-rationing measure.</t>
  </si>
  <si>
    <t xml:space="preserve">Equivalent annual value (annualised NPV)</t>
  </si>
  <si>
    <t xml:space="preserve">amount p.a.</t>
  </si>
  <si>
    <t xml:space="preserve">NPV converted to a constant annual equivalent over the appraisal period.</t>
  </si>
  <si>
    <t xml:space="preserve">Equivalent annual cost</t>
  </si>
  <si>
    <t xml:space="preserve">PV of costs converted to a constant annual equivalent - use to compare options of unequal life.</t>
  </si>
  <si>
    <t xml:space="preserve">Appraisal verdict (monetised terms only)</t>
  </si>
  <si>
    <t xml:space="preserve">Decision rules applied</t>
  </si>
  <si>
    <t xml:space="preserve">•   NPV is the primary decision measure. An option is economically worthwhile when NPV &gt; 0 at the mandated discount rate.</t>
  </si>
  <si>
    <t xml:space="preserve">• BCR is used to rank options under capital rationing, not to select between mutually exclusive options - use incremental NPV for that.</t>
  </si>
  <si>
    <t xml:space="preserve">•   A BCR between 1.0 and 1.2 is treated here as marginal: the result is within the plausible error band of most appraisals and should not be relied on without sensitivity and switching-value evidence.</t>
  </si>
  <si>
    <t xml:space="preserve">•   IRR is reported for information. It is unreliable where the net cash flow changes sign more than once and must not override NPV.</t>
  </si>
  <si>
    <t xml:space="preserve">•   Non-monetised and distributional impacts are material to the decision and are recorded below and on the Distributional Impacts sheet.</t>
  </si>
  <si>
    <t xml:space="preserve">Impacts that cannot be reliably valued but must inform the decision.</t>
  </si>
  <si>
    <t xml:space="preserve">Impact</t>
  </si>
  <si>
    <t xml:space="preserve">Direction</t>
  </si>
  <si>
    <t xml:space="preserve">Significance</t>
  </si>
  <si>
    <t xml:space="preserve">Evidence / basis</t>
  </si>
  <si>
    <t xml:space="preserve">Who is affected</t>
  </si>
  <si>
    <t xml:space="preserve">Health and wellbeing outcomes for the catchment population</t>
  </si>
  <si>
    <t xml:space="preserve">Positive</t>
  </si>
  <si>
    <t xml:space="preserve">Major</t>
  </si>
  <si>
    <t xml:space="preserve">Public health evidence review; comparable facility outcome data</t>
  </si>
  <si>
    <t xml:space="preserve">Catchment residents, particularly older adults and families</t>
  </si>
  <si>
    <t xml:space="preserve">Social inclusion and community cohesion</t>
  </si>
  <si>
    <t xml:space="preserve">Moderate</t>
  </si>
  <si>
    <t xml:space="preserve">Community consultation; participation survey</t>
  </si>
  <si>
    <t xml:space="preserve">Low-income households, culturally diverse communities</t>
  </si>
  <si>
    <t xml:space="preserve">Accessibility for people with disability</t>
  </si>
  <si>
    <t xml:space="preserve">Universal design compliance report</t>
  </si>
  <si>
    <t xml:space="preserve">People with disability and their carers</t>
  </si>
  <si>
    <t xml:space="preserve">Heritage and townscape character</t>
  </si>
  <si>
    <t xml:space="preserve">Negative</t>
  </si>
  <si>
    <t xml:space="preserve">Minor</t>
  </si>
  <si>
    <t xml:space="preserve">Heritage impact statement</t>
  </si>
  <si>
    <t xml:space="preserve">Local residents, heritage bodies</t>
  </si>
  <si>
    <t xml:space="preserve">Construction-phase amenity, noise and traffic disruption</t>
  </si>
  <si>
    <t xml:space="preserve">Construction environmental management plan</t>
  </si>
  <si>
    <t xml:space="preserve">Adjacent residents and businesses</t>
  </si>
  <si>
    <t xml:space="preserve">Climate resilience and adaptation capability</t>
  </si>
  <si>
    <t xml:space="preserve">Climate risk assessment</t>
  </si>
  <si>
    <t xml:space="preserve">Whole catchment, emergency services</t>
  </si>
  <si>
    <t xml:space="preserve">Workforce attraction and retention in the region</t>
  </si>
  <si>
    <t xml:space="preserve">Workforce strategy; vacancy data</t>
  </si>
  <si>
    <t xml:space="preserve">Health and leisure sector employees</t>
  </si>
  <si>
    <t xml:space="preserve">Biodiversity and open-space quality</t>
  </si>
  <si>
    <t xml:space="preserve">Neutral</t>
  </si>
  <si>
    <t xml:space="preserve">Ecological assessment; offset plan</t>
  </si>
  <si>
    <t xml:space="preserve">Local environment groups</t>
  </si>
  <si>
    <t xml:space="preserve">Qualitative impacts must be weighed alongside the monetised result. Where a non-monetised impact is assessed as Major, record explicitly in the business case how it was taken into account in the recommendation.</t>
  </si>
  <si>
    <t xml:space="preserve">One-way sensitivity, switching values and a tornado ranking - all recomputed live from the Cash Flow.</t>
  </si>
  <si>
    <t xml:space="preserve">Each cell re-derives the present values from the Cash Flow sheet with the named driver scaled. No Excel data tables are used, so the results recalculate anywhere.</t>
  </si>
  <si>
    <t xml:space="preserve">Base present value components</t>
  </si>
  <si>
    <t xml:space="preserve">Component</t>
  </si>
  <si>
    <t xml:space="preserve">Note</t>
  </si>
  <si>
    <t xml:space="preserve">PV of total costs</t>
  </si>
  <si>
    <t xml:space="preserve">From the Results sheet.</t>
  </si>
  <si>
    <t xml:space="preserve">PV of total benefits</t>
  </si>
  <si>
    <t xml:space="preserve">Includes residual value.</t>
  </si>
  <si>
    <t xml:space="preserve">Scales with the capital cost driver.</t>
  </si>
  <si>
    <t xml:space="preserve">Scales with the operating cost driver.</t>
  </si>
  <si>
    <t xml:space="preserve">PV of monetised benefits (excl. residual)</t>
  </si>
  <si>
    <t xml:space="preserve">Scales with the benefits driver.</t>
  </si>
  <si>
    <t xml:space="preserve">Base NPV</t>
  </si>
  <si>
    <t xml:space="preserve">Reference point for every sensitivity below.</t>
  </si>
  <si>
    <t xml:space="preserve">Annual value of ramped benefits at full realisation</t>
  </si>
  <si>
    <t xml:space="preserve">Used to re-derive the benefit stream under a different ramp-up period.</t>
  </si>
  <si>
    <t xml:space="preserve">PV of ramped benefits at the base ramp-up period</t>
  </si>
  <si>
    <t xml:space="preserve">Cross-check: this plus the PV of one-off and periodic benefit lines equals the PV of monetised benefits above.</t>
  </si>
  <si>
    <t xml:space="preserve">One-way sensitivity - NPV and BCR at each driver setting</t>
  </si>
  <si>
    <t xml:space="preserve">Sensitivity steps are set on the Inputs sheet.</t>
  </si>
  <si>
    <t xml:space="preserve">Driver</t>
  </si>
  <si>
    <t xml:space="preserve">Base</t>
  </si>
  <si>
    <t xml:space="preserve">Downside NPV swing</t>
  </si>
  <si>
    <t xml:space="preserve">Upside NPV swing</t>
  </si>
  <si>
    <t xml:space="preserve">How the driver is applied</t>
  </si>
  <si>
    <t xml:space="preserve">Capital cost (incl. optimism bias)</t>
  </si>
  <si>
    <t xml:space="preserve">NPV</t>
  </si>
  <si>
    <t xml:space="preserve">PV of capital cost scaled by the percentage shown; benefits held constant.</t>
  </si>
  <si>
    <t xml:space="preserve">BCR</t>
  </si>
  <si>
    <t xml:space="preserve">Operating and lifecycle cost</t>
  </si>
  <si>
    <t xml:space="preserve">PV of recurrent and renewal cost scaled by the percentage shown.</t>
  </si>
  <si>
    <t xml:space="preserve">PV of the benefit stream scaled by the percentage shown; residual value held constant.</t>
  </si>
  <si>
    <t xml:space="preserve">Effective discount rate scaled by the percentage shown; the whole cash flow is re-discounted.</t>
  </si>
  <si>
    <t xml:space="preserve">Appraisal period scaled and rounded to whole years; the cash flow is re-summed over the new horizon.</t>
  </si>
  <si>
    <t xml:space="preserve">Ramp-up period scaled by the percentage shown; a longer ramp delays benefit realisation.</t>
  </si>
  <si>
    <t xml:space="preserve">Explicit discount rate test points</t>
  </si>
  <si>
    <t xml:space="preserve">Set the three rates on the Inputs sheet.</t>
  </si>
  <si>
    <t xml:space="preserve">Rate</t>
  </si>
  <si>
    <t xml:space="preserve">Low test rate</t>
  </si>
  <si>
    <t xml:space="preserve">Whole cash flow re-discounted at the rate shown.</t>
  </si>
  <si>
    <t xml:space="preserve">Central test rate</t>
  </si>
  <si>
    <t xml:space="preserve">High test rate</t>
  </si>
  <si>
    <t xml:space="preserve">Model rate in use</t>
  </si>
  <si>
    <t xml:space="preserve">Switching values - the change that drives NPV to zero</t>
  </si>
  <si>
    <t xml:space="preserve">Interpretation</t>
  </si>
  <si>
    <t xml:space="preserve">Headroom assessment</t>
  </si>
  <si>
    <t xml:space="preserve">% change</t>
  </si>
  <si>
    <t xml:space="preserve">The percentage change in monetised benefits at which NPV = 0. A large negative number means the case is robust to benefit shortfall.</t>
  </si>
  <si>
    <t xml:space="preserve">The percentage capital cost overrun at which NPV = 0.</t>
  </si>
  <si>
    <t xml:space="preserve">The percentage increase in recurrent cost at which NPV = 0.</t>
  </si>
  <si>
    <t xml:space="preserve">Discount rate (switching rate = IRR)</t>
  </si>
  <si>
    <t xml:space="preserve">The discount rate at which NPV = 0 - this is the internal rate of return. Headroom is measured as the margin over the discount rate in use.</t>
  </si>
  <si>
    <t xml:space="preserve">Proof: applying the benefits switching value above to the monetised benefit stream returns an NPV of zero - see the check cell below.</t>
  </si>
  <si>
    <t xml:space="preserve">Check - NPV at the benefits switching value</t>
  </si>
  <si>
    <t xml:space="preserve">Must be zero (to rounding).</t>
  </si>
  <si>
    <t xml:space="preserve">Tornado - drivers ranked by NPV swing</t>
  </si>
  <si>
    <t xml:space="preserve">Swing measured across the outer sensitivity band.</t>
  </si>
  <si>
    <t xml:space="preserve">NPV at low setting</t>
  </si>
  <si>
    <t xml:space="preserve">NPV at high setting</t>
  </si>
  <si>
    <t xml:space="preserve">NPV swing (absolute)</t>
  </si>
  <si>
    <t xml:space="preserve">Rank</t>
  </si>
  <si>
    <t xml:space="preserve">Share of total swing</t>
  </si>
  <si>
    <t xml:space="preserve">Materiality</t>
  </si>
  <si>
    <t xml:space="preserve">Read the tornado top-down: the driver with rank 1 has the largest influence on NPV and should receive the greatest estimating, assurance and risk-management effort. Switching values above tell you how far each driver has to move before the recommendation changes.</t>
  </si>
  <si>
    <t xml:space="preserve">Side-by-side comparison of the Base Case and up to three options, with formula-driven ranking.</t>
  </si>
  <si>
    <t xml:space="preserve">Option 1 is linked live to this workbook's model. For Options 2 and 3, enter the present value figures produced by a separate run of this template (save one copy per option) - the derived metrics below calculate automatically.</t>
  </si>
  <si>
    <t xml:space="preserve">Options comparison</t>
  </si>
  <si>
    <t xml:space="preserve">Base Case (do-minimum)</t>
  </si>
  <si>
    <t xml:space="preserve">Option 2</t>
  </si>
  <si>
    <t xml:space="preserve">Option 3</t>
  </si>
  <si>
    <t xml:space="preserve">Option description</t>
  </si>
  <si>
    <t xml:space="preserve">Option 2 - Refurbish and extend the existing facility</t>
  </si>
  <si>
    <t xml:space="preserve">Option 3 - Two smaller distributed facilities</t>
  </si>
  <si>
    <t xml:space="preserve">Base Case is the counterfactual against which all options are measured.</t>
  </si>
  <si>
    <t xml:space="preserve">Capital cost (undiscounted, incl. optimism bias)</t>
  </si>
  <si>
    <t xml:space="preserve">Base Case has no incremental capital cost by definition.</t>
  </si>
  <si>
    <t xml:space="preserve">Incremental PV of whole-of-life cost against the Base Case.</t>
  </si>
  <si>
    <t xml:space="preserve">Incremental PV of monetised benefits including residual value.</t>
  </si>
  <si>
    <t xml:space="preserve">NPV = PV of benefits less PV of costs.</t>
  </si>
  <si>
    <t xml:space="preserve">Benefit cost ratio.</t>
  </si>
  <si>
    <t xml:space="preserve">IRR</t>
  </si>
  <si>
    <t xml:space="preserve">Enter the IRR reported by each option's own model run.</t>
  </si>
  <si>
    <t xml:space="preserve">Discounted payback</t>
  </si>
  <si>
    <t xml:space="preserve">Years from analysis start until cumulative PV net turns positive.</t>
  </si>
  <si>
    <t xml:space="preserve">Risk rating</t>
  </si>
  <si>
    <t xml:space="preserve">rating</t>
  </si>
  <si>
    <t xml:space="preserve">Overall delivery and benefit-realisation risk.</t>
  </si>
  <si>
    <t xml:space="preserve">Non-monetised score (1 low - 5 high)</t>
  </si>
  <si>
    <t xml:space="preserve">score</t>
  </si>
  <si>
    <t xml:space="preserve">Weighted assessment of the non-monetised impacts recorded on the Results sheet.</t>
  </si>
  <si>
    <t xml:space="preserve">Rank by NPV</t>
  </si>
  <si>
    <t xml:space="preserve">rank</t>
  </si>
  <si>
    <t xml:space="preserve">1 = highest NPV.</t>
  </si>
  <si>
    <t xml:space="preserve">Rank by BCR</t>
  </si>
  <si>
    <t xml:space="preserve">1 = highest BCR. Use for capital rationing, not for choosing between mutually exclusive options.</t>
  </si>
  <si>
    <t xml:space="preserve">Recommended option (highest NPV)</t>
  </si>
  <si>
    <t xml:space="preserve">Incremental NPV of the recommended option over the next best</t>
  </si>
  <si>
    <t xml:space="preserve">Where options are mutually exclusive, select on the highest NPV, not the highest BCR. Where the incremental NPV between the top two options is small relative to the switching values on the Sensitivity Analysis sheet, the ranking is not robust and the non-monetised and distributional evidence should decide the outcome.</t>
  </si>
  <si>
    <t xml:space="preserve">Quantified risk register with PERT-weighted expected values, tested against the contingency allowance.</t>
  </si>
  <si>
    <t xml:space="preserve">Quantified risk register</t>
  </si>
  <si>
    <t xml:space="preserve">Expected value = PERT mean x likelihood.</t>
  </si>
  <si>
    <t xml:space="preserve">Risk</t>
  </si>
  <si>
    <t xml:space="preserve">Likelihood (%)</t>
  </si>
  <si>
    <t xml:space="preserve">Cost impact - min</t>
  </si>
  <si>
    <t xml:space="preserve">Cost impact - most likely</t>
  </si>
  <si>
    <t xml:space="preserve">Cost impact - max</t>
  </si>
  <si>
    <t xml:space="preserve">PERT expected cost</t>
  </si>
  <si>
    <t xml:space="preserve">Expected value</t>
  </si>
  <si>
    <t xml:space="preserve">Mitigation</t>
  </si>
  <si>
    <t xml:space="preserve">Owner</t>
  </si>
  <si>
    <t xml:space="preserve">Mitigation effectiveness (%)</t>
  </si>
  <si>
    <t xml:space="preserve">Post-mitigation EV</t>
  </si>
  <si>
    <t xml:space="preserve">R-01</t>
  </si>
  <si>
    <t xml:space="preserve">Ground conditions worse than assumed</t>
  </si>
  <si>
    <t xml:space="preserve">Additional geotechnical investigation before tender; provisional sum in contract</t>
  </si>
  <si>
    <t xml:space="preserve">Design Manager</t>
  </si>
  <si>
    <t xml:space="preserve">R-02</t>
  </si>
  <si>
    <t xml:space="preserve">Market escalation above allowance</t>
  </si>
  <si>
    <t xml:space="preserve">Market</t>
  </si>
  <si>
    <t xml:space="preserve">Early contractor involvement; fixed-price subcontracts; indexation cap</t>
  </si>
  <si>
    <t xml:space="preserve">Commercial Lead</t>
  </si>
  <si>
    <t xml:space="preserve">R-03</t>
  </si>
  <si>
    <t xml:space="preserve">Planning or approvals delay</t>
  </si>
  <si>
    <t xml:space="preserve">Approvals</t>
  </si>
  <si>
    <t xml:space="preserve">Pre-lodgement engagement; approvals tracker with float</t>
  </si>
  <si>
    <t xml:space="preserve">Planning Lead</t>
  </si>
  <si>
    <t xml:space="preserve">R-04</t>
  </si>
  <si>
    <t xml:space="preserve">Scope growth from stakeholder change</t>
  </si>
  <si>
    <t xml:space="preserve">Governance</t>
  </si>
  <si>
    <t xml:space="preserve">Frozen design baseline; change control board</t>
  </si>
  <si>
    <t xml:space="preserve">Project Director</t>
  </si>
  <si>
    <t xml:space="preserve">R-05</t>
  </si>
  <si>
    <t xml:space="preserve">Contractor insolvency or performance failure</t>
  </si>
  <si>
    <t xml:space="preserve">Delivery</t>
  </si>
  <si>
    <t xml:space="preserve">Financial capacity testing; performance security; step-in rights</t>
  </si>
  <si>
    <t xml:space="preserve">R-06</t>
  </si>
  <si>
    <t xml:space="preserve">Latent contamination on site</t>
  </si>
  <si>
    <t xml:space="preserve">Environment</t>
  </si>
  <si>
    <t xml:space="preserve">Intrusive site investigation; remediation action plan</t>
  </si>
  <si>
    <t xml:space="preserve">Environment Lead</t>
  </si>
  <si>
    <t xml:space="preserve">R-07</t>
  </si>
  <si>
    <t xml:space="preserve">Utility diversion complexity</t>
  </si>
  <si>
    <t xml:space="preserve">Early utility authority agreements; survey validation</t>
  </si>
  <si>
    <t xml:space="preserve">R-08</t>
  </si>
  <si>
    <t xml:space="preserve">Benefit realisation shortfall (demand below forecast)</t>
  </si>
  <si>
    <t xml:space="preserve">Benefits</t>
  </si>
  <si>
    <t xml:space="preserve">Demand validation; phased service ramp; benefits realisation plan</t>
  </si>
  <si>
    <t xml:space="preserve">Service Director</t>
  </si>
  <si>
    <t xml:space="preserve">R-09</t>
  </si>
  <si>
    <t xml:space="preserve">Industrial relations disruption</t>
  </si>
  <si>
    <t xml:space="preserve">Project labour agreement; contingency programme float</t>
  </si>
  <si>
    <t xml:space="preserve">Delivery Manager</t>
  </si>
  <si>
    <t xml:space="preserve">R-10</t>
  </si>
  <si>
    <t xml:space="preserve">Interface with operating facility during construction</t>
  </si>
  <si>
    <t xml:space="preserve">Operations</t>
  </si>
  <si>
    <t xml:space="preserve">Staged handover plan; decant strategy; operations liaison</t>
  </si>
  <si>
    <t xml:space="preserve">Operations Manager</t>
  </si>
  <si>
    <t xml:space="preserve">R-11</t>
  </si>
  <si>
    <t xml:space="preserve">Regulatory or code change during delivery</t>
  </si>
  <si>
    <t xml:space="preserve">Compliance watch; design flexibility allowance</t>
  </si>
  <si>
    <t xml:space="preserve">R-12</t>
  </si>
  <si>
    <t xml:space="preserve">Cyber or ICT integration failure</t>
  </si>
  <si>
    <t xml:space="preserve">ICT</t>
  </si>
  <si>
    <t xml:space="preserve">Early integration testing; vendor performance regime</t>
  </si>
  <si>
    <t xml:space="preserve">ICT Lead</t>
  </si>
  <si>
    <t xml:space="preserve">Contingency adequacy test</t>
  </si>
  <si>
    <t xml:space="preserve">Assessment</t>
  </si>
  <si>
    <t xml:space="preserve">Total pre-mitigation expected risk cost</t>
  </si>
  <si>
    <t xml:space="preserve">Total post-mitigation expected risk cost</t>
  </si>
  <si>
    <t xml:space="preserve">Contingency allowance from the Inputs sheet</t>
  </si>
  <si>
    <t xml:space="preserve">Contingency percentage applied to the base capital cost.</t>
  </si>
  <si>
    <t xml:space="preserve">Contingency coverage of post-mitigation risk</t>
  </si>
  <si>
    <t xml:space="preserve">Optimism bias uplift applied in the model</t>
  </si>
  <si>
    <t xml:space="preserve">The optimism bias adjustment carried in the Cash Flow.</t>
  </si>
  <si>
    <t xml:space="preserve">Combined risk allowance as a share of base capital</t>
  </si>
  <si>
    <t xml:space="preserve">Optimism bias reference values by project type</t>
  </si>
  <si>
    <t xml:space="preserve">Commonly cited international reference-class values - validate against your own outturn data.</t>
  </si>
  <si>
    <t xml:space="preserve">Project type</t>
  </si>
  <si>
    <t xml:space="preserve">Capital cost - upper bound (%)</t>
  </si>
  <si>
    <t xml:space="preserve">Capital cost - lower bound (%)</t>
  </si>
  <si>
    <t xml:space="preserve">Works duration - upper bound (%)</t>
  </si>
  <si>
    <t xml:space="preserve">Works duration - lower bound (%)</t>
  </si>
  <si>
    <t xml:space="preserve">Typical drivers of bias</t>
  </si>
  <si>
    <t xml:space="preserve">Standard buildings</t>
  </si>
  <si>
    <t xml:space="preserve">Repeatable design, known site conditions</t>
  </si>
  <si>
    <t xml:space="preserve">Non-standard buildings</t>
  </si>
  <si>
    <t xml:space="preserve">Bespoke design, complex services, occupied sites</t>
  </si>
  <si>
    <t xml:space="preserve">Standard civil engineering</t>
  </si>
  <si>
    <t xml:space="preserve">Linear works, known ground conditions</t>
  </si>
  <si>
    <t xml:space="preserve">Non-standard civil engineering</t>
  </si>
  <si>
    <t xml:space="preserve">Tunnelling, marine, deep excavation, interfaces</t>
  </si>
  <si>
    <t xml:space="preserve">Equipment and development</t>
  </si>
  <si>
    <t xml:space="preserve">Technology novelty, first-of-a-kind, integration risk</t>
  </si>
  <si>
    <t xml:space="preserve">Outsourcing and service transformation</t>
  </si>
  <si>
    <t xml:space="preserve">Benefit optimism, transition complexity</t>
  </si>
  <si>
    <t xml:space="preserve">Optimism bias is applied here to the total capital cost including the contingency line item. If your organisation applies the uplift to the base estimate only, set the contingency percentage on the Inputs sheet to zero and carry all risk in the optimism bias uplift, or vice versa - do not double count. The upper bound is the appropriate starting point at strategic outline case; the uplift may be reduced as risk is actively mitigated and the estimate matures, with the reduction evidenced.</t>
  </si>
  <si>
    <t xml:space="preserve">Distributional &amp; Qualitative Impacts</t>
  </si>
  <si>
    <t xml:space="preserve">Who bears the costs and who receives the benefits - monetised split and qualitative significance.</t>
  </si>
  <si>
    <t xml:space="preserve">Enter the share of PV costs and PV benefits attributable to each group. The monetised amounts are calculated from the Results sheet. Shares in each column should sum to 100%.</t>
  </si>
  <si>
    <t xml:space="preserve">Distributional analysis by stakeholder group</t>
  </si>
  <si>
    <t xml:space="preserve">Stakeholder group</t>
  </si>
  <si>
    <t xml:space="preserve">Share of PV costs</t>
  </si>
  <si>
    <t xml:space="preserve">Share of PV benefits</t>
  </si>
  <si>
    <t xml:space="preserve">PV costs borne</t>
  </si>
  <si>
    <t xml:space="preserve">PV benefits received</t>
  </si>
  <si>
    <t xml:space="preserve">Net position</t>
  </si>
  <si>
    <t xml:space="preserve">Commentary</t>
  </si>
  <si>
    <t xml:space="preserve">General taxpayers / national budget</t>
  </si>
  <si>
    <t xml:space="preserve">Bears the majority of capital funding; receives limited direct benefit.</t>
  </si>
  <si>
    <t xml:space="preserve">Local government / asset owner</t>
  </si>
  <si>
    <t xml:space="preserve">Funds recurrent operations; receives avoided legacy cost and disposal receipts.</t>
  </si>
  <si>
    <t xml:space="preserve">Catchment residents - general</t>
  </si>
  <si>
    <t xml:space="preserve">Principal beneficiary through access, time savings and health outcomes.</t>
  </si>
  <si>
    <t xml:space="preserve">Low-income and vulnerable households</t>
  </si>
  <si>
    <t xml:space="preserve">Disproportionate benefit from subsidised access and proximity; distributional weight may apply.</t>
  </si>
  <si>
    <t xml:space="preserve">Older adults and people with disability</t>
  </si>
  <si>
    <t xml:space="preserve">Accessibility and health-service benefits concentrated in this group.</t>
  </si>
  <si>
    <t xml:space="preserve">Local businesses and employers</t>
  </si>
  <si>
    <t xml:space="preserve">Construction-phase disruption offset by workforce and trade benefits.</t>
  </si>
  <si>
    <t xml:space="preserve">Facility users paying fees</t>
  </si>
  <si>
    <t xml:space="preserve">Pays membership and programme fees; receives service quality improvement.</t>
  </si>
  <si>
    <t xml:space="preserve">Environment and future generations</t>
  </si>
  <si>
    <t xml:space="preserve">Carbon abatement and climate resilience accrue beyond the appraisal period.</t>
  </si>
  <si>
    <t xml:space="preserve">Allocation check</t>
  </si>
  <si>
    <t xml:space="preserve">Net position check (total must equal NPV)</t>
  </si>
  <si>
    <t xml:space="preserve">Must be zero when the shares sum to 100% - the distributional split reallocates the NPV, it does not change it.</t>
  </si>
  <si>
    <t xml:space="preserve">Qualitative and equity considerations</t>
  </si>
  <si>
    <t xml:space="preserve">•   Distributional weighting: where your jurisdiction applies income-based welfare weights, apply them to the benefits received by lower-income groups and report both the unweighted and weighted NPV.</t>
  </si>
  <si>
    <t xml:space="preserve">• Transfer payments (taxes, subsidies, fees) redistribute between groups but do not create economic value - exclude them from the economic NPV while showing them in this distributional table.</t>
  </si>
  <si>
    <t xml:space="preserve">•   Where a group bears a net cost, record the mitigation or compensation measure and who is accountable for delivering it.</t>
  </si>
  <si>
    <t xml:space="preserve">•   Impacts on future generations extend beyond the appraisal period. Test them through the residual value and, where your jurisdiction permits, the declining long-run discount rate toggle on the Inputs sheet.</t>
  </si>
  <si>
    <t xml:space="preserve">•   Report the distributional result alongside the headline NPV. An option with a strong NPV but a regressive distribution may not be the right decision.</t>
  </si>
  <si>
    <t xml:space="preserve">Lists</t>
  </si>
  <si>
    <t xml:space="preserve">Dropdown sources - edit with care; these feed data validation across the workbook.</t>
  </si>
  <si>
    <t xml:space="preserve">Dropdown source lists</t>
  </si>
  <si>
    <t xml:space="preserve">Add items by extending a column, then widen the named range.</t>
  </si>
  <si>
    <t xml:space="preserve">Cost type</t>
  </si>
  <si>
    <t xml:space="preserve">Cost profile</t>
  </si>
  <si>
    <t xml:space="preserve">Benefit profile</t>
  </si>
  <si>
    <t xml:space="preserve">Impact direction</t>
  </si>
  <si>
    <t xml:space="preserve">Yes</t>
  </si>
  <si>
    <t xml:space="preserve">% of capex</t>
  </si>
  <si>
    <t xml:space="preserve">Nominal</t>
  </si>
  <si>
    <t xml:space="preserve">None</t>
  </si>
  <si>
    <t xml:space="preserve">Very high</t>
  </si>
  <si>
    <t xml:space="preserve">Negligible</t>
  </si>
</sst>
</file>

<file path=xl/styles.xml><?xml version="1.0" encoding="utf-8"?>
<styleSheet xmlns="http://schemas.openxmlformats.org/spreadsheetml/2006/main">
  <numFmts count="8">
    <numFmt numFmtId="164" formatCode="General"/>
    <numFmt numFmtId="165" formatCode="0"/>
    <numFmt numFmtId="166" formatCode="0.00%"/>
    <numFmt numFmtId="167" formatCode="0.0%"/>
    <numFmt numFmtId="168" formatCode="#,##0"/>
    <numFmt numFmtId="169" formatCode="0.00"/>
    <numFmt numFmtId="170" formatCode="0.0000"/>
    <numFmt numFmtId="171" formatCode="#,##0.00"/>
  </numFmts>
  <fonts count="27">
    <font>
      <sz val="11"/>
      <color theme="1"/>
      <name val="Calibri"/>
      <family val="2"/>
      <charset val="1"/>
    </font>
    <font>
      <sz val="10"/>
      <name val="Arial"/>
      <family val="0"/>
    </font>
    <font>
      <sz val="10"/>
      <name val="Arial"/>
      <family val="0"/>
    </font>
    <font>
      <sz val="10"/>
      <name val="Arial"/>
      <family val="0"/>
    </font>
    <font>
      <b val="true"/>
      <sz val="20"/>
      <color rgb="FFFFFFFF"/>
      <name val="Segoe UI Semibold"/>
      <family val="0"/>
      <charset val="1"/>
    </font>
    <font>
      <sz val="10.5"/>
      <color rgb="FF8E98A2"/>
      <name val="Segoe UI"/>
      <family val="0"/>
      <charset val="1"/>
    </font>
    <font>
      <b val="true"/>
      <sz val="11"/>
      <color rgb="FFFFFFFF"/>
      <name val="Segoe UI Semibold"/>
      <family val="0"/>
      <charset val="1"/>
    </font>
    <font>
      <sz val="10.5"/>
      <color rgb="FF1D3245"/>
      <name val="Segoe UI"/>
      <family val="0"/>
      <charset val="1"/>
    </font>
    <font>
      <sz val="10"/>
      <color rgb="FF1D3245"/>
      <name val="Segoe UI"/>
      <family val="0"/>
      <charset val="1"/>
    </font>
    <font>
      <b val="true"/>
      <sz val="9.5"/>
      <color rgb="FFFFFFFF"/>
      <name val="Segoe UI Semibold"/>
      <family val="0"/>
      <charset val="1"/>
    </font>
    <font>
      <b val="true"/>
      <sz val="10"/>
      <color rgb="FF1D3245"/>
      <name val="Segoe UI"/>
      <family val="0"/>
      <charset val="1"/>
    </font>
    <font>
      <sz val="9"/>
      <color rgb="FF8E98A2"/>
      <name val="Segoe UI"/>
      <family val="0"/>
      <charset val="1"/>
    </font>
    <font>
      <b val="true"/>
      <u val="single"/>
      <sz val="9"/>
      <color rgb="FF3480BC"/>
      <name val="Segoe UI"/>
      <family val="0"/>
      <charset val="1"/>
    </font>
    <font>
      <sz val="9.5"/>
      <color rgb="FF1D3245"/>
      <name val="Segoe UI"/>
      <family val="0"/>
      <charset val="1"/>
    </font>
    <font>
      <i val="true"/>
      <sz val="9.5"/>
      <color rgb="FF8E98A2"/>
      <name val="Segoe UI"/>
      <family val="0"/>
      <charset val="1"/>
    </font>
    <font>
      <i val="true"/>
      <sz val="9.5"/>
      <color rgb="FF1D3245"/>
      <name val="Segoe UI"/>
      <family val="0"/>
      <charset val="1"/>
    </font>
    <font>
      <sz val="9"/>
      <color rgb="FF1D3245"/>
      <name val="Segoe UI"/>
      <family val="0"/>
      <charset val="1"/>
    </font>
    <font>
      <i val="true"/>
      <sz val="9"/>
      <color rgb="FF8E98A2"/>
      <name val="Segoe UI"/>
      <family val="0"/>
      <charset val="1"/>
    </font>
    <font>
      <i val="true"/>
      <sz val="9"/>
      <color rgb="FFE6EFF7"/>
      <name val="Segoe UI"/>
      <family val="0"/>
      <charset val="1"/>
    </font>
    <font>
      <b val="true"/>
      <sz val="9"/>
      <color rgb="FF1D3245"/>
      <name val="Segoe UI"/>
      <family val="0"/>
      <charset val="1"/>
    </font>
    <font>
      <b val="true"/>
      <sz val="10"/>
      <color rgb="FFFFFFFF"/>
      <name val="Segoe UI Semibold"/>
      <family val="0"/>
      <charset val="1"/>
    </font>
    <font>
      <b val="true"/>
      <sz val="9"/>
      <color rgb="FFFFFFFF"/>
      <name val="Segoe UI Semibold"/>
      <family val="0"/>
      <charset val="1"/>
    </font>
    <font>
      <b val="true"/>
      <sz val="10.5"/>
      <color rgb="FF0D3C61"/>
      <name val="Segoe UI"/>
      <family val="0"/>
      <charset val="1"/>
    </font>
    <font>
      <b val="true"/>
      <sz val="8.5"/>
      <color rgb="FF3480BC"/>
      <name val="Segoe UI Semibold"/>
      <family val="0"/>
      <charset val="1"/>
    </font>
    <font>
      <b val="true"/>
      <sz val="16"/>
      <color rgb="FFFFFFFF"/>
      <name val="Segoe UI Semibold"/>
      <family val="0"/>
      <charset val="1"/>
    </font>
    <font>
      <b val="true"/>
      <sz val="11"/>
      <color rgb="FF1D3245"/>
      <name val="Segoe UI"/>
      <family val="0"/>
      <charset val="1"/>
    </font>
    <font>
      <b val="true"/>
      <sz val="12"/>
      <color rgb="FF1D3245"/>
      <name val="Segoe UI"/>
      <family val="0"/>
      <charset val="1"/>
    </font>
  </fonts>
  <fills count="8">
    <fill>
      <patternFill patternType="none"/>
    </fill>
    <fill>
      <patternFill patternType="gray125"/>
    </fill>
    <fill>
      <patternFill patternType="solid">
        <fgColor rgb="FF0C1628"/>
        <bgColor rgb="FF000000"/>
      </patternFill>
    </fill>
    <fill>
      <patternFill patternType="solid">
        <fgColor rgb="FF0D3C61"/>
        <bgColor rgb="FF1D3245"/>
      </patternFill>
    </fill>
    <fill>
      <patternFill patternType="solid">
        <fgColor rgb="FF1D3245"/>
        <bgColor rgb="FF0D3C61"/>
      </patternFill>
    </fill>
    <fill>
      <patternFill patternType="solid">
        <fgColor rgb="FFF6F9FC"/>
        <bgColor rgb="FFFFFFFF"/>
      </patternFill>
    </fill>
    <fill>
      <patternFill patternType="solid">
        <fgColor rgb="FFFFFFFF"/>
        <bgColor rgb="FFF6F9FC"/>
      </patternFill>
    </fill>
    <fill>
      <patternFill patternType="solid">
        <fgColor rgb="FFE6EFF7"/>
        <bgColor rgb="FFE4F2EC"/>
      </patternFill>
    </fill>
  </fills>
  <borders count="3">
    <border diagonalUp="false" diagonalDown="false">
      <left/>
      <right/>
      <top/>
      <bottom/>
      <diagonal/>
    </border>
    <border diagonalUp="false" diagonalDown="false">
      <left style="thin">
        <color rgb="FF1D3245"/>
      </left>
      <right style="thin">
        <color rgb="FF1D3245"/>
      </right>
      <top style="thin">
        <color rgb="FF1D3245"/>
      </top>
      <bottom style="thin">
        <color rgb="FF1D3245"/>
      </bottom>
      <diagonal/>
    </border>
    <border diagonalUp="false" diagonalDown="false">
      <left style="thin">
        <color rgb="FFC9D4E0"/>
      </left>
      <right style="thin">
        <color rgb="FFC9D4E0"/>
      </right>
      <top style="thin">
        <color rgb="FFC9D4E0"/>
      </top>
      <bottom style="thin">
        <color rgb="FFC9D4E0"/>
      </bottom>
      <diagonal/>
    </border>
  </borders>
  <cellStyleXfs count="20">
    <xf numFmtId="164" fontId="0" fillId="0" borderId="0" applyFont="true" applyBorder="true" applyAlignment="true" applyProtection="true">
      <alignment horizontal="general" vertical="bottom" textRotation="0" wrapText="false" indent="0" shrinkToFit="false"/>
      <protection locked="true" hidden="false"/>
    </xf>
    <xf numFmtId="0" fontId="1" fillId="0" borderId="0" applyFont="true" applyBorder="false" applyAlignment="false" applyProtection="false"/>
    <xf numFmtId="0" fontId="1" fillId="0" borderId="0" applyFont="true" applyBorder="false" applyAlignment="false" applyProtection="false"/>
    <xf numFmtId="0" fontId="2" fillId="0" borderId="0" applyFont="true" applyBorder="false" applyAlignment="false" applyProtection="false"/>
    <xf numFmtId="0" fontId="2"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43" fontId="1" fillId="0" borderId="0" applyFont="true" applyBorder="false" applyAlignment="false" applyProtection="false"/>
    <xf numFmtId="41" fontId="1" fillId="0" borderId="0" applyFont="true" applyBorder="false" applyAlignment="false" applyProtection="false"/>
    <xf numFmtId="44" fontId="1" fillId="0" borderId="0" applyFont="true" applyBorder="false" applyAlignment="false" applyProtection="false"/>
    <xf numFmtId="42" fontId="1" fillId="0" borderId="0" applyFont="true" applyBorder="false" applyAlignment="false" applyProtection="false"/>
    <xf numFmtId="9" fontId="1" fillId="0" borderId="0" applyFont="true" applyBorder="false" applyAlignment="false" applyProtection="false"/>
  </cellStyleXfs>
  <cellXfs count="93">
    <xf numFmtId="164" fontId="0" fillId="0" borderId="0" xfId="0" applyFont="false" applyBorder="false" applyAlignment="false" applyProtection="false">
      <alignment horizontal="general" vertical="bottom" textRotation="0" wrapText="false" indent="0" shrinkToFit="false"/>
      <protection locked="true" hidden="false"/>
    </xf>
    <xf numFmtId="164" fontId="0" fillId="0" borderId="0" xfId="0" applyFont="false" applyBorder="false" applyAlignment="true" applyProtection="false">
      <alignment horizontal="general" vertical="bottom" textRotation="0" wrapText="false" indent="0" shrinkToFit="false"/>
      <protection locked="true" hidden="false"/>
    </xf>
    <xf numFmtId="164" fontId="0" fillId="2" borderId="0" xfId="0" applyFont="false" applyBorder="false" applyAlignment="true" applyProtection="false">
      <alignment horizontal="general" vertical="bottom" textRotation="0" wrapText="false" indent="0" shrinkToFit="false"/>
      <protection locked="true" hidden="false"/>
    </xf>
    <xf numFmtId="164" fontId="4" fillId="2" borderId="0" xfId="0" applyFont="true" applyBorder="false" applyAlignment="true" applyProtection="false">
      <alignment horizontal="left" vertical="center" textRotation="0" wrapText="false" indent="0" shrinkToFit="false"/>
      <protection locked="true" hidden="false"/>
    </xf>
    <xf numFmtId="164" fontId="5" fillId="2" borderId="0" xfId="0" applyFont="true" applyBorder="false" applyAlignment="true" applyProtection="false">
      <alignment horizontal="left" vertical="top" textRotation="0" wrapText="false" indent="0" shrinkToFit="false"/>
      <protection locked="true" hidden="false"/>
    </xf>
    <xf numFmtId="164" fontId="6" fillId="3" borderId="0" xfId="0" applyFont="true" applyBorder="false" applyAlignment="true" applyProtection="false">
      <alignment horizontal="left" vertical="center" textRotation="0" wrapText="false" indent="1" shrinkToFit="false"/>
      <protection locked="true" hidden="false"/>
    </xf>
    <xf numFmtId="164" fontId="0" fillId="3" borderId="0" xfId="0" applyFont="false" applyBorder="false" applyAlignment="true" applyProtection="false">
      <alignment horizontal="general" vertical="bottom" textRotation="0" wrapText="false" indent="0" shrinkToFit="false"/>
      <protection locked="true" hidden="false"/>
    </xf>
    <xf numFmtId="164" fontId="7" fillId="0" borderId="0" xfId="0" applyFont="true" applyBorder="true" applyAlignment="true" applyProtection="false">
      <alignment horizontal="left" vertical="top" textRotation="0" wrapText="true" indent="1" shrinkToFit="false"/>
      <protection locked="true" hidden="false"/>
    </xf>
    <xf numFmtId="164" fontId="8" fillId="0" borderId="0" xfId="0" applyFont="true" applyBorder="true" applyAlignment="true" applyProtection="false">
      <alignment horizontal="left" vertical="top" textRotation="0" wrapText="true" indent="1" shrinkToFit="false"/>
      <protection locked="true" hidden="false"/>
    </xf>
    <xf numFmtId="164" fontId="9" fillId="4" borderId="1" xfId="0" applyFont="true" applyBorder="true" applyAlignment="true" applyProtection="false">
      <alignment horizontal="left" vertical="center" textRotation="0" wrapText="true" indent="1" shrinkToFit="false"/>
      <protection locked="true" hidden="false"/>
    </xf>
    <xf numFmtId="164" fontId="10" fillId="5" borderId="2" xfId="0" applyFont="true" applyBorder="true" applyAlignment="true" applyProtection="false">
      <alignment horizontal="left" vertical="top" textRotation="0" wrapText="false" indent="1" shrinkToFit="false"/>
      <protection locked="true" hidden="false"/>
    </xf>
    <xf numFmtId="164" fontId="8" fillId="6" borderId="2" xfId="0" applyFont="true" applyBorder="true" applyAlignment="true" applyProtection="false">
      <alignment horizontal="left" vertical="top" textRotation="0" wrapText="false" indent="1" shrinkToFit="false"/>
      <protection locked="true" hidden="false"/>
    </xf>
    <xf numFmtId="164" fontId="11" fillId="0" borderId="0" xfId="0" applyFont="true" applyBorder="true" applyAlignment="true" applyProtection="false">
      <alignment horizontal="left" vertical="top" textRotation="0" wrapText="true" indent="1" shrinkToFit="false"/>
      <protection locked="true" hidden="false"/>
    </xf>
    <xf numFmtId="164" fontId="11" fillId="5" borderId="0" xfId="0" applyFont="true" applyBorder="false" applyAlignment="true" applyProtection="false">
      <alignment horizontal="left" vertical="center" textRotation="0" wrapText="false" indent="1" shrinkToFit="false"/>
      <protection locked="true" hidden="false"/>
    </xf>
    <xf numFmtId="164" fontId="0" fillId="5" borderId="0" xfId="0" applyFont="false" applyBorder="false" applyAlignment="true" applyProtection="false">
      <alignment horizontal="general" vertical="bottom" textRotation="0" wrapText="false" indent="0" shrinkToFit="false"/>
      <protection locked="true" hidden="false"/>
    </xf>
    <xf numFmtId="164" fontId="12" fillId="5" borderId="0" xfId="0" applyFont="true" applyBorder="false" applyAlignment="true" applyProtection="false">
      <alignment horizontal="right" vertical="center" textRotation="0" wrapText="false" indent="0" shrinkToFit="false"/>
      <protection locked="true" hidden="false"/>
    </xf>
    <xf numFmtId="164" fontId="10" fillId="6" borderId="2" xfId="0" applyFont="true" applyBorder="true" applyAlignment="true" applyProtection="false">
      <alignment horizontal="left" vertical="top" textRotation="0" wrapText="true" indent="1" shrinkToFit="false"/>
      <protection locked="true" hidden="false"/>
    </xf>
    <xf numFmtId="164" fontId="10" fillId="5" borderId="2" xfId="0" applyFont="true" applyBorder="true" applyAlignment="true" applyProtection="false">
      <alignment horizontal="left" vertical="top" textRotation="0" wrapText="true" indent="1" shrinkToFit="false"/>
      <protection locked="true" hidden="false"/>
    </xf>
    <xf numFmtId="164" fontId="13" fillId="0" borderId="2" xfId="0" applyFont="true" applyBorder="true" applyAlignment="true" applyProtection="false">
      <alignment horizontal="left" vertical="top" textRotation="0" wrapText="true" indent="1" shrinkToFit="false"/>
      <protection locked="true" hidden="false"/>
    </xf>
    <xf numFmtId="164" fontId="10" fillId="7" borderId="2" xfId="0" applyFont="true" applyBorder="true" applyAlignment="true" applyProtection="false">
      <alignment horizontal="left" vertical="top" textRotation="0" wrapText="true" indent="1" shrinkToFit="false"/>
      <protection locked="true" hidden="false"/>
    </xf>
    <xf numFmtId="164" fontId="10" fillId="5" borderId="2" xfId="0" applyFont="true" applyBorder="true" applyAlignment="true" applyProtection="false">
      <alignment horizontal="center" vertical="top" textRotation="0" wrapText="false" indent="0" shrinkToFit="false"/>
      <protection locked="true" hidden="false"/>
    </xf>
    <xf numFmtId="164" fontId="13" fillId="0" borderId="0" xfId="0" applyFont="true" applyBorder="true" applyAlignment="true" applyProtection="false">
      <alignment horizontal="left" vertical="top" textRotation="0" wrapText="true" indent="1" shrinkToFit="false"/>
      <protection locked="true" hidden="false"/>
    </xf>
    <xf numFmtId="164" fontId="14" fillId="0" borderId="0" xfId="0" applyFont="true" applyBorder="true" applyAlignment="true" applyProtection="false">
      <alignment horizontal="left" vertical="top" textRotation="0" wrapText="true" indent="1" shrinkToFit="false"/>
      <protection locked="true" hidden="false"/>
    </xf>
    <xf numFmtId="164" fontId="15" fillId="7" borderId="0" xfId="0" applyFont="true" applyBorder="true" applyAlignment="true" applyProtection="false">
      <alignment horizontal="left" vertical="center" textRotation="0" wrapText="true" indent="1" shrinkToFit="false"/>
      <protection locked="true" hidden="false"/>
    </xf>
    <xf numFmtId="164" fontId="10" fillId="6" borderId="2" xfId="0" applyFont="true" applyBorder="true" applyAlignment="true" applyProtection="false">
      <alignment horizontal="center" vertical="top" textRotation="0" wrapText="false" indent="0" shrinkToFit="false"/>
      <protection locked="true" hidden="false"/>
    </xf>
    <xf numFmtId="164" fontId="8" fillId="5" borderId="2" xfId="0" applyFont="true" applyBorder="true" applyAlignment="true" applyProtection="false">
      <alignment horizontal="center" vertical="top" textRotation="0" wrapText="false" indent="0" shrinkToFit="false"/>
      <protection locked="true" hidden="false"/>
    </xf>
    <xf numFmtId="164" fontId="16" fillId="0" borderId="2" xfId="0" applyFont="true" applyBorder="true" applyAlignment="true" applyProtection="false">
      <alignment horizontal="left" vertical="top" textRotation="0" wrapText="true" indent="1" shrinkToFit="false"/>
      <protection locked="true" hidden="false"/>
    </xf>
    <xf numFmtId="165" fontId="10" fillId="6" borderId="2" xfId="0" applyFont="true" applyBorder="true" applyAlignment="true" applyProtection="false">
      <alignment horizontal="center" vertical="top" textRotation="0" wrapText="false" indent="0" shrinkToFit="false"/>
      <protection locked="true" hidden="false"/>
    </xf>
    <xf numFmtId="165" fontId="10" fillId="5" borderId="2" xfId="0" applyFont="true" applyBorder="true" applyAlignment="true" applyProtection="false">
      <alignment horizontal="center" vertical="top" textRotation="0" wrapText="false" indent="0" shrinkToFit="false"/>
      <protection locked="true" hidden="false"/>
    </xf>
    <xf numFmtId="166" fontId="10" fillId="7" borderId="2" xfId="0" applyFont="true" applyBorder="true" applyAlignment="true" applyProtection="false">
      <alignment horizontal="center" vertical="top" textRotation="0" wrapText="false" indent="0" shrinkToFit="false"/>
      <protection locked="true" hidden="false"/>
    </xf>
    <xf numFmtId="164" fontId="10" fillId="7" borderId="2" xfId="0" applyFont="true" applyBorder="true" applyAlignment="true" applyProtection="false">
      <alignment horizontal="center" vertical="top" textRotation="0" wrapText="false" indent="0" shrinkToFit="false"/>
      <protection locked="true" hidden="false"/>
    </xf>
    <xf numFmtId="166" fontId="10" fillId="5" borderId="2" xfId="0" applyFont="true" applyBorder="true" applyAlignment="true" applyProtection="false">
      <alignment horizontal="center" vertical="top" textRotation="0" wrapText="false" indent="0" shrinkToFit="false"/>
      <protection locked="true" hidden="false"/>
    </xf>
    <xf numFmtId="167" fontId="10" fillId="7" borderId="2" xfId="0" applyFont="true" applyBorder="true" applyAlignment="true" applyProtection="false">
      <alignment horizontal="center" vertical="top" textRotation="0" wrapText="false" indent="0" shrinkToFit="false"/>
      <protection locked="true" hidden="false"/>
    </xf>
    <xf numFmtId="165" fontId="10" fillId="7" borderId="2" xfId="0" applyFont="true" applyBorder="true" applyAlignment="true" applyProtection="false">
      <alignment horizontal="center" vertical="top" textRotation="0" wrapText="false" indent="0" shrinkToFit="false"/>
      <protection locked="true" hidden="false"/>
    </xf>
    <xf numFmtId="168" fontId="10" fillId="5" borderId="2" xfId="0" applyFont="true" applyBorder="true" applyAlignment="true" applyProtection="false">
      <alignment horizontal="center" vertical="top" textRotation="0" wrapText="false" indent="0" shrinkToFit="false"/>
      <protection locked="true" hidden="false"/>
    </xf>
    <xf numFmtId="168" fontId="10" fillId="7" borderId="2" xfId="0" applyFont="true" applyBorder="true" applyAlignment="true" applyProtection="false">
      <alignment horizontal="center" vertical="top" textRotation="0" wrapText="false" indent="0" shrinkToFit="false"/>
      <protection locked="true" hidden="false"/>
    </xf>
    <xf numFmtId="168" fontId="10" fillId="6" borderId="2" xfId="0" applyFont="true" applyBorder="true" applyAlignment="true" applyProtection="false">
      <alignment horizontal="center" vertical="top" textRotation="0" wrapText="false" indent="0" shrinkToFit="false"/>
      <protection locked="true" hidden="false"/>
    </xf>
    <xf numFmtId="164" fontId="10" fillId="6" borderId="2" xfId="0" applyFont="true" applyBorder="true" applyAlignment="true" applyProtection="false">
      <alignment horizontal="left" vertical="top" textRotation="0" wrapText="false" indent="1" shrinkToFit="false"/>
      <protection locked="true" hidden="false"/>
    </xf>
    <xf numFmtId="164" fontId="10" fillId="7" borderId="2" xfId="0" applyFont="true" applyBorder="true" applyAlignment="true" applyProtection="false">
      <alignment horizontal="left" vertical="top" textRotation="0" wrapText="false" indent="1" shrinkToFit="false"/>
      <protection locked="true" hidden="false"/>
    </xf>
    <xf numFmtId="164" fontId="17" fillId="0" borderId="0" xfId="0" applyFont="true" applyBorder="true" applyAlignment="true" applyProtection="false">
      <alignment horizontal="left" vertical="top" textRotation="0" wrapText="true" indent="1" shrinkToFit="false"/>
      <protection locked="true" hidden="false"/>
    </xf>
    <xf numFmtId="164" fontId="18" fillId="3" borderId="0" xfId="0" applyFont="true" applyBorder="true" applyAlignment="true" applyProtection="false">
      <alignment horizontal="right" vertical="center" textRotation="0" wrapText="false" indent="0" shrinkToFit="false"/>
      <protection locked="true" hidden="false"/>
    </xf>
    <xf numFmtId="164" fontId="10" fillId="5" borderId="2" xfId="0" applyFont="true" applyBorder="true" applyAlignment="true" applyProtection="false">
      <alignment horizontal="right" vertical="top" textRotation="0" wrapText="false" indent="0" shrinkToFit="false"/>
      <protection locked="true" hidden="false"/>
    </xf>
    <xf numFmtId="165" fontId="16" fillId="5" borderId="2" xfId="0" applyFont="true" applyBorder="true" applyAlignment="true" applyProtection="false">
      <alignment horizontal="center" vertical="top" textRotation="0" wrapText="false" indent="0" shrinkToFit="false"/>
      <protection locked="true" hidden="false"/>
    </xf>
    <xf numFmtId="164" fontId="9" fillId="4" borderId="1" xfId="0" applyFont="true" applyBorder="true" applyAlignment="true" applyProtection="false">
      <alignment horizontal="center" vertical="center" textRotation="0" wrapText="true" indent="0" shrinkToFit="false"/>
      <protection locked="true" hidden="false"/>
    </xf>
    <xf numFmtId="165" fontId="9" fillId="4" borderId="1" xfId="0" applyFont="true" applyBorder="true" applyAlignment="true" applyProtection="false">
      <alignment horizontal="center" vertical="center" textRotation="0" wrapText="true" indent="0" shrinkToFit="false"/>
      <protection locked="true" hidden="false"/>
    </xf>
    <xf numFmtId="164" fontId="8" fillId="6" borderId="2" xfId="0" applyFont="true" applyBorder="true" applyAlignment="true" applyProtection="false">
      <alignment horizontal="left" vertical="top" textRotation="0" wrapText="true" indent="1" shrinkToFit="false"/>
      <protection locked="true" hidden="false"/>
    </xf>
    <xf numFmtId="164" fontId="8" fillId="6" borderId="2" xfId="0" applyFont="true" applyBorder="true" applyAlignment="true" applyProtection="false">
      <alignment horizontal="center" vertical="top" textRotation="0" wrapText="false" indent="0" shrinkToFit="false"/>
      <protection locked="true" hidden="false"/>
    </xf>
    <xf numFmtId="168" fontId="8" fillId="6" borderId="2" xfId="0" applyFont="true" applyBorder="true" applyAlignment="true" applyProtection="false">
      <alignment horizontal="right" vertical="top" textRotation="0" wrapText="false" indent="0" shrinkToFit="false"/>
      <protection locked="true" hidden="false"/>
    </xf>
    <xf numFmtId="165" fontId="8" fillId="6" borderId="2" xfId="0" applyFont="true" applyBorder="true" applyAlignment="true" applyProtection="false">
      <alignment horizontal="center" vertical="top" textRotation="0" wrapText="false" indent="0" shrinkToFit="false"/>
      <protection locked="true" hidden="false"/>
    </xf>
    <xf numFmtId="168" fontId="8" fillId="5" borderId="2" xfId="0" applyFont="true" applyBorder="true" applyAlignment="true" applyProtection="false">
      <alignment horizontal="right" vertical="top" textRotation="0" wrapText="false" indent="0" shrinkToFit="false"/>
      <protection locked="true" hidden="false"/>
    </xf>
    <xf numFmtId="168" fontId="16" fillId="5" borderId="2" xfId="0" applyFont="true" applyBorder="true" applyAlignment="true" applyProtection="false">
      <alignment horizontal="right" vertical="top" textRotation="0" wrapText="false" indent="0" shrinkToFit="false"/>
      <protection locked="true" hidden="false"/>
    </xf>
    <xf numFmtId="165" fontId="8" fillId="5" borderId="2" xfId="0" applyFont="true" applyBorder="true" applyAlignment="true" applyProtection="false">
      <alignment horizontal="center" vertical="top" textRotation="0" wrapText="false" indent="0" shrinkToFit="false"/>
      <protection locked="true" hidden="false"/>
    </xf>
    <xf numFmtId="168" fontId="10" fillId="5" borderId="2" xfId="0" applyFont="true" applyBorder="true" applyAlignment="true" applyProtection="false">
      <alignment horizontal="right" vertical="top" textRotation="0" wrapText="false" indent="0" shrinkToFit="false"/>
      <protection locked="true" hidden="false"/>
    </xf>
    <xf numFmtId="168" fontId="19" fillId="5" borderId="2" xfId="0" applyFont="true" applyBorder="true" applyAlignment="true" applyProtection="false">
      <alignment horizontal="right" vertical="top" textRotation="0" wrapText="false" indent="0" shrinkToFit="false"/>
      <protection locked="true" hidden="false"/>
    </xf>
    <xf numFmtId="164" fontId="20" fillId="4" borderId="1" xfId="0" applyFont="true" applyBorder="true" applyAlignment="true" applyProtection="false">
      <alignment horizontal="left" vertical="center" textRotation="0" wrapText="false" indent="1" shrinkToFit="false"/>
      <protection locked="true" hidden="false"/>
    </xf>
    <xf numFmtId="168" fontId="20" fillId="4" borderId="1" xfId="0" applyFont="true" applyBorder="true" applyAlignment="true" applyProtection="false">
      <alignment horizontal="right" vertical="center" textRotation="0" wrapText="false" indent="0" shrinkToFit="false"/>
      <protection locked="true" hidden="false"/>
    </xf>
    <xf numFmtId="168" fontId="21" fillId="4" borderId="1" xfId="0" applyFont="true" applyBorder="true" applyAlignment="true" applyProtection="false">
      <alignment horizontal="right" vertical="center" textRotation="0" wrapText="false" indent="0" shrinkToFit="false"/>
      <protection locked="true" hidden="false"/>
    </xf>
    <xf numFmtId="164" fontId="8" fillId="5" borderId="2" xfId="0" applyFont="true" applyBorder="true" applyAlignment="true" applyProtection="false">
      <alignment horizontal="left" vertical="top" textRotation="0" wrapText="false" indent="1" shrinkToFit="false"/>
      <protection locked="true" hidden="false"/>
    </xf>
    <xf numFmtId="164" fontId="10" fillId="7" borderId="2" xfId="0" applyFont="true" applyBorder="true" applyAlignment="true" applyProtection="false">
      <alignment horizontal="right" vertical="top" textRotation="0" wrapText="false" indent="0" shrinkToFit="false"/>
      <protection locked="true" hidden="false"/>
    </xf>
    <xf numFmtId="169" fontId="16" fillId="7" borderId="2" xfId="0" applyFont="true" applyBorder="true" applyAlignment="true" applyProtection="false">
      <alignment horizontal="center" vertical="top" textRotation="0" wrapText="false" indent="0" shrinkToFit="false"/>
      <protection locked="true" hidden="false"/>
    </xf>
    <xf numFmtId="170" fontId="8" fillId="5" borderId="2" xfId="0" applyFont="true" applyBorder="true" applyAlignment="true" applyProtection="false">
      <alignment horizontal="center" vertical="top" textRotation="0" wrapText="false" indent="0" shrinkToFit="false"/>
      <protection locked="true" hidden="false"/>
    </xf>
    <xf numFmtId="170" fontId="16" fillId="5" borderId="2" xfId="0" applyFont="true" applyBorder="true" applyAlignment="true" applyProtection="false">
      <alignment horizontal="center" vertical="top" textRotation="0" wrapText="false" indent="0" shrinkToFit="false"/>
      <protection locked="true" hidden="false"/>
    </xf>
    <xf numFmtId="164" fontId="0" fillId="4" borderId="1" xfId="0" applyFont="false" applyBorder="true" applyAlignment="true" applyProtection="false">
      <alignment horizontal="general" vertical="bottom" textRotation="0" wrapText="false" indent="0" shrinkToFit="false"/>
      <protection locked="true" hidden="false"/>
    </xf>
    <xf numFmtId="168" fontId="9" fillId="4" borderId="1" xfId="0" applyFont="true" applyBorder="true" applyAlignment="true" applyProtection="false">
      <alignment horizontal="right" vertical="center" textRotation="0" wrapText="false" indent="0" shrinkToFit="false"/>
      <protection locked="true" hidden="false"/>
    </xf>
    <xf numFmtId="164" fontId="22" fillId="0" borderId="0" xfId="0" applyFont="true" applyBorder="true" applyAlignment="true" applyProtection="false">
      <alignment horizontal="left" vertical="center" textRotation="0" wrapText="false" indent="1" shrinkToFit="false"/>
      <protection locked="true" hidden="false"/>
    </xf>
    <xf numFmtId="164" fontId="23" fillId="2" borderId="0" xfId="0" applyFont="true" applyBorder="true" applyAlignment="true" applyProtection="false">
      <alignment horizontal="left" vertical="bottom" textRotation="0" wrapText="false" indent="1" shrinkToFit="false"/>
      <protection locked="true" hidden="false"/>
    </xf>
    <xf numFmtId="168" fontId="24" fillId="2" borderId="0" xfId="0" applyFont="true" applyBorder="true" applyAlignment="true" applyProtection="false">
      <alignment horizontal="left" vertical="top" textRotation="0" wrapText="false" indent="1" shrinkToFit="false"/>
      <protection locked="true" hidden="false"/>
    </xf>
    <xf numFmtId="169" fontId="24" fillId="2" borderId="0" xfId="0" applyFont="true" applyBorder="true" applyAlignment="true" applyProtection="false">
      <alignment horizontal="left" vertical="top" textRotation="0" wrapText="false" indent="1" shrinkToFit="false"/>
      <protection locked="true" hidden="false"/>
    </xf>
    <xf numFmtId="166" fontId="24" fillId="2" borderId="0" xfId="0" applyFont="true" applyBorder="true" applyAlignment="true" applyProtection="false">
      <alignment horizontal="left" vertical="top" textRotation="0" wrapText="false" indent="1" shrinkToFit="false"/>
      <protection locked="true" hidden="false"/>
    </xf>
    <xf numFmtId="165" fontId="24" fillId="2" borderId="0" xfId="0" applyFont="true" applyBorder="true" applyAlignment="true" applyProtection="false">
      <alignment horizontal="left" vertical="top" textRotation="0" wrapText="false" indent="1" shrinkToFit="false"/>
      <protection locked="true" hidden="false"/>
    </xf>
    <xf numFmtId="168" fontId="25" fillId="5" borderId="2" xfId="0" applyFont="true" applyBorder="true" applyAlignment="true" applyProtection="false">
      <alignment horizontal="center" vertical="top" textRotation="0" wrapText="false" indent="0" shrinkToFit="false"/>
      <protection locked="true" hidden="false"/>
    </xf>
    <xf numFmtId="169" fontId="25" fillId="5" borderId="2" xfId="0" applyFont="true" applyBorder="true" applyAlignment="true" applyProtection="false">
      <alignment horizontal="center" vertical="top" textRotation="0" wrapText="false" indent="0" shrinkToFit="false"/>
      <protection locked="true" hidden="false"/>
    </xf>
    <xf numFmtId="166" fontId="25" fillId="5" borderId="2" xfId="0" applyFont="true" applyBorder="true" applyAlignment="true" applyProtection="false">
      <alignment horizontal="center" vertical="top" textRotation="0" wrapText="false" indent="0" shrinkToFit="false"/>
      <protection locked="true" hidden="false"/>
    </xf>
    <xf numFmtId="165" fontId="25" fillId="5" borderId="2" xfId="0" applyFont="true" applyBorder="true" applyAlignment="true" applyProtection="false">
      <alignment horizontal="center" vertical="top" textRotation="0" wrapText="false" indent="0" shrinkToFit="false"/>
      <protection locked="true" hidden="false"/>
    </xf>
    <xf numFmtId="164" fontId="26" fillId="5" borderId="2" xfId="0" applyFont="true" applyBorder="true" applyAlignment="true" applyProtection="false">
      <alignment horizontal="left" vertical="top" textRotation="0" wrapText="true" indent="1" shrinkToFit="false"/>
      <protection locked="true" hidden="false"/>
    </xf>
    <xf numFmtId="169" fontId="8" fillId="5" borderId="2" xfId="0" applyFont="true" applyBorder="true" applyAlignment="true" applyProtection="false">
      <alignment horizontal="right" vertical="top" textRotation="0" wrapText="false" indent="0" shrinkToFit="false"/>
      <protection locked="true" hidden="false"/>
    </xf>
    <xf numFmtId="169" fontId="10" fillId="5" borderId="2" xfId="0" applyFont="true" applyBorder="true" applyAlignment="true" applyProtection="false">
      <alignment horizontal="right" vertical="top" textRotation="0" wrapText="false" indent="0" shrinkToFit="false"/>
      <protection locked="true" hidden="false"/>
    </xf>
    <xf numFmtId="164" fontId="8" fillId="5" borderId="2" xfId="0" applyFont="true" applyBorder="true" applyAlignment="true" applyProtection="false">
      <alignment horizontal="right" vertical="top" textRotation="0" wrapText="false" indent="0" shrinkToFit="false"/>
      <protection locked="true" hidden="false"/>
    </xf>
    <xf numFmtId="167" fontId="25" fillId="5" borderId="2" xfId="0" applyFont="true" applyBorder="true" applyAlignment="true" applyProtection="false">
      <alignment horizontal="center" vertical="top" textRotation="0" wrapText="false" indent="0" shrinkToFit="false"/>
      <protection locked="true" hidden="false"/>
    </xf>
    <xf numFmtId="164" fontId="8" fillId="5" borderId="2" xfId="0" applyFont="true" applyBorder="true" applyAlignment="true" applyProtection="false">
      <alignment horizontal="left" vertical="top" textRotation="0" wrapText="true" indent="1" shrinkToFit="false"/>
      <protection locked="true" hidden="false"/>
    </xf>
    <xf numFmtId="171" fontId="10" fillId="5" borderId="2" xfId="0" applyFont="true" applyBorder="true" applyAlignment="true" applyProtection="false">
      <alignment horizontal="right" vertical="top" textRotation="0" wrapText="false" indent="0" shrinkToFit="false"/>
      <protection locked="true" hidden="false"/>
    </xf>
    <xf numFmtId="167" fontId="8" fillId="5" borderId="2" xfId="0" applyFont="true" applyBorder="true" applyAlignment="true" applyProtection="false">
      <alignment horizontal="center" vertical="top" textRotation="0" wrapText="false" indent="0" shrinkToFit="false"/>
      <protection locked="true" hidden="false"/>
    </xf>
    <xf numFmtId="169" fontId="10" fillId="5" borderId="2" xfId="0" applyFont="true" applyBorder="true" applyAlignment="true" applyProtection="false">
      <alignment horizontal="center" vertical="top" textRotation="0" wrapText="false" indent="0" shrinkToFit="false"/>
      <protection locked="true" hidden="false"/>
    </xf>
    <xf numFmtId="169" fontId="10" fillId="6" borderId="2" xfId="0" applyFont="true" applyBorder="true" applyAlignment="true" applyProtection="false">
      <alignment horizontal="center" vertical="top" textRotation="0" wrapText="false" indent="0" shrinkToFit="false"/>
      <protection locked="true" hidden="false"/>
    </xf>
    <xf numFmtId="166" fontId="10" fillId="6" borderId="2" xfId="0" applyFont="true" applyBorder="true" applyAlignment="true" applyProtection="false">
      <alignment horizontal="center" vertical="top" textRotation="0" wrapText="false" indent="0" shrinkToFit="false"/>
      <protection locked="true" hidden="false"/>
    </xf>
    <xf numFmtId="164" fontId="25" fillId="5" borderId="2" xfId="0" applyFont="true" applyBorder="true" applyAlignment="true" applyProtection="false">
      <alignment horizontal="left" vertical="top" textRotation="0" wrapText="true" indent="1" shrinkToFit="false"/>
      <protection locked="true" hidden="false"/>
    </xf>
    <xf numFmtId="168" fontId="25" fillId="5" borderId="2" xfId="0" applyFont="true" applyBorder="true" applyAlignment="true" applyProtection="false">
      <alignment horizontal="left" vertical="top" textRotation="0" wrapText="false" indent="1" shrinkToFit="false"/>
      <protection locked="true" hidden="false"/>
    </xf>
    <xf numFmtId="167" fontId="8" fillId="6" borderId="2" xfId="0" applyFont="true" applyBorder="true" applyAlignment="true" applyProtection="false">
      <alignment horizontal="center" vertical="top" textRotation="0" wrapText="false" indent="0" shrinkToFit="false"/>
      <protection locked="true" hidden="false"/>
    </xf>
    <xf numFmtId="167" fontId="10" fillId="5" borderId="2" xfId="0" applyFont="true" applyBorder="true" applyAlignment="true" applyProtection="false">
      <alignment horizontal="right" vertical="top" textRotation="0" wrapText="false" indent="0" shrinkToFit="false"/>
      <protection locked="true" hidden="false"/>
    </xf>
    <xf numFmtId="167" fontId="8" fillId="7" borderId="2" xfId="0" applyFont="true" applyBorder="true" applyAlignment="true" applyProtection="false">
      <alignment horizontal="center" vertical="top" textRotation="0" wrapText="false" indent="0" shrinkToFit="false"/>
      <protection locked="true" hidden="false"/>
    </xf>
    <xf numFmtId="164" fontId="0" fillId="5" borderId="2" xfId="0" applyFont="false" applyBorder="true" applyAlignment="true" applyProtection="false">
      <alignment horizontal="general" vertical="bottom" textRotation="0" wrapText="false" indent="0" shrinkToFit="false"/>
      <protection locked="true" hidden="false"/>
    </xf>
    <xf numFmtId="164" fontId="16" fillId="5" borderId="2" xfId="0" applyFont="true" applyBorder="true" applyAlignment="true" applyProtection="false">
      <alignment horizontal="left" vertical="top" textRotation="0" wrapText="true" indent="1" shrinkToFit="false"/>
      <protection locked="true" hidden="false"/>
    </xf>
    <xf numFmtId="167" fontId="20" fillId="4" borderId="1" xfId="0" applyFont="true" applyBorder="true" applyAlignment="true" applyProtection="false">
      <alignment horizontal="right" vertical="center" textRotation="0" wrapText="false" indent="0" shrinkToFit="false"/>
      <protection locked="true" hidden="false"/>
    </xf>
  </cellXfs>
  <cellStyles count="6">
    <cellStyle name="Normal" xfId="0" builtinId="0"/>
    <cellStyle name="Comma" xfId="15" builtinId="3"/>
    <cellStyle name="Comma [0]" xfId="16" builtinId="6"/>
    <cellStyle name="Currency" xfId="17" builtinId="4"/>
    <cellStyle name="Currency [0]" xfId="18" builtinId="7"/>
    <cellStyle name="Percent" xfId="19" builtinId="5"/>
  </cellStyles>
  <dxfs count="7">
    <dxf>
      <font>
        <name val="Segoe UI"/>
        <charset val="1"/>
        <family val="0"/>
        <b val="1"/>
        <color rgb="FFB3261E"/>
        <sz val="12"/>
      </font>
      <fill>
        <patternFill>
          <bgColor rgb="FFFAE4E2"/>
        </patternFill>
      </fill>
    </dxf>
    <dxf>
      <font>
        <name val="Segoe UI"/>
        <charset val="1"/>
        <family val="0"/>
        <b val="1"/>
        <color rgb="FF1E7A5A"/>
        <sz val="12"/>
      </font>
      <fill>
        <patternFill>
          <bgColor rgb="FFE4F2EC"/>
        </patternFill>
      </fill>
    </dxf>
    <dxf>
      <font>
        <name val="Segoe UI"/>
        <charset val="1"/>
        <family val="0"/>
        <b val="1"/>
        <color rgb="FF1E7A5A"/>
        <sz val="10"/>
      </font>
      <fill>
        <patternFill>
          <bgColor rgb="FFE4F2EC"/>
        </patternFill>
      </fill>
    </dxf>
    <dxf>
      <font>
        <name val="Segoe UI"/>
        <charset val="1"/>
        <family val="0"/>
        <b val="1"/>
        <color rgb="FFB3261E"/>
        <sz val="10"/>
      </font>
      <fill>
        <patternFill>
          <bgColor rgb="FFFAE4E2"/>
        </patternFill>
      </fill>
    </dxf>
    <dxf>
      <font>
        <name val="Segoe UI"/>
        <charset val="1"/>
        <family val="0"/>
        <b val="1"/>
        <color rgb="FF6B7684"/>
        <sz val="10"/>
      </font>
      <fill>
        <patternFill>
          <bgColor rgb="FFEFF2F5"/>
        </patternFill>
      </fill>
    </dxf>
    <dxf>
      <font>
        <name val="Segoe UI"/>
        <charset val="1"/>
        <family val="0"/>
        <b val="1"/>
        <color rgb="FFB26B00"/>
        <sz val="10"/>
      </font>
      <fill>
        <patternFill>
          <bgColor rgb="FFFBF0DE"/>
        </patternFill>
      </fill>
    </dxf>
    <dxf>
      <font>
        <name val="Segoe UI"/>
        <charset val="1"/>
        <family val="0"/>
        <color rgb="FF1E7A5A"/>
        <sz val="10"/>
      </font>
      <fill>
        <patternFill>
          <bgColor rgb="FFE4F2EC"/>
        </patternFill>
      </fill>
    </dxf>
  </dxfs>
  <colors>
    <indexedColors>
      <rgbColor rgb="FF000000"/>
      <rgbColor rgb="FFFFFFFF"/>
      <rgbColor rgb="FFFF0000"/>
      <rgbColor rgb="FF00FF00"/>
      <rgbColor rgb="FF0000FF"/>
      <rgbColor rgb="FFFFFF00"/>
      <rgbColor rgb="FFFF00FF"/>
      <rgbColor rgb="FF00FFFF"/>
      <rgbColor rgb="FF800000"/>
      <rgbColor rgb="FF008000"/>
      <rgbColor rgb="FF000080"/>
      <rgbColor rgb="FFB26B00"/>
      <rgbColor rgb="FF800080"/>
      <rgbColor rgb="FF1E7A5A"/>
      <rgbColor rgb="FFC0C0C0"/>
      <rgbColor rgb="FF6B7684"/>
      <rgbColor rgb="FF9999FF"/>
      <rgbColor rgb="FF993366"/>
      <rgbColor rgb="FFFBF0DE"/>
      <rgbColor rgb="FFE4F2EC"/>
      <rgbColor rgb="FF660066"/>
      <rgbColor rgb="FFFF8080"/>
      <rgbColor rgb="FF0066CC"/>
      <rgbColor rgb="FFC9D4E0"/>
      <rgbColor rgb="FF000080"/>
      <rgbColor rgb="FFFF00FF"/>
      <rgbColor rgb="FFFFFF00"/>
      <rgbColor rgb="FF00FFFF"/>
      <rgbColor rgb="FF800080"/>
      <rgbColor rgb="FF800000"/>
      <rgbColor rgb="FF008080"/>
      <rgbColor rgb="FF0000FF"/>
      <rgbColor rgb="FF00CCFF"/>
      <rgbColor rgb="FFE6EFF7"/>
      <rgbColor rgb="FFEFF2F5"/>
      <rgbColor rgb="FFF6F9FC"/>
      <rgbColor rgb="FF99CCFF"/>
      <rgbColor rgb="FFFF99CC"/>
      <rgbColor rgb="FFCC99FF"/>
      <rgbColor rgb="FFFAE4E2"/>
      <rgbColor rgb="FF3480BC"/>
      <rgbColor rgb="FF33CCCC"/>
      <rgbColor rgb="FF99CC00"/>
      <rgbColor rgb="FFFFCC00"/>
      <rgbColor rgb="FFFF9900"/>
      <rgbColor rgb="FFFF6600"/>
      <rgbColor rgb="FF666699"/>
      <rgbColor rgb="FF8E98A2"/>
      <rgbColor rgb="FF0D3C61"/>
      <rgbColor rgb="FF339966"/>
      <rgbColor rgb="FF0C1628"/>
      <rgbColor rgb="FF333300"/>
      <rgbColor rgb="FFB3261E"/>
      <rgbColor rgb="FF993366"/>
      <rgbColor rgb="FF333399"/>
      <rgbColor rgb="FF1D3245"/>
    </indexedColors>
  </colors>
</styleSheet>
</file>

<file path=xl/_rels/workbook.xml.rels><?xml version="1.0" encoding="UTF-8"?>
<Relationships xmlns="http://schemas.openxmlformats.org/package/2006/relationships"><Relationship Id="rId1" Type="http://schemas.openxmlformats.org/officeDocument/2006/relationships/theme" Target="theme/theme1.xml"/><Relationship Id="rId2" Type="http://schemas.openxmlformats.org/officeDocument/2006/relationships/styles" Target="styles.xml"/><Relationship Id="rId3" Type="http://schemas.openxmlformats.org/officeDocument/2006/relationships/worksheet" Target="worksheets/sheet1.xml"/><Relationship Id="rId4" Type="http://schemas.openxmlformats.org/officeDocument/2006/relationships/worksheet" Target="worksheets/sheet2.xml"/><Relationship Id="rId5" Type="http://schemas.openxmlformats.org/officeDocument/2006/relationships/worksheet" Target="worksheets/sheet3.xml"/><Relationship Id="rId6" Type="http://schemas.openxmlformats.org/officeDocument/2006/relationships/worksheet" Target="worksheets/sheet4.xml"/><Relationship Id="rId7" Type="http://schemas.openxmlformats.org/officeDocument/2006/relationships/worksheet" Target="worksheets/sheet5.xml"/><Relationship Id="rId8" Type="http://schemas.openxmlformats.org/officeDocument/2006/relationships/worksheet" Target="worksheets/sheet6.xml"/><Relationship Id="rId9" Type="http://schemas.openxmlformats.org/officeDocument/2006/relationships/worksheet" Target="worksheets/sheet7.xml"/><Relationship Id="rId10" Type="http://schemas.openxmlformats.org/officeDocument/2006/relationships/worksheet" Target="worksheets/sheet8.xml"/><Relationship Id="rId11" Type="http://schemas.openxmlformats.org/officeDocument/2006/relationships/worksheet" Target="worksheets/sheet9.xml"/><Relationship Id="rId12" Type="http://schemas.openxmlformats.org/officeDocument/2006/relationships/worksheet" Target="worksheets/sheet10.xml"/><Relationship Id="rId13" Type="http://schemas.openxmlformats.org/officeDocument/2006/relationships/worksheet" Target="worksheets/sheet11.xml"/><Relationship Id="rId14" Type="http://schemas.openxmlformats.org/officeDocument/2006/relationships/worksheet" Target="worksheets/sheet12.xml"/><Relationship Id="rId15" Type="http://schemas.openxmlformats.org/officeDocument/2006/relationships/sharedStrings" Target="sharedStrings.xml"/>
</Relationships>
</file>

<file path=xl/drawings/_rels/drawing1.xml.rels><?xml version="1.0" encoding="UTF-8"?>
<Relationships xmlns="http://schemas.openxmlformats.org/package/2006/relationships"><Relationship Id="rId1" Type="http://schemas.openxmlformats.org/officeDocument/2006/relationships/image" Target="../media/image1.png"/>
<Relationship Id="rId2" Type="http://schemas.openxmlformats.org/officeDocument/2006/relationships/hyperlink" Target="https://www.mastt.com/" TargetMode="External"/></Relationships>
</file>

<file path=xl/drawings/_rels/drawing2.xml.rels><?xml version="1.0" encoding="UTF-8"?>
<Relationships xmlns="http://schemas.openxmlformats.org/package/2006/relationships"><Relationship Id="rId1" Type="http://schemas.openxmlformats.org/officeDocument/2006/relationships/image" Target="../media/image1.png"/>
<Relationship Id="rId2" Type="http://schemas.openxmlformats.org/officeDocument/2006/relationships/hyperlink" Target="https://www.mastt.com/" TargetMode="External"/></Relationships>
</file>

<file path=xl/drawings/_rels/drawing3.xml.rels><?xml version="1.0" encoding="UTF-8"?>
<Relationships xmlns="http://schemas.openxmlformats.org/package/2006/relationships"><Relationship Id="rId1" Type="http://schemas.openxmlformats.org/officeDocument/2006/relationships/image" Target="../media/image1.png"/>
<Relationship Id="rId2" Type="http://schemas.openxmlformats.org/officeDocument/2006/relationships/hyperlink" Target="https://www.mastt.com/" TargetMode="External"/></Relationships>
</file>

<file path=xl/drawings/_rels/drawing4.xml.rels><?xml version="1.0" encoding="UTF-8"?>
<Relationships xmlns="http://schemas.openxmlformats.org/package/2006/relationships"><Relationship Id="rId1" Type="http://schemas.openxmlformats.org/officeDocument/2006/relationships/image" Target="../media/image1.png"/>
<Relationship Id="rId2" Type="http://schemas.openxmlformats.org/officeDocument/2006/relationships/hyperlink" Target="https://www.mastt.com/" TargetMode="External"/></Relationships>
</file>

<file path=xl/drawings/_rels/drawing5.xml.rels><?xml version="1.0" encoding="UTF-8"?>
<Relationships xmlns="http://schemas.openxmlformats.org/package/2006/relationships"><Relationship Id="rId1" Type="http://schemas.openxmlformats.org/officeDocument/2006/relationships/image" Target="../media/image1.png"/>
<Relationship Id="rId2" Type="http://schemas.openxmlformats.org/officeDocument/2006/relationships/hyperlink" Target="https://www.mastt.com/" TargetMode="External"/></Relationships>
</file>

<file path=xl/drawings/_rels/drawing6.xml.rels><?xml version="1.0" encoding="UTF-8"?>
<Relationships xmlns="http://schemas.openxmlformats.org/package/2006/relationships"><Relationship Id="rId1" Type="http://schemas.openxmlformats.org/officeDocument/2006/relationships/image" Target="../media/image1.png"/>
<Relationship Id="rId2" Type="http://schemas.openxmlformats.org/officeDocument/2006/relationships/hyperlink" Target="https://www.mastt.com/" TargetMode="External"/></Relationships>
</file>

<file path=xl/drawings/_rels/drawing7.xml.rels><?xml version="1.0" encoding="UTF-8"?>
<Relationships xmlns="http://schemas.openxmlformats.org/package/2006/relationships"><Relationship Id="rId1" Type="http://schemas.openxmlformats.org/officeDocument/2006/relationships/image" Target="../media/image1.png"/>
<Relationship Id="rId2" Type="http://schemas.openxmlformats.org/officeDocument/2006/relationships/hyperlink" Target="https://www.mastt.com/" TargetMode="External"/></Relationships>
</file>

<file path=xl/drawings/_rels/drawing8.xml.rels><?xml version="1.0" encoding="UTF-8"?>
<Relationships xmlns="http://schemas.openxmlformats.org/package/2006/relationships"><Relationship Id="rId1" Type="http://schemas.openxmlformats.org/officeDocument/2006/relationships/image" Target="../media/image1.png"/>
<Relationship Id="rId2" Type="http://schemas.openxmlformats.org/officeDocument/2006/relationships/hyperlink" Target="https://www.mastt.com/" TargetMode="External"/></Relationships>
</file>

<file path=xl/drawings/_rels/drawing9.xml.rels><?xml version="1.0" encoding="UTF-8"?>
<Relationships xmlns="http://schemas.openxmlformats.org/package/2006/relationships"><Relationship Id="rId1" Type="http://schemas.openxmlformats.org/officeDocument/2006/relationships/image" Target="../media/image1.png"/>
<Relationship Id="rId2" Type="http://schemas.openxmlformats.org/officeDocument/2006/relationships/hyperlink" Target="https://www.mastt.com/" TargetMode="External"/></Relationships>
</file>

<file path=xl/drawings/_rels/drawing10.xml.rels><?xml version="1.0" encoding="UTF-8"?>
<Relationships xmlns="http://schemas.openxmlformats.org/package/2006/relationships"><Relationship Id="rId1" Type="http://schemas.openxmlformats.org/officeDocument/2006/relationships/image" Target="../media/image1.png"/>
<Relationship Id="rId2" Type="http://schemas.openxmlformats.org/officeDocument/2006/relationships/hyperlink" Target="https://www.mastt.com/" TargetMode="External"/></Relationships>
</file>

<file path=xl/drawings/_rels/drawing11.xml.rels><?xml version="1.0" encoding="UTF-8"?>
<Relationships xmlns="http://schemas.openxmlformats.org/package/2006/relationships"><Relationship Id="rId1" Type="http://schemas.openxmlformats.org/officeDocument/2006/relationships/image" Target="../media/image1.png"/>
<Relationship Id="rId2" Type="http://schemas.openxmlformats.org/officeDocument/2006/relationships/hyperlink" Target="https://www.mastt.com/" TargetMode="External"/></Relationships>
</file>

<file path=xl/drawings/_rels/drawing12.xml.rels><?xml version="1.0" encoding="UTF-8"?>
<Relationships xmlns="http://schemas.openxmlformats.org/package/2006/relationships"><Relationship Id="rId1" Type="http://schemas.openxmlformats.org/officeDocument/2006/relationships/image" Target="../media/image1.png"/>
<Relationship Id="rId2" Type="http://schemas.openxmlformats.org/officeDocument/2006/relationships/hyperlink" Target="https://www.mastt.com/" TargetMode="External"/></Relationships>
</file>

<file path=xl/drawings/drawing1.xml><?xml version="1.0" encoding="utf-8"?>
<xdr:wsDr xmlns:xdr="http://schemas.openxmlformats.org/drawingml/2006/spreadsheetDrawing" xmlns:a="http://schemas.openxmlformats.org/drawingml/2006/main" xmlns:r="http://schemas.openxmlformats.org/officeDocument/2006/relationships">
  <xdr:twoCellAnchor editAs="oneCell">
    <xdr:from>
      <xdr:col>1</xdr:col>
      <xdr:colOff>0</xdr:colOff>
      <xdr:row>1</xdr:row>
      <xdr:rowOff>0</xdr:rowOff>
    </xdr:from>
    <xdr:to>
      <xdr:col>1</xdr:col>
      <xdr:colOff>1428120</xdr:colOff>
      <xdr:row>1</xdr:row>
      <xdr:rowOff>408960</xdr:rowOff>
    </xdr:to>
    <xdr:pic>
      <xdr:nvPicPr>
        <xdr:cNvPr id="0" name="Image 1" descr="Picture">
          <a:hlinkClick xmlns:a="http://schemas.openxmlformats.org/drawingml/2006/main" xmlns:r="http://schemas.openxmlformats.org/officeDocument/2006/relationships" r:id="rId2"/>
        </xdr:cNvPr>
        <xdr:cNvPicPr/>
      </xdr:nvPicPr>
      <xdr:blipFill>
        <a:blip r:embed="rId1"/>
        <a:stretch/>
      </xdr:blipFill>
      <xdr:spPr>
        <a:xfrm>
          <a:off x="211320" y="123840"/>
          <a:ext cx="1428120" cy="408960"/>
        </a:xfrm>
        <a:prstGeom prst="rect">
          <a:avLst/>
        </a:prstGeom>
        <a:ln w="0">
          <a:noFill/>
        </a:ln>
      </xdr:spPr>
    </xdr:pic>
    <xdr:clientData/>
  </xdr:twoCellAnchor>
</xdr:wsDr>
</file>

<file path=xl/drawings/drawing2.xml><?xml version="1.0" encoding="utf-8"?>
<xdr:wsDr xmlns:xdr="http://schemas.openxmlformats.org/drawingml/2006/spreadsheetDrawing" xmlns:a="http://schemas.openxmlformats.org/drawingml/2006/main" xmlns:r="http://schemas.openxmlformats.org/officeDocument/2006/relationships">
  <xdr:twoCellAnchor editAs="oneCell">
    <xdr:from>
      <xdr:col>1</xdr:col>
      <xdr:colOff>0</xdr:colOff>
      <xdr:row>1</xdr:row>
      <xdr:rowOff>0</xdr:rowOff>
    </xdr:from>
    <xdr:to>
      <xdr:col>1</xdr:col>
      <xdr:colOff>1428120</xdr:colOff>
      <xdr:row>1</xdr:row>
      <xdr:rowOff>408960</xdr:rowOff>
    </xdr:to>
    <xdr:pic>
      <xdr:nvPicPr>
        <xdr:cNvPr id="1" name="Image 1" descr="Picture">
          <a:hlinkClick xmlns:a="http://schemas.openxmlformats.org/drawingml/2006/main" xmlns:r="http://schemas.openxmlformats.org/officeDocument/2006/relationships" r:id="rId2"/>
        </xdr:cNvPr>
        <xdr:cNvPicPr/>
      </xdr:nvPicPr>
      <xdr:blipFill>
        <a:blip r:embed="rId1"/>
        <a:stretch/>
      </xdr:blipFill>
      <xdr:spPr>
        <a:xfrm>
          <a:off x="211320" y="123840"/>
          <a:ext cx="1428120" cy="408960"/>
        </a:xfrm>
        <a:prstGeom prst="rect">
          <a:avLst/>
        </a:prstGeom>
        <a:ln w="0">
          <a:noFill/>
        </a:ln>
      </xdr:spPr>
    </xdr:pic>
    <xdr:clientData/>
  </xdr:twoCellAnchor>
</xdr:wsDr>
</file>

<file path=xl/drawings/drawing3.xml><?xml version="1.0" encoding="utf-8"?>
<xdr:wsDr xmlns:xdr="http://schemas.openxmlformats.org/drawingml/2006/spreadsheetDrawing" xmlns:a="http://schemas.openxmlformats.org/drawingml/2006/main" xmlns:r="http://schemas.openxmlformats.org/officeDocument/2006/relationships">
  <xdr:twoCellAnchor editAs="oneCell">
    <xdr:from>
      <xdr:col>1</xdr:col>
      <xdr:colOff>0</xdr:colOff>
      <xdr:row>1</xdr:row>
      <xdr:rowOff>0</xdr:rowOff>
    </xdr:from>
    <xdr:to>
      <xdr:col>1</xdr:col>
      <xdr:colOff>1428120</xdr:colOff>
      <xdr:row>1</xdr:row>
      <xdr:rowOff>408960</xdr:rowOff>
    </xdr:to>
    <xdr:pic>
      <xdr:nvPicPr>
        <xdr:cNvPr id="2" name="Image 1" descr="Picture">
          <a:hlinkClick xmlns:a="http://schemas.openxmlformats.org/drawingml/2006/main" xmlns:r="http://schemas.openxmlformats.org/officeDocument/2006/relationships" r:id="rId2"/>
        </xdr:cNvPr>
        <xdr:cNvPicPr/>
      </xdr:nvPicPr>
      <xdr:blipFill>
        <a:blip r:embed="rId1"/>
        <a:stretch/>
      </xdr:blipFill>
      <xdr:spPr>
        <a:xfrm>
          <a:off x="211320" y="123840"/>
          <a:ext cx="1428120" cy="408960"/>
        </a:xfrm>
        <a:prstGeom prst="rect">
          <a:avLst/>
        </a:prstGeom>
        <a:ln w="0">
          <a:noFill/>
        </a:ln>
      </xdr:spPr>
    </xdr:pic>
    <xdr:clientData/>
  </xdr:twoCellAnchor>
</xdr:wsDr>
</file>

<file path=xl/drawings/drawing4.xml><?xml version="1.0" encoding="utf-8"?>
<xdr:wsDr xmlns:xdr="http://schemas.openxmlformats.org/drawingml/2006/spreadsheetDrawing" xmlns:a="http://schemas.openxmlformats.org/drawingml/2006/main" xmlns:r="http://schemas.openxmlformats.org/officeDocument/2006/relationships">
  <xdr:twoCellAnchor editAs="oneCell">
    <xdr:from>
      <xdr:col>1</xdr:col>
      <xdr:colOff>0</xdr:colOff>
      <xdr:row>1</xdr:row>
      <xdr:rowOff>0</xdr:rowOff>
    </xdr:from>
    <xdr:to>
      <xdr:col>2</xdr:col>
      <xdr:colOff>864000</xdr:colOff>
      <xdr:row>1</xdr:row>
      <xdr:rowOff>408960</xdr:rowOff>
    </xdr:to>
    <xdr:pic>
      <xdr:nvPicPr>
        <xdr:cNvPr id="3" name="Image 1" descr="Picture">
          <a:hlinkClick xmlns:a="http://schemas.openxmlformats.org/drawingml/2006/main" xmlns:r="http://schemas.openxmlformats.org/officeDocument/2006/relationships" r:id="rId2"/>
        </xdr:cNvPr>
        <xdr:cNvPicPr/>
      </xdr:nvPicPr>
      <xdr:blipFill>
        <a:blip r:embed="rId1"/>
        <a:stretch/>
      </xdr:blipFill>
      <xdr:spPr>
        <a:xfrm>
          <a:off x="211320" y="123840"/>
          <a:ext cx="1428120" cy="408960"/>
        </a:xfrm>
        <a:prstGeom prst="rect">
          <a:avLst/>
        </a:prstGeom>
        <a:ln w="0">
          <a:noFill/>
        </a:ln>
      </xdr:spPr>
    </xdr:pic>
    <xdr:clientData/>
  </xdr:twoCellAnchor>
</xdr:wsDr>
</file>

<file path=xl/drawings/drawing5.xml><?xml version="1.0" encoding="utf-8"?>
<xdr:wsDr xmlns:xdr="http://schemas.openxmlformats.org/drawingml/2006/spreadsheetDrawing" xmlns:a="http://schemas.openxmlformats.org/drawingml/2006/main" xmlns:r="http://schemas.openxmlformats.org/officeDocument/2006/relationships">
  <xdr:twoCellAnchor editAs="oneCell">
    <xdr:from>
      <xdr:col>1</xdr:col>
      <xdr:colOff>0</xdr:colOff>
      <xdr:row>1</xdr:row>
      <xdr:rowOff>0</xdr:rowOff>
    </xdr:from>
    <xdr:to>
      <xdr:col>2</xdr:col>
      <xdr:colOff>864000</xdr:colOff>
      <xdr:row>1</xdr:row>
      <xdr:rowOff>408960</xdr:rowOff>
    </xdr:to>
    <xdr:pic>
      <xdr:nvPicPr>
        <xdr:cNvPr id="4" name="Image 1" descr="Picture">
          <a:hlinkClick xmlns:a="http://schemas.openxmlformats.org/drawingml/2006/main" xmlns:r="http://schemas.openxmlformats.org/officeDocument/2006/relationships" r:id="rId2"/>
        </xdr:cNvPr>
        <xdr:cNvPicPr/>
      </xdr:nvPicPr>
      <xdr:blipFill>
        <a:blip r:embed="rId1"/>
        <a:stretch/>
      </xdr:blipFill>
      <xdr:spPr>
        <a:xfrm>
          <a:off x="211320" y="123840"/>
          <a:ext cx="1428120" cy="408960"/>
        </a:xfrm>
        <a:prstGeom prst="rect">
          <a:avLst/>
        </a:prstGeom>
        <a:ln w="0">
          <a:noFill/>
        </a:ln>
      </xdr:spPr>
    </xdr:pic>
    <xdr:clientData/>
  </xdr:twoCellAnchor>
</xdr:wsDr>
</file>

<file path=xl/drawings/drawing6.xml><?xml version="1.0" encoding="utf-8"?>
<xdr:wsDr xmlns:xdr="http://schemas.openxmlformats.org/drawingml/2006/spreadsheetDrawing" xmlns:a="http://schemas.openxmlformats.org/drawingml/2006/main" xmlns:r="http://schemas.openxmlformats.org/officeDocument/2006/relationships">
  <xdr:twoCellAnchor editAs="oneCell">
    <xdr:from>
      <xdr:col>1</xdr:col>
      <xdr:colOff>0</xdr:colOff>
      <xdr:row>1</xdr:row>
      <xdr:rowOff>0</xdr:rowOff>
    </xdr:from>
    <xdr:to>
      <xdr:col>3</xdr:col>
      <xdr:colOff>159120</xdr:colOff>
      <xdr:row>1</xdr:row>
      <xdr:rowOff>408960</xdr:rowOff>
    </xdr:to>
    <xdr:pic>
      <xdr:nvPicPr>
        <xdr:cNvPr id="5" name="Image 1" descr="Picture">
          <a:hlinkClick xmlns:a="http://schemas.openxmlformats.org/drawingml/2006/main" xmlns:r="http://schemas.openxmlformats.org/officeDocument/2006/relationships" r:id="rId2"/>
        </xdr:cNvPr>
        <xdr:cNvPicPr/>
      </xdr:nvPicPr>
      <xdr:blipFill>
        <a:blip r:embed="rId1"/>
        <a:stretch/>
      </xdr:blipFill>
      <xdr:spPr>
        <a:xfrm>
          <a:off x="211320" y="123840"/>
          <a:ext cx="1428120" cy="408960"/>
        </a:xfrm>
        <a:prstGeom prst="rect">
          <a:avLst/>
        </a:prstGeom>
        <a:ln w="0">
          <a:noFill/>
        </a:ln>
      </xdr:spPr>
    </xdr:pic>
    <xdr:clientData/>
  </xdr:twoCellAnchor>
</xdr:wsDr>
</file>

<file path=xl/drawings/drawing7.xml><?xml version="1.0" encoding="utf-8"?>
<xdr:wsDr xmlns:xdr="http://schemas.openxmlformats.org/drawingml/2006/spreadsheetDrawing" xmlns:a="http://schemas.openxmlformats.org/drawingml/2006/main" xmlns:r="http://schemas.openxmlformats.org/officeDocument/2006/relationships">
  <xdr:twoCellAnchor editAs="oneCell">
    <xdr:from>
      <xdr:col>1</xdr:col>
      <xdr:colOff>0</xdr:colOff>
      <xdr:row>1</xdr:row>
      <xdr:rowOff>0</xdr:rowOff>
    </xdr:from>
    <xdr:to>
      <xdr:col>1</xdr:col>
      <xdr:colOff>1428120</xdr:colOff>
      <xdr:row>1</xdr:row>
      <xdr:rowOff>408960</xdr:rowOff>
    </xdr:to>
    <xdr:pic>
      <xdr:nvPicPr>
        <xdr:cNvPr id="6" name="Image 1" descr="Picture">
          <a:hlinkClick xmlns:a="http://schemas.openxmlformats.org/drawingml/2006/main" xmlns:r="http://schemas.openxmlformats.org/officeDocument/2006/relationships" r:id="rId2"/>
        </xdr:cNvPr>
        <xdr:cNvPicPr/>
      </xdr:nvPicPr>
      <xdr:blipFill>
        <a:blip r:embed="rId1"/>
        <a:stretch/>
      </xdr:blipFill>
      <xdr:spPr>
        <a:xfrm>
          <a:off x="211320" y="123840"/>
          <a:ext cx="1428120" cy="408960"/>
        </a:xfrm>
        <a:prstGeom prst="rect">
          <a:avLst/>
        </a:prstGeom>
        <a:ln w="0">
          <a:noFill/>
        </a:ln>
      </xdr:spPr>
    </xdr:pic>
    <xdr:clientData/>
  </xdr:twoCellAnchor>
</xdr:wsDr>
</file>

<file path=xl/drawings/drawing8.xml><?xml version="1.0" encoding="utf-8"?>
<xdr:wsDr xmlns:xdr="http://schemas.openxmlformats.org/drawingml/2006/spreadsheetDrawing" xmlns:a="http://schemas.openxmlformats.org/drawingml/2006/main" xmlns:r="http://schemas.openxmlformats.org/officeDocument/2006/relationships">
  <xdr:twoCellAnchor editAs="oneCell">
    <xdr:from>
      <xdr:col>1</xdr:col>
      <xdr:colOff>0</xdr:colOff>
      <xdr:row>1</xdr:row>
      <xdr:rowOff>0</xdr:rowOff>
    </xdr:from>
    <xdr:to>
      <xdr:col>1</xdr:col>
      <xdr:colOff>1428120</xdr:colOff>
      <xdr:row>1</xdr:row>
      <xdr:rowOff>408960</xdr:rowOff>
    </xdr:to>
    <xdr:pic>
      <xdr:nvPicPr>
        <xdr:cNvPr id="7" name="Image 1" descr="Picture">
          <a:hlinkClick xmlns:a="http://schemas.openxmlformats.org/drawingml/2006/main" xmlns:r="http://schemas.openxmlformats.org/officeDocument/2006/relationships" r:id="rId2"/>
        </xdr:cNvPr>
        <xdr:cNvPicPr/>
      </xdr:nvPicPr>
      <xdr:blipFill>
        <a:blip r:embed="rId1"/>
        <a:stretch/>
      </xdr:blipFill>
      <xdr:spPr>
        <a:xfrm>
          <a:off x="211320" y="123840"/>
          <a:ext cx="1428120" cy="408960"/>
        </a:xfrm>
        <a:prstGeom prst="rect">
          <a:avLst/>
        </a:prstGeom>
        <a:ln w="0">
          <a:noFill/>
        </a:ln>
      </xdr:spPr>
    </xdr:pic>
    <xdr:clientData/>
  </xdr:twoCellAnchor>
</xdr:wsDr>
</file>

<file path=xl/drawings/drawing9.xml><?xml version="1.0" encoding="utf-8"?>
<xdr:wsDr xmlns:xdr="http://schemas.openxmlformats.org/drawingml/2006/spreadsheetDrawing" xmlns:a="http://schemas.openxmlformats.org/drawingml/2006/main" xmlns:r="http://schemas.openxmlformats.org/officeDocument/2006/relationships">
  <xdr:twoCellAnchor editAs="oneCell">
    <xdr:from>
      <xdr:col>1</xdr:col>
      <xdr:colOff>0</xdr:colOff>
      <xdr:row>1</xdr:row>
      <xdr:rowOff>0</xdr:rowOff>
    </xdr:from>
    <xdr:to>
      <xdr:col>1</xdr:col>
      <xdr:colOff>1428120</xdr:colOff>
      <xdr:row>1</xdr:row>
      <xdr:rowOff>408960</xdr:rowOff>
    </xdr:to>
    <xdr:pic>
      <xdr:nvPicPr>
        <xdr:cNvPr id="8" name="Image 1" descr="Picture">
          <a:hlinkClick xmlns:a="http://schemas.openxmlformats.org/drawingml/2006/main" xmlns:r="http://schemas.openxmlformats.org/officeDocument/2006/relationships" r:id="rId2"/>
        </xdr:cNvPr>
        <xdr:cNvPicPr/>
      </xdr:nvPicPr>
      <xdr:blipFill>
        <a:blip r:embed="rId1"/>
        <a:stretch/>
      </xdr:blipFill>
      <xdr:spPr>
        <a:xfrm>
          <a:off x="211320" y="123840"/>
          <a:ext cx="1428120" cy="408960"/>
        </a:xfrm>
        <a:prstGeom prst="rect">
          <a:avLst/>
        </a:prstGeom>
        <a:ln w="0">
          <a:noFill/>
        </a:ln>
      </xdr:spPr>
    </xdr:pic>
    <xdr:clientData/>
  </xdr:twoCellAnchor>
</xdr:wsDr>
</file>

<file path=xl/drawings/drawing10.xml><?xml version="1.0" encoding="utf-8"?>
<xdr:wsDr xmlns:xdr="http://schemas.openxmlformats.org/drawingml/2006/spreadsheetDrawing" xmlns:a="http://schemas.openxmlformats.org/drawingml/2006/main" xmlns:r="http://schemas.openxmlformats.org/officeDocument/2006/relationships">
  <xdr:twoCellAnchor editAs="oneCell">
    <xdr:from>
      <xdr:col>1</xdr:col>
      <xdr:colOff>0</xdr:colOff>
      <xdr:row>1</xdr:row>
      <xdr:rowOff>0</xdr:rowOff>
    </xdr:from>
    <xdr:to>
      <xdr:col>2</xdr:col>
      <xdr:colOff>864000</xdr:colOff>
      <xdr:row>1</xdr:row>
      <xdr:rowOff>408960</xdr:rowOff>
    </xdr:to>
    <xdr:pic>
      <xdr:nvPicPr>
        <xdr:cNvPr id="9" name="Image 1" descr="Picture">
          <a:hlinkClick xmlns:a="http://schemas.openxmlformats.org/drawingml/2006/main" xmlns:r="http://schemas.openxmlformats.org/officeDocument/2006/relationships" r:id="rId2"/>
        </xdr:cNvPr>
        <xdr:cNvPicPr/>
      </xdr:nvPicPr>
      <xdr:blipFill>
        <a:blip r:embed="rId1"/>
        <a:stretch/>
      </xdr:blipFill>
      <xdr:spPr>
        <a:xfrm>
          <a:off x="211320" y="123840"/>
          <a:ext cx="1428120" cy="408960"/>
        </a:xfrm>
        <a:prstGeom prst="rect">
          <a:avLst/>
        </a:prstGeom>
        <a:ln w="0">
          <a:noFill/>
        </a:ln>
      </xdr:spPr>
    </xdr:pic>
    <xdr:clientData/>
  </xdr:twoCellAnchor>
</xdr:wsDr>
</file>

<file path=xl/drawings/drawing11.xml><?xml version="1.0" encoding="utf-8"?>
<xdr:wsDr xmlns:xdr="http://schemas.openxmlformats.org/drawingml/2006/spreadsheetDrawing" xmlns:a="http://schemas.openxmlformats.org/drawingml/2006/main" xmlns:r="http://schemas.openxmlformats.org/officeDocument/2006/relationships">
  <xdr:twoCellAnchor editAs="oneCell">
    <xdr:from>
      <xdr:col>1</xdr:col>
      <xdr:colOff>0</xdr:colOff>
      <xdr:row>1</xdr:row>
      <xdr:rowOff>0</xdr:rowOff>
    </xdr:from>
    <xdr:to>
      <xdr:col>1</xdr:col>
      <xdr:colOff>1428120</xdr:colOff>
      <xdr:row>1</xdr:row>
      <xdr:rowOff>408960</xdr:rowOff>
    </xdr:to>
    <xdr:pic>
      <xdr:nvPicPr>
        <xdr:cNvPr id="10" name="Image 1" descr="Picture">
          <a:hlinkClick xmlns:a="http://schemas.openxmlformats.org/drawingml/2006/main" xmlns:r="http://schemas.openxmlformats.org/officeDocument/2006/relationships" r:id="rId2"/>
        </xdr:cNvPr>
        <xdr:cNvPicPr/>
      </xdr:nvPicPr>
      <xdr:blipFill>
        <a:blip r:embed="rId1"/>
        <a:stretch/>
      </xdr:blipFill>
      <xdr:spPr>
        <a:xfrm>
          <a:off x="211320" y="123840"/>
          <a:ext cx="1428120" cy="408960"/>
        </a:xfrm>
        <a:prstGeom prst="rect">
          <a:avLst/>
        </a:prstGeom>
        <a:ln w="0">
          <a:noFill/>
        </a:ln>
      </xdr:spPr>
    </xdr:pic>
    <xdr:clientData/>
  </xdr:twoCellAnchor>
</xdr:wsDr>
</file>

<file path=xl/drawings/drawing12.xml><?xml version="1.0" encoding="utf-8"?>
<xdr:wsDr xmlns:xdr="http://schemas.openxmlformats.org/drawingml/2006/spreadsheetDrawing" xmlns:a="http://schemas.openxmlformats.org/drawingml/2006/main" xmlns:r="http://schemas.openxmlformats.org/officeDocument/2006/relationships">
  <xdr:twoCellAnchor editAs="oneCell">
    <xdr:from>
      <xdr:col>1</xdr:col>
      <xdr:colOff>0</xdr:colOff>
      <xdr:row>1</xdr:row>
      <xdr:rowOff>0</xdr:rowOff>
    </xdr:from>
    <xdr:to>
      <xdr:col>1</xdr:col>
      <xdr:colOff>1428120</xdr:colOff>
      <xdr:row>1</xdr:row>
      <xdr:rowOff>408960</xdr:rowOff>
    </xdr:to>
    <xdr:pic>
      <xdr:nvPicPr>
        <xdr:cNvPr id="11" name="Image 1" descr="Picture">
          <a:hlinkClick xmlns:a="http://schemas.openxmlformats.org/drawingml/2006/main" xmlns:r="http://schemas.openxmlformats.org/officeDocument/2006/relationships" r:id="rId2"/>
        </xdr:cNvPr>
        <xdr:cNvPicPr/>
      </xdr:nvPicPr>
      <xdr:blipFill>
        <a:blip r:embed="rId1"/>
        <a:stretch/>
      </xdr:blipFill>
      <xdr:spPr>
        <a:xfrm>
          <a:off x="211320" y="123840"/>
          <a:ext cx="1428120" cy="408960"/>
        </a:xfrm>
        <a:prstGeom prst="rect">
          <a:avLst/>
        </a:prstGeom>
        <a:ln w="0">
          <a:noFill/>
        </a:ln>
      </xdr:spPr>
    </xdr:pic>
    <xdr:clientData/>
  </xdr:twoCellAnchor>
</xdr:wsDr>
</file>

<file path=xl/theme/theme1.xml><?xml version="1.0" encoding="utf-8"?>
<a:theme xmlns:a="http://schemas.openxmlformats.org/drawingml/2006/main" xmlns:r="http://schemas.openxmlformats.org/officeDocument/2006/relationships" name="Office Theme">
  <a:themeElements>
    <a:clrScheme name="Office">
      <a:dk1>
        <a:srgbClr val="000000"/>
      </a:dk1>
      <a:lt1>
        <a:srgbClr val="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itchFamily="0" charset="1"/>
        <a:ea typeface=""/>
        <a:cs typeface=""/>
      </a:majorFont>
      <a:minorFont>
        <a:latin typeface="Calibri" pitchFamily="0" charset="1"/>
        <a:ea typeface=""/>
        <a:cs typeface=""/>
      </a:minorFont>
    </a:fontScheme>
    <a:fmtScheme>
      <a:fillStyleLst>
        <a:solidFill>
          <a:schemeClr val="phClr"/>
        </a:solidFill>
        <a:gradFill>
          <a:gsLst>
            <a:gs pos="0">
              <a:schemeClr val="phClr">
                <a:tint val="50000"/>
              </a:schemeClr>
            </a:gs>
            <a:gs pos="35000">
              <a:schemeClr val="phClr">
                <a:tint val="37000"/>
              </a:schemeClr>
            </a:gs>
            <a:gs pos="100000">
              <a:schemeClr val="phClr">
                <a:tint val="15000"/>
              </a:schemeClr>
            </a:gs>
          </a:gsLst>
          <a:lin ang="16200000" scaled="1"/>
          <a:tileRect l="0" t="0" r="0" b="0"/>
        </a:gradFill>
        <a:gradFill>
          <a:gsLst>
            <a:gs pos="0">
              <a:schemeClr val="phClr">
                <a:shade val="51000"/>
              </a:schemeClr>
            </a:gs>
            <a:gs pos="80000">
              <a:schemeClr val="phClr">
                <a:shade val="93000"/>
              </a:schemeClr>
            </a:gs>
            <a:gs pos="100000">
              <a:schemeClr val="phClr">
                <a:shade val="94000"/>
              </a:schemeClr>
            </a:gs>
          </a:gsLst>
          <a:lin ang="16200000" scaled="0"/>
          <a:tileRect l="0" t="0" r="0" b="0"/>
        </a:gradFill>
      </a:fillStyleLst>
      <a:lnStyleLst>
        <a:ln w="9525" cap="flat" cmpd="sng" algn="ctr">
          <a:prstDash val="solid"/>
        </a:ln>
        <a:ln w="25400" cap="flat" cmpd="sng" algn="ctr">
          <a:prstDash val="solid"/>
        </a:ln>
        <a:ln w="38100" cap="flat" cmpd="sng" algn="ctr">
          <a:prstDash val="solid"/>
        </a:ln>
      </a:lnStyleLst>
      <a:effectStyleLst>
        <a:effectStyle>
          <a:effectLst/>
        </a:effectStyle>
        <a:effectStyle>
          <a:effectLst/>
        </a:effectStyle>
        <a:effectStyle>
          <a:effectLst/>
        </a:effectStyle>
      </a:effectStyleLst>
      <a:bgFillStyleLst>
        <a:solidFill>
          <a:schemeClr val="phClr"/>
        </a:solidFill>
        <a:gradFill>
          <a:gsLst>
            <a:gs pos="0">
              <a:schemeClr val="phClr">
                <a:tint val="40000"/>
              </a:schemeClr>
            </a:gs>
            <a:gs pos="40000">
              <a:schemeClr val="phClr">
                <a:tint val="45000"/>
                <a:shade val="99000"/>
              </a:schemeClr>
            </a:gs>
            <a:gs pos="100000">
              <a:schemeClr val="phClr">
                <a:shade val="20000"/>
              </a:schemeClr>
            </a:gs>
          </a:gsLst>
          <a:path path="circle">
            <a:fillToRect l="50000" t="-80000" r="50000" b="180000"/>
          </a:path>
          <a:tileRect l="0" t="0" r="0" b="0"/>
        </a:gradFill>
        <a:gradFill>
          <a:gsLst>
            <a:gs pos="0">
              <a:schemeClr val="phClr">
                <a:tint val="80000"/>
              </a:schemeClr>
            </a:gs>
            <a:gs pos="100000">
              <a:schemeClr val="phClr">
                <a:shade val="30000"/>
              </a:schemeClr>
            </a:gs>
          </a:gsLst>
          <a:path path="circle">
            <a:fillToRect l="50000" t="50000" r="50000" b="50000"/>
          </a:path>
          <a:tileRect l="0" t="0" r="0" b="0"/>
        </a:gradFill>
      </a:bgFillStyleLst>
    </a:fmtScheme>
  </a:themeElements>
</a:theme>
</file>

<file path=xl/worksheets/_rels/sheet1.xml.rels><?xml version="1.0" encoding="UTF-8"?>
<Relationships xmlns="http://schemas.openxmlformats.org/package/2006/relationships"><Relationship Id="rId1" Type="http://schemas.openxmlformats.org/officeDocument/2006/relationships/hyperlink" Target="https://www.mastt.com/" TargetMode="External"/><Relationship Id="rId2" Type="http://schemas.openxmlformats.org/officeDocument/2006/relationships/drawing" Target="../drawings/drawing1.xml"/>
</Relationships>
</file>

<file path=xl/worksheets/_rels/sheet2.xml.rels><?xml version="1.0" encoding="UTF-8"?>
<Relationships xmlns="http://schemas.openxmlformats.org/package/2006/relationships"><Relationship Id="rId1" Type="http://schemas.openxmlformats.org/officeDocument/2006/relationships/drawing" Target="../drawings/drawing2.xml"/>
</Relationships>
</file>

<file path=xl/worksheets/_rels/sheet3.xml.rels><?xml version="1.0" encoding="UTF-8"?>
<Relationships xmlns="http://schemas.openxmlformats.org/package/2006/relationships"><Relationship Id="rId1" Type="http://schemas.openxmlformats.org/officeDocument/2006/relationships/drawing" Target="../drawings/drawing3.xml"/>
</Relationships>
</file>

<file path=xl/worksheets/_rels/sheet4.xml.rels><?xml version="1.0" encoding="UTF-8"?>
<Relationships xmlns="http://schemas.openxmlformats.org/package/2006/relationships"><Relationship Id="rId1" Type="http://schemas.openxmlformats.org/officeDocument/2006/relationships/drawing" Target="../drawings/drawing4.xml"/>
</Relationships>
</file>

<file path=xl/worksheets/_rels/sheet5.xml.rels><?xml version="1.0" encoding="UTF-8"?>
<Relationships xmlns="http://schemas.openxmlformats.org/package/2006/relationships"><Relationship Id="rId1" Type="http://schemas.openxmlformats.org/officeDocument/2006/relationships/drawing" Target="../drawings/drawing5.xml"/>
</Relationships>
</file>

<file path=xl/worksheets/_rels/sheet6.xml.rels><?xml version="1.0" encoding="UTF-8"?>
<Relationships xmlns="http://schemas.openxmlformats.org/package/2006/relationships"><Relationship Id="rId1" Type="http://schemas.openxmlformats.org/officeDocument/2006/relationships/drawing" Target="../drawings/drawing6.xml"/>
</Relationships>
</file>

<file path=xl/worksheets/_rels/sheet7.xml.rels><?xml version="1.0" encoding="UTF-8"?>
<Relationships xmlns="http://schemas.openxmlformats.org/package/2006/relationships"><Relationship Id="rId1" Type="http://schemas.openxmlformats.org/officeDocument/2006/relationships/drawing" Target="../drawings/drawing7.xml"/>
</Relationships>
</file>

<file path=xl/worksheets/_rels/sheet8.xml.rels><?xml version="1.0" encoding="UTF-8"?>
<Relationships xmlns="http://schemas.openxmlformats.org/package/2006/relationships"><Relationship Id="rId1" Type="http://schemas.openxmlformats.org/officeDocument/2006/relationships/drawing" Target="../drawings/drawing8.xml"/>
</Relationships>
</file>

<file path=xl/worksheets/_rels/sheet9.xml.rels><?xml version="1.0" encoding="UTF-8"?>
<Relationships xmlns="http://schemas.openxmlformats.org/package/2006/relationships"><Relationship Id="rId1" Type="http://schemas.openxmlformats.org/officeDocument/2006/relationships/drawing" Target="../drawings/drawing9.xml"/>
</Relationships>
</file>

<file path=xl/worksheets/_rels/sheet10.xml.rels><?xml version="1.0" encoding="UTF-8"?>
<Relationships xmlns="http://schemas.openxmlformats.org/package/2006/relationships"><Relationship Id="rId1" Type="http://schemas.openxmlformats.org/officeDocument/2006/relationships/drawing" Target="../drawings/drawing10.xml"/>
</Relationships>
</file>

<file path=xl/worksheets/_rels/sheet11.xml.rels><?xml version="1.0" encoding="UTF-8"?>
<Relationships xmlns="http://schemas.openxmlformats.org/package/2006/relationships"><Relationship Id="rId1" Type="http://schemas.openxmlformats.org/officeDocument/2006/relationships/drawing" Target="../drawings/drawing11.xml"/>
</Relationships>
</file>

<file path=xl/worksheets/_rels/sheet12.xml.rels><?xml version="1.0" encoding="UTF-8"?>
<Relationships xmlns="http://schemas.openxmlformats.org/package/2006/relationships"><Relationship Id="rId1" Type="http://schemas.openxmlformats.org/officeDocument/2006/relationships/drawing" Target="../drawings/drawing12.xml"/>
</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tabColor rgb="FF0C1628"/>
    <pageSetUpPr fitToPage="true"/>
  </sheetPr>
  <dimension ref="A1:H37"/>
  <sheetViews>
    <sheetView showFormulas="false" showGridLines="false" showRowColHeaders="true" showZeros="true" rightToLeft="false" tabSelected="true" showOutlineSymbols="true" defaultGridColor="true" view="normal" topLeftCell="A1" colorId="64" zoomScale="100" zoomScaleNormal="100" zoomScalePageLayoutView="100" workbookViewId="0">
      <selection pane="topLeft" activeCell="A1" activeCellId="0" sqref="A1"/>
    </sheetView>
  </sheetViews>
  <sheetFormatPr defaultColWidth="8.6796875" defaultRowHeight="15" zeroHeight="false" outlineLevelRow="0" outlineLevelCol="0"/>
  <cols>
    <col collapsed="false" customWidth="true" hidden="false" outlineLevel="0" max="1" min="1" style="1" width="3"/>
    <col collapsed="false" customWidth="true" hidden="false" outlineLevel="0" max="2" min="2" style="1" width="30"/>
    <col collapsed="false" customWidth="true" hidden="false" outlineLevel="0" max="7" min="3" style="1" width="26"/>
    <col collapsed="false" customWidth="true" hidden="false" outlineLevel="0" max="8" min="8" style="1" width="3"/>
  </cols>
  <sheetData>
    <row r="1" customFormat="false" ht="9.75" hidden="false" customHeight="true" outlineLevel="0" collapsed="false">
      <c r="A1" s="2"/>
      <c r="B1" s="2"/>
      <c r="C1" s="2"/>
      <c r="D1" s="2"/>
      <c r="E1" s="2"/>
      <c r="F1" s="2"/>
      <c r="G1" s="2"/>
      <c r="H1" s="2"/>
    </row>
    <row r="2" customFormat="false" ht="33.75" hidden="false" customHeight="true" outlineLevel="0" collapsed="false">
      <c r="A2" s="2"/>
      <c r="B2" s="2"/>
      <c r="C2" s="2"/>
      <c r="D2" s="2"/>
      <c r="E2" s="2"/>
      <c r="F2" s="2"/>
      <c r="G2" s="2"/>
      <c r="H2" s="2"/>
    </row>
    <row r="3" customFormat="false" ht="7.5" hidden="false" customHeight="true" outlineLevel="0" collapsed="false">
      <c r="A3" s="2"/>
      <c r="B3" s="2"/>
      <c r="C3" s="2"/>
      <c r="D3" s="2"/>
      <c r="E3" s="2"/>
      <c r="F3" s="2"/>
      <c r="G3" s="2"/>
      <c r="H3" s="2"/>
    </row>
    <row r="4" customFormat="false" ht="30" hidden="false" customHeight="true" outlineLevel="0" collapsed="false">
      <c r="A4" s="2"/>
      <c r="B4" s="3" t="s">
        <v>0</v>
      </c>
      <c r="C4" s="2"/>
      <c r="D4" s="2"/>
      <c r="E4" s="2"/>
      <c r="F4" s="2"/>
      <c r="G4" s="2"/>
      <c r="H4" s="2"/>
    </row>
    <row r="5" customFormat="false" ht="21.75" hidden="false" customHeight="true" outlineLevel="0" collapsed="false">
      <c r="A5" s="2"/>
      <c r="B5" s="4" t="s">
        <v>1</v>
      </c>
      <c r="C5" s="2"/>
      <c r="D5" s="2"/>
      <c r="E5" s="2"/>
      <c r="F5" s="2"/>
      <c r="G5" s="2"/>
      <c r="H5" s="2"/>
    </row>
    <row r="6" customFormat="false" ht="7.5" hidden="false" customHeight="true" outlineLevel="0" collapsed="false"/>
    <row r="7" customFormat="false" ht="24" hidden="false" customHeight="true" outlineLevel="0" collapsed="false">
      <c r="B7" s="5" t="s">
        <v>2</v>
      </c>
      <c r="C7" s="6"/>
      <c r="D7" s="6"/>
      <c r="E7" s="6"/>
      <c r="F7" s="6"/>
      <c r="G7" s="6"/>
    </row>
    <row r="8" customFormat="false" ht="57.75" hidden="false" customHeight="true" outlineLevel="0" collapsed="false">
      <c r="B8" s="7" t="s">
        <v>3</v>
      </c>
      <c r="C8" s="7"/>
      <c r="D8" s="7"/>
      <c r="E8" s="7"/>
      <c r="F8" s="7"/>
      <c r="G8" s="7"/>
    </row>
    <row r="10" customFormat="false" ht="24" hidden="false" customHeight="true" outlineLevel="0" collapsed="false">
      <c r="B10" s="5" t="s">
        <v>4</v>
      </c>
      <c r="C10" s="6"/>
      <c r="D10" s="6"/>
      <c r="E10" s="6"/>
      <c r="F10" s="6"/>
      <c r="G10" s="6"/>
    </row>
    <row r="11" customFormat="false" ht="30" hidden="false" customHeight="true" outlineLevel="0" collapsed="false">
      <c r="B11" s="8" t="s">
        <v>5</v>
      </c>
      <c r="C11" s="8"/>
      <c r="D11" s="8"/>
      <c r="E11" s="8"/>
      <c r="F11" s="8"/>
      <c r="G11" s="8"/>
    </row>
    <row r="12" customFormat="false" ht="30" hidden="false" customHeight="true" outlineLevel="0" collapsed="false">
      <c r="B12" s="8" t="s">
        <v>6</v>
      </c>
      <c r="C12" s="8"/>
      <c r="D12" s="8"/>
      <c r="E12" s="8"/>
      <c r="F12" s="8"/>
      <c r="G12" s="8"/>
    </row>
    <row r="13" customFormat="false" ht="30" hidden="false" customHeight="true" outlineLevel="0" collapsed="false">
      <c r="B13" s="8" t="s">
        <v>7</v>
      </c>
      <c r="C13" s="8"/>
      <c r="D13" s="8"/>
      <c r="E13" s="8"/>
      <c r="F13" s="8"/>
      <c r="G13" s="8"/>
    </row>
    <row r="14" customFormat="false" ht="30" hidden="false" customHeight="true" outlineLevel="0" collapsed="false">
      <c r="B14" s="8" t="s">
        <v>8</v>
      </c>
      <c r="C14" s="8"/>
      <c r="D14" s="8"/>
      <c r="E14" s="8"/>
      <c r="F14" s="8"/>
      <c r="G14" s="8"/>
    </row>
    <row r="15" customFormat="false" ht="30" hidden="false" customHeight="true" outlineLevel="0" collapsed="false">
      <c r="B15" s="8" t="s">
        <v>9</v>
      </c>
      <c r="C15" s="8"/>
      <c r="D15" s="8"/>
      <c r="E15" s="8"/>
      <c r="F15" s="8"/>
      <c r="G15" s="8"/>
    </row>
    <row r="16" customFormat="false" ht="30" hidden="false" customHeight="true" outlineLevel="0" collapsed="false">
      <c r="B16" s="8" t="s">
        <v>10</v>
      </c>
      <c r="C16" s="8"/>
      <c r="D16" s="8"/>
      <c r="E16" s="8"/>
      <c r="F16" s="8"/>
      <c r="G16" s="8"/>
    </row>
    <row r="18" customFormat="false" ht="24" hidden="false" customHeight="true" outlineLevel="0" collapsed="false">
      <c r="B18" s="5" t="s">
        <v>11</v>
      </c>
      <c r="C18" s="6"/>
      <c r="D18" s="6"/>
      <c r="E18" s="6"/>
      <c r="F18" s="6"/>
      <c r="G18" s="6"/>
    </row>
    <row r="19" customFormat="false" ht="30" hidden="false" customHeight="true" outlineLevel="0" collapsed="false">
      <c r="B19" s="8" t="s">
        <v>12</v>
      </c>
      <c r="C19" s="8"/>
      <c r="D19" s="8"/>
      <c r="E19" s="8"/>
      <c r="F19" s="8"/>
      <c r="G19" s="8"/>
    </row>
    <row r="20" customFormat="false" ht="30" hidden="false" customHeight="true" outlineLevel="0" collapsed="false">
      <c r="B20" s="8" t="s">
        <v>13</v>
      </c>
      <c r="C20" s="8"/>
      <c r="D20" s="8"/>
      <c r="E20" s="8"/>
      <c r="F20" s="8"/>
      <c r="G20" s="8"/>
    </row>
    <row r="21" customFormat="false" ht="30" hidden="false" customHeight="true" outlineLevel="0" collapsed="false">
      <c r="B21" s="8" t="s">
        <v>14</v>
      </c>
      <c r="C21" s="8"/>
      <c r="D21" s="8"/>
      <c r="E21" s="8"/>
      <c r="F21" s="8"/>
      <c r="G21" s="8"/>
    </row>
    <row r="22" customFormat="false" ht="30" hidden="false" customHeight="true" outlineLevel="0" collapsed="false">
      <c r="B22" s="8" t="s">
        <v>15</v>
      </c>
      <c r="C22" s="8"/>
      <c r="D22" s="8"/>
      <c r="E22" s="8"/>
      <c r="F22" s="8"/>
      <c r="G22" s="8"/>
    </row>
    <row r="23" customFormat="false" ht="30" hidden="false" customHeight="true" outlineLevel="0" collapsed="false">
      <c r="B23" s="8" t="s">
        <v>16</v>
      </c>
      <c r="C23" s="8"/>
      <c r="D23" s="8"/>
      <c r="E23" s="8"/>
      <c r="F23" s="8"/>
      <c r="G23" s="8"/>
    </row>
    <row r="25" customFormat="false" ht="24" hidden="false" customHeight="true" outlineLevel="0" collapsed="false">
      <c r="B25" s="5" t="s">
        <v>17</v>
      </c>
      <c r="C25" s="6"/>
      <c r="D25" s="6"/>
      <c r="E25" s="6"/>
      <c r="F25" s="6"/>
      <c r="G25" s="6"/>
    </row>
    <row r="26" customFormat="false" ht="30" hidden="false" customHeight="true" outlineLevel="0" collapsed="false">
      <c r="B26" s="9" t="s">
        <v>18</v>
      </c>
      <c r="C26" s="9" t="s">
        <v>19</v>
      </c>
      <c r="D26" s="9"/>
      <c r="E26" s="9" t="s">
        <v>18</v>
      </c>
      <c r="F26" s="9" t="s">
        <v>19</v>
      </c>
      <c r="G26" s="9"/>
    </row>
    <row r="27" customFormat="false" ht="21.75" hidden="false" customHeight="true" outlineLevel="0" collapsed="false">
      <c r="B27" s="10" t="s">
        <v>20</v>
      </c>
      <c r="C27" s="11" t="s">
        <v>0</v>
      </c>
      <c r="D27" s="11"/>
      <c r="E27" s="10" t="s">
        <v>21</v>
      </c>
      <c r="F27" s="11" t="s">
        <v>22</v>
      </c>
      <c r="G27" s="11"/>
    </row>
    <row r="28" customFormat="false" ht="21.75" hidden="false" customHeight="true" outlineLevel="0" collapsed="false">
      <c r="B28" s="10" t="s">
        <v>23</v>
      </c>
      <c r="C28" s="11"/>
      <c r="D28" s="11"/>
      <c r="E28" s="10" t="s">
        <v>24</v>
      </c>
      <c r="F28" s="11"/>
      <c r="G28" s="11"/>
    </row>
    <row r="29" customFormat="false" ht="21.75" hidden="false" customHeight="true" outlineLevel="0" collapsed="false">
      <c r="B29" s="10" t="s">
        <v>25</v>
      </c>
      <c r="C29" s="11"/>
      <c r="D29" s="11"/>
      <c r="E29" s="10" t="s">
        <v>26</v>
      </c>
      <c r="F29" s="11"/>
      <c r="G29" s="11"/>
    </row>
    <row r="30" customFormat="false" ht="21.75" hidden="false" customHeight="true" outlineLevel="0" collapsed="false">
      <c r="B30" s="10" t="s">
        <v>27</v>
      </c>
      <c r="C30" s="11"/>
      <c r="D30" s="11"/>
      <c r="E30" s="10" t="s">
        <v>28</v>
      </c>
      <c r="F30" s="11"/>
      <c r="G30" s="11"/>
    </row>
    <row r="31" customFormat="false" ht="21.75" hidden="false" customHeight="true" outlineLevel="0" collapsed="false">
      <c r="B31" s="10" t="s">
        <v>29</v>
      </c>
      <c r="C31" s="11"/>
      <c r="D31" s="11"/>
      <c r="E31" s="10" t="s">
        <v>30</v>
      </c>
      <c r="F31" s="11"/>
      <c r="G31" s="11"/>
    </row>
    <row r="34" customFormat="false" ht="24" hidden="false" customHeight="true" outlineLevel="0" collapsed="false">
      <c r="B34" s="5" t="s">
        <v>31</v>
      </c>
      <c r="C34" s="6"/>
      <c r="D34" s="6"/>
      <c r="E34" s="6"/>
      <c r="F34" s="6"/>
      <c r="G34" s="6"/>
    </row>
    <row r="35" customFormat="false" ht="61.5" hidden="false" customHeight="true" outlineLevel="0" collapsed="false">
      <c r="B35" s="12" t="s">
        <v>32</v>
      </c>
      <c r="C35" s="12"/>
      <c r="D35" s="12"/>
      <c r="E35" s="12"/>
      <c r="F35" s="12"/>
      <c r="G35" s="12"/>
    </row>
    <row r="37" customFormat="false" ht="19.5" hidden="false" customHeight="true" outlineLevel="0" collapsed="false">
      <c r="B37" s="13" t="s">
        <v>33</v>
      </c>
      <c r="C37" s="14"/>
      <c r="D37" s="14"/>
      <c r="E37" s="14"/>
      <c r="F37" s="14"/>
      <c r="G37" s="15" t="s">
        <v>34</v>
      </c>
    </row>
  </sheetData>
  <mergeCells count="25">
    <mergeCell ref="B8:G8"/>
    <mergeCell ref="B11:G11"/>
    <mergeCell ref="B12:G12"/>
    <mergeCell ref="B13:G13"/>
    <mergeCell ref="B14:G14"/>
    <mergeCell ref="B15:G15"/>
    <mergeCell ref="B16:G16"/>
    <mergeCell ref="B19:G19"/>
    <mergeCell ref="B20:G20"/>
    <mergeCell ref="B21:G21"/>
    <mergeCell ref="B22:G22"/>
    <mergeCell ref="B23:G23"/>
    <mergeCell ref="C26:D26"/>
    <mergeCell ref="F26:G26"/>
    <mergeCell ref="C27:D27"/>
    <mergeCell ref="F27:G27"/>
    <mergeCell ref="C28:D28"/>
    <mergeCell ref="F28:G28"/>
    <mergeCell ref="C29:D29"/>
    <mergeCell ref="F29:G29"/>
    <mergeCell ref="C30:D30"/>
    <mergeCell ref="F30:G30"/>
    <mergeCell ref="C31:D31"/>
    <mergeCell ref="F31:G31"/>
    <mergeCell ref="B35:G35"/>
  </mergeCells>
  <hyperlinks>
    <hyperlink ref="G37" r:id="rId1" display="Visit mastt.com  ↗"/>
  </hyperlinks>
  <printOptions headings="false" gridLines="false" gridLinesSet="true" horizontalCentered="true" verticalCentered="false"/>
  <pageMargins left="0.4" right="0.4" top="0.5" bottom="0.5" header="0.511811023622047" footer="0.5"/>
  <pageSetup paperSize="9" scale="100" fitToWidth="1" fitToHeight="0" pageOrder="downThenOver" orientation="landscape" blackAndWhite="false" draft="false" cellComments="none" horizontalDpi="300" verticalDpi="300" copies="1"/>
  <headerFooter differentFirst="false" differentOddEven="false">
    <oddHeader/>
    <oddFooter>&amp;L&amp;8 &amp;K8e98a2Template by Mastt  ·  mastt.com&amp;R&amp;8 &amp;K8e98a2Page &amp;P of &amp;N</oddFooter>
  </headerFooter>
  <drawing r:id="rId2"/>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tabColor rgb="FF0D3C61"/>
    <pageSetUpPr fitToPage="true"/>
  </sheetPr>
  <dimension ref="A1:G67"/>
  <sheetViews>
    <sheetView showFormulas="false" showGridLines="false" showRowColHeaders="true" showZeros="true" rightToLeft="false" tabSelected="false" showOutlineSymbols="true" defaultGridColor="true" view="normal" topLeftCell="A1" colorId="64" zoomScale="100" zoomScaleNormal="100" zoomScalePageLayoutView="100" workbookViewId="0">
      <pane xSplit="0" ySplit="7" topLeftCell="A8" activePane="bottomLeft" state="frozen"/>
      <selection pane="topLeft" activeCell="A1" activeCellId="0" sqref="A1"/>
      <selection pane="bottomLeft" activeCell="A1" activeCellId="0" sqref="A1"/>
    </sheetView>
  </sheetViews>
  <sheetFormatPr defaultColWidth="8.6796875" defaultRowHeight="15" zeroHeight="false" outlineLevelRow="0" outlineLevelCol="0"/>
  <cols>
    <col collapsed="false" customWidth="true" hidden="false" outlineLevel="0" max="1" min="1" style="1" width="3"/>
    <col collapsed="false" customWidth="true" hidden="false" outlineLevel="0" max="2" min="2" style="1" width="34"/>
    <col collapsed="false" customWidth="true" hidden="false" outlineLevel="0" max="7" min="3" style="1" width="30"/>
    <col collapsed="false" customWidth="true" hidden="false" outlineLevel="0" max="8" min="8" style="1" width="3"/>
  </cols>
  <sheetData>
    <row r="1" customFormat="false" ht="9.75" hidden="false" customHeight="true" outlineLevel="0" collapsed="false">
      <c r="A1" s="2"/>
      <c r="B1" s="2"/>
      <c r="C1" s="2"/>
      <c r="D1" s="2"/>
      <c r="E1" s="2"/>
      <c r="F1" s="2"/>
      <c r="G1" s="2"/>
    </row>
    <row r="2" customFormat="false" ht="33.75" hidden="false" customHeight="true" outlineLevel="0" collapsed="false">
      <c r="A2" s="2"/>
      <c r="B2" s="2"/>
      <c r="C2" s="2"/>
      <c r="D2" s="2"/>
      <c r="E2" s="2"/>
      <c r="F2" s="2"/>
      <c r="G2" s="2"/>
    </row>
    <row r="3" customFormat="false" ht="7.5" hidden="false" customHeight="true" outlineLevel="0" collapsed="false">
      <c r="A3" s="2"/>
      <c r="B3" s="2"/>
      <c r="C3" s="2"/>
      <c r="D3" s="2"/>
      <c r="E3" s="2"/>
      <c r="F3" s="2"/>
      <c r="G3" s="2"/>
    </row>
    <row r="4" customFormat="false" ht="30" hidden="false" customHeight="true" outlineLevel="0" collapsed="false">
      <c r="A4" s="2"/>
      <c r="B4" s="3" t="s">
        <v>35</v>
      </c>
      <c r="C4" s="2"/>
      <c r="D4" s="2"/>
      <c r="E4" s="2"/>
      <c r="F4" s="2"/>
      <c r="G4" s="2"/>
    </row>
    <row r="5" customFormat="false" ht="21.75" hidden="false" customHeight="true" outlineLevel="0" collapsed="false">
      <c r="A5" s="2"/>
      <c r="B5" s="4" t="s">
        <v>36</v>
      </c>
      <c r="C5" s="2"/>
      <c r="D5" s="2"/>
      <c r="E5" s="2"/>
      <c r="F5" s="2"/>
      <c r="G5" s="2"/>
    </row>
    <row r="6" customFormat="false" ht="7.5" hidden="false" customHeight="true" outlineLevel="0" collapsed="false"/>
    <row r="7" customFormat="false" ht="24" hidden="false" customHeight="true" outlineLevel="0" collapsed="false">
      <c r="B7" s="5" t="s">
        <v>37</v>
      </c>
      <c r="C7" s="6"/>
      <c r="D7" s="6"/>
      <c r="E7" s="6"/>
      <c r="F7" s="6"/>
      <c r="G7" s="6"/>
    </row>
    <row r="8" customFormat="false" ht="150" hidden="false" customHeight="true" outlineLevel="0" collapsed="false">
      <c r="B8" s="8" t="s">
        <v>38</v>
      </c>
      <c r="C8" s="8"/>
      <c r="D8" s="8"/>
      <c r="E8" s="8"/>
      <c r="F8" s="8"/>
      <c r="G8" s="8"/>
    </row>
    <row r="10" customFormat="false" ht="24" hidden="false" customHeight="true" outlineLevel="0" collapsed="false">
      <c r="B10" s="5" t="s">
        <v>39</v>
      </c>
      <c r="C10" s="6"/>
      <c r="D10" s="6"/>
      <c r="E10" s="6"/>
      <c r="F10" s="6"/>
      <c r="G10" s="6"/>
    </row>
    <row r="11" customFormat="false" ht="30" hidden="false" customHeight="true" outlineLevel="0" collapsed="false">
      <c r="B11" s="9" t="s">
        <v>40</v>
      </c>
      <c r="C11" s="9" t="s">
        <v>41</v>
      </c>
      <c r="D11" s="9" t="s">
        <v>42</v>
      </c>
      <c r="E11" s="9"/>
      <c r="F11" s="9"/>
      <c r="G11" s="9"/>
    </row>
    <row r="12" customFormat="false" ht="33.75" hidden="false" customHeight="true" outlineLevel="0" collapsed="false">
      <c r="B12" s="16" t="s">
        <v>43</v>
      </c>
      <c r="C12" s="17" t="s">
        <v>44</v>
      </c>
      <c r="D12" s="18" t="s">
        <v>45</v>
      </c>
      <c r="E12" s="18"/>
      <c r="F12" s="18"/>
      <c r="G12" s="18"/>
    </row>
    <row r="13" customFormat="false" ht="33.75" hidden="false" customHeight="true" outlineLevel="0" collapsed="false">
      <c r="B13" s="19" t="s">
        <v>46</v>
      </c>
      <c r="C13" s="17" t="s">
        <v>47</v>
      </c>
      <c r="D13" s="18" t="s">
        <v>48</v>
      </c>
      <c r="E13" s="18"/>
      <c r="F13" s="18"/>
      <c r="G13" s="18"/>
    </row>
    <row r="14" customFormat="false" ht="33.75" hidden="false" customHeight="true" outlineLevel="0" collapsed="false">
      <c r="B14" s="17" t="s">
        <v>49</v>
      </c>
      <c r="C14" s="17" t="s">
        <v>50</v>
      </c>
      <c r="D14" s="18" t="s">
        <v>51</v>
      </c>
      <c r="E14" s="18"/>
      <c r="F14" s="18"/>
      <c r="G14" s="18"/>
    </row>
    <row r="16" customFormat="false" ht="24" hidden="false" customHeight="true" outlineLevel="0" collapsed="false">
      <c r="B16" s="5" t="s">
        <v>52</v>
      </c>
      <c r="C16" s="6"/>
      <c r="D16" s="6"/>
      <c r="E16" s="6"/>
      <c r="F16" s="6"/>
      <c r="G16" s="6"/>
    </row>
    <row r="17" customFormat="false" ht="30" hidden="false" customHeight="true" outlineLevel="0" collapsed="false">
      <c r="B17" s="9" t="s">
        <v>53</v>
      </c>
      <c r="C17" s="9" t="s">
        <v>54</v>
      </c>
      <c r="D17" s="9" t="s">
        <v>55</v>
      </c>
      <c r="E17" s="9"/>
      <c r="F17" s="9"/>
      <c r="G17" s="9"/>
    </row>
    <row r="18" customFormat="false" ht="51.75" hidden="false" customHeight="true" outlineLevel="0" collapsed="false">
      <c r="B18" s="20" t="s">
        <v>56</v>
      </c>
      <c r="C18" s="17" t="s">
        <v>57</v>
      </c>
      <c r="D18" s="18" t="s">
        <v>58</v>
      </c>
      <c r="E18" s="18"/>
      <c r="F18" s="18"/>
      <c r="G18" s="18"/>
    </row>
    <row r="19" customFormat="false" ht="51.75" hidden="false" customHeight="true" outlineLevel="0" collapsed="false">
      <c r="B19" s="20" t="s">
        <v>59</v>
      </c>
      <c r="C19" s="17" t="s">
        <v>57</v>
      </c>
      <c r="D19" s="18" t="s">
        <v>60</v>
      </c>
      <c r="E19" s="18"/>
      <c r="F19" s="18"/>
      <c r="G19" s="18"/>
    </row>
    <row r="20" customFormat="false" ht="51.75" hidden="false" customHeight="true" outlineLevel="0" collapsed="false">
      <c r="B20" s="20" t="s">
        <v>61</v>
      </c>
      <c r="C20" s="17" t="s">
        <v>62</v>
      </c>
      <c r="D20" s="18" t="s">
        <v>63</v>
      </c>
      <c r="E20" s="18"/>
      <c r="F20" s="18"/>
      <c r="G20" s="18"/>
    </row>
    <row r="21" customFormat="false" ht="51.75" hidden="false" customHeight="true" outlineLevel="0" collapsed="false">
      <c r="B21" s="20" t="s">
        <v>64</v>
      </c>
      <c r="C21" s="17" t="s">
        <v>65</v>
      </c>
      <c r="D21" s="18" t="s">
        <v>66</v>
      </c>
      <c r="E21" s="18"/>
      <c r="F21" s="18"/>
      <c r="G21" s="18"/>
    </row>
    <row r="22" customFormat="false" ht="51.75" hidden="false" customHeight="true" outlineLevel="0" collapsed="false">
      <c r="B22" s="20" t="s">
        <v>67</v>
      </c>
      <c r="C22" s="17" t="s">
        <v>68</v>
      </c>
      <c r="D22" s="18" t="s">
        <v>69</v>
      </c>
      <c r="E22" s="18"/>
      <c r="F22" s="18"/>
      <c r="G22" s="18"/>
    </row>
    <row r="23" customFormat="false" ht="51.75" hidden="false" customHeight="true" outlineLevel="0" collapsed="false">
      <c r="B23" s="20" t="s">
        <v>70</v>
      </c>
      <c r="C23" s="17" t="s">
        <v>71</v>
      </c>
      <c r="D23" s="18" t="s">
        <v>72</v>
      </c>
      <c r="E23" s="18"/>
      <c r="F23" s="18"/>
      <c r="G23" s="18"/>
    </row>
    <row r="24" customFormat="false" ht="51.75" hidden="false" customHeight="true" outlineLevel="0" collapsed="false">
      <c r="B24" s="20" t="s">
        <v>73</v>
      </c>
      <c r="C24" s="17" t="s">
        <v>74</v>
      </c>
      <c r="D24" s="18" t="s">
        <v>75</v>
      </c>
      <c r="E24" s="18"/>
      <c r="F24" s="18"/>
      <c r="G24" s="18"/>
    </row>
    <row r="25" customFormat="false" ht="51.75" hidden="false" customHeight="true" outlineLevel="0" collapsed="false">
      <c r="B25" s="20" t="s">
        <v>76</v>
      </c>
      <c r="C25" s="17" t="s">
        <v>77</v>
      </c>
      <c r="D25" s="18" t="s">
        <v>78</v>
      </c>
      <c r="E25" s="18"/>
      <c r="F25" s="18"/>
      <c r="G25" s="18"/>
    </row>
    <row r="26" customFormat="false" ht="51.75" hidden="false" customHeight="true" outlineLevel="0" collapsed="false">
      <c r="B26" s="20" t="s">
        <v>79</v>
      </c>
      <c r="C26" s="17" t="s">
        <v>80</v>
      </c>
      <c r="D26" s="18" t="s">
        <v>81</v>
      </c>
      <c r="E26" s="18"/>
      <c r="F26" s="18"/>
      <c r="G26" s="18"/>
    </row>
    <row r="27" customFormat="false" ht="51.75" hidden="false" customHeight="true" outlineLevel="0" collapsed="false">
      <c r="B27" s="20" t="s">
        <v>82</v>
      </c>
      <c r="C27" s="17" t="s">
        <v>83</v>
      </c>
      <c r="D27" s="18" t="s">
        <v>84</v>
      </c>
      <c r="E27" s="18"/>
      <c r="F27" s="18"/>
      <c r="G27" s="18"/>
    </row>
    <row r="29" customFormat="false" ht="24" hidden="false" customHeight="true" outlineLevel="0" collapsed="false">
      <c r="B29" s="5" t="s">
        <v>85</v>
      </c>
      <c r="C29" s="6"/>
      <c r="D29" s="6"/>
      <c r="E29" s="6"/>
      <c r="F29" s="6"/>
      <c r="G29" s="6"/>
    </row>
    <row r="30" customFormat="false" ht="55.5" hidden="false" customHeight="true" outlineLevel="0" collapsed="false">
      <c r="B30" s="17" t="s">
        <v>86</v>
      </c>
      <c r="C30" s="18" t="s">
        <v>87</v>
      </c>
      <c r="D30" s="18"/>
      <c r="E30" s="18"/>
      <c r="F30" s="18"/>
      <c r="G30" s="18"/>
    </row>
    <row r="31" customFormat="false" ht="55.5" hidden="false" customHeight="true" outlineLevel="0" collapsed="false">
      <c r="B31" s="17" t="s">
        <v>88</v>
      </c>
      <c r="C31" s="18" t="s">
        <v>89</v>
      </c>
      <c r="D31" s="18"/>
      <c r="E31" s="18"/>
      <c r="F31" s="18"/>
      <c r="G31" s="18"/>
    </row>
    <row r="32" customFormat="false" ht="55.5" hidden="false" customHeight="true" outlineLevel="0" collapsed="false">
      <c r="B32" s="17" t="s">
        <v>90</v>
      </c>
      <c r="C32" s="18" t="s">
        <v>91</v>
      </c>
      <c r="D32" s="18"/>
      <c r="E32" s="18"/>
      <c r="F32" s="18"/>
      <c r="G32" s="18"/>
    </row>
    <row r="33" customFormat="false" ht="55.5" hidden="false" customHeight="true" outlineLevel="0" collapsed="false">
      <c r="B33" s="17" t="s">
        <v>92</v>
      </c>
      <c r="C33" s="18" t="s">
        <v>93</v>
      </c>
      <c r="D33" s="18"/>
      <c r="E33" s="18"/>
      <c r="F33" s="18"/>
      <c r="G33" s="18"/>
    </row>
    <row r="34" customFormat="false" ht="55.5" hidden="false" customHeight="true" outlineLevel="0" collapsed="false">
      <c r="B34" s="17" t="s">
        <v>94</v>
      </c>
      <c r="C34" s="18" t="s">
        <v>95</v>
      </c>
      <c r="D34" s="18"/>
      <c r="E34" s="18"/>
      <c r="F34" s="18"/>
      <c r="G34" s="18"/>
    </row>
    <row r="36" customFormat="false" ht="24" hidden="false" customHeight="true" outlineLevel="0" collapsed="false">
      <c r="B36" s="5" t="s">
        <v>96</v>
      </c>
      <c r="C36" s="6"/>
      <c r="D36" s="6"/>
      <c r="E36" s="6"/>
      <c r="F36" s="6"/>
      <c r="G36" s="6"/>
    </row>
    <row r="37" customFormat="false" ht="30" hidden="false" customHeight="true" outlineLevel="0" collapsed="false">
      <c r="B37" s="21" t="s">
        <v>97</v>
      </c>
      <c r="C37" s="21"/>
      <c r="D37" s="21"/>
      <c r="E37" s="21"/>
      <c r="F37" s="21"/>
      <c r="G37" s="21"/>
    </row>
    <row r="38" customFormat="false" ht="30" hidden="false" customHeight="true" outlineLevel="0" collapsed="false">
      <c r="B38" s="21" t="s">
        <v>98</v>
      </c>
      <c r="C38" s="21"/>
      <c r="D38" s="21"/>
      <c r="E38" s="21"/>
      <c r="F38" s="21"/>
      <c r="G38" s="21"/>
    </row>
    <row r="39" customFormat="false" ht="30" hidden="false" customHeight="true" outlineLevel="0" collapsed="false">
      <c r="B39" s="21" t="s">
        <v>99</v>
      </c>
      <c r="C39" s="21"/>
      <c r="D39" s="21"/>
      <c r="E39" s="21"/>
      <c r="F39" s="21"/>
      <c r="G39" s="21"/>
    </row>
    <row r="40" customFormat="false" ht="30" hidden="false" customHeight="true" outlineLevel="0" collapsed="false">
      <c r="B40" s="21" t="s">
        <v>100</v>
      </c>
      <c r="C40" s="21"/>
      <c r="D40" s="21"/>
      <c r="E40" s="21"/>
      <c r="F40" s="21"/>
      <c r="G40" s="21"/>
    </row>
    <row r="41" customFormat="false" ht="30" hidden="false" customHeight="true" outlineLevel="0" collapsed="false">
      <c r="B41" s="21" t="s">
        <v>101</v>
      </c>
      <c r="C41" s="21"/>
      <c r="D41" s="21"/>
      <c r="E41" s="21"/>
      <c r="F41" s="21"/>
      <c r="G41" s="21"/>
    </row>
    <row r="42" customFormat="false" ht="30" hidden="false" customHeight="true" outlineLevel="0" collapsed="false">
      <c r="B42" s="21" t="s">
        <v>102</v>
      </c>
      <c r="C42" s="21"/>
      <c r="D42" s="21"/>
      <c r="E42" s="21"/>
      <c r="F42" s="21"/>
      <c r="G42" s="21"/>
    </row>
    <row r="44" customFormat="false" ht="24" hidden="false" customHeight="true" outlineLevel="0" collapsed="false">
      <c r="B44" s="5" t="s">
        <v>103</v>
      </c>
      <c r="C44" s="6"/>
      <c r="D44" s="6"/>
      <c r="E44" s="6"/>
      <c r="F44" s="6"/>
      <c r="G44" s="6"/>
    </row>
    <row r="45" customFormat="false" ht="30" hidden="false" customHeight="true" outlineLevel="0" collapsed="false">
      <c r="B45" s="9" t="s">
        <v>104</v>
      </c>
      <c r="C45" s="9" t="s">
        <v>105</v>
      </c>
      <c r="D45" s="9"/>
      <c r="E45" s="9"/>
      <c r="F45" s="9"/>
      <c r="G45" s="9"/>
    </row>
    <row r="46" customFormat="false" ht="45.75" hidden="false" customHeight="true" outlineLevel="0" collapsed="false">
      <c r="B46" s="17" t="s">
        <v>106</v>
      </c>
      <c r="C46" s="18" t="s">
        <v>107</v>
      </c>
      <c r="D46" s="18"/>
      <c r="E46" s="18"/>
      <c r="F46" s="18"/>
      <c r="G46" s="18"/>
    </row>
    <row r="47" customFormat="false" ht="45.75" hidden="false" customHeight="true" outlineLevel="0" collapsed="false">
      <c r="B47" s="17" t="s">
        <v>108</v>
      </c>
      <c r="C47" s="18" t="s">
        <v>109</v>
      </c>
      <c r="D47" s="18"/>
      <c r="E47" s="18"/>
      <c r="F47" s="18"/>
      <c r="G47" s="18"/>
    </row>
    <row r="48" customFormat="false" ht="45.75" hidden="false" customHeight="true" outlineLevel="0" collapsed="false">
      <c r="B48" s="17" t="s">
        <v>110</v>
      </c>
      <c r="C48" s="18" t="s">
        <v>111</v>
      </c>
      <c r="D48" s="18"/>
      <c r="E48" s="18"/>
      <c r="F48" s="18"/>
      <c r="G48" s="18"/>
    </row>
    <row r="49" customFormat="false" ht="45.75" hidden="false" customHeight="true" outlineLevel="0" collapsed="false">
      <c r="B49" s="17" t="s">
        <v>112</v>
      </c>
      <c r="C49" s="18" t="s">
        <v>113</v>
      </c>
      <c r="D49" s="18"/>
      <c r="E49" s="18"/>
      <c r="F49" s="18"/>
      <c r="G49" s="18"/>
    </row>
    <row r="50" customFormat="false" ht="45.75" hidden="false" customHeight="true" outlineLevel="0" collapsed="false">
      <c r="B50" s="17" t="s">
        <v>114</v>
      </c>
      <c r="C50" s="18" t="s">
        <v>115</v>
      </c>
      <c r="D50" s="18"/>
      <c r="E50" s="18"/>
      <c r="F50" s="18"/>
      <c r="G50" s="18"/>
    </row>
    <row r="51" customFormat="false" ht="45.75" hidden="false" customHeight="true" outlineLevel="0" collapsed="false">
      <c r="B51" s="17" t="s">
        <v>116</v>
      </c>
      <c r="C51" s="18" t="s">
        <v>117</v>
      </c>
      <c r="D51" s="18"/>
      <c r="E51" s="18"/>
      <c r="F51" s="18"/>
      <c r="G51" s="18"/>
    </row>
    <row r="52" customFormat="false" ht="45.75" hidden="false" customHeight="true" outlineLevel="0" collapsed="false">
      <c r="B52" s="17" t="s">
        <v>118</v>
      </c>
      <c r="C52" s="18" t="s">
        <v>119</v>
      </c>
      <c r="D52" s="18"/>
      <c r="E52" s="18"/>
      <c r="F52" s="18"/>
      <c r="G52" s="18"/>
    </row>
    <row r="53" customFormat="false" ht="45.75" hidden="false" customHeight="true" outlineLevel="0" collapsed="false">
      <c r="B53" s="17" t="s">
        <v>120</v>
      </c>
      <c r="C53" s="18" t="s">
        <v>121</v>
      </c>
      <c r="D53" s="18"/>
      <c r="E53" s="18"/>
      <c r="F53" s="18"/>
      <c r="G53" s="18"/>
    </row>
    <row r="54" customFormat="false" ht="45.75" hidden="false" customHeight="true" outlineLevel="0" collapsed="false">
      <c r="B54" s="17" t="s">
        <v>122</v>
      </c>
      <c r="C54" s="18" t="s">
        <v>123</v>
      </c>
      <c r="D54" s="18"/>
      <c r="E54" s="18"/>
      <c r="F54" s="18"/>
      <c r="G54" s="18"/>
    </row>
    <row r="55" customFormat="false" ht="45.75" hidden="false" customHeight="true" outlineLevel="0" collapsed="false">
      <c r="B55" s="17" t="s">
        <v>124</v>
      </c>
      <c r="C55" s="18" t="s">
        <v>125</v>
      </c>
      <c r="D55" s="18"/>
      <c r="E55" s="18"/>
      <c r="F55" s="18"/>
      <c r="G55" s="18"/>
    </row>
    <row r="56" customFormat="false" ht="45.75" hidden="false" customHeight="true" outlineLevel="0" collapsed="false">
      <c r="B56" s="17" t="s">
        <v>126</v>
      </c>
      <c r="C56" s="18" t="s">
        <v>127</v>
      </c>
      <c r="D56" s="18"/>
      <c r="E56" s="18"/>
      <c r="F56" s="18"/>
      <c r="G56" s="18"/>
    </row>
    <row r="57" customFormat="false" ht="45.75" hidden="false" customHeight="true" outlineLevel="0" collapsed="false">
      <c r="B57" s="17" t="s">
        <v>128</v>
      </c>
      <c r="C57" s="18" t="s">
        <v>129</v>
      </c>
      <c r="D57" s="18"/>
      <c r="E57" s="18"/>
      <c r="F57" s="18"/>
      <c r="G57" s="18"/>
    </row>
    <row r="58" customFormat="false" ht="45.75" hidden="false" customHeight="true" outlineLevel="0" collapsed="false">
      <c r="B58" s="17" t="s">
        <v>130</v>
      </c>
      <c r="C58" s="18" t="s">
        <v>131</v>
      </c>
      <c r="D58" s="18"/>
      <c r="E58" s="18"/>
      <c r="F58" s="18"/>
      <c r="G58" s="18"/>
    </row>
    <row r="59" customFormat="false" ht="45.75" hidden="false" customHeight="true" outlineLevel="0" collapsed="false">
      <c r="B59" s="17" t="s">
        <v>132</v>
      </c>
      <c r="C59" s="18" t="s">
        <v>133</v>
      </c>
      <c r="D59" s="18"/>
      <c r="E59" s="18"/>
      <c r="F59" s="18"/>
      <c r="G59" s="18"/>
    </row>
    <row r="60" customFormat="false" ht="45.75" hidden="false" customHeight="true" outlineLevel="0" collapsed="false">
      <c r="B60" s="17" t="s">
        <v>134</v>
      </c>
      <c r="C60" s="18" t="s">
        <v>135</v>
      </c>
      <c r="D60" s="18"/>
      <c r="E60" s="18"/>
      <c r="F60" s="18"/>
      <c r="G60" s="18"/>
    </row>
    <row r="61" customFormat="false" ht="45.75" hidden="false" customHeight="true" outlineLevel="0" collapsed="false">
      <c r="B61" s="17" t="s">
        <v>136</v>
      </c>
      <c r="C61" s="18" t="s">
        <v>137</v>
      </c>
      <c r="D61" s="18"/>
      <c r="E61" s="18"/>
      <c r="F61" s="18"/>
      <c r="G61" s="18"/>
    </row>
    <row r="62" customFormat="false" ht="45.75" hidden="false" customHeight="true" outlineLevel="0" collapsed="false">
      <c r="B62" s="17" t="s">
        <v>138</v>
      </c>
      <c r="C62" s="18" t="s">
        <v>139</v>
      </c>
      <c r="D62" s="18"/>
      <c r="E62" s="18"/>
      <c r="F62" s="18"/>
      <c r="G62" s="18"/>
    </row>
    <row r="63" customFormat="false" ht="45.75" hidden="false" customHeight="true" outlineLevel="0" collapsed="false">
      <c r="B63" s="17" t="s">
        <v>140</v>
      </c>
      <c r="C63" s="18" t="s">
        <v>141</v>
      </c>
      <c r="D63" s="18"/>
      <c r="E63" s="18"/>
      <c r="F63" s="18"/>
      <c r="G63" s="18"/>
    </row>
    <row r="64" customFormat="false" ht="45.75" hidden="false" customHeight="true" outlineLevel="0" collapsed="false">
      <c r="B64" s="17" t="s">
        <v>142</v>
      </c>
      <c r="C64" s="18" t="s">
        <v>143</v>
      </c>
      <c r="D64" s="18"/>
      <c r="E64" s="18"/>
      <c r="F64" s="18"/>
      <c r="G64" s="18"/>
    </row>
    <row r="65" customFormat="false" ht="45.75" hidden="false" customHeight="true" outlineLevel="0" collapsed="false">
      <c r="B65" s="17" t="s">
        <v>144</v>
      </c>
      <c r="C65" s="18" t="s">
        <v>145</v>
      </c>
      <c r="D65" s="18"/>
      <c r="E65" s="18"/>
      <c r="F65" s="18"/>
      <c r="G65" s="18"/>
    </row>
    <row r="67" customFormat="false" ht="43.5" hidden="false" customHeight="true" outlineLevel="0" collapsed="false">
      <c r="B67" s="22" t="s">
        <v>146</v>
      </c>
      <c r="C67" s="22"/>
      <c r="D67" s="22"/>
      <c r="E67" s="22"/>
      <c r="F67" s="22"/>
      <c r="G67" s="22"/>
    </row>
  </sheetData>
  <mergeCells count="46">
    <mergeCell ref="B8:G8"/>
    <mergeCell ref="D12:G12"/>
    <mergeCell ref="D13:G13"/>
    <mergeCell ref="D14:G14"/>
    <mergeCell ref="D18:G18"/>
    <mergeCell ref="D19:G19"/>
    <mergeCell ref="D20:G20"/>
    <mergeCell ref="D21:G21"/>
    <mergeCell ref="D22:G22"/>
    <mergeCell ref="D23:G23"/>
    <mergeCell ref="D24:G24"/>
    <mergeCell ref="D25:G25"/>
    <mergeCell ref="D26:G26"/>
    <mergeCell ref="D27:G27"/>
    <mergeCell ref="C30:G30"/>
    <mergeCell ref="C31:G31"/>
    <mergeCell ref="C32:G32"/>
    <mergeCell ref="C33:G33"/>
    <mergeCell ref="C34:G34"/>
    <mergeCell ref="B37:G37"/>
    <mergeCell ref="B38:G38"/>
    <mergeCell ref="B39:G39"/>
    <mergeCell ref="B40:G40"/>
    <mergeCell ref="B41:G41"/>
    <mergeCell ref="B42:G42"/>
    <mergeCell ref="C46:G46"/>
    <mergeCell ref="C47:G47"/>
    <mergeCell ref="C48:G48"/>
    <mergeCell ref="C49:G49"/>
    <mergeCell ref="C50:G50"/>
    <mergeCell ref="C51:G51"/>
    <mergeCell ref="C52:G52"/>
    <mergeCell ref="C53:G53"/>
    <mergeCell ref="C54:G54"/>
    <mergeCell ref="C55:G55"/>
    <mergeCell ref="C56:G56"/>
    <mergeCell ref="C57:G57"/>
    <mergeCell ref="C58:G58"/>
    <mergeCell ref="C59:G59"/>
    <mergeCell ref="C60:G60"/>
    <mergeCell ref="C61:G61"/>
    <mergeCell ref="C62:G62"/>
    <mergeCell ref="C63:G63"/>
    <mergeCell ref="C64:G64"/>
    <mergeCell ref="C65:G65"/>
    <mergeCell ref="B67:G67"/>
  </mergeCells>
  <printOptions headings="false" gridLines="false" gridLinesSet="true" horizontalCentered="true" verticalCentered="false"/>
  <pageMargins left="0.4" right="0.4" top="0.5" bottom="0.5" header="0.511811023622047" footer="0.5"/>
  <pageSetup paperSize="8" scale="100" fitToWidth="1" fitToHeight="0" pageOrder="downThenOver" orientation="landscape" blackAndWhite="false" draft="false" cellComments="none" horizontalDpi="300" verticalDpi="300" copies="1"/>
  <headerFooter differentFirst="false" differentOddEven="false">
    <oddHeader/>
    <oddFooter>&amp;L&amp;8 &amp;K8e98a2Template by Mastt  ·  mastt.com&amp;R&amp;8 &amp;K8e98a2Page &amp;P of &amp;N</oddFooter>
  </headerFooter>
  <drawing r:id="rId1"/>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tabColor rgb="FF0D3C61"/>
    <pageSetUpPr fitToPage="true"/>
  </sheetPr>
  <dimension ref="A1:F62"/>
  <sheetViews>
    <sheetView showFormulas="false" showGridLines="false" showRowColHeaders="true" showZeros="true" rightToLeft="false" tabSelected="false" showOutlineSymbols="true" defaultGridColor="true" view="normal" topLeftCell="A1" colorId="64" zoomScale="100" zoomScaleNormal="100" zoomScalePageLayoutView="100" workbookViewId="0">
      <pane xSplit="0" ySplit="7" topLeftCell="A8" activePane="bottomLeft" state="frozen"/>
      <selection pane="topLeft" activeCell="A1" activeCellId="0" sqref="A1"/>
      <selection pane="bottomLeft" activeCell="A1" activeCellId="0" sqref="A1"/>
    </sheetView>
  </sheetViews>
  <sheetFormatPr defaultColWidth="8.6796875" defaultRowHeight="15" zeroHeight="false" outlineLevelRow="0" outlineLevelCol="0"/>
  <cols>
    <col collapsed="false" customWidth="true" hidden="false" outlineLevel="0" max="1" min="1" style="1" width="3"/>
    <col collapsed="false" customWidth="true" hidden="false" outlineLevel="0" max="2" min="2" style="1" width="46"/>
    <col collapsed="false" customWidth="true" hidden="false" outlineLevel="0" max="3" min="3" style="1" width="20"/>
    <col collapsed="false" customWidth="true" hidden="false" outlineLevel="0" max="4" min="4" style="1" width="16"/>
    <col collapsed="false" customWidth="true" hidden="false" outlineLevel="0" max="5" min="5" style="1" width="88"/>
    <col collapsed="false" customWidth="true" hidden="false" outlineLevel="0" max="6" min="6" style="1" width="3"/>
  </cols>
  <sheetData>
    <row r="1" customFormat="false" ht="9.75" hidden="false" customHeight="true" outlineLevel="0" collapsed="false">
      <c r="A1" s="2"/>
      <c r="B1" s="2"/>
      <c r="C1" s="2"/>
      <c r="D1" s="2"/>
      <c r="E1" s="2"/>
      <c r="F1" s="2"/>
    </row>
    <row r="2" customFormat="false" ht="33.75" hidden="false" customHeight="true" outlineLevel="0" collapsed="false">
      <c r="A2" s="2"/>
      <c r="B2" s="2"/>
      <c r="C2" s="2"/>
      <c r="D2" s="2"/>
      <c r="E2" s="2"/>
      <c r="F2" s="2"/>
    </row>
    <row r="3" customFormat="false" ht="7.5" hidden="false" customHeight="true" outlineLevel="0" collapsed="false">
      <c r="A3" s="2"/>
      <c r="B3" s="2"/>
      <c r="C3" s="2"/>
      <c r="D3" s="2"/>
      <c r="E3" s="2"/>
      <c r="F3" s="2"/>
    </row>
    <row r="4" customFormat="false" ht="30" hidden="false" customHeight="true" outlineLevel="0" collapsed="false">
      <c r="A4" s="2"/>
      <c r="B4" s="3" t="s">
        <v>57</v>
      </c>
      <c r="C4" s="2"/>
      <c r="D4" s="2"/>
      <c r="E4" s="2"/>
      <c r="F4" s="2"/>
    </row>
    <row r="5" customFormat="false" ht="21.75" hidden="false" customHeight="true" outlineLevel="0" collapsed="false">
      <c r="A5" s="2"/>
      <c r="B5" s="4" t="s">
        <v>147</v>
      </c>
      <c r="C5" s="2"/>
      <c r="D5" s="2"/>
      <c r="E5" s="2"/>
      <c r="F5" s="2"/>
    </row>
    <row r="6" customFormat="false" ht="7.5" hidden="false" customHeight="true" outlineLevel="0" collapsed="false"/>
    <row r="7" customFormat="false" ht="30" hidden="false" customHeight="true" outlineLevel="0" collapsed="false">
      <c r="B7" s="23" t="s">
        <v>148</v>
      </c>
      <c r="C7" s="23"/>
      <c r="D7" s="23"/>
      <c r="E7" s="23"/>
    </row>
    <row r="9" customFormat="false" ht="24" hidden="false" customHeight="true" outlineLevel="0" collapsed="false">
      <c r="B9" s="5" t="s">
        <v>149</v>
      </c>
      <c r="C9" s="6"/>
      <c r="D9" s="6"/>
      <c r="E9" s="6"/>
    </row>
    <row r="10" customFormat="false" ht="30" hidden="false" customHeight="true" outlineLevel="0" collapsed="false">
      <c r="B10" s="9" t="s">
        <v>150</v>
      </c>
      <c r="C10" s="9" t="s">
        <v>151</v>
      </c>
      <c r="D10" s="9" t="s">
        <v>152</v>
      </c>
      <c r="E10" s="9" t="s">
        <v>153</v>
      </c>
    </row>
    <row r="11" customFormat="false" ht="30" hidden="false" customHeight="true" outlineLevel="0" collapsed="false">
      <c r="B11" s="17" t="s">
        <v>23</v>
      </c>
      <c r="C11" s="24" t="s">
        <v>154</v>
      </c>
      <c r="D11" s="25" t="s">
        <v>155</v>
      </c>
      <c r="E11" s="26" t="s">
        <v>156</v>
      </c>
    </row>
    <row r="12" customFormat="false" ht="30" hidden="false" customHeight="true" outlineLevel="0" collapsed="false">
      <c r="B12" s="17" t="s">
        <v>157</v>
      </c>
      <c r="C12" s="24" t="s">
        <v>158</v>
      </c>
      <c r="D12" s="25" t="s">
        <v>155</v>
      </c>
      <c r="E12" s="26" t="s">
        <v>159</v>
      </c>
    </row>
    <row r="13" customFormat="false" ht="30" hidden="false" customHeight="true" outlineLevel="0" collapsed="false">
      <c r="B13" s="17" t="s">
        <v>160</v>
      </c>
      <c r="C13" s="24" t="s">
        <v>161</v>
      </c>
      <c r="D13" s="25" t="s">
        <v>155</v>
      </c>
      <c r="E13" s="26" t="s">
        <v>162</v>
      </c>
    </row>
    <row r="14" customFormat="false" ht="30" hidden="false" customHeight="true" outlineLevel="0" collapsed="false">
      <c r="B14" s="17" t="s">
        <v>163</v>
      </c>
      <c r="C14" s="24" t="s">
        <v>164</v>
      </c>
      <c r="D14" s="25" t="s">
        <v>155</v>
      </c>
      <c r="E14" s="26" t="s">
        <v>165</v>
      </c>
    </row>
    <row r="15" customFormat="false" ht="30" hidden="false" customHeight="true" outlineLevel="0" collapsed="false">
      <c r="B15" s="17" t="s">
        <v>166</v>
      </c>
      <c r="C15" s="27" t="n">
        <v>2026</v>
      </c>
      <c r="D15" s="25" t="s">
        <v>167</v>
      </c>
      <c r="E15" s="26" t="s">
        <v>168</v>
      </c>
    </row>
    <row r="16" customFormat="false" ht="30" hidden="false" customHeight="true" outlineLevel="0" collapsed="false">
      <c r="B16" s="17" t="s">
        <v>169</v>
      </c>
      <c r="C16" s="27" t="n">
        <v>2026</v>
      </c>
      <c r="D16" s="25" t="s">
        <v>167</v>
      </c>
      <c r="E16" s="26" t="s">
        <v>170</v>
      </c>
    </row>
    <row r="18" customFormat="false" ht="24" hidden="false" customHeight="true" outlineLevel="0" collapsed="false">
      <c r="B18" s="5" t="s">
        <v>171</v>
      </c>
      <c r="C18" s="6"/>
      <c r="D18" s="6"/>
      <c r="E18" s="6"/>
    </row>
    <row r="19" customFormat="false" ht="30" hidden="false" customHeight="true" outlineLevel="0" collapsed="false">
      <c r="B19" s="9" t="s">
        <v>150</v>
      </c>
      <c r="C19" s="9" t="s">
        <v>151</v>
      </c>
      <c r="D19" s="9" t="s">
        <v>152</v>
      </c>
      <c r="E19" s="9" t="s">
        <v>153</v>
      </c>
    </row>
    <row r="20" customFormat="false" ht="30" hidden="false" customHeight="true" outlineLevel="0" collapsed="false">
      <c r="B20" s="17" t="s">
        <v>172</v>
      </c>
      <c r="C20" s="27" t="n">
        <v>30</v>
      </c>
      <c r="D20" s="25" t="s">
        <v>173</v>
      </c>
      <c r="E20" s="26" t="s">
        <v>174</v>
      </c>
    </row>
    <row r="21" customFormat="false" ht="30" hidden="false" customHeight="true" outlineLevel="0" collapsed="false">
      <c r="B21" s="17" t="s">
        <v>175</v>
      </c>
      <c r="C21" s="28" t="n">
        <v>40</v>
      </c>
      <c r="D21" s="25" t="s">
        <v>173</v>
      </c>
      <c r="E21" s="26" t="s">
        <v>176</v>
      </c>
    </row>
    <row r="22" customFormat="false" ht="30" hidden="false" customHeight="true" outlineLevel="0" collapsed="false">
      <c r="B22" s="17" t="s">
        <v>177</v>
      </c>
      <c r="C22" s="27" t="n">
        <v>3</v>
      </c>
      <c r="D22" s="25" t="s">
        <v>173</v>
      </c>
      <c r="E22" s="26" t="s">
        <v>178</v>
      </c>
    </row>
    <row r="23" customFormat="false" ht="30" hidden="false" customHeight="true" outlineLevel="0" collapsed="false">
      <c r="B23" s="17" t="s">
        <v>179</v>
      </c>
      <c r="C23" s="29" t="n">
        <v>0.07</v>
      </c>
      <c r="D23" s="25" t="s">
        <v>180</v>
      </c>
      <c r="E23" s="26" t="s">
        <v>181</v>
      </c>
    </row>
    <row r="24" customFormat="false" ht="30" hidden="false" customHeight="true" outlineLevel="0" collapsed="false">
      <c r="B24" s="17" t="s">
        <v>182</v>
      </c>
      <c r="C24" s="30" t="s">
        <v>183</v>
      </c>
      <c r="D24" s="25" t="s">
        <v>184</v>
      </c>
      <c r="E24" s="26" t="s">
        <v>185</v>
      </c>
    </row>
    <row r="25" customFormat="false" ht="30" hidden="false" customHeight="true" outlineLevel="0" collapsed="false">
      <c r="B25" s="17" t="s">
        <v>186</v>
      </c>
      <c r="C25" s="30" t="s">
        <v>187</v>
      </c>
      <c r="D25" s="25" t="s">
        <v>188</v>
      </c>
      <c r="E25" s="26" t="s">
        <v>189</v>
      </c>
    </row>
    <row r="26" customFormat="false" ht="30" hidden="false" customHeight="true" outlineLevel="0" collapsed="false">
      <c r="B26" s="17" t="s">
        <v>190</v>
      </c>
      <c r="C26" s="29" t="n">
        <v>0.025</v>
      </c>
      <c r="D26" s="25" t="s">
        <v>180</v>
      </c>
      <c r="E26" s="26" t="s">
        <v>191</v>
      </c>
    </row>
    <row r="27" customFormat="false" ht="30" hidden="false" customHeight="true" outlineLevel="0" collapsed="false">
      <c r="B27" s="17" t="s">
        <v>192</v>
      </c>
      <c r="C27" s="31" t="n">
        <f aca="false">IF(PriceBasis="Nominal",(1+DiscRate)*(1+InflRate)-1,DiscRate)</f>
        <v>0.07</v>
      </c>
      <c r="D27" s="25" t="s">
        <v>180</v>
      </c>
      <c r="E27" s="26" t="s">
        <v>193</v>
      </c>
    </row>
    <row r="29" customFormat="false" ht="24" hidden="false" customHeight="true" outlineLevel="0" collapsed="false">
      <c r="B29" s="5" t="s">
        <v>194</v>
      </c>
      <c r="C29" s="6"/>
      <c r="D29" s="6"/>
      <c r="E29" s="6"/>
    </row>
    <row r="30" customFormat="false" ht="30" hidden="false" customHeight="true" outlineLevel="0" collapsed="false">
      <c r="B30" s="9" t="s">
        <v>150</v>
      </c>
      <c r="C30" s="9" t="s">
        <v>151</v>
      </c>
      <c r="D30" s="9" t="s">
        <v>152</v>
      </c>
      <c r="E30" s="9" t="s">
        <v>153</v>
      </c>
    </row>
    <row r="31" customFormat="false" ht="30" hidden="false" customHeight="true" outlineLevel="0" collapsed="false">
      <c r="B31" s="17" t="s">
        <v>195</v>
      </c>
      <c r="C31" s="32" t="n">
        <v>0.15</v>
      </c>
      <c r="D31" s="25" t="s">
        <v>196</v>
      </c>
      <c r="E31" s="26" t="s">
        <v>197</v>
      </c>
    </row>
    <row r="32" customFormat="false" ht="30" hidden="false" customHeight="true" outlineLevel="0" collapsed="false">
      <c r="B32" s="17" t="s">
        <v>198</v>
      </c>
      <c r="C32" s="32" t="n">
        <v>0.12</v>
      </c>
      <c r="D32" s="25" t="s">
        <v>196</v>
      </c>
      <c r="E32" s="26" t="s">
        <v>199</v>
      </c>
    </row>
    <row r="34" customFormat="false" ht="24" hidden="false" customHeight="true" outlineLevel="0" collapsed="false">
      <c r="B34" s="5" t="s">
        <v>200</v>
      </c>
      <c r="C34" s="6"/>
      <c r="D34" s="6"/>
      <c r="E34" s="6"/>
    </row>
    <row r="35" customFormat="false" ht="30" hidden="false" customHeight="true" outlineLevel="0" collapsed="false">
      <c r="B35" s="9" t="s">
        <v>150</v>
      </c>
      <c r="C35" s="9" t="s">
        <v>151</v>
      </c>
      <c r="D35" s="9" t="s">
        <v>152</v>
      </c>
      <c r="E35" s="9" t="s">
        <v>153</v>
      </c>
    </row>
    <row r="36" customFormat="false" ht="30" hidden="false" customHeight="true" outlineLevel="0" collapsed="false">
      <c r="B36" s="17" t="s">
        <v>201</v>
      </c>
      <c r="C36" s="30" t="s">
        <v>202</v>
      </c>
      <c r="D36" s="25" t="s">
        <v>203</v>
      </c>
      <c r="E36" s="26" t="s">
        <v>204</v>
      </c>
    </row>
    <row r="37" customFormat="false" ht="30" hidden="false" customHeight="true" outlineLevel="0" collapsed="false">
      <c r="B37" s="17" t="s">
        <v>205</v>
      </c>
      <c r="C37" s="33" t="n">
        <v>50</v>
      </c>
      <c r="D37" s="25" t="s">
        <v>173</v>
      </c>
      <c r="E37" s="26" t="s">
        <v>206</v>
      </c>
    </row>
    <row r="38" customFormat="false" ht="30" hidden="false" customHeight="true" outlineLevel="0" collapsed="false">
      <c r="B38" s="17" t="s">
        <v>207</v>
      </c>
      <c r="C38" s="32" t="n">
        <v>0.15</v>
      </c>
      <c r="D38" s="25" t="s">
        <v>196</v>
      </c>
      <c r="E38" s="26" t="s">
        <v>208</v>
      </c>
    </row>
    <row r="39" customFormat="false" ht="30" hidden="false" customHeight="true" outlineLevel="0" collapsed="false">
      <c r="B39" s="17" t="s">
        <v>209</v>
      </c>
      <c r="C39" s="34" t="n">
        <f aca="false">SUMIF('Cost Inputs'!$E$12:$E$34,"Capital",'Cost Inputs'!$L$12:$L$34)</f>
        <v>50500800</v>
      </c>
      <c r="D39" s="25" t="s">
        <v>210</v>
      </c>
      <c r="E39" s="26" t="s">
        <v>211</v>
      </c>
    </row>
    <row r="40" customFormat="false" ht="30" hidden="false" customHeight="true" outlineLevel="0" collapsed="false">
      <c r="B40" s="17" t="s">
        <v>212</v>
      </c>
      <c r="C40" s="34" t="n">
        <f aca="false">IF(ResidMethod="None",0,IF(ResidMethod="% of capex",ResidPct*CapexTotal,IF(ResidMethod="Straight-line remaining life",CapexTotal*MAX(0,(AssetLife-ApprYears)/AssetLife),0)))</f>
        <v>20200320</v>
      </c>
      <c r="D40" s="25" t="s">
        <v>210</v>
      </c>
      <c r="E40" s="26" t="s">
        <v>213</v>
      </c>
    </row>
    <row r="42" customFormat="false" ht="24" hidden="false" customHeight="true" outlineLevel="0" collapsed="false">
      <c r="B42" s="5" t="s">
        <v>214</v>
      </c>
      <c r="C42" s="6"/>
      <c r="D42" s="6"/>
      <c r="E42" s="6"/>
    </row>
    <row r="43" customFormat="false" ht="30" hidden="false" customHeight="true" outlineLevel="0" collapsed="false">
      <c r="B43" s="9" t="s">
        <v>150</v>
      </c>
      <c r="C43" s="9" t="s">
        <v>151</v>
      </c>
      <c r="D43" s="9" t="s">
        <v>152</v>
      </c>
      <c r="E43" s="9" t="s">
        <v>153</v>
      </c>
    </row>
    <row r="44" customFormat="false" ht="30" hidden="false" customHeight="true" outlineLevel="0" collapsed="false">
      <c r="B44" s="17" t="s">
        <v>215</v>
      </c>
      <c r="C44" s="33" t="n">
        <v>3</v>
      </c>
      <c r="D44" s="25" t="s">
        <v>173</v>
      </c>
      <c r="E44" s="26" t="s">
        <v>216</v>
      </c>
    </row>
    <row r="45" customFormat="false" ht="30" hidden="false" customHeight="true" outlineLevel="0" collapsed="false">
      <c r="B45" s="17" t="s">
        <v>217</v>
      </c>
      <c r="C45" s="35" t="n">
        <v>75</v>
      </c>
      <c r="D45" s="25" t="s">
        <v>218</v>
      </c>
      <c r="E45" s="26" t="s">
        <v>219</v>
      </c>
    </row>
    <row r="46" customFormat="false" ht="30" hidden="false" customHeight="true" outlineLevel="0" collapsed="false">
      <c r="B46" s="17" t="s">
        <v>220</v>
      </c>
      <c r="C46" s="36" t="n">
        <v>4200</v>
      </c>
      <c r="D46" s="25" t="s">
        <v>221</v>
      </c>
      <c r="E46" s="26" t="s">
        <v>222</v>
      </c>
    </row>
    <row r="48" customFormat="false" ht="24" hidden="false" customHeight="true" outlineLevel="0" collapsed="false">
      <c r="B48" s="5" t="s">
        <v>223</v>
      </c>
      <c r="C48" s="6"/>
      <c r="D48" s="6"/>
      <c r="E48" s="6"/>
    </row>
    <row r="49" customFormat="false" ht="30" hidden="false" customHeight="true" outlineLevel="0" collapsed="false">
      <c r="B49" s="9" t="s">
        <v>150</v>
      </c>
      <c r="C49" s="9" t="s">
        <v>151</v>
      </c>
      <c r="D49" s="9" t="s">
        <v>152</v>
      </c>
      <c r="E49" s="9" t="s">
        <v>153</v>
      </c>
    </row>
    <row r="50" customFormat="false" ht="30" hidden="false" customHeight="true" outlineLevel="0" collapsed="false">
      <c r="B50" s="17" t="s">
        <v>224</v>
      </c>
      <c r="C50" s="32" t="n">
        <v>0.1</v>
      </c>
      <c r="D50" s="25" t="s">
        <v>196</v>
      </c>
      <c r="E50" s="26" t="s">
        <v>225</v>
      </c>
    </row>
    <row r="51" customFormat="false" ht="30" hidden="false" customHeight="true" outlineLevel="0" collapsed="false">
      <c r="B51" s="17" t="s">
        <v>226</v>
      </c>
      <c r="C51" s="32" t="n">
        <v>0.2</v>
      </c>
      <c r="D51" s="25" t="s">
        <v>196</v>
      </c>
      <c r="E51" s="26" t="s">
        <v>227</v>
      </c>
    </row>
    <row r="52" customFormat="false" ht="30" hidden="false" customHeight="true" outlineLevel="0" collapsed="false">
      <c r="B52" s="17" t="s">
        <v>228</v>
      </c>
      <c r="C52" s="29" t="n">
        <v>0.035</v>
      </c>
      <c r="D52" s="25" t="s">
        <v>180</v>
      </c>
      <c r="E52" s="26" t="s">
        <v>229</v>
      </c>
    </row>
    <row r="53" customFormat="false" ht="30" hidden="false" customHeight="true" outlineLevel="0" collapsed="false">
      <c r="B53" s="17" t="s">
        <v>230</v>
      </c>
      <c r="C53" s="29" t="n">
        <v>0.07</v>
      </c>
      <c r="D53" s="25" t="s">
        <v>180</v>
      </c>
      <c r="E53" s="26" t="s">
        <v>231</v>
      </c>
    </row>
    <row r="54" customFormat="false" ht="30" hidden="false" customHeight="true" outlineLevel="0" collapsed="false">
      <c r="B54" s="17" t="s">
        <v>232</v>
      </c>
      <c r="C54" s="29" t="n">
        <v>0.1</v>
      </c>
      <c r="D54" s="25" t="s">
        <v>180</v>
      </c>
      <c r="E54" s="26" t="s">
        <v>231</v>
      </c>
    </row>
    <row r="56" customFormat="false" ht="24" hidden="false" customHeight="true" outlineLevel="0" collapsed="false">
      <c r="B56" s="5" t="s">
        <v>39</v>
      </c>
      <c r="C56" s="6"/>
      <c r="D56" s="6"/>
      <c r="E56" s="6"/>
    </row>
    <row r="57" customFormat="false" ht="21.75" hidden="false" customHeight="true" outlineLevel="0" collapsed="false">
      <c r="B57" s="37" t="s">
        <v>233</v>
      </c>
      <c r="C57" s="18" t="s">
        <v>234</v>
      </c>
      <c r="D57" s="18"/>
      <c r="E57" s="18"/>
    </row>
    <row r="58" customFormat="false" ht="21.75" hidden="false" customHeight="true" outlineLevel="0" collapsed="false">
      <c r="B58" s="38" t="s">
        <v>46</v>
      </c>
      <c r="C58" s="18" t="s">
        <v>235</v>
      </c>
      <c r="D58" s="18"/>
      <c r="E58" s="18"/>
    </row>
    <row r="59" customFormat="false" ht="21.75" hidden="false" customHeight="true" outlineLevel="0" collapsed="false">
      <c r="B59" s="10" t="s">
        <v>236</v>
      </c>
      <c r="C59" s="18" t="s">
        <v>237</v>
      </c>
      <c r="D59" s="18"/>
      <c r="E59" s="18"/>
    </row>
    <row r="61" customFormat="false" ht="25.5" hidden="false" customHeight="true" outlineLevel="0" collapsed="false">
      <c r="B61" s="39" t="s">
        <v>238</v>
      </c>
      <c r="C61" s="39"/>
      <c r="D61" s="39"/>
      <c r="E61" s="39"/>
    </row>
    <row r="62" customFormat="false" ht="15" hidden="false" customHeight="true" outlineLevel="0" collapsed="false">
      <c r="B62" s="39"/>
      <c r="C62" s="39"/>
      <c r="D62" s="39"/>
      <c r="E62" s="39"/>
    </row>
  </sheetData>
  <mergeCells count="5">
    <mergeCell ref="B7:E7"/>
    <mergeCell ref="C57:E57"/>
    <mergeCell ref="C58:E58"/>
    <mergeCell ref="C59:E59"/>
    <mergeCell ref="B61:E62"/>
  </mergeCells>
  <dataValidations count="3">
    <dataValidation allowBlank="true" errorStyle="stop" operator="between" showDropDown="false" showErrorMessage="false" showInputMessage="false" sqref="C24" type="list">
      <formula1>Lists!$F$9:$F$10</formula1>
      <formula2>0</formula2>
    </dataValidation>
    <dataValidation allowBlank="true" errorStyle="stop" operator="between" showDropDown="false" showErrorMessage="false" showInputMessage="false" sqref="C25" type="list">
      <formula1>Lists!$G$9:$G$10</formula1>
      <formula2>0</formula2>
    </dataValidation>
    <dataValidation allowBlank="true" errorStyle="stop" operator="between" showDropDown="false" showErrorMessage="false" showInputMessage="false" sqref="C36" type="list">
      <formula1>Lists!$H$9:$H$11</formula1>
      <formula2>0</formula2>
    </dataValidation>
  </dataValidations>
  <printOptions headings="false" gridLines="false" gridLinesSet="true" horizontalCentered="true" verticalCentered="false"/>
  <pageMargins left="0.4" right="0.4" top="0.5" bottom="0.5" header="0.511811023622047" footer="0.5"/>
  <pageSetup paperSize="9" scale="100" fitToWidth="1" fitToHeight="0" pageOrder="downThenOver" orientation="landscape" blackAndWhite="false" draft="false" cellComments="none" horizontalDpi="300" verticalDpi="300" copies="1"/>
  <headerFooter differentFirst="false" differentOddEven="false">
    <oddHeader/>
    <oddFooter>&amp;L&amp;8 &amp;K8e98a2Template by Mastt  ·  mastt.com&amp;R&amp;8 &amp;K8e98a2Page &amp;P of &amp;N</oddFooter>
  </headerFooter>
  <drawing r:id="rId1"/>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tabColor rgb="FF0D3C61"/>
    <pageSetUpPr fitToPage="true"/>
  </sheetPr>
  <dimension ref="A1:AZ58"/>
  <sheetViews>
    <sheetView showFormulas="false" showGridLines="false" showRowColHeaders="true" showZeros="true" rightToLeft="false" tabSelected="false" showOutlineSymbols="true" defaultGridColor="true" view="normal" topLeftCell="A1" colorId="64" zoomScale="100" zoomScaleNormal="100" zoomScalePageLayoutView="100" workbookViewId="0">
      <pane xSplit="4" ySplit="13" topLeftCell="E14" activePane="bottomRight" state="frozen"/>
      <selection pane="topLeft" activeCell="A1" activeCellId="0" sqref="A1"/>
      <selection pane="topRight" activeCell="E1" activeCellId="0" sqref="E1"/>
      <selection pane="bottomLeft" activeCell="A14" activeCellId="0" sqref="A14"/>
      <selection pane="bottomRight" activeCell="A1" activeCellId="0" sqref="A1"/>
    </sheetView>
  </sheetViews>
  <sheetFormatPr defaultColWidth="8.6796875" defaultRowHeight="15" zeroHeight="false" outlineLevelRow="0" outlineLevelCol="0"/>
  <cols>
    <col collapsed="false" customWidth="true" hidden="false" outlineLevel="0" max="1" min="1" style="1" width="3"/>
    <col collapsed="false" customWidth="true" hidden="false" outlineLevel="0" max="2" min="2" style="1" width="8"/>
    <col collapsed="false" customWidth="true" hidden="false" outlineLevel="0" max="3" min="3" style="1" width="24"/>
    <col collapsed="false" customWidth="true" hidden="false" outlineLevel="0" max="4" min="4" style="1" width="40"/>
    <col collapsed="false" customWidth="true" hidden="false" outlineLevel="0" max="5" min="5" style="1" width="12"/>
    <col collapsed="false" customWidth="true" hidden="false" outlineLevel="0" max="6" min="6" style="1" width="11"/>
    <col collapsed="false" customWidth="true" hidden="false" outlineLevel="0" max="7" min="7" style="1" width="15"/>
    <col collapsed="false" customWidth="true" hidden="false" outlineLevel="0" max="8" min="8" style="1" width="9"/>
    <col collapsed="false" customWidth="true" hidden="false" outlineLevel="0" max="9" min="9" style="1" width="11"/>
    <col collapsed="false" customWidth="true" hidden="false" outlineLevel="0" max="10" min="10" style="1" width="30"/>
    <col collapsed="false" customWidth="true" hidden="false" outlineLevel="0" max="11" min="11" style="1" width="12"/>
    <col collapsed="false" customWidth="true" hidden="false" outlineLevel="0" max="12" min="12" style="1" width="16"/>
    <col collapsed="false" customWidth="true" hidden="false" outlineLevel="0" max="52" min="13" style="1" width="12"/>
  </cols>
  <sheetData>
    <row r="1" customFormat="false" ht="9.75" hidden="false" customHeight="true" outlineLevel="0" collapsed="false">
      <c r="A1" s="2"/>
      <c r="B1" s="2"/>
      <c r="C1" s="2"/>
      <c r="D1" s="2"/>
      <c r="E1" s="2"/>
      <c r="F1" s="2"/>
      <c r="G1" s="2"/>
      <c r="H1" s="2"/>
      <c r="I1" s="2"/>
      <c r="J1" s="2"/>
      <c r="K1" s="2"/>
      <c r="L1" s="2"/>
      <c r="M1" s="2"/>
      <c r="N1" s="2"/>
      <c r="O1" s="2"/>
      <c r="P1" s="2"/>
      <c r="Q1" s="2"/>
      <c r="R1" s="2"/>
      <c r="S1" s="2"/>
      <c r="T1" s="2"/>
      <c r="U1" s="2"/>
      <c r="V1" s="2"/>
      <c r="W1" s="2"/>
      <c r="X1" s="2"/>
      <c r="Y1" s="2"/>
      <c r="Z1" s="2"/>
      <c r="AA1" s="2"/>
      <c r="AB1" s="2"/>
      <c r="AC1" s="2"/>
      <c r="AD1" s="2"/>
      <c r="AE1" s="2"/>
      <c r="AF1" s="2"/>
      <c r="AG1" s="2"/>
      <c r="AH1" s="2"/>
      <c r="AI1" s="2"/>
      <c r="AJ1" s="2"/>
      <c r="AK1" s="2"/>
      <c r="AL1" s="2"/>
      <c r="AM1" s="2"/>
      <c r="AN1" s="2"/>
      <c r="AO1" s="2"/>
      <c r="AP1" s="2"/>
      <c r="AQ1" s="2"/>
      <c r="AR1" s="2"/>
      <c r="AS1" s="2"/>
      <c r="AT1" s="2"/>
      <c r="AU1" s="2"/>
      <c r="AV1" s="2"/>
      <c r="AW1" s="2"/>
      <c r="AX1" s="2"/>
      <c r="AY1" s="2"/>
      <c r="AZ1" s="2"/>
    </row>
    <row r="2" customFormat="false" ht="33.75" hidden="false" customHeight="true" outlineLevel="0" collapsed="false">
      <c r="A2" s="2"/>
      <c r="B2" s="2"/>
      <c r="C2" s="2"/>
      <c r="D2" s="2"/>
      <c r="E2" s="2"/>
      <c r="F2" s="2"/>
      <c r="G2" s="2"/>
      <c r="H2" s="2"/>
      <c r="I2" s="2"/>
      <c r="J2" s="2"/>
      <c r="K2" s="2"/>
      <c r="L2" s="2"/>
      <c r="M2" s="2"/>
      <c r="N2" s="2"/>
      <c r="O2" s="2"/>
      <c r="P2" s="2"/>
      <c r="Q2" s="2"/>
      <c r="R2" s="2"/>
      <c r="S2" s="2"/>
      <c r="T2" s="2"/>
      <c r="U2" s="2"/>
      <c r="V2" s="2"/>
      <c r="W2" s="2"/>
      <c r="X2" s="2"/>
      <c r="Y2" s="2"/>
      <c r="Z2" s="2"/>
      <c r="AA2" s="2"/>
      <c r="AB2" s="2"/>
      <c r="AC2" s="2"/>
      <c r="AD2" s="2"/>
      <c r="AE2" s="2"/>
      <c r="AF2" s="2"/>
      <c r="AG2" s="2"/>
      <c r="AH2" s="2"/>
      <c r="AI2" s="2"/>
      <c r="AJ2" s="2"/>
      <c r="AK2" s="2"/>
      <c r="AL2" s="2"/>
      <c r="AM2" s="2"/>
      <c r="AN2" s="2"/>
      <c r="AO2" s="2"/>
      <c r="AP2" s="2"/>
      <c r="AQ2" s="2"/>
      <c r="AR2" s="2"/>
      <c r="AS2" s="2"/>
      <c r="AT2" s="2"/>
      <c r="AU2" s="2"/>
      <c r="AV2" s="2"/>
      <c r="AW2" s="2"/>
      <c r="AX2" s="2"/>
      <c r="AY2" s="2"/>
      <c r="AZ2" s="2"/>
    </row>
    <row r="3" customFormat="false" ht="7.5" hidden="false" customHeight="true" outlineLevel="0" collapsed="false">
      <c r="A3" s="2"/>
      <c r="B3" s="2"/>
      <c r="C3" s="2"/>
      <c r="D3" s="2"/>
      <c r="E3" s="2"/>
      <c r="F3" s="2"/>
      <c r="G3" s="2"/>
      <c r="H3" s="2"/>
      <c r="I3" s="2"/>
      <c r="J3" s="2"/>
      <c r="K3" s="2"/>
      <c r="L3" s="2"/>
      <c r="M3" s="2"/>
      <c r="N3" s="2"/>
      <c r="O3" s="2"/>
      <c r="P3" s="2"/>
      <c r="Q3" s="2"/>
      <c r="R3" s="2"/>
      <c r="S3" s="2"/>
      <c r="T3" s="2"/>
      <c r="U3" s="2"/>
      <c r="V3" s="2"/>
      <c r="W3" s="2"/>
      <c r="X3" s="2"/>
      <c r="Y3" s="2"/>
      <c r="Z3" s="2"/>
      <c r="AA3" s="2"/>
      <c r="AB3" s="2"/>
      <c r="AC3" s="2"/>
      <c r="AD3" s="2"/>
      <c r="AE3" s="2"/>
      <c r="AF3" s="2"/>
      <c r="AG3" s="2"/>
      <c r="AH3" s="2"/>
      <c r="AI3" s="2"/>
      <c r="AJ3" s="2"/>
      <c r="AK3" s="2"/>
      <c r="AL3" s="2"/>
      <c r="AM3" s="2"/>
      <c r="AN3" s="2"/>
      <c r="AO3" s="2"/>
      <c r="AP3" s="2"/>
      <c r="AQ3" s="2"/>
      <c r="AR3" s="2"/>
      <c r="AS3" s="2"/>
      <c r="AT3" s="2"/>
      <c r="AU3" s="2"/>
      <c r="AV3" s="2"/>
      <c r="AW3" s="2"/>
      <c r="AX3" s="2"/>
      <c r="AY3" s="2"/>
      <c r="AZ3" s="2"/>
    </row>
    <row r="4" customFormat="false" ht="30" hidden="false" customHeight="true" outlineLevel="0" collapsed="false">
      <c r="A4" s="2"/>
      <c r="B4" s="3" t="s">
        <v>62</v>
      </c>
      <c r="C4" s="2"/>
      <c r="D4" s="2"/>
      <c r="E4" s="2"/>
      <c r="F4" s="2"/>
      <c r="G4" s="2"/>
      <c r="H4" s="2"/>
      <c r="I4" s="2"/>
      <c r="J4" s="2"/>
      <c r="K4" s="2"/>
      <c r="L4" s="2"/>
      <c r="M4" s="2"/>
      <c r="N4" s="2"/>
      <c r="O4" s="2"/>
      <c r="P4" s="2"/>
      <c r="Q4" s="2"/>
      <c r="R4" s="2"/>
      <c r="S4" s="2"/>
      <c r="T4" s="2"/>
      <c r="U4" s="2"/>
      <c r="V4" s="2"/>
      <c r="W4" s="2"/>
      <c r="X4" s="2"/>
      <c r="Y4" s="2"/>
      <c r="Z4" s="2"/>
      <c r="AA4" s="2"/>
      <c r="AB4" s="2"/>
      <c r="AC4" s="2"/>
      <c r="AD4" s="2"/>
      <c r="AE4" s="2"/>
      <c r="AF4" s="2"/>
      <c r="AG4" s="2"/>
      <c r="AH4" s="2"/>
      <c r="AI4" s="2"/>
      <c r="AJ4" s="2"/>
      <c r="AK4" s="2"/>
      <c r="AL4" s="2"/>
      <c r="AM4" s="2"/>
      <c r="AN4" s="2"/>
      <c r="AO4" s="2"/>
      <c r="AP4" s="2"/>
      <c r="AQ4" s="2"/>
      <c r="AR4" s="2"/>
      <c r="AS4" s="2"/>
      <c r="AT4" s="2"/>
      <c r="AU4" s="2"/>
      <c r="AV4" s="2"/>
      <c r="AW4" s="2"/>
      <c r="AX4" s="2"/>
      <c r="AY4" s="2"/>
      <c r="AZ4" s="2"/>
    </row>
    <row r="5" customFormat="false" ht="21.75" hidden="false" customHeight="true" outlineLevel="0" collapsed="false">
      <c r="A5" s="2"/>
      <c r="B5" s="4" t="s">
        <v>239</v>
      </c>
      <c r="C5" s="2"/>
      <c r="D5" s="2"/>
      <c r="E5" s="2"/>
      <c r="F5" s="2"/>
      <c r="G5" s="2"/>
      <c r="H5" s="2"/>
      <c r="I5" s="2"/>
      <c r="J5" s="2"/>
      <c r="K5" s="2"/>
      <c r="L5" s="2"/>
      <c r="M5" s="2"/>
      <c r="N5" s="2"/>
      <c r="O5" s="2"/>
      <c r="P5" s="2"/>
      <c r="Q5" s="2"/>
      <c r="R5" s="2"/>
      <c r="S5" s="2"/>
      <c r="T5" s="2"/>
      <c r="U5" s="2"/>
      <c r="V5" s="2"/>
      <c r="W5" s="2"/>
      <c r="X5" s="2"/>
      <c r="Y5" s="2"/>
      <c r="Z5" s="2"/>
      <c r="AA5" s="2"/>
      <c r="AB5" s="2"/>
      <c r="AC5" s="2"/>
      <c r="AD5" s="2"/>
      <c r="AE5" s="2"/>
      <c r="AF5" s="2"/>
      <c r="AG5" s="2"/>
      <c r="AH5" s="2"/>
      <c r="AI5" s="2"/>
      <c r="AJ5" s="2"/>
      <c r="AK5" s="2"/>
      <c r="AL5" s="2"/>
      <c r="AM5" s="2"/>
      <c r="AN5" s="2"/>
      <c r="AO5" s="2"/>
      <c r="AP5" s="2"/>
      <c r="AQ5" s="2"/>
      <c r="AR5" s="2"/>
      <c r="AS5" s="2"/>
      <c r="AT5" s="2"/>
      <c r="AU5" s="2"/>
      <c r="AV5" s="2"/>
      <c r="AW5" s="2"/>
      <c r="AX5" s="2"/>
      <c r="AY5" s="2"/>
      <c r="AZ5" s="2"/>
    </row>
    <row r="6" customFormat="false" ht="7.5" hidden="false" customHeight="true" outlineLevel="0" collapsed="false"/>
    <row r="7" customFormat="false" ht="30" hidden="false" customHeight="true" outlineLevel="0" collapsed="false">
      <c r="B7" s="23" t="s">
        <v>148</v>
      </c>
      <c r="C7" s="23"/>
      <c r="D7" s="23"/>
      <c r="E7" s="23"/>
      <c r="F7" s="23"/>
      <c r="G7" s="23"/>
      <c r="H7" s="23"/>
      <c r="I7" s="23"/>
      <c r="J7" s="23"/>
      <c r="K7" s="23"/>
      <c r="L7" s="23"/>
    </row>
    <row r="9" customFormat="false" ht="24" hidden="false" customHeight="true" outlineLevel="0" collapsed="false">
      <c r="B9" s="5" t="s">
        <v>240</v>
      </c>
      <c r="C9" s="6"/>
      <c r="D9" s="6"/>
      <c r="E9" s="6"/>
      <c r="F9" s="6"/>
      <c r="G9" s="6"/>
      <c r="H9" s="40" t="s">
        <v>241</v>
      </c>
      <c r="I9" s="40"/>
      <c r="J9" s="40"/>
      <c r="K9" s="40"/>
      <c r="L9" s="40"/>
    </row>
    <row r="10" customFormat="false" ht="18" hidden="false" customHeight="true" outlineLevel="0" collapsed="false">
      <c r="L10" s="41" t="s">
        <v>242</v>
      </c>
      <c r="M10" s="42" t="n">
        <v>0</v>
      </c>
      <c r="N10" s="42" t="n">
        <f aca="false">M10+1</f>
        <v>1</v>
      </c>
      <c r="O10" s="42" t="n">
        <f aca="false">N10+1</f>
        <v>2</v>
      </c>
      <c r="P10" s="42" t="n">
        <f aca="false">O10+1</f>
        <v>3</v>
      </c>
      <c r="Q10" s="42" t="n">
        <f aca="false">P10+1</f>
        <v>4</v>
      </c>
      <c r="R10" s="42" t="n">
        <f aca="false">Q10+1</f>
        <v>5</v>
      </c>
      <c r="S10" s="42" t="n">
        <f aca="false">R10+1</f>
        <v>6</v>
      </c>
      <c r="T10" s="42" t="n">
        <f aca="false">S10+1</f>
        <v>7</v>
      </c>
      <c r="U10" s="42" t="n">
        <f aca="false">T10+1</f>
        <v>8</v>
      </c>
      <c r="V10" s="42" t="n">
        <f aca="false">U10+1</f>
        <v>9</v>
      </c>
      <c r="W10" s="42" t="n">
        <f aca="false">V10+1</f>
        <v>10</v>
      </c>
      <c r="X10" s="42" t="n">
        <f aca="false">W10+1</f>
        <v>11</v>
      </c>
      <c r="Y10" s="42" t="n">
        <f aca="false">X10+1</f>
        <v>12</v>
      </c>
      <c r="Z10" s="42" t="n">
        <f aca="false">Y10+1</f>
        <v>13</v>
      </c>
      <c r="AA10" s="42" t="n">
        <f aca="false">Z10+1</f>
        <v>14</v>
      </c>
      <c r="AB10" s="42" t="n">
        <f aca="false">AA10+1</f>
        <v>15</v>
      </c>
      <c r="AC10" s="42" t="n">
        <f aca="false">AB10+1</f>
        <v>16</v>
      </c>
      <c r="AD10" s="42" t="n">
        <f aca="false">AC10+1</f>
        <v>17</v>
      </c>
      <c r="AE10" s="42" t="n">
        <f aca="false">AD10+1</f>
        <v>18</v>
      </c>
      <c r="AF10" s="42" t="n">
        <f aca="false">AE10+1</f>
        <v>19</v>
      </c>
      <c r="AG10" s="42" t="n">
        <f aca="false">AF10+1</f>
        <v>20</v>
      </c>
      <c r="AH10" s="42" t="n">
        <f aca="false">AG10+1</f>
        <v>21</v>
      </c>
      <c r="AI10" s="42" t="n">
        <f aca="false">AH10+1</f>
        <v>22</v>
      </c>
      <c r="AJ10" s="42" t="n">
        <f aca="false">AI10+1</f>
        <v>23</v>
      </c>
      <c r="AK10" s="42" t="n">
        <f aca="false">AJ10+1</f>
        <v>24</v>
      </c>
      <c r="AL10" s="42" t="n">
        <f aca="false">AK10+1</f>
        <v>25</v>
      </c>
      <c r="AM10" s="42" t="n">
        <f aca="false">AL10+1</f>
        <v>26</v>
      </c>
      <c r="AN10" s="42" t="n">
        <f aca="false">AM10+1</f>
        <v>27</v>
      </c>
      <c r="AO10" s="42" t="n">
        <f aca="false">AN10+1</f>
        <v>28</v>
      </c>
      <c r="AP10" s="42" t="n">
        <f aca="false">AO10+1</f>
        <v>29</v>
      </c>
      <c r="AQ10" s="42" t="n">
        <f aca="false">AP10+1</f>
        <v>30</v>
      </c>
      <c r="AR10" s="42" t="n">
        <f aca="false">AQ10+1</f>
        <v>31</v>
      </c>
      <c r="AS10" s="42" t="n">
        <f aca="false">AR10+1</f>
        <v>32</v>
      </c>
      <c r="AT10" s="42" t="n">
        <f aca="false">AS10+1</f>
        <v>33</v>
      </c>
      <c r="AU10" s="42" t="n">
        <f aca="false">AT10+1</f>
        <v>34</v>
      </c>
      <c r="AV10" s="42" t="n">
        <f aca="false">AU10+1</f>
        <v>35</v>
      </c>
      <c r="AW10" s="42" t="n">
        <f aca="false">AV10+1</f>
        <v>36</v>
      </c>
      <c r="AX10" s="42" t="n">
        <f aca="false">AW10+1</f>
        <v>37</v>
      </c>
      <c r="AY10" s="42" t="n">
        <f aca="false">AX10+1</f>
        <v>38</v>
      </c>
      <c r="AZ10" s="42" t="n">
        <f aca="false">AY10+1</f>
        <v>39</v>
      </c>
    </row>
    <row r="11" customFormat="false" ht="43.5" hidden="false" customHeight="true" outlineLevel="0" collapsed="false">
      <c r="B11" s="43" t="s">
        <v>243</v>
      </c>
      <c r="C11" s="43" t="s">
        <v>244</v>
      </c>
      <c r="D11" s="43" t="s">
        <v>245</v>
      </c>
      <c r="E11" s="43" t="s">
        <v>246</v>
      </c>
      <c r="F11" s="43" t="s">
        <v>247</v>
      </c>
      <c r="G11" s="43" t="s">
        <v>248</v>
      </c>
      <c r="H11" s="43" t="s">
        <v>249</v>
      </c>
      <c r="I11" s="43" t="s">
        <v>250</v>
      </c>
      <c r="J11" s="43" t="s">
        <v>251</v>
      </c>
      <c r="K11" s="43" t="s">
        <v>252</v>
      </c>
      <c r="L11" s="43" t="s">
        <v>253</v>
      </c>
      <c r="M11" s="44" t="n">
        <f aca="false">StartYear+M$10</f>
        <v>2026</v>
      </c>
      <c r="N11" s="44" t="n">
        <f aca="false">StartYear+N$10</f>
        <v>2027</v>
      </c>
      <c r="O11" s="44" t="n">
        <f aca="false">StartYear+O$10</f>
        <v>2028</v>
      </c>
      <c r="P11" s="44" t="n">
        <f aca="false">StartYear+P$10</f>
        <v>2029</v>
      </c>
      <c r="Q11" s="44" t="n">
        <f aca="false">StartYear+Q$10</f>
        <v>2030</v>
      </c>
      <c r="R11" s="44" t="n">
        <f aca="false">StartYear+R$10</f>
        <v>2031</v>
      </c>
      <c r="S11" s="44" t="n">
        <f aca="false">StartYear+S$10</f>
        <v>2032</v>
      </c>
      <c r="T11" s="44" t="n">
        <f aca="false">StartYear+T$10</f>
        <v>2033</v>
      </c>
      <c r="U11" s="44" t="n">
        <f aca="false">StartYear+U$10</f>
        <v>2034</v>
      </c>
      <c r="V11" s="44" t="n">
        <f aca="false">StartYear+V$10</f>
        <v>2035</v>
      </c>
      <c r="W11" s="44" t="n">
        <f aca="false">StartYear+W$10</f>
        <v>2036</v>
      </c>
      <c r="X11" s="44" t="n">
        <f aca="false">StartYear+X$10</f>
        <v>2037</v>
      </c>
      <c r="Y11" s="44" t="n">
        <f aca="false">StartYear+Y$10</f>
        <v>2038</v>
      </c>
      <c r="Z11" s="44" t="n">
        <f aca="false">StartYear+Z$10</f>
        <v>2039</v>
      </c>
      <c r="AA11" s="44" t="n">
        <f aca="false">StartYear+AA$10</f>
        <v>2040</v>
      </c>
      <c r="AB11" s="44" t="n">
        <f aca="false">StartYear+AB$10</f>
        <v>2041</v>
      </c>
      <c r="AC11" s="44" t="n">
        <f aca="false">StartYear+AC$10</f>
        <v>2042</v>
      </c>
      <c r="AD11" s="44" t="n">
        <f aca="false">StartYear+AD$10</f>
        <v>2043</v>
      </c>
      <c r="AE11" s="44" t="n">
        <f aca="false">StartYear+AE$10</f>
        <v>2044</v>
      </c>
      <c r="AF11" s="44" t="n">
        <f aca="false">StartYear+AF$10</f>
        <v>2045</v>
      </c>
      <c r="AG11" s="44" t="n">
        <f aca="false">StartYear+AG$10</f>
        <v>2046</v>
      </c>
      <c r="AH11" s="44" t="n">
        <f aca="false">StartYear+AH$10</f>
        <v>2047</v>
      </c>
      <c r="AI11" s="44" t="n">
        <f aca="false">StartYear+AI$10</f>
        <v>2048</v>
      </c>
      <c r="AJ11" s="44" t="n">
        <f aca="false">StartYear+AJ$10</f>
        <v>2049</v>
      </c>
      <c r="AK11" s="44" t="n">
        <f aca="false">StartYear+AK$10</f>
        <v>2050</v>
      </c>
      <c r="AL11" s="44" t="n">
        <f aca="false">StartYear+AL$10</f>
        <v>2051</v>
      </c>
      <c r="AM11" s="44" t="n">
        <f aca="false">StartYear+AM$10</f>
        <v>2052</v>
      </c>
      <c r="AN11" s="44" t="n">
        <f aca="false">StartYear+AN$10</f>
        <v>2053</v>
      </c>
      <c r="AO11" s="44" t="n">
        <f aca="false">StartYear+AO$10</f>
        <v>2054</v>
      </c>
      <c r="AP11" s="44" t="n">
        <f aca="false">StartYear+AP$10</f>
        <v>2055</v>
      </c>
      <c r="AQ11" s="44" t="n">
        <f aca="false">StartYear+AQ$10</f>
        <v>2056</v>
      </c>
      <c r="AR11" s="44" t="n">
        <f aca="false">StartYear+AR$10</f>
        <v>2057</v>
      </c>
      <c r="AS11" s="44" t="n">
        <f aca="false">StartYear+AS$10</f>
        <v>2058</v>
      </c>
      <c r="AT11" s="44" t="n">
        <f aca="false">StartYear+AT$10</f>
        <v>2059</v>
      </c>
      <c r="AU11" s="44" t="n">
        <f aca="false">StartYear+AU$10</f>
        <v>2060</v>
      </c>
      <c r="AV11" s="44" t="n">
        <f aca="false">StartYear+AV$10</f>
        <v>2061</v>
      </c>
      <c r="AW11" s="44" t="n">
        <f aca="false">StartYear+AW$10</f>
        <v>2062</v>
      </c>
      <c r="AX11" s="44" t="n">
        <f aca="false">StartYear+AX$10</f>
        <v>2063</v>
      </c>
      <c r="AY11" s="44" t="n">
        <f aca="false">StartYear+AY$10</f>
        <v>2064</v>
      </c>
      <c r="AZ11" s="44" t="n">
        <f aca="false">StartYear+AZ$10</f>
        <v>2065</v>
      </c>
    </row>
    <row r="12" customFormat="false" ht="27.75" hidden="false" customHeight="true" outlineLevel="0" collapsed="false">
      <c r="B12" s="25" t="s">
        <v>254</v>
      </c>
      <c r="C12" s="45" t="s">
        <v>255</v>
      </c>
      <c r="D12" s="45" t="s">
        <v>256</v>
      </c>
      <c r="E12" s="46" t="s">
        <v>257</v>
      </c>
      <c r="F12" s="46" t="s">
        <v>258</v>
      </c>
      <c r="G12" s="47" t="n">
        <v>3200000</v>
      </c>
      <c r="H12" s="48" t="n">
        <v>0</v>
      </c>
      <c r="I12" s="48" t="n">
        <v>1</v>
      </c>
      <c r="J12" s="45" t="s">
        <v>259</v>
      </c>
      <c r="K12" s="46" t="s">
        <v>260</v>
      </c>
      <c r="L12" s="49" t="n">
        <f aca="false">SUM(M12:AZ12)</f>
        <v>3200000</v>
      </c>
      <c r="M12" s="50" t="n">
        <f aca="false">IF($F12="Spread",IF(AND(M$10&gt;=$H12,M$10&lt;$H12+MAX($I12,1)),$G12/MAX($I12,1),0),IF($F12="Annual",IF(AND(M$10&gt;=$H12,M$10&lt;$H12+IF($I12=0,MaxYears,$I12)),$G12,0),IF($F12="Periodic",IF(AND(M$10&gt;=$H12,MOD(M$10-$H12,MAX($I12,1))=0),$G12,0),0)))</f>
        <v>3200000</v>
      </c>
      <c r="N12" s="50" t="n">
        <f aca="false">IF($F12="Spread",IF(AND(N$10&gt;=$H12,N$10&lt;$H12+MAX($I12,1)),$G12/MAX($I12,1),0),IF($F12="Annual",IF(AND(N$10&gt;=$H12,N$10&lt;$H12+IF($I12=0,MaxYears,$I12)),$G12,0),IF($F12="Periodic",IF(AND(N$10&gt;=$H12,MOD(N$10-$H12,MAX($I12,1))=0),$G12,0),0)))</f>
        <v>0</v>
      </c>
      <c r="O12" s="50" t="n">
        <f aca="false">IF($F12="Spread",IF(AND(O$10&gt;=$H12,O$10&lt;$H12+MAX($I12,1)),$G12/MAX($I12,1),0),IF($F12="Annual",IF(AND(O$10&gt;=$H12,O$10&lt;$H12+IF($I12=0,MaxYears,$I12)),$G12,0),IF($F12="Periodic",IF(AND(O$10&gt;=$H12,MOD(O$10-$H12,MAX($I12,1))=0),$G12,0),0)))</f>
        <v>0</v>
      </c>
      <c r="P12" s="50" t="n">
        <f aca="false">IF($F12="Spread",IF(AND(P$10&gt;=$H12,P$10&lt;$H12+MAX($I12,1)),$G12/MAX($I12,1),0),IF($F12="Annual",IF(AND(P$10&gt;=$H12,P$10&lt;$H12+IF($I12=0,MaxYears,$I12)),$G12,0),IF($F12="Periodic",IF(AND(P$10&gt;=$H12,MOD(P$10-$H12,MAX($I12,1))=0),$G12,0),0)))</f>
        <v>0</v>
      </c>
      <c r="Q12" s="50" t="n">
        <f aca="false">IF($F12="Spread",IF(AND(Q$10&gt;=$H12,Q$10&lt;$H12+MAX($I12,1)),$G12/MAX($I12,1),0),IF($F12="Annual",IF(AND(Q$10&gt;=$H12,Q$10&lt;$H12+IF($I12=0,MaxYears,$I12)),$G12,0),IF($F12="Periodic",IF(AND(Q$10&gt;=$H12,MOD(Q$10-$H12,MAX($I12,1))=0),$G12,0),0)))</f>
        <v>0</v>
      </c>
      <c r="R12" s="50" t="n">
        <f aca="false">IF($F12="Spread",IF(AND(R$10&gt;=$H12,R$10&lt;$H12+MAX($I12,1)),$G12/MAX($I12,1),0),IF($F12="Annual",IF(AND(R$10&gt;=$H12,R$10&lt;$H12+IF($I12=0,MaxYears,$I12)),$G12,0),IF($F12="Periodic",IF(AND(R$10&gt;=$H12,MOD(R$10-$H12,MAX($I12,1))=0),$G12,0),0)))</f>
        <v>0</v>
      </c>
      <c r="S12" s="50" t="n">
        <f aca="false">IF($F12="Spread",IF(AND(S$10&gt;=$H12,S$10&lt;$H12+MAX($I12,1)),$G12/MAX($I12,1),0),IF($F12="Annual",IF(AND(S$10&gt;=$H12,S$10&lt;$H12+IF($I12=0,MaxYears,$I12)),$G12,0),IF($F12="Periodic",IF(AND(S$10&gt;=$H12,MOD(S$10-$H12,MAX($I12,1))=0),$G12,0),0)))</f>
        <v>0</v>
      </c>
      <c r="T12" s="50" t="n">
        <f aca="false">IF($F12="Spread",IF(AND(T$10&gt;=$H12,T$10&lt;$H12+MAX($I12,1)),$G12/MAX($I12,1),0),IF($F12="Annual",IF(AND(T$10&gt;=$H12,T$10&lt;$H12+IF($I12=0,MaxYears,$I12)),$G12,0),IF($F12="Periodic",IF(AND(T$10&gt;=$H12,MOD(T$10-$H12,MAX($I12,1))=0),$G12,0),0)))</f>
        <v>0</v>
      </c>
      <c r="U12" s="50" t="n">
        <f aca="false">IF($F12="Spread",IF(AND(U$10&gt;=$H12,U$10&lt;$H12+MAX($I12,1)),$G12/MAX($I12,1),0),IF($F12="Annual",IF(AND(U$10&gt;=$H12,U$10&lt;$H12+IF($I12=0,MaxYears,$I12)),$G12,0),IF($F12="Periodic",IF(AND(U$10&gt;=$H12,MOD(U$10-$H12,MAX($I12,1))=0),$G12,0),0)))</f>
        <v>0</v>
      </c>
      <c r="V12" s="50" t="n">
        <f aca="false">IF($F12="Spread",IF(AND(V$10&gt;=$H12,V$10&lt;$H12+MAX($I12,1)),$G12/MAX($I12,1),0),IF($F12="Annual",IF(AND(V$10&gt;=$H12,V$10&lt;$H12+IF($I12=0,MaxYears,$I12)),$G12,0),IF($F12="Periodic",IF(AND(V$10&gt;=$H12,MOD(V$10-$H12,MAX($I12,1))=0),$G12,0),0)))</f>
        <v>0</v>
      </c>
      <c r="W12" s="50" t="n">
        <f aca="false">IF($F12="Spread",IF(AND(W$10&gt;=$H12,W$10&lt;$H12+MAX($I12,1)),$G12/MAX($I12,1),0),IF($F12="Annual",IF(AND(W$10&gt;=$H12,W$10&lt;$H12+IF($I12=0,MaxYears,$I12)),$G12,0),IF($F12="Periodic",IF(AND(W$10&gt;=$H12,MOD(W$10-$H12,MAX($I12,1))=0),$G12,0),0)))</f>
        <v>0</v>
      </c>
      <c r="X12" s="50" t="n">
        <f aca="false">IF($F12="Spread",IF(AND(X$10&gt;=$H12,X$10&lt;$H12+MAX($I12,1)),$G12/MAX($I12,1),0),IF($F12="Annual",IF(AND(X$10&gt;=$H12,X$10&lt;$H12+IF($I12=0,MaxYears,$I12)),$G12,0),IF($F12="Periodic",IF(AND(X$10&gt;=$H12,MOD(X$10-$H12,MAX($I12,1))=0),$G12,0),0)))</f>
        <v>0</v>
      </c>
      <c r="Y12" s="50" t="n">
        <f aca="false">IF($F12="Spread",IF(AND(Y$10&gt;=$H12,Y$10&lt;$H12+MAX($I12,1)),$G12/MAX($I12,1),0),IF($F12="Annual",IF(AND(Y$10&gt;=$H12,Y$10&lt;$H12+IF($I12=0,MaxYears,$I12)),$G12,0),IF($F12="Periodic",IF(AND(Y$10&gt;=$H12,MOD(Y$10-$H12,MAX($I12,1))=0),$G12,0),0)))</f>
        <v>0</v>
      </c>
      <c r="Z12" s="50" t="n">
        <f aca="false">IF($F12="Spread",IF(AND(Z$10&gt;=$H12,Z$10&lt;$H12+MAX($I12,1)),$G12/MAX($I12,1),0),IF($F12="Annual",IF(AND(Z$10&gt;=$H12,Z$10&lt;$H12+IF($I12=0,MaxYears,$I12)),$G12,0),IF($F12="Periodic",IF(AND(Z$10&gt;=$H12,MOD(Z$10-$H12,MAX($I12,1))=0),$G12,0),0)))</f>
        <v>0</v>
      </c>
      <c r="AA12" s="50" t="n">
        <f aca="false">IF($F12="Spread",IF(AND(AA$10&gt;=$H12,AA$10&lt;$H12+MAX($I12,1)),$G12/MAX($I12,1),0),IF($F12="Annual",IF(AND(AA$10&gt;=$H12,AA$10&lt;$H12+IF($I12=0,MaxYears,$I12)),$G12,0),IF($F12="Periodic",IF(AND(AA$10&gt;=$H12,MOD(AA$10-$H12,MAX($I12,1))=0),$G12,0),0)))</f>
        <v>0</v>
      </c>
      <c r="AB12" s="50" t="n">
        <f aca="false">IF($F12="Spread",IF(AND(AB$10&gt;=$H12,AB$10&lt;$H12+MAX($I12,1)),$G12/MAX($I12,1),0),IF($F12="Annual",IF(AND(AB$10&gt;=$H12,AB$10&lt;$H12+IF($I12=0,MaxYears,$I12)),$G12,0),IF($F12="Periodic",IF(AND(AB$10&gt;=$H12,MOD(AB$10-$H12,MAX($I12,1))=0),$G12,0),0)))</f>
        <v>0</v>
      </c>
      <c r="AC12" s="50" t="n">
        <f aca="false">IF($F12="Spread",IF(AND(AC$10&gt;=$H12,AC$10&lt;$H12+MAX($I12,1)),$G12/MAX($I12,1),0),IF($F12="Annual",IF(AND(AC$10&gt;=$H12,AC$10&lt;$H12+IF($I12=0,MaxYears,$I12)),$G12,0),IF($F12="Periodic",IF(AND(AC$10&gt;=$H12,MOD(AC$10-$H12,MAX($I12,1))=0),$G12,0),0)))</f>
        <v>0</v>
      </c>
      <c r="AD12" s="50" t="n">
        <f aca="false">IF($F12="Spread",IF(AND(AD$10&gt;=$H12,AD$10&lt;$H12+MAX($I12,1)),$G12/MAX($I12,1),0),IF($F12="Annual",IF(AND(AD$10&gt;=$H12,AD$10&lt;$H12+IF($I12=0,MaxYears,$I12)),$G12,0),IF($F12="Periodic",IF(AND(AD$10&gt;=$H12,MOD(AD$10-$H12,MAX($I12,1))=0),$G12,0),0)))</f>
        <v>0</v>
      </c>
      <c r="AE12" s="50" t="n">
        <f aca="false">IF($F12="Spread",IF(AND(AE$10&gt;=$H12,AE$10&lt;$H12+MAX($I12,1)),$G12/MAX($I12,1),0),IF($F12="Annual",IF(AND(AE$10&gt;=$H12,AE$10&lt;$H12+IF($I12=0,MaxYears,$I12)),$G12,0),IF($F12="Periodic",IF(AND(AE$10&gt;=$H12,MOD(AE$10-$H12,MAX($I12,1))=0),$G12,0),0)))</f>
        <v>0</v>
      </c>
      <c r="AF12" s="50" t="n">
        <f aca="false">IF($F12="Spread",IF(AND(AF$10&gt;=$H12,AF$10&lt;$H12+MAX($I12,1)),$G12/MAX($I12,1),0),IF($F12="Annual",IF(AND(AF$10&gt;=$H12,AF$10&lt;$H12+IF($I12=0,MaxYears,$I12)),$G12,0),IF($F12="Periodic",IF(AND(AF$10&gt;=$H12,MOD(AF$10-$H12,MAX($I12,1))=0),$G12,0),0)))</f>
        <v>0</v>
      </c>
      <c r="AG12" s="50" t="n">
        <f aca="false">IF($F12="Spread",IF(AND(AG$10&gt;=$H12,AG$10&lt;$H12+MAX($I12,1)),$G12/MAX($I12,1),0),IF($F12="Annual",IF(AND(AG$10&gt;=$H12,AG$10&lt;$H12+IF($I12=0,MaxYears,$I12)),$G12,0),IF($F12="Periodic",IF(AND(AG$10&gt;=$H12,MOD(AG$10-$H12,MAX($I12,1))=0),$G12,0),0)))</f>
        <v>0</v>
      </c>
      <c r="AH12" s="50" t="n">
        <f aca="false">IF($F12="Spread",IF(AND(AH$10&gt;=$H12,AH$10&lt;$H12+MAX($I12,1)),$G12/MAX($I12,1),0),IF($F12="Annual",IF(AND(AH$10&gt;=$H12,AH$10&lt;$H12+IF($I12=0,MaxYears,$I12)),$G12,0),IF($F12="Periodic",IF(AND(AH$10&gt;=$H12,MOD(AH$10-$H12,MAX($I12,1))=0),$G12,0),0)))</f>
        <v>0</v>
      </c>
      <c r="AI12" s="50" t="n">
        <f aca="false">IF($F12="Spread",IF(AND(AI$10&gt;=$H12,AI$10&lt;$H12+MAX($I12,1)),$G12/MAX($I12,1),0),IF($F12="Annual",IF(AND(AI$10&gt;=$H12,AI$10&lt;$H12+IF($I12=0,MaxYears,$I12)),$G12,0),IF($F12="Periodic",IF(AND(AI$10&gt;=$H12,MOD(AI$10-$H12,MAX($I12,1))=0),$G12,0),0)))</f>
        <v>0</v>
      </c>
      <c r="AJ12" s="50" t="n">
        <f aca="false">IF($F12="Spread",IF(AND(AJ$10&gt;=$H12,AJ$10&lt;$H12+MAX($I12,1)),$G12/MAX($I12,1),0),IF($F12="Annual",IF(AND(AJ$10&gt;=$H12,AJ$10&lt;$H12+IF($I12=0,MaxYears,$I12)),$G12,0),IF($F12="Periodic",IF(AND(AJ$10&gt;=$H12,MOD(AJ$10-$H12,MAX($I12,1))=0),$G12,0),0)))</f>
        <v>0</v>
      </c>
      <c r="AK12" s="50" t="n">
        <f aca="false">IF($F12="Spread",IF(AND(AK$10&gt;=$H12,AK$10&lt;$H12+MAX($I12,1)),$G12/MAX($I12,1),0),IF($F12="Annual",IF(AND(AK$10&gt;=$H12,AK$10&lt;$H12+IF($I12=0,MaxYears,$I12)),$G12,0),IF($F12="Periodic",IF(AND(AK$10&gt;=$H12,MOD(AK$10-$H12,MAX($I12,1))=0),$G12,0),0)))</f>
        <v>0</v>
      </c>
      <c r="AL12" s="50" t="n">
        <f aca="false">IF($F12="Spread",IF(AND(AL$10&gt;=$H12,AL$10&lt;$H12+MAX($I12,1)),$G12/MAX($I12,1),0),IF($F12="Annual",IF(AND(AL$10&gt;=$H12,AL$10&lt;$H12+IF($I12=0,MaxYears,$I12)),$G12,0),IF($F12="Periodic",IF(AND(AL$10&gt;=$H12,MOD(AL$10-$H12,MAX($I12,1))=0),$G12,0),0)))</f>
        <v>0</v>
      </c>
      <c r="AM12" s="50" t="n">
        <f aca="false">IF($F12="Spread",IF(AND(AM$10&gt;=$H12,AM$10&lt;$H12+MAX($I12,1)),$G12/MAX($I12,1),0),IF($F12="Annual",IF(AND(AM$10&gt;=$H12,AM$10&lt;$H12+IF($I12=0,MaxYears,$I12)),$G12,0),IF($F12="Periodic",IF(AND(AM$10&gt;=$H12,MOD(AM$10-$H12,MAX($I12,1))=0),$G12,0),0)))</f>
        <v>0</v>
      </c>
      <c r="AN12" s="50" t="n">
        <f aca="false">IF($F12="Spread",IF(AND(AN$10&gt;=$H12,AN$10&lt;$H12+MAX($I12,1)),$G12/MAX($I12,1),0),IF($F12="Annual",IF(AND(AN$10&gt;=$H12,AN$10&lt;$H12+IF($I12=0,MaxYears,$I12)),$G12,0),IF($F12="Periodic",IF(AND(AN$10&gt;=$H12,MOD(AN$10-$H12,MAX($I12,1))=0),$G12,0),0)))</f>
        <v>0</v>
      </c>
      <c r="AO12" s="50" t="n">
        <f aca="false">IF($F12="Spread",IF(AND(AO$10&gt;=$H12,AO$10&lt;$H12+MAX($I12,1)),$G12/MAX($I12,1),0),IF($F12="Annual",IF(AND(AO$10&gt;=$H12,AO$10&lt;$H12+IF($I12=0,MaxYears,$I12)),$G12,0),IF($F12="Periodic",IF(AND(AO$10&gt;=$H12,MOD(AO$10-$H12,MAX($I12,1))=0),$G12,0),0)))</f>
        <v>0</v>
      </c>
      <c r="AP12" s="50" t="n">
        <f aca="false">IF($F12="Spread",IF(AND(AP$10&gt;=$H12,AP$10&lt;$H12+MAX($I12,1)),$G12/MAX($I12,1),0),IF($F12="Annual",IF(AND(AP$10&gt;=$H12,AP$10&lt;$H12+IF($I12=0,MaxYears,$I12)),$G12,0),IF($F12="Periodic",IF(AND(AP$10&gt;=$H12,MOD(AP$10-$H12,MAX($I12,1))=0),$G12,0),0)))</f>
        <v>0</v>
      </c>
      <c r="AQ12" s="50" t="n">
        <f aca="false">IF($F12="Spread",IF(AND(AQ$10&gt;=$H12,AQ$10&lt;$H12+MAX($I12,1)),$G12/MAX($I12,1),0),IF($F12="Annual",IF(AND(AQ$10&gt;=$H12,AQ$10&lt;$H12+IF($I12=0,MaxYears,$I12)),$G12,0),IF($F12="Periodic",IF(AND(AQ$10&gt;=$H12,MOD(AQ$10-$H12,MAX($I12,1))=0),$G12,0),0)))</f>
        <v>0</v>
      </c>
      <c r="AR12" s="50" t="n">
        <f aca="false">IF($F12="Spread",IF(AND(AR$10&gt;=$H12,AR$10&lt;$H12+MAX($I12,1)),$G12/MAX($I12,1),0),IF($F12="Annual",IF(AND(AR$10&gt;=$H12,AR$10&lt;$H12+IF($I12=0,MaxYears,$I12)),$G12,0),IF($F12="Periodic",IF(AND(AR$10&gt;=$H12,MOD(AR$10-$H12,MAX($I12,1))=0),$G12,0),0)))</f>
        <v>0</v>
      </c>
      <c r="AS12" s="50" t="n">
        <f aca="false">IF($F12="Spread",IF(AND(AS$10&gt;=$H12,AS$10&lt;$H12+MAX($I12,1)),$G12/MAX($I12,1),0),IF($F12="Annual",IF(AND(AS$10&gt;=$H12,AS$10&lt;$H12+IF($I12=0,MaxYears,$I12)),$G12,0),IF($F12="Periodic",IF(AND(AS$10&gt;=$H12,MOD(AS$10-$H12,MAX($I12,1))=0),$G12,0),0)))</f>
        <v>0</v>
      </c>
      <c r="AT12" s="50" t="n">
        <f aca="false">IF($F12="Spread",IF(AND(AT$10&gt;=$H12,AT$10&lt;$H12+MAX($I12,1)),$G12/MAX($I12,1),0),IF($F12="Annual",IF(AND(AT$10&gt;=$H12,AT$10&lt;$H12+IF($I12=0,MaxYears,$I12)),$G12,0),IF($F12="Periodic",IF(AND(AT$10&gt;=$H12,MOD(AT$10-$H12,MAX($I12,1))=0),$G12,0),0)))</f>
        <v>0</v>
      </c>
      <c r="AU12" s="50" t="n">
        <f aca="false">IF($F12="Spread",IF(AND(AU$10&gt;=$H12,AU$10&lt;$H12+MAX($I12,1)),$G12/MAX($I12,1),0),IF($F12="Annual",IF(AND(AU$10&gt;=$H12,AU$10&lt;$H12+IF($I12=0,MaxYears,$I12)),$G12,0),IF($F12="Periodic",IF(AND(AU$10&gt;=$H12,MOD(AU$10-$H12,MAX($I12,1))=0),$G12,0),0)))</f>
        <v>0</v>
      </c>
      <c r="AV12" s="50" t="n">
        <f aca="false">IF($F12="Spread",IF(AND(AV$10&gt;=$H12,AV$10&lt;$H12+MAX($I12,1)),$G12/MAX($I12,1),0),IF($F12="Annual",IF(AND(AV$10&gt;=$H12,AV$10&lt;$H12+IF($I12=0,MaxYears,$I12)),$G12,0),IF($F12="Periodic",IF(AND(AV$10&gt;=$H12,MOD(AV$10-$H12,MAX($I12,1))=0),$G12,0),0)))</f>
        <v>0</v>
      </c>
      <c r="AW12" s="50" t="n">
        <f aca="false">IF($F12="Spread",IF(AND(AW$10&gt;=$H12,AW$10&lt;$H12+MAX($I12,1)),$G12/MAX($I12,1),0),IF($F12="Annual",IF(AND(AW$10&gt;=$H12,AW$10&lt;$H12+IF($I12=0,MaxYears,$I12)),$G12,0),IF($F12="Periodic",IF(AND(AW$10&gt;=$H12,MOD(AW$10-$H12,MAX($I12,1))=0),$G12,0),0)))</f>
        <v>0</v>
      </c>
      <c r="AX12" s="50" t="n">
        <f aca="false">IF($F12="Spread",IF(AND(AX$10&gt;=$H12,AX$10&lt;$H12+MAX($I12,1)),$G12/MAX($I12,1),0),IF($F12="Annual",IF(AND(AX$10&gt;=$H12,AX$10&lt;$H12+IF($I12=0,MaxYears,$I12)),$G12,0),IF($F12="Periodic",IF(AND(AX$10&gt;=$H12,MOD(AX$10-$H12,MAX($I12,1))=0),$G12,0),0)))</f>
        <v>0</v>
      </c>
      <c r="AY12" s="50" t="n">
        <f aca="false">IF($F12="Spread",IF(AND(AY$10&gt;=$H12,AY$10&lt;$H12+MAX($I12,1)),$G12/MAX($I12,1),0),IF($F12="Annual",IF(AND(AY$10&gt;=$H12,AY$10&lt;$H12+IF($I12=0,MaxYears,$I12)),$G12,0),IF($F12="Periodic",IF(AND(AY$10&gt;=$H12,MOD(AY$10-$H12,MAX($I12,1))=0),$G12,0),0)))</f>
        <v>0</v>
      </c>
      <c r="AZ12" s="50" t="n">
        <f aca="false">IF($F12="Spread",IF(AND(AZ$10&gt;=$H12,AZ$10&lt;$H12+MAX($I12,1)),$G12/MAX($I12,1),0),IF($F12="Annual",IF(AND(AZ$10&gt;=$H12,AZ$10&lt;$H12+IF($I12=0,MaxYears,$I12)),$G12,0),IF($F12="Periodic",IF(AND(AZ$10&gt;=$H12,MOD(AZ$10-$H12,MAX($I12,1))=0),$G12,0),0)))</f>
        <v>0</v>
      </c>
    </row>
    <row r="13" customFormat="false" ht="27.75" hidden="false" customHeight="true" outlineLevel="0" collapsed="false">
      <c r="B13" s="25" t="s">
        <v>261</v>
      </c>
      <c r="C13" s="45" t="s">
        <v>255</v>
      </c>
      <c r="D13" s="45" t="s">
        <v>262</v>
      </c>
      <c r="E13" s="46" t="s">
        <v>257</v>
      </c>
      <c r="F13" s="46" t="s">
        <v>258</v>
      </c>
      <c r="G13" s="47" t="n">
        <v>1150000</v>
      </c>
      <c r="H13" s="48" t="n">
        <v>0</v>
      </c>
      <c r="I13" s="48" t="n">
        <v>2</v>
      </c>
      <c r="J13" s="45" t="s">
        <v>263</v>
      </c>
      <c r="K13" s="46" t="s">
        <v>264</v>
      </c>
      <c r="L13" s="49" t="n">
        <f aca="false">SUM(M13:AZ13)</f>
        <v>1150000</v>
      </c>
      <c r="M13" s="50" t="n">
        <f aca="false">IF($F13="Spread",IF(AND(M$10&gt;=$H13,M$10&lt;$H13+MAX($I13,1)),$G13/MAX($I13,1),0),IF($F13="Annual",IF(AND(M$10&gt;=$H13,M$10&lt;$H13+IF($I13=0,MaxYears,$I13)),$G13,0),IF($F13="Periodic",IF(AND(M$10&gt;=$H13,MOD(M$10-$H13,MAX($I13,1))=0),$G13,0),0)))</f>
        <v>575000</v>
      </c>
      <c r="N13" s="50" t="n">
        <f aca="false">IF($F13="Spread",IF(AND(N$10&gt;=$H13,N$10&lt;$H13+MAX($I13,1)),$G13/MAX($I13,1),0),IF($F13="Annual",IF(AND(N$10&gt;=$H13,N$10&lt;$H13+IF($I13=0,MaxYears,$I13)),$G13,0),IF($F13="Periodic",IF(AND(N$10&gt;=$H13,MOD(N$10-$H13,MAX($I13,1))=0),$G13,0),0)))</f>
        <v>575000</v>
      </c>
      <c r="O13" s="50" t="n">
        <f aca="false">IF($F13="Spread",IF(AND(O$10&gt;=$H13,O$10&lt;$H13+MAX($I13,1)),$G13/MAX($I13,1),0),IF($F13="Annual",IF(AND(O$10&gt;=$H13,O$10&lt;$H13+IF($I13=0,MaxYears,$I13)),$G13,0),IF($F13="Periodic",IF(AND(O$10&gt;=$H13,MOD(O$10-$H13,MAX($I13,1))=0),$G13,0),0)))</f>
        <v>0</v>
      </c>
      <c r="P13" s="50" t="n">
        <f aca="false">IF($F13="Spread",IF(AND(P$10&gt;=$H13,P$10&lt;$H13+MAX($I13,1)),$G13/MAX($I13,1),0),IF($F13="Annual",IF(AND(P$10&gt;=$H13,P$10&lt;$H13+IF($I13=0,MaxYears,$I13)),$G13,0),IF($F13="Periodic",IF(AND(P$10&gt;=$H13,MOD(P$10-$H13,MAX($I13,1))=0),$G13,0),0)))</f>
        <v>0</v>
      </c>
      <c r="Q13" s="50" t="n">
        <f aca="false">IF($F13="Spread",IF(AND(Q$10&gt;=$H13,Q$10&lt;$H13+MAX($I13,1)),$G13/MAX($I13,1),0),IF($F13="Annual",IF(AND(Q$10&gt;=$H13,Q$10&lt;$H13+IF($I13=0,MaxYears,$I13)),$G13,0),IF($F13="Periodic",IF(AND(Q$10&gt;=$H13,MOD(Q$10-$H13,MAX($I13,1))=0),$G13,0),0)))</f>
        <v>0</v>
      </c>
      <c r="R13" s="50" t="n">
        <f aca="false">IF($F13="Spread",IF(AND(R$10&gt;=$H13,R$10&lt;$H13+MAX($I13,1)),$G13/MAX($I13,1),0),IF($F13="Annual",IF(AND(R$10&gt;=$H13,R$10&lt;$H13+IF($I13=0,MaxYears,$I13)),$G13,0),IF($F13="Periodic",IF(AND(R$10&gt;=$H13,MOD(R$10-$H13,MAX($I13,1))=0),$G13,0),0)))</f>
        <v>0</v>
      </c>
      <c r="S13" s="50" t="n">
        <f aca="false">IF($F13="Spread",IF(AND(S$10&gt;=$H13,S$10&lt;$H13+MAX($I13,1)),$G13/MAX($I13,1),0),IF($F13="Annual",IF(AND(S$10&gt;=$H13,S$10&lt;$H13+IF($I13=0,MaxYears,$I13)),$G13,0),IF($F13="Periodic",IF(AND(S$10&gt;=$H13,MOD(S$10-$H13,MAX($I13,1))=0),$G13,0),0)))</f>
        <v>0</v>
      </c>
      <c r="T13" s="50" t="n">
        <f aca="false">IF($F13="Spread",IF(AND(T$10&gt;=$H13,T$10&lt;$H13+MAX($I13,1)),$G13/MAX($I13,1),0),IF($F13="Annual",IF(AND(T$10&gt;=$H13,T$10&lt;$H13+IF($I13=0,MaxYears,$I13)),$G13,0),IF($F13="Periodic",IF(AND(T$10&gt;=$H13,MOD(T$10-$H13,MAX($I13,1))=0),$G13,0),0)))</f>
        <v>0</v>
      </c>
      <c r="U13" s="50" t="n">
        <f aca="false">IF($F13="Spread",IF(AND(U$10&gt;=$H13,U$10&lt;$H13+MAX($I13,1)),$G13/MAX($I13,1),0),IF($F13="Annual",IF(AND(U$10&gt;=$H13,U$10&lt;$H13+IF($I13=0,MaxYears,$I13)),$G13,0),IF($F13="Periodic",IF(AND(U$10&gt;=$H13,MOD(U$10-$H13,MAX($I13,1))=0),$G13,0),0)))</f>
        <v>0</v>
      </c>
      <c r="V13" s="50" t="n">
        <f aca="false">IF($F13="Spread",IF(AND(V$10&gt;=$H13,V$10&lt;$H13+MAX($I13,1)),$G13/MAX($I13,1),0),IF($F13="Annual",IF(AND(V$10&gt;=$H13,V$10&lt;$H13+IF($I13=0,MaxYears,$I13)),$G13,0),IF($F13="Periodic",IF(AND(V$10&gt;=$H13,MOD(V$10-$H13,MAX($I13,1))=0),$G13,0),0)))</f>
        <v>0</v>
      </c>
      <c r="W13" s="50" t="n">
        <f aca="false">IF($F13="Spread",IF(AND(W$10&gt;=$H13,W$10&lt;$H13+MAX($I13,1)),$G13/MAX($I13,1),0),IF($F13="Annual",IF(AND(W$10&gt;=$H13,W$10&lt;$H13+IF($I13=0,MaxYears,$I13)),$G13,0),IF($F13="Periodic",IF(AND(W$10&gt;=$H13,MOD(W$10-$H13,MAX($I13,1))=0),$G13,0),0)))</f>
        <v>0</v>
      </c>
      <c r="X13" s="50" t="n">
        <f aca="false">IF($F13="Spread",IF(AND(X$10&gt;=$H13,X$10&lt;$H13+MAX($I13,1)),$G13/MAX($I13,1),0),IF($F13="Annual",IF(AND(X$10&gt;=$H13,X$10&lt;$H13+IF($I13=0,MaxYears,$I13)),$G13,0),IF($F13="Periodic",IF(AND(X$10&gt;=$H13,MOD(X$10-$H13,MAX($I13,1))=0),$G13,0),0)))</f>
        <v>0</v>
      </c>
      <c r="Y13" s="50" t="n">
        <f aca="false">IF($F13="Spread",IF(AND(Y$10&gt;=$H13,Y$10&lt;$H13+MAX($I13,1)),$G13/MAX($I13,1),0),IF($F13="Annual",IF(AND(Y$10&gt;=$H13,Y$10&lt;$H13+IF($I13=0,MaxYears,$I13)),$G13,0),IF($F13="Periodic",IF(AND(Y$10&gt;=$H13,MOD(Y$10-$H13,MAX($I13,1))=0),$G13,0),0)))</f>
        <v>0</v>
      </c>
      <c r="Z13" s="50" t="n">
        <f aca="false">IF($F13="Spread",IF(AND(Z$10&gt;=$H13,Z$10&lt;$H13+MAX($I13,1)),$G13/MAX($I13,1),0),IF($F13="Annual",IF(AND(Z$10&gt;=$H13,Z$10&lt;$H13+IF($I13=0,MaxYears,$I13)),$G13,0),IF($F13="Periodic",IF(AND(Z$10&gt;=$H13,MOD(Z$10-$H13,MAX($I13,1))=0),$G13,0),0)))</f>
        <v>0</v>
      </c>
      <c r="AA13" s="50" t="n">
        <f aca="false">IF($F13="Spread",IF(AND(AA$10&gt;=$H13,AA$10&lt;$H13+MAX($I13,1)),$G13/MAX($I13,1),0),IF($F13="Annual",IF(AND(AA$10&gt;=$H13,AA$10&lt;$H13+IF($I13=0,MaxYears,$I13)),$G13,0),IF($F13="Periodic",IF(AND(AA$10&gt;=$H13,MOD(AA$10-$H13,MAX($I13,1))=0),$G13,0),0)))</f>
        <v>0</v>
      </c>
      <c r="AB13" s="50" t="n">
        <f aca="false">IF($F13="Spread",IF(AND(AB$10&gt;=$H13,AB$10&lt;$H13+MAX($I13,1)),$G13/MAX($I13,1),0),IF($F13="Annual",IF(AND(AB$10&gt;=$H13,AB$10&lt;$H13+IF($I13=0,MaxYears,$I13)),$G13,0),IF($F13="Periodic",IF(AND(AB$10&gt;=$H13,MOD(AB$10-$H13,MAX($I13,1))=0),$G13,0),0)))</f>
        <v>0</v>
      </c>
      <c r="AC13" s="50" t="n">
        <f aca="false">IF($F13="Spread",IF(AND(AC$10&gt;=$H13,AC$10&lt;$H13+MAX($I13,1)),$G13/MAX($I13,1),0),IF($F13="Annual",IF(AND(AC$10&gt;=$H13,AC$10&lt;$H13+IF($I13=0,MaxYears,$I13)),$G13,0),IF($F13="Periodic",IF(AND(AC$10&gt;=$H13,MOD(AC$10-$H13,MAX($I13,1))=0),$G13,0),0)))</f>
        <v>0</v>
      </c>
      <c r="AD13" s="50" t="n">
        <f aca="false">IF($F13="Spread",IF(AND(AD$10&gt;=$H13,AD$10&lt;$H13+MAX($I13,1)),$G13/MAX($I13,1),0),IF($F13="Annual",IF(AND(AD$10&gt;=$H13,AD$10&lt;$H13+IF($I13=0,MaxYears,$I13)),$G13,0),IF($F13="Periodic",IF(AND(AD$10&gt;=$H13,MOD(AD$10-$H13,MAX($I13,1))=0),$G13,0),0)))</f>
        <v>0</v>
      </c>
      <c r="AE13" s="50" t="n">
        <f aca="false">IF($F13="Spread",IF(AND(AE$10&gt;=$H13,AE$10&lt;$H13+MAX($I13,1)),$G13/MAX($I13,1),0),IF($F13="Annual",IF(AND(AE$10&gt;=$H13,AE$10&lt;$H13+IF($I13=0,MaxYears,$I13)),$G13,0),IF($F13="Periodic",IF(AND(AE$10&gt;=$H13,MOD(AE$10-$H13,MAX($I13,1))=0),$G13,0),0)))</f>
        <v>0</v>
      </c>
      <c r="AF13" s="50" t="n">
        <f aca="false">IF($F13="Spread",IF(AND(AF$10&gt;=$H13,AF$10&lt;$H13+MAX($I13,1)),$G13/MAX($I13,1),0),IF($F13="Annual",IF(AND(AF$10&gt;=$H13,AF$10&lt;$H13+IF($I13=0,MaxYears,$I13)),$G13,0),IF($F13="Periodic",IF(AND(AF$10&gt;=$H13,MOD(AF$10-$H13,MAX($I13,1))=0),$G13,0),0)))</f>
        <v>0</v>
      </c>
      <c r="AG13" s="50" t="n">
        <f aca="false">IF($F13="Spread",IF(AND(AG$10&gt;=$H13,AG$10&lt;$H13+MAX($I13,1)),$G13/MAX($I13,1),0),IF($F13="Annual",IF(AND(AG$10&gt;=$H13,AG$10&lt;$H13+IF($I13=0,MaxYears,$I13)),$G13,0),IF($F13="Periodic",IF(AND(AG$10&gt;=$H13,MOD(AG$10-$H13,MAX($I13,1))=0),$G13,0),0)))</f>
        <v>0</v>
      </c>
      <c r="AH13" s="50" t="n">
        <f aca="false">IF($F13="Spread",IF(AND(AH$10&gt;=$H13,AH$10&lt;$H13+MAX($I13,1)),$G13/MAX($I13,1),0),IF($F13="Annual",IF(AND(AH$10&gt;=$H13,AH$10&lt;$H13+IF($I13=0,MaxYears,$I13)),$G13,0),IF($F13="Periodic",IF(AND(AH$10&gt;=$H13,MOD(AH$10-$H13,MAX($I13,1))=0),$G13,0),0)))</f>
        <v>0</v>
      </c>
      <c r="AI13" s="50" t="n">
        <f aca="false">IF($F13="Spread",IF(AND(AI$10&gt;=$H13,AI$10&lt;$H13+MAX($I13,1)),$G13/MAX($I13,1),0),IF($F13="Annual",IF(AND(AI$10&gt;=$H13,AI$10&lt;$H13+IF($I13=0,MaxYears,$I13)),$G13,0),IF($F13="Periodic",IF(AND(AI$10&gt;=$H13,MOD(AI$10-$H13,MAX($I13,1))=0),$G13,0),0)))</f>
        <v>0</v>
      </c>
      <c r="AJ13" s="50" t="n">
        <f aca="false">IF($F13="Spread",IF(AND(AJ$10&gt;=$H13,AJ$10&lt;$H13+MAX($I13,1)),$G13/MAX($I13,1),0),IF($F13="Annual",IF(AND(AJ$10&gt;=$H13,AJ$10&lt;$H13+IF($I13=0,MaxYears,$I13)),$G13,0),IF($F13="Periodic",IF(AND(AJ$10&gt;=$H13,MOD(AJ$10-$H13,MAX($I13,1))=0),$G13,0),0)))</f>
        <v>0</v>
      </c>
      <c r="AK13" s="50" t="n">
        <f aca="false">IF($F13="Spread",IF(AND(AK$10&gt;=$H13,AK$10&lt;$H13+MAX($I13,1)),$G13/MAX($I13,1),0),IF($F13="Annual",IF(AND(AK$10&gt;=$H13,AK$10&lt;$H13+IF($I13=0,MaxYears,$I13)),$G13,0),IF($F13="Periodic",IF(AND(AK$10&gt;=$H13,MOD(AK$10-$H13,MAX($I13,1))=0),$G13,0),0)))</f>
        <v>0</v>
      </c>
      <c r="AL13" s="50" t="n">
        <f aca="false">IF($F13="Spread",IF(AND(AL$10&gt;=$H13,AL$10&lt;$H13+MAX($I13,1)),$G13/MAX($I13,1),0),IF($F13="Annual",IF(AND(AL$10&gt;=$H13,AL$10&lt;$H13+IF($I13=0,MaxYears,$I13)),$G13,0),IF($F13="Periodic",IF(AND(AL$10&gt;=$H13,MOD(AL$10-$H13,MAX($I13,1))=0),$G13,0),0)))</f>
        <v>0</v>
      </c>
      <c r="AM13" s="50" t="n">
        <f aca="false">IF($F13="Spread",IF(AND(AM$10&gt;=$H13,AM$10&lt;$H13+MAX($I13,1)),$G13/MAX($I13,1),0),IF($F13="Annual",IF(AND(AM$10&gt;=$H13,AM$10&lt;$H13+IF($I13=0,MaxYears,$I13)),$G13,0),IF($F13="Periodic",IF(AND(AM$10&gt;=$H13,MOD(AM$10-$H13,MAX($I13,1))=0),$G13,0),0)))</f>
        <v>0</v>
      </c>
      <c r="AN13" s="50" t="n">
        <f aca="false">IF($F13="Spread",IF(AND(AN$10&gt;=$H13,AN$10&lt;$H13+MAX($I13,1)),$G13/MAX($I13,1),0),IF($F13="Annual",IF(AND(AN$10&gt;=$H13,AN$10&lt;$H13+IF($I13=0,MaxYears,$I13)),$G13,0),IF($F13="Periodic",IF(AND(AN$10&gt;=$H13,MOD(AN$10-$H13,MAX($I13,1))=0),$G13,0),0)))</f>
        <v>0</v>
      </c>
      <c r="AO13" s="50" t="n">
        <f aca="false">IF($F13="Spread",IF(AND(AO$10&gt;=$H13,AO$10&lt;$H13+MAX($I13,1)),$G13/MAX($I13,1),0),IF($F13="Annual",IF(AND(AO$10&gt;=$H13,AO$10&lt;$H13+IF($I13=0,MaxYears,$I13)),$G13,0),IF($F13="Periodic",IF(AND(AO$10&gt;=$H13,MOD(AO$10-$H13,MAX($I13,1))=0),$G13,0),0)))</f>
        <v>0</v>
      </c>
      <c r="AP13" s="50" t="n">
        <f aca="false">IF($F13="Spread",IF(AND(AP$10&gt;=$H13,AP$10&lt;$H13+MAX($I13,1)),$G13/MAX($I13,1),0),IF($F13="Annual",IF(AND(AP$10&gt;=$H13,AP$10&lt;$H13+IF($I13=0,MaxYears,$I13)),$G13,0),IF($F13="Periodic",IF(AND(AP$10&gt;=$H13,MOD(AP$10-$H13,MAX($I13,1))=0),$G13,0),0)))</f>
        <v>0</v>
      </c>
      <c r="AQ13" s="50" t="n">
        <f aca="false">IF($F13="Spread",IF(AND(AQ$10&gt;=$H13,AQ$10&lt;$H13+MAX($I13,1)),$G13/MAX($I13,1),0),IF($F13="Annual",IF(AND(AQ$10&gt;=$H13,AQ$10&lt;$H13+IF($I13=0,MaxYears,$I13)),$G13,0),IF($F13="Periodic",IF(AND(AQ$10&gt;=$H13,MOD(AQ$10-$H13,MAX($I13,1))=0),$G13,0),0)))</f>
        <v>0</v>
      </c>
      <c r="AR13" s="50" t="n">
        <f aca="false">IF($F13="Spread",IF(AND(AR$10&gt;=$H13,AR$10&lt;$H13+MAX($I13,1)),$G13/MAX($I13,1),0),IF($F13="Annual",IF(AND(AR$10&gt;=$H13,AR$10&lt;$H13+IF($I13=0,MaxYears,$I13)),$G13,0),IF($F13="Periodic",IF(AND(AR$10&gt;=$H13,MOD(AR$10-$H13,MAX($I13,1))=0),$G13,0),0)))</f>
        <v>0</v>
      </c>
      <c r="AS13" s="50" t="n">
        <f aca="false">IF($F13="Spread",IF(AND(AS$10&gt;=$H13,AS$10&lt;$H13+MAX($I13,1)),$G13/MAX($I13,1),0),IF($F13="Annual",IF(AND(AS$10&gt;=$H13,AS$10&lt;$H13+IF($I13=0,MaxYears,$I13)),$G13,0),IF($F13="Periodic",IF(AND(AS$10&gt;=$H13,MOD(AS$10-$H13,MAX($I13,1))=0),$G13,0),0)))</f>
        <v>0</v>
      </c>
      <c r="AT13" s="50" t="n">
        <f aca="false">IF($F13="Spread",IF(AND(AT$10&gt;=$H13,AT$10&lt;$H13+MAX($I13,1)),$G13/MAX($I13,1),0),IF($F13="Annual",IF(AND(AT$10&gt;=$H13,AT$10&lt;$H13+IF($I13=0,MaxYears,$I13)),$G13,0),IF($F13="Periodic",IF(AND(AT$10&gt;=$H13,MOD(AT$10-$H13,MAX($I13,1))=0),$G13,0),0)))</f>
        <v>0</v>
      </c>
      <c r="AU13" s="50" t="n">
        <f aca="false">IF($F13="Spread",IF(AND(AU$10&gt;=$H13,AU$10&lt;$H13+MAX($I13,1)),$G13/MAX($I13,1),0),IF($F13="Annual",IF(AND(AU$10&gt;=$H13,AU$10&lt;$H13+IF($I13=0,MaxYears,$I13)),$G13,0),IF($F13="Periodic",IF(AND(AU$10&gt;=$H13,MOD(AU$10-$H13,MAX($I13,1))=0),$G13,0),0)))</f>
        <v>0</v>
      </c>
      <c r="AV13" s="50" t="n">
        <f aca="false">IF($F13="Spread",IF(AND(AV$10&gt;=$H13,AV$10&lt;$H13+MAX($I13,1)),$G13/MAX($I13,1),0),IF($F13="Annual",IF(AND(AV$10&gt;=$H13,AV$10&lt;$H13+IF($I13=0,MaxYears,$I13)),$G13,0),IF($F13="Periodic",IF(AND(AV$10&gt;=$H13,MOD(AV$10-$H13,MAX($I13,1))=0),$G13,0),0)))</f>
        <v>0</v>
      </c>
      <c r="AW13" s="50" t="n">
        <f aca="false">IF($F13="Spread",IF(AND(AW$10&gt;=$H13,AW$10&lt;$H13+MAX($I13,1)),$G13/MAX($I13,1),0),IF($F13="Annual",IF(AND(AW$10&gt;=$H13,AW$10&lt;$H13+IF($I13=0,MaxYears,$I13)),$G13,0),IF($F13="Periodic",IF(AND(AW$10&gt;=$H13,MOD(AW$10-$H13,MAX($I13,1))=0),$G13,0),0)))</f>
        <v>0</v>
      </c>
      <c r="AX13" s="50" t="n">
        <f aca="false">IF($F13="Spread",IF(AND(AX$10&gt;=$H13,AX$10&lt;$H13+MAX($I13,1)),$G13/MAX($I13,1),0),IF($F13="Annual",IF(AND(AX$10&gt;=$H13,AX$10&lt;$H13+IF($I13=0,MaxYears,$I13)),$G13,0),IF($F13="Periodic",IF(AND(AX$10&gt;=$H13,MOD(AX$10-$H13,MAX($I13,1))=0),$G13,0),0)))</f>
        <v>0</v>
      </c>
      <c r="AY13" s="50" t="n">
        <f aca="false">IF($F13="Spread",IF(AND(AY$10&gt;=$H13,AY$10&lt;$H13+MAX($I13,1)),$G13/MAX($I13,1),0),IF($F13="Annual",IF(AND(AY$10&gt;=$H13,AY$10&lt;$H13+IF($I13=0,MaxYears,$I13)),$G13,0),IF($F13="Periodic",IF(AND(AY$10&gt;=$H13,MOD(AY$10-$H13,MAX($I13,1))=0),$G13,0),0)))</f>
        <v>0</v>
      </c>
      <c r="AZ13" s="50" t="n">
        <f aca="false">IF($F13="Spread",IF(AND(AZ$10&gt;=$H13,AZ$10&lt;$H13+MAX($I13,1)),$G13/MAX($I13,1),0),IF($F13="Annual",IF(AND(AZ$10&gt;=$H13,AZ$10&lt;$H13+IF($I13=0,MaxYears,$I13)),$G13,0),IF($F13="Periodic",IF(AND(AZ$10&gt;=$H13,MOD(AZ$10-$H13,MAX($I13,1))=0),$G13,0),0)))</f>
        <v>0</v>
      </c>
    </row>
    <row r="14" customFormat="false" ht="27.75" hidden="false" customHeight="true" outlineLevel="0" collapsed="false">
      <c r="B14" s="25" t="s">
        <v>265</v>
      </c>
      <c r="C14" s="45" t="s">
        <v>266</v>
      </c>
      <c r="D14" s="45" t="s">
        <v>267</v>
      </c>
      <c r="E14" s="46" t="s">
        <v>257</v>
      </c>
      <c r="F14" s="46" t="s">
        <v>258</v>
      </c>
      <c r="G14" s="47" t="n">
        <v>3600000</v>
      </c>
      <c r="H14" s="48" t="n">
        <v>0</v>
      </c>
      <c r="I14" s="51" t="n">
        <f aca="false">ConstrYears</f>
        <v>3</v>
      </c>
      <c r="J14" s="45" t="s">
        <v>268</v>
      </c>
      <c r="K14" s="46" t="s">
        <v>260</v>
      </c>
      <c r="L14" s="49" t="n">
        <f aca="false">SUM(M14:AZ14)</f>
        <v>3600000</v>
      </c>
      <c r="M14" s="50" t="n">
        <f aca="false">IF($F14="Spread",IF(AND(M$10&gt;=$H14,M$10&lt;$H14+MAX($I14,1)),$G14/MAX($I14,1),0),IF($F14="Annual",IF(AND(M$10&gt;=$H14,M$10&lt;$H14+IF($I14=0,MaxYears,$I14)),$G14,0),IF($F14="Periodic",IF(AND(M$10&gt;=$H14,MOD(M$10-$H14,MAX($I14,1))=0),$G14,0),0)))</f>
        <v>1200000</v>
      </c>
      <c r="N14" s="50" t="n">
        <f aca="false">IF($F14="Spread",IF(AND(N$10&gt;=$H14,N$10&lt;$H14+MAX($I14,1)),$G14/MAX($I14,1),0),IF($F14="Annual",IF(AND(N$10&gt;=$H14,N$10&lt;$H14+IF($I14=0,MaxYears,$I14)),$G14,0),IF($F14="Periodic",IF(AND(N$10&gt;=$H14,MOD(N$10-$H14,MAX($I14,1))=0),$G14,0),0)))</f>
        <v>1200000</v>
      </c>
      <c r="O14" s="50" t="n">
        <f aca="false">IF($F14="Spread",IF(AND(O$10&gt;=$H14,O$10&lt;$H14+MAX($I14,1)),$G14/MAX($I14,1),0),IF($F14="Annual",IF(AND(O$10&gt;=$H14,O$10&lt;$H14+IF($I14=0,MaxYears,$I14)),$G14,0),IF($F14="Periodic",IF(AND(O$10&gt;=$H14,MOD(O$10-$H14,MAX($I14,1))=0),$G14,0),0)))</f>
        <v>1200000</v>
      </c>
      <c r="P14" s="50" t="n">
        <f aca="false">IF($F14="Spread",IF(AND(P$10&gt;=$H14,P$10&lt;$H14+MAX($I14,1)),$G14/MAX($I14,1),0),IF($F14="Annual",IF(AND(P$10&gt;=$H14,P$10&lt;$H14+IF($I14=0,MaxYears,$I14)),$G14,0),IF($F14="Periodic",IF(AND(P$10&gt;=$H14,MOD(P$10-$H14,MAX($I14,1))=0),$G14,0),0)))</f>
        <v>0</v>
      </c>
      <c r="Q14" s="50" t="n">
        <f aca="false">IF($F14="Spread",IF(AND(Q$10&gt;=$H14,Q$10&lt;$H14+MAX($I14,1)),$G14/MAX($I14,1),0),IF($F14="Annual",IF(AND(Q$10&gt;=$H14,Q$10&lt;$H14+IF($I14=0,MaxYears,$I14)),$G14,0),IF($F14="Periodic",IF(AND(Q$10&gt;=$H14,MOD(Q$10-$H14,MAX($I14,1))=0),$G14,0),0)))</f>
        <v>0</v>
      </c>
      <c r="R14" s="50" t="n">
        <f aca="false">IF($F14="Spread",IF(AND(R$10&gt;=$H14,R$10&lt;$H14+MAX($I14,1)),$G14/MAX($I14,1),0),IF($F14="Annual",IF(AND(R$10&gt;=$H14,R$10&lt;$H14+IF($I14=0,MaxYears,$I14)),$G14,0),IF($F14="Periodic",IF(AND(R$10&gt;=$H14,MOD(R$10-$H14,MAX($I14,1))=0),$G14,0),0)))</f>
        <v>0</v>
      </c>
      <c r="S14" s="50" t="n">
        <f aca="false">IF($F14="Spread",IF(AND(S$10&gt;=$H14,S$10&lt;$H14+MAX($I14,1)),$G14/MAX($I14,1),0),IF($F14="Annual",IF(AND(S$10&gt;=$H14,S$10&lt;$H14+IF($I14=0,MaxYears,$I14)),$G14,0),IF($F14="Periodic",IF(AND(S$10&gt;=$H14,MOD(S$10-$H14,MAX($I14,1))=0),$G14,0),0)))</f>
        <v>0</v>
      </c>
      <c r="T14" s="50" t="n">
        <f aca="false">IF($F14="Spread",IF(AND(T$10&gt;=$H14,T$10&lt;$H14+MAX($I14,1)),$G14/MAX($I14,1),0),IF($F14="Annual",IF(AND(T$10&gt;=$H14,T$10&lt;$H14+IF($I14=0,MaxYears,$I14)),$G14,0),IF($F14="Periodic",IF(AND(T$10&gt;=$H14,MOD(T$10-$H14,MAX($I14,1))=0),$G14,0),0)))</f>
        <v>0</v>
      </c>
      <c r="U14" s="50" t="n">
        <f aca="false">IF($F14="Spread",IF(AND(U$10&gt;=$H14,U$10&lt;$H14+MAX($I14,1)),$G14/MAX($I14,1),0),IF($F14="Annual",IF(AND(U$10&gt;=$H14,U$10&lt;$H14+IF($I14=0,MaxYears,$I14)),$G14,0),IF($F14="Periodic",IF(AND(U$10&gt;=$H14,MOD(U$10-$H14,MAX($I14,1))=0),$G14,0),0)))</f>
        <v>0</v>
      </c>
      <c r="V14" s="50" t="n">
        <f aca="false">IF($F14="Spread",IF(AND(V$10&gt;=$H14,V$10&lt;$H14+MAX($I14,1)),$G14/MAX($I14,1),0),IF($F14="Annual",IF(AND(V$10&gt;=$H14,V$10&lt;$H14+IF($I14=0,MaxYears,$I14)),$G14,0),IF($F14="Periodic",IF(AND(V$10&gt;=$H14,MOD(V$10-$H14,MAX($I14,1))=0),$G14,0),0)))</f>
        <v>0</v>
      </c>
      <c r="W14" s="50" t="n">
        <f aca="false">IF($F14="Spread",IF(AND(W$10&gt;=$H14,W$10&lt;$H14+MAX($I14,1)),$G14/MAX($I14,1),0),IF($F14="Annual",IF(AND(W$10&gt;=$H14,W$10&lt;$H14+IF($I14=0,MaxYears,$I14)),$G14,0),IF($F14="Periodic",IF(AND(W$10&gt;=$H14,MOD(W$10-$H14,MAX($I14,1))=0),$G14,0),0)))</f>
        <v>0</v>
      </c>
      <c r="X14" s="50" t="n">
        <f aca="false">IF($F14="Spread",IF(AND(X$10&gt;=$H14,X$10&lt;$H14+MAX($I14,1)),$G14/MAX($I14,1),0),IF($F14="Annual",IF(AND(X$10&gt;=$H14,X$10&lt;$H14+IF($I14=0,MaxYears,$I14)),$G14,0),IF($F14="Periodic",IF(AND(X$10&gt;=$H14,MOD(X$10-$H14,MAX($I14,1))=0),$G14,0),0)))</f>
        <v>0</v>
      </c>
      <c r="Y14" s="50" t="n">
        <f aca="false">IF($F14="Spread",IF(AND(Y$10&gt;=$H14,Y$10&lt;$H14+MAX($I14,1)),$G14/MAX($I14,1),0),IF($F14="Annual",IF(AND(Y$10&gt;=$H14,Y$10&lt;$H14+IF($I14=0,MaxYears,$I14)),$G14,0),IF($F14="Periodic",IF(AND(Y$10&gt;=$H14,MOD(Y$10-$H14,MAX($I14,1))=0),$G14,0),0)))</f>
        <v>0</v>
      </c>
      <c r="Z14" s="50" t="n">
        <f aca="false">IF($F14="Spread",IF(AND(Z$10&gt;=$H14,Z$10&lt;$H14+MAX($I14,1)),$G14/MAX($I14,1),0),IF($F14="Annual",IF(AND(Z$10&gt;=$H14,Z$10&lt;$H14+IF($I14=0,MaxYears,$I14)),$G14,0),IF($F14="Periodic",IF(AND(Z$10&gt;=$H14,MOD(Z$10-$H14,MAX($I14,1))=0),$G14,0),0)))</f>
        <v>0</v>
      </c>
      <c r="AA14" s="50" t="n">
        <f aca="false">IF($F14="Spread",IF(AND(AA$10&gt;=$H14,AA$10&lt;$H14+MAX($I14,1)),$G14/MAX($I14,1),0),IF($F14="Annual",IF(AND(AA$10&gt;=$H14,AA$10&lt;$H14+IF($I14=0,MaxYears,$I14)),$G14,0),IF($F14="Periodic",IF(AND(AA$10&gt;=$H14,MOD(AA$10-$H14,MAX($I14,1))=0),$G14,0),0)))</f>
        <v>0</v>
      </c>
      <c r="AB14" s="50" t="n">
        <f aca="false">IF($F14="Spread",IF(AND(AB$10&gt;=$H14,AB$10&lt;$H14+MAX($I14,1)),$G14/MAX($I14,1),0),IF($F14="Annual",IF(AND(AB$10&gt;=$H14,AB$10&lt;$H14+IF($I14=0,MaxYears,$I14)),$G14,0),IF($F14="Periodic",IF(AND(AB$10&gt;=$H14,MOD(AB$10-$H14,MAX($I14,1))=0),$G14,0),0)))</f>
        <v>0</v>
      </c>
      <c r="AC14" s="50" t="n">
        <f aca="false">IF($F14="Spread",IF(AND(AC$10&gt;=$H14,AC$10&lt;$H14+MAX($I14,1)),$G14/MAX($I14,1),0),IF($F14="Annual",IF(AND(AC$10&gt;=$H14,AC$10&lt;$H14+IF($I14=0,MaxYears,$I14)),$G14,0),IF($F14="Periodic",IF(AND(AC$10&gt;=$H14,MOD(AC$10-$H14,MAX($I14,1))=0),$G14,0),0)))</f>
        <v>0</v>
      </c>
      <c r="AD14" s="50" t="n">
        <f aca="false">IF($F14="Spread",IF(AND(AD$10&gt;=$H14,AD$10&lt;$H14+MAX($I14,1)),$G14/MAX($I14,1),0),IF($F14="Annual",IF(AND(AD$10&gt;=$H14,AD$10&lt;$H14+IF($I14=0,MaxYears,$I14)),$G14,0),IF($F14="Periodic",IF(AND(AD$10&gt;=$H14,MOD(AD$10-$H14,MAX($I14,1))=0),$G14,0),0)))</f>
        <v>0</v>
      </c>
      <c r="AE14" s="50" t="n">
        <f aca="false">IF($F14="Spread",IF(AND(AE$10&gt;=$H14,AE$10&lt;$H14+MAX($I14,1)),$G14/MAX($I14,1),0),IF($F14="Annual",IF(AND(AE$10&gt;=$H14,AE$10&lt;$H14+IF($I14=0,MaxYears,$I14)),$G14,0),IF($F14="Periodic",IF(AND(AE$10&gt;=$H14,MOD(AE$10-$H14,MAX($I14,1))=0),$G14,0),0)))</f>
        <v>0</v>
      </c>
      <c r="AF14" s="50" t="n">
        <f aca="false">IF($F14="Spread",IF(AND(AF$10&gt;=$H14,AF$10&lt;$H14+MAX($I14,1)),$G14/MAX($I14,1),0),IF($F14="Annual",IF(AND(AF$10&gt;=$H14,AF$10&lt;$H14+IF($I14=0,MaxYears,$I14)),$G14,0),IF($F14="Periodic",IF(AND(AF$10&gt;=$H14,MOD(AF$10-$H14,MAX($I14,1))=0),$G14,0),0)))</f>
        <v>0</v>
      </c>
      <c r="AG14" s="50" t="n">
        <f aca="false">IF($F14="Spread",IF(AND(AG$10&gt;=$H14,AG$10&lt;$H14+MAX($I14,1)),$G14/MAX($I14,1),0),IF($F14="Annual",IF(AND(AG$10&gt;=$H14,AG$10&lt;$H14+IF($I14=0,MaxYears,$I14)),$G14,0),IF($F14="Periodic",IF(AND(AG$10&gt;=$H14,MOD(AG$10-$H14,MAX($I14,1))=0),$G14,0),0)))</f>
        <v>0</v>
      </c>
      <c r="AH14" s="50" t="n">
        <f aca="false">IF($F14="Spread",IF(AND(AH$10&gt;=$H14,AH$10&lt;$H14+MAX($I14,1)),$G14/MAX($I14,1),0),IF($F14="Annual",IF(AND(AH$10&gt;=$H14,AH$10&lt;$H14+IF($I14=0,MaxYears,$I14)),$G14,0),IF($F14="Periodic",IF(AND(AH$10&gt;=$H14,MOD(AH$10-$H14,MAX($I14,1))=0),$G14,0),0)))</f>
        <v>0</v>
      </c>
      <c r="AI14" s="50" t="n">
        <f aca="false">IF($F14="Spread",IF(AND(AI$10&gt;=$H14,AI$10&lt;$H14+MAX($I14,1)),$G14/MAX($I14,1),0),IF($F14="Annual",IF(AND(AI$10&gt;=$H14,AI$10&lt;$H14+IF($I14=0,MaxYears,$I14)),$G14,0),IF($F14="Periodic",IF(AND(AI$10&gt;=$H14,MOD(AI$10-$H14,MAX($I14,1))=0),$G14,0),0)))</f>
        <v>0</v>
      </c>
      <c r="AJ14" s="50" t="n">
        <f aca="false">IF($F14="Spread",IF(AND(AJ$10&gt;=$H14,AJ$10&lt;$H14+MAX($I14,1)),$G14/MAX($I14,1),0),IF($F14="Annual",IF(AND(AJ$10&gt;=$H14,AJ$10&lt;$H14+IF($I14=0,MaxYears,$I14)),$G14,0),IF($F14="Periodic",IF(AND(AJ$10&gt;=$H14,MOD(AJ$10-$H14,MAX($I14,1))=0),$G14,0),0)))</f>
        <v>0</v>
      </c>
      <c r="AK14" s="50" t="n">
        <f aca="false">IF($F14="Spread",IF(AND(AK$10&gt;=$H14,AK$10&lt;$H14+MAX($I14,1)),$G14/MAX($I14,1),0),IF($F14="Annual",IF(AND(AK$10&gt;=$H14,AK$10&lt;$H14+IF($I14=0,MaxYears,$I14)),$G14,0),IF($F14="Periodic",IF(AND(AK$10&gt;=$H14,MOD(AK$10-$H14,MAX($I14,1))=0),$G14,0),0)))</f>
        <v>0</v>
      </c>
      <c r="AL14" s="50" t="n">
        <f aca="false">IF($F14="Spread",IF(AND(AL$10&gt;=$H14,AL$10&lt;$H14+MAX($I14,1)),$G14/MAX($I14,1),0),IF($F14="Annual",IF(AND(AL$10&gt;=$H14,AL$10&lt;$H14+IF($I14=0,MaxYears,$I14)),$G14,0),IF($F14="Periodic",IF(AND(AL$10&gt;=$H14,MOD(AL$10-$H14,MAX($I14,1))=0),$G14,0),0)))</f>
        <v>0</v>
      </c>
      <c r="AM14" s="50" t="n">
        <f aca="false">IF($F14="Spread",IF(AND(AM$10&gt;=$H14,AM$10&lt;$H14+MAX($I14,1)),$G14/MAX($I14,1),0),IF($F14="Annual",IF(AND(AM$10&gt;=$H14,AM$10&lt;$H14+IF($I14=0,MaxYears,$I14)),$G14,0),IF($F14="Periodic",IF(AND(AM$10&gt;=$H14,MOD(AM$10-$H14,MAX($I14,1))=0),$G14,0),0)))</f>
        <v>0</v>
      </c>
      <c r="AN14" s="50" t="n">
        <f aca="false">IF($F14="Spread",IF(AND(AN$10&gt;=$H14,AN$10&lt;$H14+MAX($I14,1)),$G14/MAX($I14,1),0),IF($F14="Annual",IF(AND(AN$10&gt;=$H14,AN$10&lt;$H14+IF($I14=0,MaxYears,$I14)),$G14,0),IF($F14="Periodic",IF(AND(AN$10&gt;=$H14,MOD(AN$10-$H14,MAX($I14,1))=0),$G14,0),0)))</f>
        <v>0</v>
      </c>
      <c r="AO14" s="50" t="n">
        <f aca="false">IF($F14="Spread",IF(AND(AO$10&gt;=$H14,AO$10&lt;$H14+MAX($I14,1)),$G14/MAX($I14,1),0),IF($F14="Annual",IF(AND(AO$10&gt;=$H14,AO$10&lt;$H14+IF($I14=0,MaxYears,$I14)),$G14,0),IF($F14="Periodic",IF(AND(AO$10&gt;=$H14,MOD(AO$10-$H14,MAX($I14,1))=0),$G14,0),0)))</f>
        <v>0</v>
      </c>
      <c r="AP14" s="50" t="n">
        <f aca="false">IF($F14="Spread",IF(AND(AP$10&gt;=$H14,AP$10&lt;$H14+MAX($I14,1)),$G14/MAX($I14,1),0),IF($F14="Annual",IF(AND(AP$10&gt;=$H14,AP$10&lt;$H14+IF($I14=0,MaxYears,$I14)),$G14,0),IF($F14="Periodic",IF(AND(AP$10&gt;=$H14,MOD(AP$10-$H14,MAX($I14,1))=0),$G14,0),0)))</f>
        <v>0</v>
      </c>
      <c r="AQ14" s="50" t="n">
        <f aca="false">IF($F14="Spread",IF(AND(AQ$10&gt;=$H14,AQ$10&lt;$H14+MAX($I14,1)),$G14/MAX($I14,1),0),IF($F14="Annual",IF(AND(AQ$10&gt;=$H14,AQ$10&lt;$H14+IF($I14=0,MaxYears,$I14)),$G14,0),IF($F14="Periodic",IF(AND(AQ$10&gt;=$H14,MOD(AQ$10-$H14,MAX($I14,1))=0),$G14,0),0)))</f>
        <v>0</v>
      </c>
      <c r="AR14" s="50" t="n">
        <f aca="false">IF($F14="Spread",IF(AND(AR$10&gt;=$H14,AR$10&lt;$H14+MAX($I14,1)),$G14/MAX($I14,1),0),IF($F14="Annual",IF(AND(AR$10&gt;=$H14,AR$10&lt;$H14+IF($I14=0,MaxYears,$I14)),$G14,0),IF($F14="Periodic",IF(AND(AR$10&gt;=$H14,MOD(AR$10-$H14,MAX($I14,1))=0),$G14,0),0)))</f>
        <v>0</v>
      </c>
      <c r="AS14" s="50" t="n">
        <f aca="false">IF($F14="Spread",IF(AND(AS$10&gt;=$H14,AS$10&lt;$H14+MAX($I14,1)),$G14/MAX($I14,1),0),IF($F14="Annual",IF(AND(AS$10&gt;=$H14,AS$10&lt;$H14+IF($I14=0,MaxYears,$I14)),$G14,0),IF($F14="Periodic",IF(AND(AS$10&gt;=$H14,MOD(AS$10-$H14,MAX($I14,1))=0),$G14,0),0)))</f>
        <v>0</v>
      </c>
      <c r="AT14" s="50" t="n">
        <f aca="false">IF($F14="Spread",IF(AND(AT$10&gt;=$H14,AT$10&lt;$H14+MAX($I14,1)),$G14/MAX($I14,1),0),IF($F14="Annual",IF(AND(AT$10&gt;=$H14,AT$10&lt;$H14+IF($I14=0,MaxYears,$I14)),$G14,0),IF($F14="Periodic",IF(AND(AT$10&gt;=$H14,MOD(AT$10-$H14,MAX($I14,1))=0),$G14,0),0)))</f>
        <v>0</v>
      </c>
      <c r="AU14" s="50" t="n">
        <f aca="false">IF($F14="Spread",IF(AND(AU$10&gt;=$H14,AU$10&lt;$H14+MAX($I14,1)),$G14/MAX($I14,1),0),IF($F14="Annual",IF(AND(AU$10&gt;=$H14,AU$10&lt;$H14+IF($I14=0,MaxYears,$I14)),$G14,0),IF($F14="Periodic",IF(AND(AU$10&gt;=$H14,MOD(AU$10-$H14,MAX($I14,1))=0),$G14,0),0)))</f>
        <v>0</v>
      </c>
      <c r="AV14" s="50" t="n">
        <f aca="false">IF($F14="Spread",IF(AND(AV$10&gt;=$H14,AV$10&lt;$H14+MAX($I14,1)),$G14/MAX($I14,1),0),IF($F14="Annual",IF(AND(AV$10&gt;=$H14,AV$10&lt;$H14+IF($I14=0,MaxYears,$I14)),$G14,0),IF($F14="Periodic",IF(AND(AV$10&gt;=$H14,MOD(AV$10-$H14,MAX($I14,1))=0),$G14,0),0)))</f>
        <v>0</v>
      </c>
      <c r="AW14" s="50" t="n">
        <f aca="false">IF($F14="Spread",IF(AND(AW$10&gt;=$H14,AW$10&lt;$H14+MAX($I14,1)),$G14/MAX($I14,1),0),IF($F14="Annual",IF(AND(AW$10&gt;=$H14,AW$10&lt;$H14+IF($I14=0,MaxYears,$I14)),$G14,0),IF($F14="Periodic",IF(AND(AW$10&gt;=$H14,MOD(AW$10-$H14,MAX($I14,1))=0),$G14,0),0)))</f>
        <v>0</v>
      </c>
      <c r="AX14" s="50" t="n">
        <f aca="false">IF($F14="Spread",IF(AND(AX$10&gt;=$H14,AX$10&lt;$H14+MAX($I14,1)),$G14/MAX($I14,1),0),IF($F14="Annual",IF(AND(AX$10&gt;=$H14,AX$10&lt;$H14+IF($I14=0,MaxYears,$I14)),$G14,0),IF($F14="Periodic",IF(AND(AX$10&gt;=$H14,MOD(AX$10-$H14,MAX($I14,1))=0),$G14,0),0)))</f>
        <v>0</v>
      </c>
      <c r="AY14" s="50" t="n">
        <f aca="false">IF($F14="Spread",IF(AND(AY$10&gt;=$H14,AY$10&lt;$H14+MAX($I14,1)),$G14/MAX($I14,1),0),IF($F14="Annual",IF(AND(AY$10&gt;=$H14,AY$10&lt;$H14+IF($I14=0,MaxYears,$I14)),$G14,0),IF($F14="Periodic",IF(AND(AY$10&gt;=$H14,MOD(AY$10-$H14,MAX($I14,1))=0),$G14,0),0)))</f>
        <v>0</v>
      </c>
      <c r="AZ14" s="50" t="n">
        <f aca="false">IF($F14="Spread",IF(AND(AZ$10&gt;=$H14,AZ$10&lt;$H14+MAX($I14,1)),$G14/MAX($I14,1),0),IF($F14="Annual",IF(AND(AZ$10&gt;=$H14,AZ$10&lt;$H14+IF($I14=0,MaxYears,$I14)),$G14,0),IF($F14="Periodic",IF(AND(AZ$10&gt;=$H14,MOD(AZ$10-$H14,MAX($I14,1))=0),$G14,0),0)))</f>
        <v>0</v>
      </c>
    </row>
    <row r="15" customFormat="false" ht="27.75" hidden="false" customHeight="true" outlineLevel="0" collapsed="false">
      <c r="B15" s="25" t="s">
        <v>269</v>
      </c>
      <c r="C15" s="45" t="s">
        <v>266</v>
      </c>
      <c r="D15" s="45" t="s">
        <v>270</v>
      </c>
      <c r="E15" s="46" t="s">
        <v>257</v>
      </c>
      <c r="F15" s="46" t="s">
        <v>258</v>
      </c>
      <c r="G15" s="47" t="n">
        <v>640000</v>
      </c>
      <c r="H15" s="48" t="n">
        <v>0</v>
      </c>
      <c r="I15" s="48" t="n">
        <v>2</v>
      </c>
      <c r="J15" s="45" t="s">
        <v>271</v>
      </c>
      <c r="K15" s="46" t="s">
        <v>272</v>
      </c>
      <c r="L15" s="49" t="n">
        <f aca="false">SUM(M15:AZ15)</f>
        <v>640000</v>
      </c>
      <c r="M15" s="50" t="n">
        <f aca="false">IF($F15="Spread",IF(AND(M$10&gt;=$H15,M$10&lt;$H15+MAX($I15,1)),$G15/MAX($I15,1),0),IF($F15="Annual",IF(AND(M$10&gt;=$H15,M$10&lt;$H15+IF($I15=0,MaxYears,$I15)),$G15,0),IF($F15="Periodic",IF(AND(M$10&gt;=$H15,MOD(M$10-$H15,MAX($I15,1))=0),$G15,0),0)))</f>
        <v>320000</v>
      </c>
      <c r="N15" s="50" t="n">
        <f aca="false">IF($F15="Spread",IF(AND(N$10&gt;=$H15,N$10&lt;$H15+MAX($I15,1)),$G15/MAX($I15,1),0),IF($F15="Annual",IF(AND(N$10&gt;=$H15,N$10&lt;$H15+IF($I15=0,MaxYears,$I15)),$G15,0),IF($F15="Periodic",IF(AND(N$10&gt;=$H15,MOD(N$10-$H15,MAX($I15,1))=0),$G15,0),0)))</f>
        <v>320000</v>
      </c>
      <c r="O15" s="50" t="n">
        <f aca="false">IF($F15="Spread",IF(AND(O$10&gt;=$H15,O$10&lt;$H15+MAX($I15,1)),$G15/MAX($I15,1),0),IF($F15="Annual",IF(AND(O$10&gt;=$H15,O$10&lt;$H15+IF($I15=0,MaxYears,$I15)),$G15,0),IF($F15="Periodic",IF(AND(O$10&gt;=$H15,MOD(O$10-$H15,MAX($I15,1))=0),$G15,0),0)))</f>
        <v>0</v>
      </c>
      <c r="P15" s="50" t="n">
        <f aca="false">IF($F15="Spread",IF(AND(P$10&gt;=$H15,P$10&lt;$H15+MAX($I15,1)),$G15/MAX($I15,1),0),IF($F15="Annual",IF(AND(P$10&gt;=$H15,P$10&lt;$H15+IF($I15=0,MaxYears,$I15)),$G15,0),IF($F15="Periodic",IF(AND(P$10&gt;=$H15,MOD(P$10-$H15,MAX($I15,1))=0),$G15,0),0)))</f>
        <v>0</v>
      </c>
      <c r="Q15" s="50" t="n">
        <f aca="false">IF($F15="Spread",IF(AND(Q$10&gt;=$H15,Q$10&lt;$H15+MAX($I15,1)),$G15/MAX($I15,1),0),IF($F15="Annual",IF(AND(Q$10&gt;=$H15,Q$10&lt;$H15+IF($I15=0,MaxYears,$I15)),$G15,0),IF($F15="Periodic",IF(AND(Q$10&gt;=$H15,MOD(Q$10-$H15,MAX($I15,1))=0),$G15,0),0)))</f>
        <v>0</v>
      </c>
      <c r="R15" s="50" t="n">
        <f aca="false">IF($F15="Spread",IF(AND(R$10&gt;=$H15,R$10&lt;$H15+MAX($I15,1)),$G15/MAX($I15,1),0),IF($F15="Annual",IF(AND(R$10&gt;=$H15,R$10&lt;$H15+IF($I15=0,MaxYears,$I15)),$G15,0),IF($F15="Periodic",IF(AND(R$10&gt;=$H15,MOD(R$10-$H15,MAX($I15,1))=0),$G15,0),0)))</f>
        <v>0</v>
      </c>
      <c r="S15" s="50" t="n">
        <f aca="false">IF($F15="Spread",IF(AND(S$10&gt;=$H15,S$10&lt;$H15+MAX($I15,1)),$G15/MAX($I15,1),0),IF($F15="Annual",IF(AND(S$10&gt;=$H15,S$10&lt;$H15+IF($I15=0,MaxYears,$I15)),$G15,0),IF($F15="Periodic",IF(AND(S$10&gt;=$H15,MOD(S$10-$H15,MAX($I15,1))=0),$G15,0),0)))</f>
        <v>0</v>
      </c>
      <c r="T15" s="50" t="n">
        <f aca="false">IF($F15="Spread",IF(AND(T$10&gt;=$H15,T$10&lt;$H15+MAX($I15,1)),$G15/MAX($I15,1),0),IF($F15="Annual",IF(AND(T$10&gt;=$H15,T$10&lt;$H15+IF($I15=0,MaxYears,$I15)),$G15,0),IF($F15="Periodic",IF(AND(T$10&gt;=$H15,MOD(T$10-$H15,MAX($I15,1))=0),$G15,0),0)))</f>
        <v>0</v>
      </c>
      <c r="U15" s="50" t="n">
        <f aca="false">IF($F15="Spread",IF(AND(U$10&gt;=$H15,U$10&lt;$H15+MAX($I15,1)),$G15/MAX($I15,1),0),IF($F15="Annual",IF(AND(U$10&gt;=$H15,U$10&lt;$H15+IF($I15=0,MaxYears,$I15)),$G15,0),IF($F15="Periodic",IF(AND(U$10&gt;=$H15,MOD(U$10-$H15,MAX($I15,1))=0),$G15,0),0)))</f>
        <v>0</v>
      </c>
      <c r="V15" s="50" t="n">
        <f aca="false">IF($F15="Spread",IF(AND(V$10&gt;=$H15,V$10&lt;$H15+MAX($I15,1)),$G15/MAX($I15,1),0),IF($F15="Annual",IF(AND(V$10&gt;=$H15,V$10&lt;$H15+IF($I15=0,MaxYears,$I15)),$G15,0),IF($F15="Periodic",IF(AND(V$10&gt;=$H15,MOD(V$10-$H15,MAX($I15,1))=0),$G15,0),0)))</f>
        <v>0</v>
      </c>
      <c r="W15" s="50" t="n">
        <f aca="false">IF($F15="Spread",IF(AND(W$10&gt;=$H15,W$10&lt;$H15+MAX($I15,1)),$G15/MAX($I15,1),0),IF($F15="Annual",IF(AND(W$10&gt;=$H15,W$10&lt;$H15+IF($I15=0,MaxYears,$I15)),$G15,0),IF($F15="Periodic",IF(AND(W$10&gt;=$H15,MOD(W$10-$H15,MAX($I15,1))=0),$G15,0),0)))</f>
        <v>0</v>
      </c>
      <c r="X15" s="50" t="n">
        <f aca="false">IF($F15="Spread",IF(AND(X$10&gt;=$H15,X$10&lt;$H15+MAX($I15,1)),$G15/MAX($I15,1),0),IF($F15="Annual",IF(AND(X$10&gt;=$H15,X$10&lt;$H15+IF($I15=0,MaxYears,$I15)),$G15,0),IF($F15="Periodic",IF(AND(X$10&gt;=$H15,MOD(X$10-$H15,MAX($I15,1))=0),$G15,0),0)))</f>
        <v>0</v>
      </c>
      <c r="Y15" s="50" t="n">
        <f aca="false">IF($F15="Spread",IF(AND(Y$10&gt;=$H15,Y$10&lt;$H15+MAX($I15,1)),$G15/MAX($I15,1),0),IF($F15="Annual",IF(AND(Y$10&gt;=$H15,Y$10&lt;$H15+IF($I15=0,MaxYears,$I15)),$G15,0),IF($F15="Periodic",IF(AND(Y$10&gt;=$H15,MOD(Y$10-$H15,MAX($I15,1))=0),$G15,0),0)))</f>
        <v>0</v>
      </c>
      <c r="Z15" s="50" t="n">
        <f aca="false">IF($F15="Spread",IF(AND(Z$10&gt;=$H15,Z$10&lt;$H15+MAX($I15,1)),$G15/MAX($I15,1),0),IF($F15="Annual",IF(AND(Z$10&gt;=$H15,Z$10&lt;$H15+IF($I15=0,MaxYears,$I15)),$G15,0),IF($F15="Periodic",IF(AND(Z$10&gt;=$H15,MOD(Z$10-$H15,MAX($I15,1))=0),$G15,0),0)))</f>
        <v>0</v>
      </c>
      <c r="AA15" s="50" t="n">
        <f aca="false">IF($F15="Spread",IF(AND(AA$10&gt;=$H15,AA$10&lt;$H15+MAX($I15,1)),$G15/MAX($I15,1),0),IF($F15="Annual",IF(AND(AA$10&gt;=$H15,AA$10&lt;$H15+IF($I15=0,MaxYears,$I15)),$G15,0),IF($F15="Periodic",IF(AND(AA$10&gt;=$H15,MOD(AA$10-$H15,MAX($I15,1))=0),$G15,0),0)))</f>
        <v>0</v>
      </c>
      <c r="AB15" s="50" t="n">
        <f aca="false">IF($F15="Spread",IF(AND(AB$10&gt;=$H15,AB$10&lt;$H15+MAX($I15,1)),$G15/MAX($I15,1),0),IF($F15="Annual",IF(AND(AB$10&gt;=$H15,AB$10&lt;$H15+IF($I15=0,MaxYears,$I15)),$G15,0),IF($F15="Periodic",IF(AND(AB$10&gt;=$H15,MOD(AB$10-$H15,MAX($I15,1))=0),$G15,0),0)))</f>
        <v>0</v>
      </c>
      <c r="AC15" s="50" t="n">
        <f aca="false">IF($F15="Spread",IF(AND(AC$10&gt;=$H15,AC$10&lt;$H15+MAX($I15,1)),$G15/MAX($I15,1),0),IF($F15="Annual",IF(AND(AC$10&gt;=$H15,AC$10&lt;$H15+IF($I15=0,MaxYears,$I15)),$G15,0),IF($F15="Periodic",IF(AND(AC$10&gt;=$H15,MOD(AC$10-$H15,MAX($I15,1))=0),$G15,0),0)))</f>
        <v>0</v>
      </c>
      <c r="AD15" s="50" t="n">
        <f aca="false">IF($F15="Spread",IF(AND(AD$10&gt;=$H15,AD$10&lt;$H15+MAX($I15,1)),$G15/MAX($I15,1),0),IF($F15="Annual",IF(AND(AD$10&gt;=$H15,AD$10&lt;$H15+IF($I15=0,MaxYears,$I15)),$G15,0),IF($F15="Periodic",IF(AND(AD$10&gt;=$H15,MOD(AD$10-$H15,MAX($I15,1))=0),$G15,0),0)))</f>
        <v>0</v>
      </c>
      <c r="AE15" s="50" t="n">
        <f aca="false">IF($F15="Spread",IF(AND(AE$10&gt;=$H15,AE$10&lt;$H15+MAX($I15,1)),$G15/MAX($I15,1),0),IF($F15="Annual",IF(AND(AE$10&gt;=$H15,AE$10&lt;$H15+IF($I15=0,MaxYears,$I15)),$G15,0),IF($F15="Periodic",IF(AND(AE$10&gt;=$H15,MOD(AE$10-$H15,MAX($I15,1))=0),$G15,0),0)))</f>
        <v>0</v>
      </c>
      <c r="AF15" s="50" t="n">
        <f aca="false">IF($F15="Spread",IF(AND(AF$10&gt;=$H15,AF$10&lt;$H15+MAX($I15,1)),$G15/MAX($I15,1),0),IF($F15="Annual",IF(AND(AF$10&gt;=$H15,AF$10&lt;$H15+IF($I15=0,MaxYears,$I15)),$G15,0),IF($F15="Periodic",IF(AND(AF$10&gt;=$H15,MOD(AF$10-$H15,MAX($I15,1))=0),$G15,0),0)))</f>
        <v>0</v>
      </c>
      <c r="AG15" s="50" t="n">
        <f aca="false">IF($F15="Spread",IF(AND(AG$10&gt;=$H15,AG$10&lt;$H15+MAX($I15,1)),$G15/MAX($I15,1),0),IF($F15="Annual",IF(AND(AG$10&gt;=$H15,AG$10&lt;$H15+IF($I15=0,MaxYears,$I15)),$G15,0),IF($F15="Periodic",IF(AND(AG$10&gt;=$H15,MOD(AG$10-$H15,MAX($I15,1))=0),$G15,0),0)))</f>
        <v>0</v>
      </c>
      <c r="AH15" s="50" t="n">
        <f aca="false">IF($F15="Spread",IF(AND(AH$10&gt;=$H15,AH$10&lt;$H15+MAX($I15,1)),$G15/MAX($I15,1),0),IF($F15="Annual",IF(AND(AH$10&gt;=$H15,AH$10&lt;$H15+IF($I15=0,MaxYears,$I15)),$G15,0),IF($F15="Periodic",IF(AND(AH$10&gt;=$H15,MOD(AH$10-$H15,MAX($I15,1))=0),$G15,0),0)))</f>
        <v>0</v>
      </c>
      <c r="AI15" s="50" t="n">
        <f aca="false">IF($F15="Spread",IF(AND(AI$10&gt;=$H15,AI$10&lt;$H15+MAX($I15,1)),$G15/MAX($I15,1),0),IF($F15="Annual",IF(AND(AI$10&gt;=$H15,AI$10&lt;$H15+IF($I15=0,MaxYears,$I15)),$G15,0),IF($F15="Periodic",IF(AND(AI$10&gt;=$H15,MOD(AI$10-$H15,MAX($I15,1))=0),$G15,0),0)))</f>
        <v>0</v>
      </c>
      <c r="AJ15" s="50" t="n">
        <f aca="false">IF($F15="Spread",IF(AND(AJ$10&gt;=$H15,AJ$10&lt;$H15+MAX($I15,1)),$G15/MAX($I15,1),0),IF($F15="Annual",IF(AND(AJ$10&gt;=$H15,AJ$10&lt;$H15+IF($I15=0,MaxYears,$I15)),$G15,0),IF($F15="Periodic",IF(AND(AJ$10&gt;=$H15,MOD(AJ$10-$H15,MAX($I15,1))=0),$G15,0),0)))</f>
        <v>0</v>
      </c>
      <c r="AK15" s="50" t="n">
        <f aca="false">IF($F15="Spread",IF(AND(AK$10&gt;=$H15,AK$10&lt;$H15+MAX($I15,1)),$G15/MAX($I15,1),0),IF($F15="Annual",IF(AND(AK$10&gt;=$H15,AK$10&lt;$H15+IF($I15=0,MaxYears,$I15)),$G15,0),IF($F15="Periodic",IF(AND(AK$10&gt;=$H15,MOD(AK$10-$H15,MAX($I15,1))=0),$G15,0),0)))</f>
        <v>0</v>
      </c>
      <c r="AL15" s="50" t="n">
        <f aca="false">IF($F15="Spread",IF(AND(AL$10&gt;=$H15,AL$10&lt;$H15+MAX($I15,1)),$G15/MAX($I15,1),0),IF($F15="Annual",IF(AND(AL$10&gt;=$H15,AL$10&lt;$H15+IF($I15=0,MaxYears,$I15)),$G15,0),IF($F15="Periodic",IF(AND(AL$10&gt;=$H15,MOD(AL$10-$H15,MAX($I15,1))=0),$G15,0),0)))</f>
        <v>0</v>
      </c>
      <c r="AM15" s="50" t="n">
        <f aca="false">IF($F15="Spread",IF(AND(AM$10&gt;=$H15,AM$10&lt;$H15+MAX($I15,1)),$G15/MAX($I15,1),0),IF($F15="Annual",IF(AND(AM$10&gt;=$H15,AM$10&lt;$H15+IF($I15=0,MaxYears,$I15)),$G15,0),IF($F15="Periodic",IF(AND(AM$10&gt;=$H15,MOD(AM$10-$H15,MAX($I15,1))=0),$G15,0),0)))</f>
        <v>0</v>
      </c>
      <c r="AN15" s="50" t="n">
        <f aca="false">IF($F15="Spread",IF(AND(AN$10&gt;=$H15,AN$10&lt;$H15+MAX($I15,1)),$G15/MAX($I15,1),0),IF($F15="Annual",IF(AND(AN$10&gt;=$H15,AN$10&lt;$H15+IF($I15=0,MaxYears,$I15)),$G15,0),IF($F15="Periodic",IF(AND(AN$10&gt;=$H15,MOD(AN$10-$H15,MAX($I15,1))=0),$G15,0),0)))</f>
        <v>0</v>
      </c>
      <c r="AO15" s="50" t="n">
        <f aca="false">IF($F15="Spread",IF(AND(AO$10&gt;=$H15,AO$10&lt;$H15+MAX($I15,1)),$G15/MAX($I15,1),0),IF($F15="Annual",IF(AND(AO$10&gt;=$H15,AO$10&lt;$H15+IF($I15=0,MaxYears,$I15)),$G15,0),IF($F15="Periodic",IF(AND(AO$10&gt;=$H15,MOD(AO$10-$H15,MAX($I15,1))=0),$G15,0),0)))</f>
        <v>0</v>
      </c>
      <c r="AP15" s="50" t="n">
        <f aca="false">IF($F15="Spread",IF(AND(AP$10&gt;=$H15,AP$10&lt;$H15+MAX($I15,1)),$G15/MAX($I15,1),0),IF($F15="Annual",IF(AND(AP$10&gt;=$H15,AP$10&lt;$H15+IF($I15=0,MaxYears,$I15)),$G15,0),IF($F15="Periodic",IF(AND(AP$10&gt;=$H15,MOD(AP$10-$H15,MAX($I15,1))=0),$G15,0),0)))</f>
        <v>0</v>
      </c>
      <c r="AQ15" s="50" t="n">
        <f aca="false">IF($F15="Spread",IF(AND(AQ$10&gt;=$H15,AQ$10&lt;$H15+MAX($I15,1)),$G15/MAX($I15,1),0),IF($F15="Annual",IF(AND(AQ$10&gt;=$H15,AQ$10&lt;$H15+IF($I15=0,MaxYears,$I15)),$G15,0),IF($F15="Periodic",IF(AND(AQ$10&gt;=$H15,MOD(AQ$10-$H15,MAX($I15,1))=0),$G15,0),0)))</f>
        <v>0</v>
      </c>
      <c r="AR15" s="50" t="n">
        <f aca="false">IF($F15="Spread",IF(AND(AR$10&gt;=$H15,AR$10&lt;$H15+MAX($I15,1)),$G15/MAX($I15,1),0),IF($F15="Annual",IF(AND(AR$10&gt;=$H15,AR$10&lt;$H15+IF($I15=0,MaxYears,$I15)),$G15,0),IF($F15="Periodic",IF(AND(AR$10&gt;=$H15,MOD(AR$10-$H15,MAX($I15,1))=0),$G15,0),0)))</f>
        <v>0</v>
      </c>
      <c r="AS15" s="50" t="n">
        <f aca="false">IF($F15="Spread",IF(AND(AS$10&gt;=$H15,AS$10&lt;$H15+MAX($I15,1)),$G15/MAX($I15,1),0),IF($F15="Annual",IF(AND(AS$10&gt;=$H15,AS$10&lt;$H15+IF($I15=0,MaxYears,$I15)),$G15,0),IF($F15="Periodic",IF(AND(AS$10&gt;=$H15,MOD(AS$10-$H15,MAX($I15,1))=0),$G15,0),0)))</f>
        <v>0</v>
      </c>
      <c r="AT15" s="50" t="n">
        <f aca="false">IF($F15="Spread",IF(AND(AT$10&gt;=$H15,AT$10&lt;$H15+MAX($I15,1)),$G15/MAX($I15,1),0),IF($F15="Annual",IF(AND(AT$10&gt;=$H15,AT$10&lt;$H15+IF($I15=0,MaxYears,$I15)),$G15,0),IF($F15="Periodic",IF(AND(AT$10&gt;=$H15,MOD(AT$10-$H15,MAX($I15,1))=0),$G15,0),0)))</f>
        <v>0</v>
      </c>
      <c r="AU15" s="50" t="n">
        <f aca="false">IF($F15="Spread",IF(AND(AU$10&gt;=$H15,AU$10&lt;$H15+MAX($I15,1)),$G15/MAX($I15,1),0),IF($F15="Annual",IF(AND(AU$10&gt;=$H15,AU$10&lt;$H15+IF($I15=0,MaxYears,$I15)),$G15,0),IF($F15="Periodic",IF(AND(AU$10&gt;=$H15,MOD(AU$10-$H15,MAX($I15,1))=0),$G15,0),0)))</f>
        <v>0</v>
      </c>
      <c r="AV15" s="50" t="n">
        <f aca="false">IF($F15="Spread",IF(AND(AV$10&gt;=$H15,AV$10&lt;$H15+MAX($I15,1)),$G15/MAX($I15,1),0),IF($F15="Annual",IF(AND(AV$10&gt;=$H15,AV$10&lt;$H15+IF($I15=0,MaxYears,$I15)),$G15,0),IF($F15="Periodic",IF(AND(AV$10&gt;=$H15,MOD(AV$10-$H15,MAX($I15,1))=0),$G15,0),0)))</f>
        <v>0</v>
      </c>
      <c r="AW15" s="50" t="n">
        <f aca="false">IF($F15="Spread",IF(AND(AW$10&gt;=$H15,AW$10&lt;$H15+MAX($I15,1)),$G15/MAX($I15,1),0),IF($F15="Annual",IF(AND(AW$10&gt;=$H15,AW$10&lt;$H15+IF($I15=0,MaxYears,$I15)),$G15,0),IF($F15="Periodic",IF(AND(AW$10&gt;=$H15,MOD(AW$10-$H15,MAX($I15,1))=0),$G15,0),0)))</f>
        <v>0</v>
      </c>
      <c r="AX15" s="50" t="n">
        <f aca="false">IF($F15="Spread",IF(AND(AX$10&gt;=$H15,AX$10&lt;$H15+MAX($I15,1)),$G15/MAX($I15,1),0),IF($F15="Annual",IF(AND(AX$10&gt;=$H15,AX$10&lt;$H15+IF($I15=0,MaxYears,$I15)),$G15,0),IF($F15="Periodic",IF(AND(AX$10&gt;=$H15,MOD(AX$10-$H15,MAX($I15,1))=0),$G15,0),0)))</f>
        <v>0</v>
      </c>
      <c r="AY15" s="50" t="n">
        <f aca="false">IF($F15="Spread",IF(AND(AY$10&gt;=$H15,AY$10&lt;$H15+MAX($I15,1)),$G15/MAX($I15,1),0),IF($F15="Annual",IF(AND(AY$10&gt;=$H15,AY$10&lt;$H15+IF($I15=0,MaxYears,$I15)),$G15,0),IF($F15="Periodic",IF(AND(AY$10&gt;=$H15,MOD(AY$10-$H15,MAX($I15,1))=0),$G15,0),0)))</f>
        <v>0</v>
      </c>
      <c r="AZ15" s="50" t="n">
        <f aca="false">IF($F15="Spread",IF(AND(AZ$10&gt;=$H15,AZ$10&lt;$H15+MAX($I15,1)),$G15/MAX($I15,1),0),IF($F15="Annual",IF(AND(AZ$10&gt;=$H15,AZ$10&lt;$H15+IF($I15=0,MaxYears,$I15)),$G15,0),IF($F15="Periodic",IF(AND(AZ$10&gt;=$H15,MOD(AZ$10-$H15,MAX($I15,1))=0),$G15,0),0)))</f>
        <v>0</v>
      </c>
    </row>
    <row r="16" customFormat="false" ht="27.75" hidden="false" customHeight="true" outlineLevel="0" collapsed="false">
      <c r="B16" s="25" t="s">
        <v>273</v>
      </c>
      <c r="C16" s="45" t="s">
        <v>274</v>
      </c>
      <c r="D16" s="45" t="s">
        <v>275</v>
      </c>
      <c r="E16" s="46" t="s">
        <v>257</v>
      </c>
      <c r="F16" s="46" t="s">
        <v>258</v>
      </c>
      <c r="G16" s="47" t="n">
        <v>24800000</v>
      </c>
      <c r="H16" s="48" t="n">
        <v>1</v>
      </c>
      <c r="I16" s="51" t="n">
        <f aca="false">MAX(ConstrYears-1,1)</f>
        <v>2</v>
      </c>
      <c r="J16" s="45" t="s">
        <v>276</v>
      </c>
      <c r="K16" s="46" t="s">
        <v>260</v>
      </c>
      <c r="L16" s="49" t="n">
        <f aca="false">SUM(M16:AZ16)</f>
        <v>24800000</v>
      </c>
      <c r="M16" s="50" t="n">
        <f aca="false">IF($F16="Spread",IF(AND(M$10&gt;=$H16,M$10&lt;$H16+MAX($I16,1)),$G16/MAX($I16,1),0),IF($F16="Annual",IF(AND(M$10&gt;=$H16,M$10&lt;$H16+IF($I16=0,MaxYears,$I16)),$G16,0),IF($F16="Periodic",IF(AND(M$10&gt;=$H16,MOD(M$10-$H16,MAX($I16,1))=0),$G16,0),0)))</f>
        <v>0</v>
      </c>
      <c r="N16" s="50" t="n">
        <f aca="false">IF($F16="Spread",IF(AND(N$10&gt;=$H16,N$10&lt;$H16+MAX($I16,1)),$G16/MAX($I16,1),0),IF($F16="Annual",IF(AND(N$10&gt;=$H16,N$10&lt;$H16+IF($I16=0,MaxYears,$I16)),$G16,0),IF($F16="Periodic",IF(AND(N$10&gt;=$H16,MOD(N$10-$H16,MAX($I16,1))=0),$G16,0),0)))</f>
        <v>12400000</v>
      </c>
      <c r="O16" s="50" t="n">
        <f aca="false">IF($F16="Spread",IF(AND(O$10&gt;=$H16,O$10&lt;$H16+MAX($I16,1)),$G16/MAX($I16,1),0),IF($F16="Annual",IF(AND(O$10&gt;=$H16,O$10&lt;$H16+IF($I16=0,MaxYears,$I16)),$G16,0),IF($F16="Periodic",IF(AND(O$10&gt;=$H16,MOD(O$10-$H16,MAX($I16,1))=0),$G16,0),0)))</f>
        <v>12400000</v>
      </c>
      <c r="P16" s="50" t="n">
        <f aca="false">IF($F16="Spread",IF(AND(P$10&gt;=$H16,P$10&lt;$H16+MAX($I16,1)),$G16/MAX($I16,1),0),IF($F16="Annual",IF(AND(P$10&gt;=$H16,P$10&lt;$H16+IF($I16=0,MaxYears,$I16)),$G16,0),IF($F16="Periodic",IF(AND(P$10&gt;=$H16,MOD(P$10-$H16,MAX($I16,1))=0),$G16,0),0)))</f>
        <v>0</v>
      </c>
      <c r="Q16" s="50" t="n">
        <f aca="false">IF($F16="Spread",IF(AND(Q$10&gt;=$H16,Q$10&lt;$H16+MAX($I16,1)),$G16/MAX($I16,1),0),IF($F16="Annual",IF(AND(Q$10&gt;=$H16,Q$10&lt;$H16+IF($I16=0,MaxYears,$I16)),$G16,0),IF($F16="Periodic",IF(AND(Q$10&gt;=$H16,MOD(Q$10-$H16,MAX($I16,1))=0),$G16,0),0)))</f>
        <v>0</v>
      </c>
      <c r="R16" s="50" t="n">
        <f aca="false">IF($F16="Spread",IF(AND(R$10&gt;=$H16,R$10&lt;$H16+MAX($I16,1)),$G16/MAX($I16,1),0),IF($F16="Annual",IF(AND(R$10&gt;=$H16,R$10&lt;$H16+IF($I16=0,MaxYears,$I16)),$G16,0),IF($F16="Periodic",IF(AND(R$10&gt;=$H16,MOD(R$10-$H16,MAX($I16,1))=0),$G16,0),0)))</f>
        <v>0</v>
      </c>
      <c r="S16" s="50" t="n">
        <f aca="false">IF($F16="Spread",IF(AND(S$10&gt;=$H16,S$10&lt;$H16+MAX($I16,1)),$G16/MAX($I16,1),0),IF($F16="Annual",IF(AND(S$10&gt;=$H16,S$10&lt;$H16+IF($I16=0,MaxYears,$I16)),$G16,0),IF($F16="Periodic",IF(AND(S$10&gt;=$H16,MOD(S$10-$H16,MAX($I16,1))=0),$G16,0),0)))</f>
        <v>0</v>
      </c>
      <c r="T16" s="50" t="n">
        <f aca="false">IF($F16="Spread",IF(AND(T$10&gt;=$H16,T$10&lt;$H16+MAX($I16,1)),$G16/MAX($I16,1),0),IF($F16="Annual",IF(AND(T$10&gt;=$H16,T$10&lt;$H16+IF($I16=0,MaxYears,$I16)),$G16,0),IF($F16="Periodic",IF(AND(T$10&gt;=$H16,MOD(T$10-$H16,MAX($I16,1))=0),$G16,0),0)))</f>
        <v>0</v>
      </c>
      <c r="U16" s="50" t="n">
        <f aca="false">IF($F16="Spread",IF(AND(U$10&gt;=$H16,U$10&lt;$H16+MAX($I16,1)),$G16/MAX($I16,1),0),IF($F16="Annual",IF(AND(U$10&gt;=$H16,U$10&lt;$H16+IF($I16=0,MaxYears,$I16)),$G16,0),IF($F16="Periodic",IF(AND(U$10&gt;=$H16,MOD(U$10-$H16,MAX($I16,1))=0),$G16,0),0)))</f>
        <v>0</v>
      </c>
      <c r="V16" s="50" t="n">
        <f aca="false">IF($F16="Spread",IF(AND(V$10&gt;=$H16,V$10&lt;$H16+MAX($I16,1)),$G16/MAX($I16,1),0),IF($F16="Annual",IF(AND(V$10&gt;=$H16,V$10&lt;$H16+IF($I16=0,MaxYears,$I16)),$G16,0),IF($F16="Periodic",IF(AND(V$10&gt;=$H16,MOD(V$10-$H16,MAX($I16,1))=0),$G16,0),0)))</f>
        <v>0</v>
      </c>
      <c r="W16" s="50" t="n">
        <f aca="false">IF($F16="Spread",IF(AND(W$10&gt;=$H16,W$10&lt;$H16+MAX($I16,1)),$G16/MAX($I16,1),0),IF($F16="Annual",IF(AND(W$10&gt;=$H16,W$10&lt;$H16+IF($I16=0,MaxYears,$I16)),$G16,0),IF($F16="Periodic",IF(AND(W$10&gt;=$H16,MOD(W$10-$H16,MAX($I16,1))=0),$G16,0),0)))</f>
        <v>0</v>
      </c>
      <c r="X16" s="50" t="n">
        <f aca="false">IF($F16="Spread",IF(AND(X$10&gt;=$H16,X$10&lt;$H16+MAX($I16,1)),$G16/MAX($I16,1),0),IF($F16="Annual",IF(AND(X$10&gt;=$H16,X$10&lt;$H16+IF($I16=0,MaxYears,$I16)),$G16,0),IF($F16="Periodic",IF(AND(X$10&gt;=$H16,MOD(X$10-$H16,MAX($I16,1))=0),$G16,0),0)))</f>
        <v>0</v>
      </c>
      <c r="Y16" s="50" t="n">
        <f aca="false">IF($F16="Spread",IF(AND(Y$10&gt;=$H16,Y$10&lt;$H16+MAX($I16,1)),$G16/MAX($I16,1),0),IF($F16="Annual",IF(AND(Y$10&gt;=$H16,Y$10&lt;$H16+IF($I16=0,MaxYears,$I16)),$G16,0),IF($F16="Periodic",IF(AND(Y$10&gt;=$H16,MOD(Y$10-$H16,MAX($I16,1))=0),$G16,0),0)))</f>
        <v>0</v>
      </c>
      <c r="Z16" s="50" t="n">
        <f aca="false">IF($F16="Spread",IF(AND(Z$10&gt;=$H16,Z$10&lt;$H16+MAX($I16,1)),$G16/MAX($I16,1),0),IF($F16="Annual",IF(AND(Z$10&gt;=$H16,Z$10&lt;$H16+IF($I16=0,MaxYears,$I16)),$G16,0),IF($F16="Periodic",IF(AND(Z$10&gt;=$H16,MOD(Z$10-$H16,MAX($I16,1))=0),$G16,0),0)))</f>
        <v>0</v>
      </c>
      <c r="AA16" s="50" t="n">
        <f aca="false">IF($F16="Spread",IF(AND(AA$10&gt;=$H16,AA$10&lt;$H16+MAX($I16,1)),$G16/MAX($I16,1),0),IF($F16="Annual",IF(AND(AA$10&gt;=$H16,AA$10&lt;$H16+IF($I16=0,MaxYears,$I16)),$G16,0),IF($F16="Periodic",IF(AND(AA$10&gt;=$H16,MOD(AA$10-$H16,MAX($I16,1))=0),$G16,0),0)))</f>
        <v>0</v>
      </c>
      <c r="AB16" s="50" t="n">
        <f aca="false">IF($F16="Spread",IF(AND(AB$10&gt;=$H16,AB$10&lt;$H16+MAX($I16,1)),$G16/MAX($I16,1),0),IF($F16="Annual",IF(AND(AB$10&gt;=$H16,AB$10&lt;$H16+IF($I16=0,MaxYears,$I16)),$G16,0),IF($F16="Periodic",IF(AND(AB$10&gt;=$H16,MOD(AB$10-$H16,MAX($I16,1))=0),$G16,0),0)))</f>
        <v>0</v>
      </c>
      <c r="AC16" s="50" t="n">
        <f aca="false">IF($F16="Spread",IF(AND(AC$10&gt;=$H16,AC$10&lt;$H16+MAX($I16,1)),$G16/MAX($I16,1),0),IF($F16="Annual",IF(AND(AC$10&gt;=$H16,AC$10&lt;$H16+IF($I16=0,MaxYears,$I16)),$G16,0),IF($F16="Periodic",IF(AND(AC$10&gt;=$H16,MOD(AC$10-$H16,MAX($I16,1))=0),$G16,0),0)))</f>
        <v>0</v>
      </c>
      <c r="AD16" s="50" t="n">
        <f aca="false">IF($F16="Spread",IF(AND(AD$10&gt;=$H16,AD$10&lt;$H16+MAX($I16,1)),$G16/MAX($I16,1),0),IF($F16="Annual",IF(AND(AD$10&gt;=$H16,AD$10&lt;$H16+IF($I16=0,MaxYears,$I16)),$G16,0),IF($F16="Periodic",IF(AND(AD$10&gt;=$H16,MOD(AD$10-$H16,MAX($I16,1))=0),$G16,0),0)))</f>
        <v>0</v>
      </c>
      <c r="AE16" s="50" t="n">
        <f aca="false">IF($F16="Spread",IF(AND(AE$10&gt;=$H16,AE$10&lt;$H16+MAX($I16,1)),$G16/MAX($I16,1),0),IF($F16="Annual",IF(AND(AE$10&gt;=$H16,AE$10&lt;$H16+IF($I16=0,MaxYears,$I16)),$G16,0),IF($F16="Periodic",IF(AND(AE$10&gt;=$H16,MOD(AE$10-$H16,MAX($I16,1))=0),$G16,0),0)))</f>
        <v>0</v>
      </c>
      <c r="AF16" s="50" t="n">
        <f aca="false">IF($F16="Spread",IF(AND(AF$10&gt;=$H16,AF$10&lt;$H16+MAX($I16,1)),$G16/MAX($I16,1),0),IF($F16="Annual",IF(AND(AF$10&gt;=$H16,AF$10&lt;$H16+IF($I16=0,MaxYears,$I16)),$G16,0),IF($F16="Periodic",IF(AND(AF$10&gt;=$H16,MOD(AF$10-$H16,MAX($I16,1))=0),$G16,0),0)))</f>
        <v>0</v>
      </c>
      <c r="AG16" s="50" t="n">
        <f aca="false">IF($F16="Spread",IF(AND(AG$10&gt;=$H16,AG$10&lt;$H16+MAX($I16,1)),$G16/MAX($I16,1),0),IF($F16="Annual",IF(AND(AG$10&gt;=$H16,AG$10&lt;$H16+IF($I16=0,MaxYears,$I16)),$G16,0),IF($F16="Periodic",IF(AND(AG$10&gt;=$H16,MOD(AG$10-$H16,MAX($I16,1))=0),$G16,0),0)))</f>
        <v>0</v>
      </c>
      <c r="AH16" s="50" t="n">
        <f aca="false">IF($F16="Spread",IF(AND(AH$10&gt;=$H16,AH$10&lt;$H16+MAX($I16,1)),$G16/MAX($I16,1),0),IF($F16="Annual",IF(AND(AH$10&gt;=$H16,AH$10&lt;$H16+IF($I16=0,MaxYears,$I16)),$G16,0),IF($F16="Periodic",IF(AND(AH$10&gt;=$H16,MOD(AH$10-$H16,MAX($I16,1))=0),$G16,0),0)))</f>
        <v>0</v>
      </c>
      <c r="AI16" s="50" t="n">
        <f aca="false">IF($F16="Spread",IF(AND(AI$10&gt;=$H16,AI$10&lt;$H16+MAX($I16,1)),$G16/MAX($I16,1),0),IF($F16="Annual",IF(AND(AI$10&gt;=$H16,AI$10&lt;$H16+IF($I16=0,MaxYears,$I16)),$G16,0),IF($F16="Periodic",IF(AND(AI$10&gt;=$H16,MOD(AI$10-$H16,MAX($I16,1))=0),$G16,0),0)))</f>
        <v>0</v>
      </c>
      <c r="AJ16" s="50" t="n">
        <f aca="false">IF($F16="Spread",IF(AND(AJ$10&gt;=$H16,AJ$10&lt;$H16+MAX($I16,1)),$G16/MAX($I16,1),0),IF($F16="Annual",IF(AND(AJ$10&gt;=$H16,AJ$10&lt;$H16+IF($I16=0,MaxYears,$I16)),$G16,0),IF($F16="Periodic",IF(AND(AJ$10&gt;=$H16,MOD(AJ$10-$H16,MAX($I16,1))=0),$G16,0),0)))</f>
        <v>0</v>
      </c>
      <c r="AK16" s="50" t="n">
        <f aca="false">IF($F16="Spread",IF(AND(AK$10&gt;=$H16,AK$10&lt;$H16+MAX($I16,1)),$G16/MAX($I16,1),0),IF($F16="Annual",IF(AND(AK$10&gt;=$H16,AK$10&lt;$H16+IF($I16=0,MaxYears,$I16)),$G16,0),IF($F16="Periodic",IF(AND(AK$10&gt;=$H16,MOD(AK$10-$H16,MAX($I16,1))=0),$G16,0),0)))</f>
        <v>0</v>
      </c>
      <c r="AL16" s="50" t="n">
        <f aca="false">IF($F16="Spread",IF(AND(AL$10&gt;=$H16,AL$10&lt;$H16+MAX($I16,1)),$G16/MAX($I16,1),0),IF($F16="Annual",IF(AND(AL$10&gt;=$H16,AL$10&lt;$H16+IF($I16=0,MaxYears,$I16)),$G16,0),IF($F16="Periodic",IF(AND(AL$10&gt;=$H16,MOD(AL$10-$H16,MAX($I16,1))=0),$G16,0),0)))</f>
        <v>0</v>
      </c>
      <c r="AM16" s="50" t="n">
        <f aca="false">IF($F16="Spread",IF(AND(AM$10&gt;=$H16,AM$10&lt;$H16+MAX($I16,1)),$G16/MAX($I16,1),0),IF($F16="Annual",IF(AND(AM$10&gt;=$H16,AM$10&lt;$H16+IF($I16=0,MaxYears,$I16)),$G16,0),IF($F16="Periodic",IF(AND(AM$10&gt;=$H16,MOD(AM$10-$H16,MAX($I16,1))=0),$G16,0),0)))</f>
        <v>0</v>
      </c>
      <c r="AN16" s="50" t="n">
        <f aca="false">IF($F16="Spread",IF(AND(AN$10&gt;=$H16,AN$10&lt;$H16+MAX($I16,1)),$G16/MAX($I16,1),0),IF($F16="Annual",IF(AND(AN$10&gt;=$H16,AN$10&lt;$H16+IF($I16=0,MaxYears,$I16)),$G16,0),IF($F16="Periodic",IF(AND(AN$10&gt;=$H16,MOD(AN$10-$H16,MAX($I16,1))=0),$G16,0),0)))</f>
        <v>0</v>
      </c>
      <c r="AO16" s="50" t="n">
        <f aca="false">IF($F16="Spread",IF(AND(AO$10&gt;=$H16,AO$10&lt;$H16+MAX($I16,1)),$G16/MAX($I16,1),0),IF($F16="Annual",IF(AND(AO$10&gt;=$H16,AO$10&lt;$H16+IF($I16=0,MaxYears,$I16)),$G16,0),IF($F16="Periodic",IF(AND(AO$10&gt;=$H16,MOD(AO$10-$H16,MAX($I16,1))=0),$G16,0),0)))</f>
        <v>0</v>
      </c>
      <c r="AP16" s="50" t="n">
        <f aca="false">IF($F16="Spread",IF(AND(AP$10&gt;=$H16,AP$10&lt;$H16+MAX($I16,1)),$G16/MAX($I16,1),0),IF($F16="Annual",IF(AND(AP$10&gt;=$H16,AP$10&lt;$H16+IF($I16=0,MaxYears,$I16)),$G16,0),IF($F16="Periodic",IF(AND(AP$10&gt;=$H16,MOD(AP$10-$H16,MAX($I16,1))=0),$G16,0),0)))</f>
        <v>0</v>
      </c>
      <c r="AQ16" s="50" t="n">
        <f aca="false">IF($F16="Spread",IF(AND(AQ$10&gt;=$H16,AQ$10&lt;$H16+MAX($I16,1)),$G16/MAX($I16,1),0),IF($F16="Annual",IF(AND(AQ$10&gt;=$H16,AQ$10&lt;$H16+IF($I16=0,MaxYears,$I16)),$G16,0),IF($F16="Periodic",IF(AND(AQ$10&gt;=$H16,MOD(AQ$10-$H16,MAX($I16,1))=0),$G16,0),0)))</f>
        <v>0</v>
      </c>
      <c r="AR16" s="50" t="n">
        <f aca="false">IF($F16="Spread",IF(AND(AR$10&gt;=$H16,AR$10&lt;$H16+MAX($I16,1)),$G16/MAX($I16,1),0),IF($F16="Annual",IF(AND(AR$10&gt;=$H16,AR$10&lt;$H16+IF($I16=0,MaxYears,$I16)),$G16,0),IF($F16="Periodic",IF(AND(AR$10&gt;=$H16,MOD(AR$10-$H16,MAX($I16,1))=0),$G16,0),0)))</f>
        <v>0</v>
      </c>
      <c r="AS16" s="50" t="n">
        <f aca="false">IF($F16="Spread",IF(AND(AS$10&gt;=$H16,AS$10&lt;$H16+MAX($I16,1)),$G16/MAX($I16,1),0),IF($F16="Annual",IF(AND(AS$10&gt;=$H16,AS$10&lt;$H16+IF($I16=0,MaxYears,$I16)),$G16,0),IF($F16="Periodic",IF(AND(AS$10&gt;=$H16,MOD(AS$10-$H16,MAX($I16,1))=0),$G16,0),0)))</f>
        <v>0</v>
      </c>
      <c r="AT16" s="50" t="n">
        <f aca="false">IF($F16="Spread",IF(AND(AT$10&gt;=$H16,AT$10&lt;$H16+MAX($I16,1)),$G16/MAX($I16,1),0),IF($F16="Annual",IF(AND(AT$10&gt;=$H16,AT$10&lt;$H16+IF($I16=0,MaxYears,$I16)),$G16,0),IF($F16="Periodic",IF(AND(AT$10&gt;=$H16,MOD(AT$10-$H16,MAX($I16,1))=0),$G16,0),0)))</f>
        <v>0</v>
      </c>
      <c r="AU16" s="50" t="n">
        <f aca="false">IF($F16="Spread",IF(AND(AU$10&gt;=$H16,AU$10&lt;$H16+MAX($I16,1)),$G16/MAX($I16,1),0),IF($F16="Annual",IF(AND(AU$10&gt;=$H16,AU$10&lt;$H16+IF($I16=0,MaxYears,$I16)),$G16,0),IF($F16="Periodic",IF(AND(AU$10&gt;=$H16,MOD(AU$10-$H16,MAX($I16,1))=0),$G16,0),0)))</f>
        <v>0</v>
      </c>
      <c r="AV16" s="50" t="n">
        <f aca="false">IF($F16="Spread",IF(AND(AV$10&gt;=$H16,AV$10&lt;$H16+MAX($I16,1)),$G16/MAX($I16,1),0),IF($F16="Annual",IF(AND(AV$10&gt;=$H16,AV$10&lt;$H16+IF($I16=0,MaxYears,$I16)),$G16,0),IF($F16="Periodic",IF(AND(AV$10&gt;=$H16,MOD(AV$10-$H16,MAX($I16,1))=0),$G16,0),0)))</f>
        <v>0</v>
      </c>
      <c r="AW16" s="50" t="n">
        <f aca="false">IF($F16="Spread",IF(AND(AW$10&gt;=$H16,AW$10&lt;$H16+MAX($I16,1)),$G16/MAX($I16,1),0),IF($F16="Annual",IF(AND(AW$10&gt;=$H16,AW$10&lt;$H16+IF($I16=0,MaxYears,$I16)),$G16,0),IF($F16="Periodic",IF(AND(AW$10&gt;=$H16,MOD(AW$10-$H16,MAX($I16,1))=0),$G16,0),0)))</f>
        <v>0</v>
      </c>
      <c r="AX16" s="50" t="n">
        <f aca="false">IF($F16="Spread",IF(AND(AX$10&gt;=$H16,AX$10&lt;$H16+MAX($I16,1)),$G16/MAX($I16,1),0),IF($F16="Annual",IF(AND(AX$10&gt;=$H16,AX$10&lt;$H16+IF($I16=0,MaxYears,$I16)),$G16,0),IF($F16="Periodic",IF(AND(AX$10&gt;=$H16,MOD(AX$10-$H16,MAX($I16,1))=0),$G16,0),0)))</f>
        <v>0</v>
      </c>
      <c r="AY16" s="50" t="n">
        <f aca="false">IF($F16="Spread",IF(AND(AY$10&gt;=$H16,AY$10&lt;$H16+MAX($I16,1)),$G16/MAX($I16,1),0),IF($F16="Annual",IF(AND(AY$10&gt;=$H16,AY$10&lt;$H16+IF($I16=0,MaxYears,$I16)),$G16,0),IF($F16="Periodic",IF(AND(AY$10&gt;=$H16,MOD(AY$10-$H16,MAX($I16,1))=0),$G16,0),0)))</f>
        <v>0</v>
      </c>
      <c r="AZ16" s="50" t="n">
        <f aca="false">IF($F16="Spread",IF(AND(AZ$10&gt;=$H16,AZ$10&lt;$H16+MAX($I16,1)),$G16/MAX($I16,1),0),IF($F16="Annual",IF(AND(AZ$10&gt;=$H16,AZ$10&lt;$H16+IF($I16=0,MaxYears,$I16)),$G16,0),IF($F16="Periodic",IF(AND(AZ$10&gt;=$H16,MOD(AZ$10-$H16,MAX($I16,1))=0),$G16,0),0)))</f>
        <v>0</v>
      </c>
    </row>
    <row r="17" customFormat="false" ht="27.75" hidden="false" customHeight="true" outlineLevel="0" collapsed="false">
      <c r="B17" s="25" t="s">
        <v>277</v>
      </c>
      <c r="C17" s="45" t="s">
        <v>274</v>
      </c>
      <c r="D17" s="45" t="s">
        <v>278</v>
      </c>
      <c r="E17" s="46" t="s">
        <v>257</v>
      </c>
      <c r="F17" s="46" t="s">
        <v>258</v>
      </c>
      <c r="G17" s="47" t="n">
        <v>2150000</v>
      </c>
      <c r="H17" s="48" t="n">
        <v>1</v>
      </c>
      <c r="I17" s="51" t="n">
        <f aca="false">MAX(ConstrYears-1,1)</f>
        <v>2</v>
      </c>
      <c r="J17" s="45" t="s">
        <v>276</v>
      </c>
      <c r="K17" s="46" t="s">
        <v>260</v>
      </c>
      <c r="L17" s="49" t="n">
        <f aca="false">SUM(M17:AZ17)</f>
        <v>2150000</v>
      </c>
      <c r="M17" s="50" t="n">
        <f aca="false">IF($F17="Spread",IF(AND(M$10&gt;=$H17,M$10&lt;$H17+MAX($I17,1)),$G17/MAX($I17,1),0),IF($F17="Annual",IF(AND(M$10&gt;=$H17,M$10&lt;$H17+IF($I17=0,MaxYears,$I17)),$G17,0),IF($F17="Periodic",IF(AND(M$10&gt;=$H17,MOD(M$10-$H17,MAX($I17,1))=0),$G17,0),0)))</f>
        <v>0</v>
      </c>
      <c r="N17" s="50" t="n">
        <f aca="false">IF($F17="Spread",IF(AND(N$10&gt;=$H17,N$10&lt;$H17+MAX($I17,1)),$G17/MAX($I17,1),0),IF($F17="Annual",IF(AND(N$10&gt;=$H17,N$10&lt;$H17+IF($I17=0,MaxYears,$I17)),$G17,0),IF($F17="Periodic",IF(AND(N$10&gt;=$H17,MOD(N$10-$H17,MAX($I17,1))=0),$G17,0),0)))</f>
        <v>1075000</v>
      </c>
      <c r="O17" s="50" t="n">
        <f aca="false">IF($F17="Spread",IF(AND(O$10&gt;=$H17,O$10&lt;$H17+MAX($I17,1)),$G17/MAX($I17,1),0),IF($F17="Annual",IF(AND(O$10&gt;=$H17,O$10&lt;$H17+IF($I17=0,MaxYears,$I17)),$G17,0),IF($F17="Periodic",IF(AND(O$10&gt;=$H17,MOD(O$10-$H17,MAX($I17,1))=0),$G17,0),0)))</f>
        <v>1075000</v>
      </c>
      <c r="P17" s="50" t="n">
        <f aca="false">IF($F17="Spread",IF(AND(P$10&gt;=$H17,P$10&lt;$H17+MAX($I17,1)),$G17/MAX($I17,1),0),IF($F17="Annual",IF(AND(P$10&gt;=$H17,P$10&lt;$H17+IF($I17=0,MaxYears,$I17)),$G17,0),IF($F17="Periodic",IF(AND(P$10&gt;=$H17,MOD(P$10-$H17,MAX($I17,1))=0),$G17,0),0)))</f>
        <v>0</v>
      </c>
      <c r="Q17" s="50" t="n">
        <f aca="false">IF($F17="Spread",IF(AND(Q$10&gt;=$H17,Q$10&lt;$H17+MAX($I17,1)),$G17/MAX($I17,1),0),IF($F17="Annual",IF(AND(Q$10&gt;=$H17,Q$10&lt;$H17+IF($I17=0,MaxYears,$I17)),$G17,0),IF($F17="Periodic",IF(AND(Q$10&gt;=$H17,MOD(Q$10-$H17,MAX($I17,1))=0),$G17,0),0)))</f>
        <v>0</v>
      </c>
      <c r="R17" s="50" t="n">
        <f aca="false">IF($F17="Spread",IF(AND(R$10&gt;=$H17,R$10&lt;$H17+MAX($I17,1)),$G17/MAX($I17,1),0),IF($F17="Annual",IF(AND(R$10&gt;=$H17,R$10&lt;$H17+IF($I17=0,MaxYears,$I17)),$G17,0),IF($F17="Periodic",IF(AND(R$10&gt;=$H17,MOD(R$10-$H17,MAX($I17,1))=0),$G17,0),0)))</f>
        <v>0</v>
      </c>
      <c r="S17" s="50" t="n">
        <f aca="false">IF($F17="Spread",IF(AND(S$10&gt;=$H17,S$10&lt;$H17+MAX($I17,1)),$G17/MAX($I17,1),0),IF($F17="Annual",IF(AND(S$10&gt;=$H17,S$10&lt;$H17+IF($I17=0,MaxYears,$I17)),$G17,0),IF($F17="Periodic",IF(AND(S$10&gt;=$H17,MOD(S$10-$H17,MAX($I17,1))=0),$G17,0),0)))</f>
        <v>0</v>
      </c>
      <c r="T17" s="50" t="n">
        <f aca="false">IF($F17="Spread",IF(AND(T$10&gt;=$H17,T$10&lt;$H17+MAX($I17,1)),$G17/MAX($I17,1),0),IF($F17="Annual",IF(AND(T$10&gt;=$H17,T$10&lt;$H17+IF($I17=0,MaxYears,$I17)),$G17,0),IF($F17="Periodic",IF(AND(T$10&gt;=$H17,MOD(T$10-$H17,MAX($I17,1))=0),$G17,0),0)))</f>
        <v>0</v>
      </c>
      <c r="U17" s="50" t="n">
        <f aca="false">IF($F17="Spread",IF(AND(U$10&gt;=$H17,U$10&lt;$H17+MAX($I17,1)),$G17/MAX($I17,1),0),IF($F17="Annual",IF(AND(U$10&gt;=$H17,U$10&lt;$H17+IF($I17=0,MaxYears,$I17)),$G17,0),IF($F17="Periodic",IF(AND(U$10&gt;=$H17,MOD(U$10-$H17,MAX($I17,1))=0),$G17,0),0)))</f>
        <v>0</v>
      </c>
      <c r="V17" s="50" t="n">
        <f aca="false">IF($F17="Spread",IF(AND(V$10&gt;=$H17,V$10&lt;$H17+MAX($I17,1)),$G17/MAX($I17,1),0),IF($F17="Annual",IF(AND(V$10&gt;=$H17,V$10&lt;$H17+IF($I17=0,MaxYears,$I17)),$G17,0),IF($F17="Periodic",IF(AND(V$10&gt;=$H17,MOD(V$10-$H17,MAX($I17,1))=0),$G17,0),0)))</f>
        <v>0</v>
      </c>
      <c r="W17" s="50" t="n">
        <f aca="false">IF($F17="Spread",IF(AND(W$10&gt;=$H17,W$10&lt;$H17+MAX($I17,1)),$G17/MAX($I17,1),0),IF($F17="Annual",IF(AND(W$10&gt;=$H17,W$10&lt;$H17+IF($I17=0,MaxYears,$I17)),$G17,0),IF($F17="Periodic",IF(AND(W$10&gt;=$H17,MOD(W$10-$H17,MAX($I17,1))=0),$G17,0),0)))</f>
        <v>0</v>
      </c>
      <c r="X17" s="50" t="n">
        <f aca="false">IF($F17="Spread",IF(AND(X$10&gt;=$H17,X$10&lt;$H17+MAX($I17,1)),$G17/MAX($I17,1),0),IF($F17="Annual",IF(AND(X$10&gt;=$H17,X$10&lt;$H17+IF($I17=0,MaxYears,$I17)),$G17,0),IF($F17="Periodic",IF(AND(X$10&gt;=$H17,MOD(X$10-$H17,MAX($I17,1))=0),$G17,0),0)))</f>
        <v>0</v>
      </c>
      <c r="Y17" s="50" t="n">
        <f aca="false">IF($F17="Spread",IF(AND(Y$10&gt;=$H17,Y$10&lt;$H17+MAX($I17,1)),$G17/MAX($I17,1),0),IF($F17="Annual",IF(AND(Y$10&gt;=$H17,Y$10&lt;$H17+IF($I17=0,MaxYears,$I17)),$G17,0),IF($F17="Periodic",IF(AND(Y$10&gt;=$H17,MOD(Y$10-$H17,MAX($I17,1))=0),$G17,0),0)))</f>
        <v>0</v>
      </c>
      <c r="Z17" s="50" t="n">
        <f aca="false">IF($F17="Spread",IF(AND(Z$10&gt;=$H17,Z$10&lt;$H17+MAX($I17,1)),$G17/MAX($I17,1),0),IF($F17="Annual",IF(AND(Z$10&gt;=$H17,Z$10&lt;$H17+IF($I17=0,MaxYears,$I17)),$G17,0),IF($F17="Periodic",IF(AND(Z$10&gt;=$H17,MOD(Z$10-$H17,MAX($I17,1))=0),$G17,0),0)))</f>
        <v>0</v>
      </c>
      <c r="AA17" s="50" t="n">
        <f aca="false">IF($F17="Spread",IF(AND(AA$10&gt;=$H17,AA$10&lt;$H17+MAX($I17,1)),$G17/MAX($I17,1),0),IF($F17="Annual",IF(AND(AA$10&gt;=$H17,AA$10&lt;$H17+IF($I17=0,MaxYears,$I17)),$G17,0),IF($F17="Periodic",IF(AND(AA$10&gt;=$H17,MOD(AA$10-$H17,MAX($I17,1))=0),$G17,0),0)))</f>
        <v>0</v>
      </c>
      <c r="AB17" s="50" t="n">
        <f aca="false">IF($F17="Spread",IF(AND(AB$10&gt;=$H17,AB$10&lt;$H17+MAX($I17,1)),$G17/MAX($I17,1),0),IF($F17="Annual",IF(AND(AB$10&gt;=$H17,AB$10&lt;$H17+IF($I17=0,MaxYears,$I17)),$G17,0),IF($F17="Periodic",IF(AND(AB$10&gt;=$H17,MOD(AB$10-$H17,MAX($I17,1))=0),$G17,0),0)))</f>
        <v>0</v>
      </c>
      <c r="AC17" s="50" t="n">
        <f aca="false">IF($F17="Spread",IF(AND(AC$10&gt;=$H17,AC$10&lt;$H17+MAX($I17,1)),$G17/MAX($I17,1),0),IF($F17="Annual",IF(AND(AC$10&gt;=$H17,AC$10&lt;$H17+IF($I17=0,MaxYears,$I17)),$G17,0),IF($F17="Periodic",IF(AND(AC$10&gt;=$H17,MOD(AC$10-$H17,MAX($I17,1))=0),$G17,0),0)))</f>
        <v>0</v>
      </c>
      <c r="AD17" s="50" t="n">
        <f aca="false">IF($F17="Spread",IF(AND(AD$10&gt;=$H17,AD$10&lt;$H17+MAX($I17,1)),$G17/MAX($I17,1),0),IF($F17="Annual",IF(AND(AD$10&gt;=$H17,AD$10&lt;$H17+IF($I17=0,MaxYears,$I17)),$G17,0),IF($F17="Periodic",IF(AND(AD$10&gt;=$H17,MOD(AD$10-$H17,MAX($I17,1))=0),$G17,0),0)))</f>
        <v>0</v>
      </c>
      <c r="AE17" s="50" t="n">
        <f aca="false">IF($F17="Spread",IF(AND(AE$10&gt;=$H17,AE$10&lt;$H17+MAX($I17,1)),$G17/MAX($I17,1),0),IF($F17="Annual",IF(AND(AE$10&gt;=$H17,AE$10&lt;$H17+IF($I17=0,MaxYears,$I17)),$G17,0),IF($F17="Periodic",IF(AND(AE$10&gt;=$H17,MOD(AE$10-$H17,MAX($I17,1))=0),$G17,0),0)))</f>
        <v>0</v>
      </c>
      <c r="AF17" s="50" t="n">
        <f aca="false">IF($F17="Spread",IF(AND(AF$10&gt;=$H17,AF$10&lt;$H17+MAX($I17,1)),$G17/MAX($I17,1),0),IF($F17="Annual",IF(AND(AF$10&gt;=$H17,AF$10&lt;$H17+IF($I17=0,MaxYears,$I17)),$G17,0),IF($F17="Periodic",IF(AND(AF$10&gt;=$H17,MOD(AF$10-$H17,MAX($I17,1))=0),$G17,0),0)))</f>
        <v>0</v>
      </c>
      <c r="AG17" s="50" t="n">
        <f aca="false">IF($F17="Spread",IF(AND(AG$10&gt;=$H17,AG$10&lt;$H17+MAX($I17,1)),$G17/MAX($I17,1),0),IF($F17="Annual",IF(AND(AG$10&gt;=$H17,AG$10&lt;$H17+IF($I17=0,MaxYears,$I17)),$G17,0),IF($F17="Periodic",IF(AND(AG$10&gt;=$H17,MOD(AG$10-$H17,MAX($I17,1))=0),$G17,0),0)))</f>
        <v>0</v>
      </c>
      <c r="AH17" s="50" t="n">
        <f aca="false">IF($F17="Spread",IF(AND(AH$10&gt;=$H17,AH$10&lt;$H17+MAX($I17,1)),$G17/MAX($I17,1),0),IF($F17="Annual",IF(AND(AH$10&gt;=$H17,AH$10&lt;$H17+IF($I17=0,MaxYears,$I17)),$G17,0),IF($F17="Periodic",IF(AND(AH$10&gt;=$H17,MOD(AH$10-$H17,MAX($I17,1))=0),$G17,0),0)))</f>
        <v>0</v>
      </c>
      <c r="AI17" s="50" t="n">
        <f aca="false">IF($F17="Spread",IF(AND(AI$10&gt;=$H17,AI$10&lt;$H17+MAX($I17,1)),$G17/MAX($I17,1),0),IF($F17="Annual",IF(AND(AI$10&gt;=$H17,AI$10&lt;$H17+IF($I17=0,MaxYears,$I17)),$G17,0),IF($F17="Periodic",IF(AND(AI$10&gt;=$H17,MOD(AI$10-$H17,MAX($I17,1))=0),$G17,0),0)))</f>
        <v>0</v>
      </c>
      <c r="AJ17" s="50" t="n">
        <f aca="false">IF($F17="Spread",IF(AND(AJ$10&gt;=$H17,AJ$10&lt;$H17+MAX($I17,1)),$G17/MAX($I17,1),0),IF($F17="Annual",IF(AND(AJ$10&gt;=$H17,AJ$10&lt;$H17+IF($I17=0,MaxYears,$I17)),$G17,0),IF($F17="Periodic",IF(AND(AJ$10&gt;=$H17,MOD(AJ$10-$H17,MAX($I17,1))=0),$G17,0),0)))</f>
        <v>0</v>
      </c>
      <c r="AK17" s="50" t="n">
        <f aca="false">IF($F17="Spread",IF(AND(AK$10&gt;=$H17,AK$10&lt;$H17+MAX($I17,1)),$G17/MAX($I17,1),0),IF($F17="Annual",IF(AND(AK$10&gt;=$H17,AK$10&lt;$H17+IF($I17=0,MaxYears,$I17)),$G17,0),IF($F17="Periodic",IF(AND(AK$10&gt;=$H17,MOD(AK$10-$H17,MAX($I17,1))=0),$G17,0),0)))</f>
        <v>0</v>
      </c>
      <c r="AL17" s="50" t="n">
        <f aca="false">IF($F17="Spread",IF(AND(AL$10&gt;=$H17,AL$10&lt;$H17+MAX($I17,1)),$G17/MAX($I17,1),0),IF($F17="Annual",IF(AND(AL$10&gt;=$H17,AL$10&lt;$H17+IF($I17=0,MaxYears,$I17)),$G17,0),IF($F17="Periodic",IF(AND(AL$10&gt;=$H17,MOD(AL$10-$H17,MAX($I17,1))=0),$G17,0),0)))</f>
        <v>0</v>
      </c>
      <c r="AM17" s="50" t="n">
        <f aca="false">IF($F17="Spread",IF(AND(AM$10&gt;=$H17,AM$10&lt;$H17+MAX($I17,1)),$G17/MAX($I17,1),0),IF($F17="Annual",IF(AND(AM$10&gt;=$H17,AM$10&lt;$H17+IF($I17=0,MaxYears,$I17)),$G17,0),IF($F17="Periodic",IF(AND(AM$10&gt;=$H17,MOD(AM$10-$H17,MAX($I17,1))=0),$G17,0),0)))</f>
        <v>0</v>
      </c>
      <c r="AN17" s="50" t="n">
        <f aca="false">IF($F17="Spread",IF(AND(AN$10&gt;=$H17,AN$10&lt;$H17+MAX($I17,1)),$G17/MAX($I17,1),0),IF($F17="Annual",IF(AND(AN$10&gt;=$H17,AN$10&lt;$H17+IF($I17=0,MaxYears,$I17)),$G17,0),IF($F17="Periodic",IF(AND(AN$10&gt;=$H17,MOD(AN$10-$H17,MAX($I17,1))=0),$G17,0),0)))</f>
        <v>0</v>
      </c>
      <c r="AO17" s="50" t="n">
        <f aca="false">IF($F17="Spread",IF(AND(AO$10&gt;=$H17,AO$10&lt;$H17+MAX($I17,1)),$G17/MAX($I17,1),0),IF($F17="Annual",IF(AND(AO$10&gt;=$H17,AO$10&lt;$H17+IF($I17=0,MaxYears,$I17)),$G17,0),IF($F17="Periodic",IF(AND(AO$10&gt;=$H17,MOD(AO$10-$H17,MAX($I17,1))=0),$G17,0),0)))</f>
        <v>0</v>
      </c>
      <c r="AP17" s="50" t="n">
        <f aca="false">IF($F17="Spread",IF(AND(AP$10&gt;=$H17,AP$10&lt;$H17+MAX($I17,1)),$G17/MAX($I17,1),0),IF($F17="Annual",IF(AND(AP$10&gt;=$H17,AP$10&lt;$H17+IF($I17=0,MaxYears,$I17)),$G17,0),IF($F17="Periodic",IF(AND(AP$10&gt;=$H17,MOD(AP$10-$H17,MAX($I17,1))=0),$G17,0),0)))</f>
        <v>0</v>
      </c>
      <c r="AQ17" s="50" t="n">
        <f aca="false">IF($F17="Spread",IF(AND(AQ$10&gt;=$H17,AQ$10&lt;$H17+MAX($I17,1)),$G17/MAX($I17,1),0),IF($F17="Annual",IF(AND(AQ$10&gt;=$H17,AQ$10&lt;$H17+IF($I17=0,MaxYears,$I17)),$G17,0),IF($F17="Periodic",IF(AND(AQ$10&gt;=$H17,MOD(AQ$10-$H17,MAX($I17,1))=0),$G17,0),0)))</f>
        <v>0</v>
      </c>
      <c r="AR17" s="50" t="n">
        <f aca="false">IF($F17="Spread",IF(AND(AR$10&gt;=$H17,AR$10&lt;$H17+MAX($I17,1)),$G17/MAX($I17,1),0),IF($F17="Annual",IF(AND(AR$10&gt;=$H17,AR$10&lt;$H17+IF($I17=0,MaxYears,$I17)),$G17,0),IF($F17="Periodic",IF(AND(AR$10&gt;=$H17,MOD(AR$10-$H17,MAX($I17,1))=0),$G17,0),0)))</f>
        <v>0</v>
      </c>
      <c r="AS17" s="50" t="n">
        <f aca="false">IF($F17="Spread",IF(AND(AS$10&gt;=$H17,AS$10&lt;$H17+MAX($I17,1)),$G17/MAX($I17,1),0),IF($F17="Annual",IF(AND(AS$10&gt;=$H17,AS$10&lt;$H17+IF($I17=0,MaxYears,$I17)),$G17,0),IF($F17="Periodic",IF(AND(AS$10&gt;=$H17,MOD(AS$10-$H17,MAX($I17,1))=0),$G17,0),0)))</f>
        <v>0</v>
      </c>
      <c r="AT17" s="50" t="n">
        <f aca="false">IF($F17="Spread",IF(AND(AT$10&gt;=$H17,AT$10&lt;$H17+MAX($I17,1)),$G17/MAX($I17,1),0),IF($F17="Annual",IF(AND(AT$10&gt;=$H17,AT$10&lt;$H17+IF($I17=0,MaxYears,$I17)),$G17,0),IF($F17="Periodic",IF(AND(AT$10&gt;=$H17,MOD(AT$10-$H17,MAX($I17,1))=0),$G17,0),0)))</f>
        <v>0</v>
      </c>
      <c r="AU17" s="50" t="n">
        <f aca="false">IF($F17="Spread",IF(AND(AU$10&gt;=$H17,AU$10&lt;$H17+MAX($I17,1)),$G17/MAX($I17,1),0),IF($F17="Annual",IF(AND(AU$10&gt;=$H17,AU$10&lt;$H17+IF($I17=0,MaxYears,$I17)),$G17,0),IF($F17="Periodic",IF(AND(AU$10&gt;=$H17,MOD(AU$10-$H17,MAX($I17,1))=0),$G17,0),0)))</f>
        <v>0</v>
      </c>
      <c r="AV17" s="50" t="n">
        <f aca="false">IF($F17="Spread",IF(AND(AV$10&gt;=$H17,AV$10&lt;$H17+MAX($I17,1)),$G17/MAX($I17,1),0),IF($F17="Annual",IF(AND(AV$10&gt;=$H17,AV$10&lt;$H17+IF($I17=0,MaxYears,$I17)),$G17,0),IF($F17="Periodic",IF(AND(AV$10&gt;=$H17,MOD(AV$10-$H17,MAX($I17,1))=0),$G17,0),0)))</f>
        <v>0</v>
      </c>
      <c r="AW17" s="50" t="n">
        <f aca="false">IF($F17="Spread",IF(AND(AW$10&gt;=$H17,AW$10&lt;$H17+MAX($I17,1)),$G17/MAX($I17,1),0),IF($F17="Annual",IF(AND(AW$10&gt;=$H17,AW$10&lt;$H17+IF($I17=0,MaxYears,$I17)),$G17,0),IF($F17="Periodic",IF(AND(AW$10&gt;=$H17,MOD(AW$10-$H17,MAX($I17,1))=0),$G17,0),0)))</f>
        <v>0</v>
      </c>
      <c r="AX17" s="50" t="n">
        <f aca="false">IF($F17="Spread",IF(AND(AX$10&gt;=$H17,AX$10&lt;$H17+MAX($I17,1)),$G17/MAX($I17,1),0),IF($F17="Annual",IF(AND(AX$10&gt;=$H17,AX$10&lt;$H17+IF($I17=0,MaxYears,$I17)),$G17,0),IF($F17="Periodic",IF(AND(AX$10&gt;=$H17,MOD(AX$10-$H17,MAX($I17,1))=0),$G17,0),0)))</f>
        <v>0</v>
      </c>
      <c r="AY17" s="50" t="n">
        <f aca="false">IF($F17="Spread",IF(AND(AY$10&gt;=$H17,AY$10&lt;$H17+MAX($I17,1)),$G17/MAX($I17,1),0),IF($F17="Annual",IF(AND(AY$10&gt;=$H17,AY$10&lt;$H17+IF($I17=0,MaxYears,$I17)),$G17,0),IF($F17="Periodic",IF(AND(AY$10&gt;=$H17,MOD(AY$10-$H17,MAX($I17,1))=0),$G17,0),0)))</f>
        <v>0</v>
      </c>
      <c r="AZ17" s="50" t="n">
        <f aca="false">IF($F17="Spread",IF(AND(AZ$10&gt;=$H17,AZ$10&lt;$H17+MAX($I17,1)),$G17/MAX($I17,1),0),IF($F17="Annual",IF(AND(AZ$10&gt;=$H17,AZ$10&lt;$H17+IF($I17=0,MaxYears,$I17)),$G17,0),IF($F17="Periodic",IF(AND(AZ$10&gt;=$H17,MOD(AZ$10-$H17,MAX($I17,1))=0),$G17,0),0)))</f>
        <v>0</v>
      </c>
    </row>
    <row r="18" customFormat="false" ht="27.75" hidden="false" customHeight="true" outlineLevel="0" collapsed="false">
      <c r="B18" s="25" t="s">
        <v>279</v>
      </c>
      <c r="C18" s="45" t="s">
        <v>274</v>
      </c>
      <c r="D18" s="45" t="s">
        <v>280</v>
      </c>
      <c r="E18" s="46" t="s">
        <v>257</v>
      </c>
      <c r="F18" s="46" t="s">
        <v>258</v>
      </c>
      <c r="G18" s="47" t="n">
        <v>2900000</v>
      </c>
      <c r="H18" s="51" t="n">
        <f aca="false">MAX(ConstrYears-1,1)</f>
        <v>2</v>
      </c>
      <c r="I18" s="48" t="n">
        <v>1</v>
      </c>
      <c r="J18" s="45" t="s">
        <v>281</v>
      </c>
      <c r="K18" s="46" t="s">
        <v>260</v>
      </c>
      <c r="L18" s="49" t="n">
        <f aca="false">SUM(M18:AZ18)</f>
        <v>2900000</v>
      </c>
      <c r="M18" s="50" t="n">
        <f aca="false">IF($F18="Spread",IF(AND(M$10&gt;=$H18,M$10&lt;$H18+MAX($I18,1)),$G18/MAX($I18,1),0),IF($F18="Annual",IF(AND(M$10&gt;=$H18,M$10&lt;$H18+IF($I18=0,MaxYears,$I18)),$G18,0),IF($F18="Periodic",IF(AND(M$10&gt;=$H18,MOD(M$10-$H18,MAX($I18,1))=0),$G18,0),0)))</f>
        <v>0</v>
      </c>
      <c r="N18" s="50" t="n">
        <f aca="false">IF($F18="Spread",IF(AND(N$10&gt;=$H18,N$10&lt;$H18+MAX($I18,1)),$G18/MAX($I18,1),0),IF($F18="Annual",IF(AND(N$10&gt;=$H18,N$10&lt;$H18+IF($I18=0,MaxYears,$I18)),$G18,0),IF($F18="Periodic",IF(AND(N$10&gt;=$H18,MOD(N$10-$H18,MAX($I18,1))=0),$G18,0),0)))</f>
        <v>0</v>
      </c>
      <c r="O18" s="50" t="n">
        <f aca="false">IF($F18="Spread",IF(AND(O$10&gt;=$H18,O$10&lt;$H18+MAX($I18,1)),$G18/MAX($I18,1),0),IF($F18="Annual",IF(AND(O$10&gt;=$H18,O$10&lt;$H18+IF($I18=0,MaxYears,$I18)),$G18,0),IF($F18="Periodic",IF(AND(O$10&gt;=$H18,MOD(O$10-$H18,MAX($I18,1))=0),$G18,0),0)))</f>
        <v>2900000</v>
      </c>
      <c r="P18" s="50" t="n">
        <f aca="false">IF($F18="Spread",IF(AND(P$10&gt;=$H18,P$10&lt;$H18+MAX($I18,1)),$G18/MAX($I18,1),0),IF($F18="Annual",IF(AND(P$10&gt;=$H18,P$10&lt;$H18+IF($I18=0,MaxYears,$I18)),$G18,0),IF($F18="Periodic",IF(AND(P$10&gt;=$H18,MOD(P$10-$H18,MAX($I18,1))=0),$G18,0),0)))</f>
        <v>0</v>
      </c>
      <c r="Q18" s="50" t="n">
        <f aca="false">IF($F18="Spread",IF(AND(Q$10&gt;=$H18,Q$10&lt;$H18+MAX($I18,1)),$G18/MAX($I18,1),0),IF($F18="Annual",IF(AND(Q$10&gt;=$H18,Q$10&lt;$H18+IF($I18=0,MaxYears,$I18)),$G18,0),IF($F18="Periodic",IF(AND(Q$10&gt;=$H18,MOD(Q$10-$H18,MAX($I18,1))=0),$G18,0),0)))</f>
        <v>0</v>
      </c>
      <c r="R18" s="50" t="n">
        <f aca="false">IF($F18="Spread",IF(AND(R$10&gt;=$H18,R$10&lt;$H18+MAX($I18,1)),$G18/MAX($I18,1),0),IF($F18="Annual",IF(AND(R$10&gt;=$H18,R$10&lt;$H18+IF($I18=0,MaxYears,$I18)),$G18,0),IF($F18="Periodic",IF(AND(R$10&gt;=$H18,MOD(R$10-$H18,MAX($I18,1))=0),$G18,0),0)))</f>
        <v>0</v>
      </c>
      <c r="S18" s="50" t="n">
        <f aca="false">IF($F18="Spread",IF(AND(S$10&gt;=$H18,S$10&lt;$H18+MAX($I18,1)),$G18/MAX($I18,1),0),IF($F18="Annual",IF(AND(S$10&gt;=$H18,S$10&lt;$H18+IF($I18=0,MaxYears,$I18)),$G18,0),IF($F18="Periodic",IF(AND(S$10&gt;=$H18,MOD(S$10-$H18,MAX($I18,1))=0),$G18,0),0)))</f>
        <v>0</v>
      </c>
      <c r="T18" s="50" t="n">
        <f aca="false">IF($F18="Spread",IF(AND(T$10&gt;=$H18,T$10&lt;$H18+MAX($I18,1)),$G18/MAX($I18,1),0),IF($F18="Annual",IF(AND(T$10&gt;=$H18,T$10&lt;$H18+IF($I18=0,MaxYears,$I18)),$G18,0),IF($F18="Periodic",IF(AND(T$10&gt;=$H18,MOD(T$10-$H18,MAX($I18,1))=0),$G18,0),0)))</f>
        <v>0</v>
      </c>
      <c r="U18" s="50" t="n">
        <f aca="false">IF($F18="Spread",IF(AND(U$10&gt;=$H18,U$10&lt;$H18+MAX($I18,1)),$G18/MAX($I18,1),0),IF($F18="Annual",IF(AND(U$10&gt;=$H18,U$10&lt;$H18+IF($I18=0,MaxYears,$I18)),$G18,0),IF($F18="Periodic",IF(AND(U$10&gt;=$H18,MOD(U$10-$H18,MAX($I18,1))=0),$G18,0),0)))</f>
        <v>0</v>
      </c>
      <c r="V18" s="50" t="n">
        <f aca="false">IF($F18="Spread",IF(AND(V$10&gt;=$H18,V$10&lt;$H18+MAX($I18,1)),$G18/MAX($I18,1),0),IF($F18="Annual",IF(AND(V$10&gt;=$H18,V$10&lt;$H18+IF($I18=0,MaxYears,$I18)),$G18,0),IF($F18="Periodic",IF(AND(V$10&gt;=$H18,MOD(V$10-$H18,MAX($I18,1))=0),$G18,0),0)))</f>
        <v>0</v>
      </c>
      <c r="W18" s="50" t="n">
        <f aca="false">IF($F18="Spread",IF(AND(W$10&gt;=$H18,W$10&lt;$H18+MAX($I18,1)),$G18/MAX($I18,1),0),IF($F18="Annual",IF(AND(W$10&gt;=$H18,W$10&lt;$H18+IF($I18=0,MaxYears,$I18)),$G18,0),IF($F18="Periodic",IF(AND(W$10&gt;=$H18,MOD(W$10-$H18,MAX($I18,1))=0),$G18,0),0)))</f>
        <v>0</v>
      </c>
      <c r="X18" s="50" t="n">
        <f aca="false">IF($F18="Spread",IF(AND(X$10&gt;=$H18,X$10&lt;$H18+MAX($I18,1)),$G18/MAX($I18,1),0),IF($F18="Annual",IF(AND(X$10&gt;=$H18,X$10&lt;$H18+IF($I18=0,MaxYears,$I18)),$G18,0),IF($F18="Periodic",IF(AND(X$10&gt;=$H18,MOD(X$10-$H18,MAX($I18,1))=0),$G18,0),0)))</f>
        <v>0</v>
      </c>
      <c r="Y18" s="50" t="n">
        <f aca="false">IF($F18="Spread",IF(AND(Y$10&gt;=$H18,Y$10&lt;$H18+MAX($I18,1)),$G18/MAX($I18,1),0),IF($F18="Annual",IF(AND(Y$10&gt;=$H18,Y$10&lt;$H18+IF($I18=0,MaxYears,$I18)),$G18,0),IF($F18="Periodic",IF(AND(Y$10&gt;=$H18,MOD(Y$10-$H18,MAX($I18,1))=0),$G18,0),0)))</f>
        <v>0</v>
      </c>
      <c r="Z18" s="50" t="n">
        <f aca="false">IF($F18="Spread",IF(AND(Z$10&gt;=$H18,Z$10&lt;$H18+MAX($I18,1)),$G18/MAX($I18,1),0),IF($F18="Annual",IF(AND(Z$10&gt;=$H18,Z$10&lt;$H18+IF($I18=0,MaxYears,$I18)),$G18,0),IF($F18="Periodic",IF(AND(Z$10&gt;=$H18,MOD(Z$10-$H18,MAX($I18,1))=0),$G18,0),0)))</f>
        <v>0</v>
      </c>
      <c r="AA18" s="50" t="n">
        <f aca="false">IF($F18="Spread",IF(AND(AA$10&gt;=$H18,AA$10&lt;$H18+MAX($I18,1)),$G18/MAX($I18,1),0),IF($F18="Annual",IF(AND(AA$10&gt;=$H18,AA$10&lt;$H18+IF($I18=0,MaxYears,$I18)),$G18,0),IF($F18="Periodic",IF(AND(AA$10&gt;=$H18,MOD(AA$10-$H18,MAX($I18,1))=0),$G18,0),0)))</f>
        <v>0</v>
      </c>
      <c r="AB18" s="50" t="n">
        <f aca="false">IF($F18="Spread",IF(AND(AB$10&gt;=$H18,AB$10&lt;$H18+MAX($I18,1)),$G18/MAX($I18,1),0),IF($F18="Annual",IF(AND(AB$10&gt;=$H18,AB$10&lt;$H18+IF($I18=0,MaxYears,$I18)),$G18,0),IF($F18="Periodic",IF(AND(AB$10&gt;=$H18,MOD(AB$10-$H18,MAX($I18,1))=0),$G18,0),0)))</f>
        <v>0</v>
      </c>
      <c r="AC18" s="50" t="n">
        <f aca="false">IF($F18="Spread",IF(AND(AC$10&gt;=$H18,AC$10&lt;$H18+MAX($I18,1)),$G18/MAX($I18,1),0),IF($F18="Annual",IF(AND(AC$10&gt;=$H18,AC$10&lt;$H18+IF($I18=0,MaxYears,$I18)),$G18,0),IF($F18="Periodic",IF(AND(AC$10&gt;=$H18,MOD(AC$10-$H18,MAX($I18,1))=0),$G18,0),0)))</f>
        <v>0</v>
      </c>
      <c r="AD18" s="50" t="n">
        <f aca="false">IF($F18="Spread",IF(AND(AD$10&gt;=$H18,AD$10&lt;$H18+MAX($I18,1)),$G18/MAX($I18,1),0),IF($F18="Annual",IF(AND(AD$10&gt;=$H18,AD$10&lt;$H18+IF($I18=0,MaxYears,$I18)),$G18,0),IF($F18="Periodic",IF(AND(AD$10&gt;=$H18,MOD(AD$10-$H18,MAX($I18,1))=0),$G18,0),0)))</f>
        <v>0</v>
      </c>
      <c r="AE18" s="50" t="n">
        <f aca="false">IF($F18="Spread",IF(AND(AE$10&gt;=$H18,AE$10&lt;$H18+MAX($I18,1)),$G18/MAX($I18,1),0),IF($F18="Annual",IF(AND(AE$10&gt;=$H18,AE$10&lt;$H18+IF($I18=0,MaxYears,$I18)),$G18,0),IF($F18="Periodic",IF(AND(AE$10&gt;=$H18,MOD(AE$10-$H18,MAX($I18,1))=0),$G18,0),0)))</f>
        <v>0</v>
      </c>
      <c r="AF18" s="50" t="n">
        <f aca="false">IF($F18="Spread",IF(AND(AF$10&gt;=$H18,AF$10&lt;$H18+MAX($I18,1)),$G18/MAX($I18,1),0),IF($F18="Annual",IF(AND(AF$10&gt;=$H18,AF$10&lt;$H18+IF($I18=0,MaxYears,$I18)),$G18,0),IF($F18="Periodic",IF(AND(AF$10&gt;=$H18,MOD(AF$10-$H18,MAX($I18,1))=0),$G18,0),0)))</f>
        <v>0</v>
      </c>
      <c r="AG18" s="50" t="n">
        <f aca="false">IF($F18="Spread",IF(AND(AG$10&gt;=$H18,AG$10&lt;$H18+MAX($I18,1)),$G18/MAX($I18,1),0),IF($F18="Annual",IF(AND(AG$10&gt;=$H18,AG$10&lt;$H18+IF($I18=0,MaxYears,$I18)),$G18,0),IF($F18="Periodic",IF(AND(AG$10&gt;=$H18,MOD(AG$10-$H18,MAX($I18,1))=0),$G18,0),0)))</f>
        <v>0</v>
      </c>
      <c r="AH18" s="50" t="n">
        <f aca="false">IF($F18="Spread",IF(AND(AH$10&gt;=$H18,AH$10&lt;$H18+MAX($I18,1)),$G18/MAX($I18,1),0),IF($F18="Annual",IF(AND(AH$10&gt;=$H18,AH$10&lt;$H18+IF($I18=0,MaxYears,$I18)),$G18,0),IF($F18="Periodic",IF(AND(AH$10&gt;=$H18,MOD(AH$10-$H18,MAX($I18,1))=0),$G18,0),0)))</f>
        <v>0</v>
      </c>
      <c r="AI18" s="50" t="n">
        <f aca="false">IF($F18="Spread",IF(AND(AI$10&gt;=$H18,AI$10&lt;$H18+MAX($I18,1)),$G18/MAX($I18,1),0),IF($F18="Annual",IF(AND(AI$10&gt;=$H18,AI$10&lt;$H18+IF($I18=0,MaxYears,$I18)),$G18,0),IF($F18="Periodic",IF(AND(AI$10&gt;=$H18,MOD(AI$10-$H18,MAX($I18,1))=0),$G18,0),0)))</f>
        <v>0</v>
      </c>
      <c r="AJ18" s="50" t="n">
        <f aca="false">IF($F18="Spread",IF(AND(AJ$10&gt;=$H18,AJ$10&lt;$H18+MAX($I18,1)),$G18/MAX($I18,1),0),IF($F18="Annual",IF(AND(AJ$10&gt;=$H18,AJ$10&lt;$H18+IF($I18=0,MaxYears,$I18)),$G18,0),IF($F18="Periodic",IF(AND(AJ$10&gt;=$H18,MOD(AJ$10-$H18,MAX($I18,1))=0),$G18,0),0)))</f>
        <v>0</v>
      </c>
      <c r="AK18" s="50" t="n">
        <f aca="false">IF($F18="Spread",IF(AND(AK$10&gt;=$H18,AK$10&lt;$H18+MAX($I18,1)),$G18/MAX($I18,1),0),IF($F18="Annual",IF(AND(AK$10&gt;=$H18,AK$10&lt;$H18+IF($I18=0,MaxYears,$I18)),$G18,0),IF($F18="Periodic",IF(AND(AK$10&gt;=$H18,MOD(AK$10-$H18,MAX($I18,1))=0),$G18,0),0)))</f>
        <v>0</v>
      </c>
      <c r="AL18" s="50" t="n">
        <f aca="false">IF($F18="Spread",IF(AND(AL$10&gt;=$H18,AL$10&lt;$H18+MAX($I18,1)),$G18/MAX($I18,1),0),IF($F18="Annual",IF(AND(AL$10&gt;=$H18,AL$10&lt;$H18+IF($I18=0,MaxYears,$I18)),$G18,0),IF($F18="Periodic",IF(AND(AL$10&gt;=$H18,MOD(AL$10-$H18,MAX($I18,1))=0),$G18,0),0)))</f>
        <v>0</v>
      </c>
      <c r="AM18" s="50" t="n">
        <f aca="false">IF($F18="Spread",IF(AND(AM$10&gt;=$H18,AM$10&lt;$H18+MAX($I18,1)),$G18/MAX($I18,1),0),IF($F18="Annual",IF(AND(AM$10&gt;=$H18,AM$10&lt;$H18+IF($I18=0,MaxYears,$I18)),$G18,0),IF($F18="Periodic",IF(AND(AM$10&gt;=$H18,MOD(AM$10-$H18,MAX($I18,1))=0),$G18,0),0)))</f>
        <v>0</v>
      </c>
      <c r="AN18" s="50" t="n">
        <f aca="false">IF($F18="Spread",IF(AND(AN$10&gt;=$H18,AN$10&lt;$H18+MAX($I18,1)),$G18/MAX($I18,1),0),IF($F18="Annual",IF(AND(AN$10&gt;=$H18,AN$10&lt;$H18+IF($I18=0,MaxYears,$I18)),$G18,0),IF($F18="Periodic",IF(AND(AN$10&gt;=$H18,MOD(AN$10-$H18,MAX($I18,1))=0),$G18,0),0)))</f>
        <v>0</v>
      </c>
      <c r="AO18" s="50" t="n">
        <f aca="false">IF($F18="Spread",IF(AND(AO$10&gt;=$H18,AO$10&lt;$H18+MAX($I18,1)),$G18/MAX($I18,1),0),IF($F18="Annual",IF(AND(AO$10&gt;=$H18,AO$10&lt;$H18+IF($I18=0,MaxYears,$I18)),$G18,0),IF($F18="Periodic",IF(AND(AO$10&gt;=$H18,MOD(AO$10-$H18,MAX($I18,1))=0),$G18,0),0)))</f>
        <v>0</v>
      </c>
      <c r="AP18" s="50" t="n">
        <f aca="false">IF($F18="Spread",IF(AND(AP$10&gt;=$H18,AP$10&lt;$H18+MAX($I18,1)),$G18/MAX($I18,1),0),IF($F18="Annual",IF(AND(AP$10&gt;=$H18,AP$10&lt;$H18+IF($I18=0,MaxYears,$I18)),$G18,0),IF($F18="Periodic",IF(AND(AP$10&gt;=$H18,MOD(AP$10-$H18,MAX($I18,1))=0),$G18,0),0)))</f>
        <v>0</v>
      </c>
      <c r="AQ18" s="50" t="n">
        <f aca="false">IF($F18="Spread",IF(AND(AQ$10&gt;=$H18,AQ$10&lt;$H18+MAX($I18,1)),$G18/MAX($I18,1),0),IF($F18="Annual",IF(AND(AQ$10&gt;=$H18,AQ$10&lt;$H18+IF($I18=0,MaxYears,$I18)),$G18,0),IF($F18="Periodic",IF(AND(AQ$10&gt;=$H18,MOD(AQ$10-$H18,MAX($I18,1))=0),$G18,0),0)))</f>
        <v>0</v>
      </c>
      <c r="AR18" s="50" t="n">
        <f aca="false">IF($F18="Spread",IF(AND(AR$10&gt;=$H18,AR$10&lt;$H18+MAX($I18,1)),$G18/MAX($I18,1),0),IF($F18="Annual",IF(AND(AR$10&gt;=$H18,AR$10&lt;$H18+IF($I18=0,MaxYears,$I18)),$G18,0),IF($F18="Periodic",IF(AND(AR$10&gt;=$H18,MOD(AR$10-$H18,MAX($I18,1))=0),$G18,0),0)))</f>
        <v>0</v>
      </c>
      <c r="AS18" s="50" t="n">
        <f aca="false">IF($F18="Spread",IF(AND(AS$10&gt;=$H18,AS$10&lt;$H18+MAX($I18,1)),$G18/MAX($I18,1),0),IF($F18="Annual",IF(AND(AS$10&gt;=$H18,AS$10&lt;$H18+IF($I18=0,MaxYears,$I18)),$G18,0),IF($F18="Periodic",IF(AND(AS$10&gt;=$H18,MOD(AS$10-$H18,MAX($I18,1))=0),$G18,0),0)))</f>
        <v>0</v>
      </c>
      <c r="AT18" s="50" t="n">
        <f aca="false">IF($F18="Spread",IF(AND(AT$10&gt;=$H18,AT$10&lt;$H18+MAX($I18,1)),$G18/MAX($I18,1),0),IF($F18="Annual",IF(AND(AT$10&gt;=$H18,AT$10&lt;$H18+IF($I18=0,MaxYears,$I18)),$G18,0),IF($F18="Periodic",IF(AND(AT$10&gt;=$H18,MOD(AT$10-$H18,MAX($I18,1))=0),$G18,0),0)))</f>
        <v>0</v>
      </c>
      <c r="AU18" s="50" t="n">
        <f aca="false">IF($F18="Spread",IF(AND(AU$10&gt;=$H18,AU$10&lt;$H18+MAX($I18,1)),$G18/MAX($I18,1),0),IF($F18="Annual",IF(AND(AU$10&gt;=$H18,AU$10&lt;$H18+IF($I18=0,MaxYears,$I18)),$G18,0),IF($F18="Periodic",IF(AND(AU$10&gt;=$H18,MOD(AU$10-$H18,MAX($I18,1))=0),$G18,0),0)))</f>
        <v>0</v>
      </c>
      <c r="AV18" s="50" t="n">
        <f aca="false">IF($F18="Spread",IF(AND(AV$10&gt;=$H18,AV$10&lt;$H18+MAX($I18,1)),$G18/MAX($I18,1),0),IF($F18="Annual",IF(AND(AV$10&gt;=$H18,AV$10&lt;$H18+IF($I18=0,MaxYears,$I18)),$G18,0),IF($F18="Periodic",IF(AND(AV$10&gt;=$H18,MOD(AV$10-$H18,MAX($I18,1))=0),$G18,0),0)))</f>
        <v>0</v>
      </c>
      <c r="AW18" s="50" t="n">
        <f aca="false">IF($F18="Spread",IF(AND(AW$10&gt;=$H18,AW$10&lt;$H18+MAX($I18,1)),$G18/MAX($I18,1),0),IF($F18="Annual",IF(AND(AW$10&gt;=$H18,AW$10&lt;$H18+IF($I18=0,MaxYears,$I18)),$G18,0),IF($F18="Periodic",IF(AND(AW$10&gt;=$H18,MOD(AW$10-$H18,MAX($I18,1))=0),$G18,0),0)))</f>
        <v>0</v>
      </c>
      <c r="AX18" s="50" t="n">
        <f aca="false">IF($F18="Spread",IF(AND(AX$10&gt;=$H18,AX$10&lt;$H18+MAX($I18,1)),$G18/MAX($I18,1),0),IF($F18="Annual",IF(AND(AX$10&gt;=$H18,AX$10&lt;$H18+IF($I18=0,MaxYears,$I18)),$G18,0),IF($F18="Periodic",IF(AND(AX$10&gt;=$H18,MOD(AX$10-$H18,MAX($I18,1))=0),$G18,0),0)))</f>
        <v>0</v>
      </c>
      <c r="AY18" s="50" t="n">
        <f aca="false">IF($F18="Spread",IF(AND(AY$10&gt;=$H18,AY$10&lt;$H18+MAX($I18,1)),$G18/MAX($I18,1),0),IF($F18="Annual",IF(AND(AY$10&gt;=$H18,AY$10&lt;$H18+IF($I18=0,MaxYears,$I18)),$G18,0),IF($F18="Periodic",IF(AND(AY$10&gt;=$H18,MOD(AY$10-$H18,MAX($I18,1))=0),$G18,0),0)))</f>
        <v>0</v>
      </c>
      <c r="AZ18" s="50" t="n">
        <f aca="false">IF($F18="Spread",IF(AND(AZ$10&gt;=$H18,AZ$10&lt;$H18+MAX($I18,1)),$G18/MAX($I18,1),0),IF($F18="Annual",IF(AND(AZ$10&gt;=$H18,AZ$10&lt;$H18+IF($I18=0,MaxYears,$I18)),$G18,0),IF($F18="Periodic",IF(AND(AZ$10&gt;=$H18,MOD(AZ$10-$H18,MAX($I18,1))=0),$G18,0),0)))</f>
        <v>0</v>
      </c>
    </row>
    <row r="19" customFormat="false" ht="27.75" hidden="false" customHeight="true" outlineLevel="0" collapsed="false">
      <c r="B19" s="25" t="s">
        <v>282</v>
      </c>
      <c r="C19" s="45" t="s">
        <v>283</v>
      </c>
      <c r="D19" s="45" t="s">
        <v>284</v>
      </c>
      <c r="E19" s="46" t="s">
        <v>257</v>
      </c>
      <c r="F19" s="46" t="s">
        <v>258</v>
      </c>
      <c r="G19" s="47" t="n">
        <v>1450000</v>
      </c>
      <c r="H19" s="48" t="n">
        <v>0</v>
      </c>
      <c r="I19" s="51" t="n">
        <f aca="false">ConstrYears</f>
        <v>3</v>
      </c>
      <c r="J19" s="45" t="s">
        <v>285</v>
      </c>
      <c r="K19" s="46" t="s">
        <v>272</v>
      </c>
      <c r="L19" s="49" t="n">
        <f aca="false">SUM(M19:AZ19)</f>
        <v>1450000</v>
      </c>
      <c r="M19" s="50" t="n">
        <f aca="false">IF($F19="Spread",IF(AND(M$10&gt;=$H19,M$10&lt;$H19+MAX($I19,1)),$G19/MAX($I19,1),0),IF($F19="Annual",IF(AND(M$10&gt;=$H19,M$10&lt;$H19+IF($I19=0,MaxYears,$I19)),$G19,0),IF($F19="Periodic",IF(AND(M$10&gt;=$H19,MOD(M$10-$H19,MAX($I19,1))=0),$G19,0),0)))</f>
        <v>483333.333333333</v>
      </c>
      <c r="N19" s="50" t="n">
        <f aca="false">IF($F19="Spread",IF(AND(N$10&gt;=$H19,N$10&lt;$H19+MAX($I19,1)),$G19/MAX($I19,1),0),IF($F19="Annual",IF(AND(N$10&gt;=$H19,N$10&lt;$H19+IF($I19=0,MaxYears,$I19)),$G19,0),IF($F19="Periodic",IF(AND(N$10&gt;=$H19,MOD(N$10-$H19,MAX($I19,1))=0),$G19,0),0)))</f>
        <v>483333.333333333</v>
      </c>
      <c r="O19" s="50" t="n">
        <f aca="false">IF($F19="Spread",IF(AND(O$10&gt;=$H19,O$10&lt;$H19+MAX($I19,1)),$G19/MAX($I19,1),0),IF($F19="Annual",IF(AND(O$10&gt;=$H19,O$10&lt;$H19+IF($I19=0,MaxYears,$I19)),$G19,0),IF($F19="Periodic",IF(AND(O$10&gt;=$H19,MOD(O$10-$H19,MAX($I19,1))=0),$G19,0),0)))</f>
        <v>483333.333333333</v>
      </c>
      <c r="P19" s="50" t="n">
        <f aca="false">IF($F19="Spread",IF(AND(P$10&gt;=$H19,P$10&lt;$H19+MAX($I19,1)),$G19/MAX($I19,1),0),IF($F19="Annual",IF(AND(P$10&gt;=$H19,P$10&lt;$H19+IF($I19=0,MaxYears,$I19)),$G19,0),IF($F19="Periodic",IF(AND(P$10&gt;=$H19,MOD(P$10-$H19,MAX($I19,1))=0),$G19,0),0)))</f>
        <v>0</v>
      </c>
      <c r="Q19" s="50" t="n">
        <f aca="false">IF($F19="Spread",IF(AND(Q$10&gt;=$H19,Q$10&lt;$H19+MAX($I19,1)),$G19/MAX($I19,1),0),IF($F19="Annual",IF(AND(Q$10&gt;=$H19,Q$10&lt;$H19+IF($I19=0,MaxYears,$I19)),$G19,0),IF($F19="Periodic",IF(AND(Q$10&gt;=$H19,MOD(Q$10-$H19,MAX($I19,1))=0),$G19,0),0)))</f>
        <v>0</v>
      </c>
      <c r="R19" s="50" t="n">
        <f aca="false">IF($F19="Spread",IF(AND(R$10&gt;=$H19,R$10&lt;$H19+MAX($I19,1)),$G19/MAX($I19,1),0),IF($F19="Annual",IF(AND(R$10&gt;=$H19,R$10&lt;$H19+IF($I19=0,MaxYears,$I19)),$G19,0),IF($F19="Periodic",IF(AND(R$10&gt;=$H19,MOD(R$10-$H19,MAX($I19,1))=0),$G19,0),0)))</f>
        <v>0</v>
      </c>
      <c r="S19" s="50" t="n">
        <f aca="false">IF($F19="Spread",IF(AND(S$10&gt;=$H19,S$10&lt;$H19+MAX($I19,1)),$G19/MAX($I19,1),0),IF($F19="Annual",IF(AND(S$10&gt;=$H19,S$10&lt;$H19+IF($I19=0,MaxYears,$I19)),$G19,0),IF($F19="Periodic",IF(AND(S$10&gt;=$H19,MOD(S$10-$H19,MAX($I19,1))=0),$G19,0),0)))</f>
        <v>0</v>
      </c>
      <c r="T19" s="50" t="n">
        <f aca="false">IF($F19="Spread",IF(AND(T$10&gt;=$H19,T$10&lt;$H19+MAX($I19,1)),$G19/MAX($I19,1),0),IF($F19="Annual",IF(AND(T$10&gt;=$H19,T$10&lt;$H19+IF($I19=0,MaxYears,$I19)),$G19,0),IF($F19="Periodic",IF(AND(T$10&gt;=$H19,MOD(T$10-$H19,MAX($I19,1))=0),$G19,0),0)))</f>
        <v>0</v>
      </c>
      <c r="U19" s="50" t="n">
        <f aca="false">IF($F19="Spread",IF(AND(U$10&gt;=$H19,U$10&lt;$H19+MAX($I19,1)),$G19/MAX($I19,1),0),IF($F19="Annual",IF(AND(U$10&gt;=$H19,U$10&lt;$H19+IF($I19=0,MaxYears,$I19)),$G19,0),IF($F19="Periodic",IF(AND(U$10&gt;=$H19,MOD(U$10-$H19,MAX($I19,1))=0),$G19,0),0)))</f>
        <v>0</v>
      </c>
      <c r="V19" s="50" t="n">
        <f aca="false">IF($F19="Spread",IF(AND(V$10&gt;=$H19,V$10&lt;$H19+MAX($I19,1)),$G19/MAX($I19,1),0),IF($F19="Annual",IF(AND(V$10&gt;=$H19,V$10&lt;$H19+IF($I19=0,MaxYears,$I19)),$G19,0),IF($F19="Periodic",IF(AND(V$10&gt;=$H19,MOD(V$10-$H19,MAX($I19,1))=0),$G19,0),0)))</f>
        <v>0</v>
      </c>
      <c r="W19" s="50" t="n">
        <f aca="false">IF($F19="Spread",IF(AND(W$10&gt;=$H19,W$10&lt;$H19+MAX($I19,1)),$G19/MAX($I19,1),0),IF($F19="Annual",IF(AND(W$10&gt;=$H19,W$10&lt;$H19+IF($I19=0,MaxYears,$I19)),$G19,0),IF($F19="Periodic",IF(AND(W$10&gt;=$H19,MOD(W$10-$H19,MAX($I19,1))=0),$G19,0),0)))</f>
        <v>0</v>
      </c>
      <c r="X19" s="50" t="n">
        <f aca="false">IF($F19="Spread",IF(AND(X$10&gt;=$H19,X$10&lt;$H19+MAX($I19,1)),$G19/MAX($I19,1),0),IF($F19="Annual",IF(AND(X$10&gt;=$H19,X$10&lt;$H19+IF($I19=0,MaxYears,$I19)),$G19,0),IF($F19="Periodic",IF(AND(X$10&gt;=$H19,MOD(X$10-$H19,MAX($I19,1))=0),$G19,0),0)))</f>
        <v>0</v>
      </c>
      <c r="Y19" s="50" t="n">
        <f aca="false">IF($F19="Spread",IF(AND(Y$10&gt;=$H19,Y$10&lt;$H19+MAX($I19,1)),$G19/MAX($I19,1),0),IF($F19="Annual",IF(AND(Y$10&gt;=$H19,Y$10&lt;$H19+IF($I19=0,MaxYears,$I19)),$G19,0),IF($F19="Periodic",IF(AND(Y$10&gt;=$H19,MOD(Y$10-$H19,MAX($I19,1))=0),$G19,0),0)))</f>
        <v>0</v>
      </c>
      <c r="Z19" s="50" t="n">
        <f aca="false">IF($F19="Spread",IF(AND(Z$10&gt;=$H19,Z$10&lt;$H19+MAX($I19,1)),$G19/MAX($I19,1),0),IF($F19="Annual",IF(AND(Z$10&gt;=$H19,Z$10&lt;$H19+IF($I19=0,MaxYears,$I19)),$G19,0),IF($F19="Periodic",IF(AND(Z$10&gt;=$H19,MOD(Z$10-$H19,MAX($I19,1))=0),$G19,0),0)))</f>
        <v>0</v>
      </c>
      <c r="AA19" s="50" t="n">
        <f aca="false">IF($F19="Spread",IF(AND(AA$10&gt;=$H19,AA$10&lt;$H19+MAX($I19,1)),$G19/MAX($I19,1),0),IF($F19="Annual",IF(AND(AA$10&gt;=$H19,AA$10&lt;$H19+IF($I19=0,MaxYears,$I19)),$G19,0),IF($F19="Periodic",IF(AND(AA$10&gt;=$H19,MOD(AA$10-$H19,MAX($I19,1))=0),$G19,0),0)))</f>
        <v>0</v>
      </c>
      <c r="AB19" s="50" t="n">
        <f aca="false">IF($F19="Spread",IF(AND(AB$10&gt;=$H19,AB$10&lt;$H19+MAX($I19,1)),$G19/MAX($I19,1),0),IF($F19="Annual",IF(AND(AB$10&gt;=$H19,AB$10&lt;$H19+IF($I19=0,MaxYears,$I19)),$G19,0),IF($F19="Periodic",IF(AND(AB$10&gt;=$H19,MOD(AB$10-$H19,MAX($I19,1))=0),$G19,0),0)))</f>
        <v>0</v>
      </c>
      <c r="AC19" s="50" t="n">
        <f aca="false">IF($F19="Spread",IF(AND(AC$10&gt;=$H19,AC$10&lt;$H19+MAX($I19,1)),$G19/MAX($I19,1),0),IF($F19="Annual",IF(AND(AC$10&gt;=$H19,AC$10&lt;$H19+IF($I19=0,MaxYears,$I19)),$G19,0),IF($F19="Periodic",IF(AND(AC$10&gt;=$H19,MOD(AC$10-$H19,MAX($I19,1))=0),$G19,0),0)))</f>
        <v>0</v>
      </c>
      <c r="AD19" s="50" t="n">
        <f aca="false">IF($F19="Spread",IF(AND(AD$10&gt;=$H19,AD$10&lt;$H19+MAX($I19,1)),$G19/MAX($I19,1),0),IF($F19="Annual",IF(AND(AD$10&gt;=$H19,AD$10&lt;$H19+IF($I19=0,MaxYears,$I19)),$G19,0),IF($F19="Periodic",IF(AND(AD$10&gt;=$H19,MOD(AD$10-$H19,MAX($I19,1))=0),$G19,0),0)))</f>
        <v>0</v>
      </c>
      <c r="AE19" s="50" t="n">
        <f aca="false">IF($F19="Spread",IF(AND(AE$10&gt;=$H19,AE$10&lt;$H19+MAX($I19,1)),$G19/MAX($I19,1),0),IF($F19="Annual",IF(AND(AE$10&gt;=$H19,AE$10&lt;$H19+IF($I19=0,MaxYears,$I19)),$G19,0),IF($F19="Periodic",IF(AND(AE$10&gt;=$H19,MOD(AE$10-$H19,MAX($I19,1))=0),$G19,0),0)))</f>
        <v>0</v>
      </c>
      <c r="AF19" s="50" t="n">
        <f aca="false">IF($F19="Spread",IF(AND(AF$10&gt;=$H19,AF$10&lt;$H19+MAX($I19,1)),$G19/MAX($I19,1),0),IF($F19="Annual",IF(AND(AF$10&gt;=$H19,AF$10&lt;$H19+IF($I19=0,MaxYears,$I19)),$G19,0),IF($F19="Periodic",IF(AND(AF$10&gt;=$H19,MOD(AF$10-$H19,MAX($I19,1))=0),$G19,0),0)))</f>
        <v>0</v>
      </c>
      <c r="AG19" s="50" t="n">
        <f aca="false">IF($F19="Spread",IF(AND(AG$10&gt;=$H19,AG$10&lt;$H19+MAX($I19,1)),$G19/MAX($I19,1),0),IF($F19="Annual",IF(AND(AG$10&gt;=$H19,AG$10&lt;$H19+IF($I19=0,MaxYears,$I19)),$G19,0),IF($F19="Periodic",IF(AND(AG$10&gt;=$H19,MOD(AG$10-$H19,MAX($I19,1))=0),$G19,0),0)))</f>
        <v>0</v>
      </c>
      <c r="AH19" s="50" t="n">
        <f aca="false">IF($F19="Spread",IF(AND(AH$10&gt;=$H19,AH$10&lt;$H19+MAX($I19,1)),$G19/MAX($I19,1),0),IF($F19="Annual",IF(AND(AH$10&gt;=$H19,AH$10&lt;$H19+IF($I19=0,MaxYears,$I19)),$G19,0),IF($F19="Periodic",IF(AND(AH$10&gt;=$H19,MOD(AH$10-$H19,MAX($I19,1))=0),$G19,0),0)))</f>
        <v>0</v>
      </c>
      <c r="AI19" s="50" t="n">
        <f aca="false">IF($F19="Spread",IF(AND(AI$10&gt;=$H19,AI$10&lt;$H19+MAX($I19,1)),$G19/MAX($I19,1),0),IF($F19="Annual",IF(AND(AI$10&gt;=$H19,AI$10&lt;$H19+IF($I19=0,MaxYears,$I19)),$G19,0),IF($F19="Periodic",IF(AND(AI$10&gt;=$H19,MOD(AI$10-$H19,MAX($I19,1))=0),$G19,0),0)))</f>
        <v>0</v>
      </c>
      <c r="AJ19" s="50" t="n">
        <f aca="false">IF($F19="Spread",IF(AND(AJ$10&gt;=$H19,AJ$10&lt;$H19+MAX($I19,1)),$G19/MAX($I19,1),0),IF($F19="Annual",IF(AND(AJ$10&gt;=$H19,AJ$10&lt;$H19+IF($I19=0,MaxYears,$I19)),$G19,0),IF($F19="Periodic",IF(AND(AJ$10&gt;=$H19,MOD(AJ$10-$H19,MAX($I19,1))=0),$G19,0),0)))</f>
        <v>0</v>
      </c>
      <c r="AK19" s="50" t="n">
        <f aca="false">IF($F19="Spread",IF(AND(AK$10&gt;=$H19,AK$10&lt;$H19+MAX($I19,1)),$G19/MAX($I19,1),0),IF($F19="Annual",IF(AND(AK$10&gt;=$H19,AK$10&lt;$H19+IF($I19=0,MaxYears,$I19)),$G19,0),IF($F19="Periodic",IF(AND(AK$10&gt;=$H19,MOD(AK$10-$H19,MAX($I19,1))=0),$G19,0),0)))</f>
        <v>0</v>
      </c>
      <c r="AL19" s="50" t="n">
        <f aca="false">IF($F19="Spread",IF(AND(AL$10&gt;=$H19,AL$10&lt;$H19+MAX($I19,1)),$G19/MAX($I19,1),0),IF($F19="Annual",IF(AND(AL$10&gt;=$H19,AL$10&lt;$H19+IF($I19=0,MaxYears,$I19)),$G19,0),IF($F19="Periodic",IF(AND(AL$10&gt;=$H19,MOD(AL$10-$H19,MAX($I19,1))=0),$G19,0),0)))</f>
        <v>0</v>
      </c>
      <c r="AM19" s="50" t="n">
        <f aca="false">IF($F19="Spread",IF(AND(AM$10&gt;=$H19,AM$10&lt;$H19+MAX($I19,1)),$G19/MAX($I19,1),0),IF($F19="Annual",IF(AND(AM$10&gt;=$H19,AM$10&lt;$H19+IF($I19=0,MaxYears,$I19)),$G19,0),IF($F19="Periodic",IF(AND(AM$10&gt;=$H19,MOD(AM$10-$H19,MAX($I19,1))=0),$G19,0),0)))</f>
        <v>0</v>
      </c>
      <c r="AN19" s="50" t="n">
        <f aca="false">IF($F19="Spread",IF(AND(AN$10&gt;=$H19,AN$10&lt;$H19+MAX($I19,1)),$G19/MAX($I19,1),0),IF($F19="Annual",IF(AND(AN$10&gt;=$H19,AN$10&lt;$H19+IF($I19=0,MaxYears,$I19)),$G19,0),IF($F19="Periodic",IF(AND(AN$10&gt;=$H19,MOD(AN$10-$H19,MAX($I19,1))=0),$G19,0),0)))</f>
        <v>0</v>
      </c>
      <c r="AO19" s="50" t="n">
        <f aca="false">IF($F19="Spread",IF(AND(AO$10&gt;=$H19,AO$10&lt;$H19+MAX($I19,1)),$G19/MAX($I19,1),0),IF($F19="Annual",IF(AND(AO$10&gt;=$H19,AO$10&lt;$H19+IF($I19=0,MaxYears,$I19)),$G19,0),IF($F19="Periodic",IF(AND(AO$10&gt;=$H19,MOD(AO$10-$H19,MAX($I19,1))=0),$G19,0),0)))</f>
        <v>0</v>
      </c>
      <c r="AP19" s="50" t="n">
        <f aca="false">IF($F19="Spread",IF(AND(AP$10&gt;=$H19,AP$10&lt;$H19+MAX($I19,1)),$G19/MAX($I19,1),0),IF($F19="Annual",IF(AND(AP$10&gt;=$H19,AP$10&lt;$H19+IF($I19=0,MaxYears,$I19)),$G19,0),IF($F19="Periodic",IF(AND(AP$10&gt;=$H19,MOD(AP$10-$H19,MAX($I19,1))=0),$G19,0),0)))</f>
        <v>0</v>
      </c>
      <c r="AQ19" s="50" t="n">
        <f aca="false">IF($F19="Spread",IF(AND(AQ$10&gt;=$H19,AQ$10&lt;$H19+MAX($I19,1)),$G19/MAX($I19,1),0),IF($F19="Annual",IF(AND(AQ$10&gt;=$H19,AQ$10&lt;$H19+IF($I19=0,MaxYears,$I19)),$G19,0),IF($F19="Periodic",IF(AND(AQ$10&gt;=$H19,MOD(AQ$10-$H19,MAX($I19,1))=0),$G19,0),0)))</f>
        <v>0</v>
      </c>
      <c r="AR19" s="50" t="n">
        <f aca="false">IF($F19="Spread",IF(AND(AR$10&gt;=$H19,AR$10&lt;$H19+MAX($I19,1)),$G19/MAX($I19,1),0),IF($F19="Annual",IF(AND(AR$10&gt;=$H19,AR$10&lt;$H19+IF($I19=0,MaxYears,$I19)),$G19,0),IF($F19="Periodic",IF(AND(AR$10&gt;=$H19,MOD(AR$10-$H19,MAX($I19,1))=0),$G19,0),0)))</f>
        <v>0</v>
      </c>
      <c r="AS19" s="50" t="n">
        <f aca="false">IF($F19="Spread",IF(AND(AS$10&gt;=$H19,AS$10&lt;$H19+MAX($I19,1)),$G19/MAX($I19,1),0),IF($F19="Annual",IF(AND(AS$10&gt;=$H19,AS$10&lt;$H19+IF($I19=0,MaxYears,$I19)),$G19,0),IF($F19="Periodic",IF(AND(AS$10&gt;=$H19,MOD(AS$10-$H19,MAX($I19,1))=0),$G19,0),0)))</f>
        <v>0</v>
      </c>
      <c r="AT19" s="50" t="n">
        <f aca="false">IF($F19="Spread",IF(AND(AT$10&gt;=$H19,AT$10&lt;$H19+MAX($I19,1)),$G19/MAX($I19,1),0),IF($F19="Annual",IF(AND(AT$10&gt;=$H19,AT$10&lt;$H19+IF($I19=0,MaxYears,$I19)),$G19,0),IF($F19="Periodic",IF(AND(AT$10&gt;=$H19,MOD(AT$10-$H19,MAX($I19,1))=0),$G19,0),0)))</f>
        <v>0</v>
      </c>
      <c r="AU19" s="50" t="n">
        <f aca="false">IF($F19="Spread",IF(AND(AU$10&gt;=$H19,AU$10&lt;$H19+MAX($I19,1)),$G19/MAX($I19,1),0),IF($F19="Annual",IF(AND(AU$10&gt;=$H19,AU$10&lt;$H19+IF($I19=0,MaxYears,$I19)),$G19,0),IF($F19="Periodic",IF(AND(AU$10&gt;=$H19,MOD(AU$10-$H19,MAX($I19,1))=0),$G19,0),0)))</f>
        <v>0</v>
      </c>
      <c r="AV19" s="50" t="n">
        <f aca="false">IF($F19="Spread",IF(AND(AV$10&gt;=$H19,AV$10&lt;$H19+MAX($I19,1)),$G19/MAX($I19,1),0),IF($F19="Annual",IF(AND(AV$10&gt;=$H19,AV$10&lt;$H19+IF($I19=0,MaxYears,$I19)),$G19,0),IF($F19="Periodic",IF(AND(AV$10&gt;=$H19,MOD(AV$10-$H19,MAX($I19,1))=0),$G19,0),0)))</f>
        <v>0</v>
      </c>
      <c r="AW19" s="50" t="n">
        <f aca="false">IF($F19="Spread",IF(AND(AW$10&gt;=$H19,AW$10&lt;$H19+MAX($I19,1)),$G19/MAX($I19,1),0),IF($F19="Annual",IF(AND(AW$10&gt;=$H19,AW$10&lt;$H19+IF($I19=0,MaxYears,$I19)),$G19,0),IF($F19="Periodic",IF(AND(AW$10&gt;=$H19,MOD(AW$10-$H19,MAX($I19,1))=0),$G19,0),0)))</f>
        <v>0</v>
      </c>
      <c r="AX19" s="50" t="n">
        <f aca="false">IF($F19="Spread",IF(AND(AX$10&gt;=$H19,AX$10&lt;$H19+MAX($I19,1)),$G19/MAX($I19,1),0),IF($F19="Annual",IF(AND(AX$10&gt;=$H19,AX$10&lt;$H19+IF($I19=0,MaxYears,$I19)),$G19,0),IF($F19="Periodic",IF(AND(AX$10&gt;=$H19,MOD(AX$10-$H19,MAX($I19,1))=0),$G19,0),0)))</f>
        <v>0</v>
      </c>
      <c r="AY19" s="50" t="n">
        <f aca="false">IF($F19="Spread",IF(AND(AY$10&gt;=$H19,AY$10&lt;$H19+MAX($I19,1)),$G19/MAX($I19,1),0),IF($F19="Annual",IF(AND(AY$10&gt;=$H19,AY$10&lt;$H19+IF($I19=0,MaxYears,$I19)),$G19,0),IF($F19="Periodic",IF(AND(AY$10&gt;=$H19,MOD(AY$10-$H19,MAX($I19,1))=0),$G19,0),0)))</f>
        <v>0</v>
      </c>
      <c r="AZ19" s="50" t="n">
        <f aca="false">IF($F19="Spread",IF(AND(AZ$10&gt;=$H19,AZ$10&lt;$H19+MAX($I19,1)),$G19/MAX($I19,1),0),IF($F19="Annual",IF(AND(AZ$10&gt;=$H19,AZ$10&lt;$H19+IF($I19=0,MaxYears,$I19)),$G19,0),IF($F19="Periodic",IF(AND(AZ$10&gt;=$H19,MOD(AZ$10-$H19,MAX($I19,1))=0),$G19,0),0)))</f>
        <v>0</v>
      </c>
    </row>
    <row r="20" customFormat="false" ht="27.75" hidden="false" customHeight="true" outlineLevel="0" collapsed="false">
      <c r="B20" s="25" t="s">
        <v>286</v>
      </c>
      <c r="C20" s="45" t="s">
        <v>283</v>
      </c>
      <c r="D20" s="45" t="s">
        <v>287</v>
      </c>
      <c r="E20" s="46" t="s">
        <v>257</v>
      </c>
      <c r="F20" s="46" t="s">
        <v>258</v>
      </c>
      <c r="G20" s="47" t="n">
        <v>520000</v>
      </c>
      <c r="H20" s="48" t="n">
        <v>0</v>
      </c>
      <c r="I20" s="51" t="n">
        <f aca="false">ConstrYears</f>
        <v>3</v>
      </c>
      <c r="J20" s="45" t="s">
        <v>288</v>
      </c>
      <c r="K20" s="46" t="s">
        <v>272</v>
      </c>
      <c r="L20" s="49" t="n">
        <f aca="false">SUM(M20:AZ20)</f>
        <v>520000</v>
      </c>
      <c r="M20" s="50" t="n">
        <f aca="false">IF($F20="Spread",IF(AND(M$10&gt;=$H20,M$10&lt;$H20+MAX($I20,1)),$G20/MAX($I20,1),0),IF($F20="Annual",IF(AND(M$10&gt;=$H20,M$10&lt;$H20+IF($I20=0,MaxYears,$I20)),$G20,0),IF($F20="Periodic",IF(AND(M$10&gt;=$H20,MOD(M$10-$H20,MAX($I20,1))=0),$G20,0),0)))</f>
        <v>173333.333333333</v>
      </c>
      <c r="N20" s="50" t="n">
        <f aca="false">IF($F20="Spread",IF(AND(N$10&gt;=$H20,N$10&lt;$H20+MAX($I20,1)),$G20/MAX($I20,1),0),IF($F20="Annual",IF(AND(N$10&gt;=$H20,N$10&lt;$H20+IF($I20=0,MaxYears,$I20)),$G20,0),IF($F20="Periodic",IF(AND(N$10&gt;=$H20,MOD(N$10-$H20,MAX($I20,1))=0),$G20,0),0)))</f>
        <v>173333.333333333</v>
      </c>
      <c r="O20" s="50" t="n">
        <f aca="false">IF($F20="Spread",IF(AND(O$10&gt;=$H20,O$10&lt;$H20+MAX($I20,1)),$G20/MAX($I20,1),0),IF($F20="Annual",IF(AND(O$10&gt;=$H20,O$10&lt;$H20+IF($I20=0,MaxYears,$I20)),$G20,0),IF($F20="Periodic",IF(AND(O$10&gt;=$H20,MOD(O$10-$H20,MAX($I20,1))=0),$G20,0),0)))</f>
        <v>173333.333333333</v>
      </c>
      <c r="P20" s="50" t="n">
        <f aca="false">IF($F20="Spread",IF(AND(P$10&gt;=$H20,P$10&lt;$H20+MAX($I20,1)),$G20/MAX($I20,1),0),IF($F20="Annual",IF(AND(P$10&gt;=$H20,P$10&lt;$H20+IF($I20=0,MaxYears,$I20)),$G20,0),IF($F20="Periodic",IF(AND(P$10&gt;=$H20,MOD(P$10-$H20,MAX($I20,1))=0),$G20,0),0)))</f>
        <v>0</v>
      </c>
      <c r="Q20" s="50" t="n">
        <f aca="false">IF($F20="Spread",IF(AND(Q$10&gt;=$H20,Q$10&lt;$H20+MAX($I20,1)),$G20/MAX($I20,1),0),IF($F20="Annual",IF(AND(Q$10&gt;=$H20,Q$10&lt;$H20+IF($I20=0,MaxYears,$I20)),$G20,0),IF($F20="Periodic",IF(AND(Q$10&gt;=$H20,MOD(Q$10-$H20,MAX($I20,1))=0),$G20,0),0)))</f>
        <v>0</v>
      </c>
      <c r="R20" s="50" t="n">
        <f aca="false">IF($F20="Spread",IF(AND(R$10&gt;=$H20,R$10&lt;$H20+MAX($I20,1)),$G20/MAX($I20,1),0),IF($F20="Annual",IF(AND(R$10&gt;=$H20,R$10&lt;$H20+IF($I20=0,MaxYears,$I20)),$G20,0),IF($F20="Periodic",IF(AND(R$10&gt;=$H20,MOD(R$10-$H20,MAX($I20,1))=0),$G20,0),0)))</f>
        <v>0</v>
      </c>
      <c r="S20" s="50" t="n">
        <f aca="false">IF($F20="Spread",IF(AND(S$10&gt;=$H20,S$10&lt;$H20+MAX($I20,1)),$G20/MAX($I20,1),0),IF($F20="Annual",IF(AND(S$10&gt;=$H20,S$10&lt;$H20+IF($I20=0,MaxYears,$I20)),$G20,0),IF($F20="Periodic",IF(AND(S$10&gt;=$H20,MOD(S$10-$H20,MAX($I20,1))=0),$G20,0),0)))</f>
        <v>0</v>
      </c>
      <c r="T20" s="50" t="n">
        <f aca="false">IF($F20="Spread",IF(AND(T$10&gt;=$H20,T$10&lt;$H20+MAX($I20,1)),$G20/MAX($I20,1),0),IF($F20="Annual",IF(AND(T$10&gt;=$H20,T$10&lt;$H20+IF($I20=0,MaxYears,$I20)),$G20,0),IF($F20="Periodic",IF(AND(T$10&gt;=$H20,MOD(T$10-$H20,MAX($I20,1))=0),$G20,0),0)))</f>
        <v>0</v>
      </c>
      <c r="U20" s="50" t="n">
        <f aca="false">IF($F20="Spread",IF(AND(U$10&gt;=$H20,U$10&lt;$H20+MAX($I20,1)),$G20/MAX($I20,1),0),IF($F20="Annual",IF(AND(U$10&gt;=$H20,U$10&lt;$H20+IF($I20=0,MaxYears,$I20)),$G20,0),IF($F20="Periodic",IF(AND(U$10&gt;=$H20,MOD(U$10-$H20,MAX($I20,1))=0),$G20,0),0)))</f>
        <v>0</v>
      </c>
      <c r="V20" s="50" t="n">
        <f aca="false">IF($F20="Spread",IF(AND(V$10&gt;=$H20,V$10&lt;$H20+MAX($I20,1)),$G20/MAX($I20,1),0),IF($F20="Annual",IF(AND(V$10&gt;=$H20,V$10&lt;$H20+IF($I20=0,MaxYears,$I20)),$G20,0),IF($F20="Periodic",IF(AND(V$10&gt;=$H20,MOD(V$10-$H20,MAX($I20,1))=0),$G20,0),0)))</f>
        <v>0</v>
      </c>
      <c r="W20" s="50" t="n">
        <f aca="false">IF($F20="Spread",IF(AND(W$10&gt;=$H20,W$10&lt;$H20+MAX($I20,1)),$G20/MAX($I20,1),0),IF($F20="Annual",IF(AND(W$10&gt;=$H20,W$10&lt;$H20+IF($I20=0,MaxYears,$I20)),$G20,0),IF($F20="Periodic",IF(AND(W$10&gt;=$H20,MOD(W$10-$H20,MAX($I20,1))=0),$G20,0),0)))</f>
        <v>0</v>
      </c>
      <c r="X20" s="50" t="n">
        <f aca="false">IF($F20="Spread",IF(AND(X$10&gt;=$H20,X$10&lt;$H20+MAX($I20,1)),$G20/MAX($I20,1),0),IF($F20="Annual",IF(AND(X$10&gt;=$H20,X$10&lt;$H20+IF($I20=0,MaxYears,$I20)),$G20,0),IF($F20="Periodic",IF(AND(X$10&gt;=$H20,MOD(X$10-$H20,MAX($I20,1))=0),$G20,0),0)))</f>
        <v>0</v>
      </c>
      <c r="Y20" s="50" t="n">
        <f aca="false">IF($F20="Spread",IF(AND(Y$10&gt;=$H20,Y$10&lt;$H20+MAX($I20,1)),$G20/MAX($I20,1),0),IF($F20="Annual",IF(AND(Y$10&gt;=$H20,Y$10&lt;$H20+IF($I20=0,MaxYears,$I20)),$G20,0),IF($F20="Periodic",IF(AND(Y$10&gt;=$H20,MOD(Y$10-$H20,MAX($I20,1))=0),$G20,0),0)))</f>
        <v>0</v>
      </c>
      <c r="Z20" s="50" t="n">
        <f aca="false">IF($F20="Spread",IF(AND(Z$10&gt;=$H20,Z$10&lt;$H20+MAX($I20,1)),$G20/MAX($I20,1),0),IF($F20="Annual",IF(AND(Z$10&gt;=$H20,Z$10&lt;$H20+IF($I20=0,MaxYears,$I20)),$G20,0),IF($F20="Periodic",IF(AND(Z$10&gt;=$H20,MOD(Z$10-$H20,MAX($I20,1))=0),$G20,0),0)))</f>
        <v>0</v>
      </c>
      <c r="AA20" s="50" t="n">
        <f aca="false">IF($F20="Spread",IF(AND(AA$10&gt;=$H20,AA$10&lt;$H20+MAX($I20,1)),$G20/MAX($I20,1),0),IF($F20="Annual",IF(AND(AA$10&gt;=$H20,AA$10&lt;$H20+IF($I20=0,MaxYears,$I20)),$G20,0),IF($F20="Periodic",IF(AND(AA$10&gt;=$H20,MOD(AA$10-$H20,MAX($I20,1))=0),$G20,0),0)))</f>
        <v>0</v>
      </c>
      <c r="AB20" s="50" t="n">
        <f aca="false">IF($F20="Spread",IF(AND(AB$10&gt;=$H20,AB$10&lt;$H20+MAX($I20,1)),$G20/MAX($I20,1),0),IF($F20="Annual",IF(AND(AB$10&gt;=$H20,AB$10&lt;$H20+IF($I20=0,MaxYears,$I20)),$G20,0),IF($F20="Periodic",IF(AND(AB$10&gt;=$H20,MOD(AB$10-$H20,MAX($I20,1))=0),$G20,0),0)))</f>
        <v>0</v>
      </c>
      <c r="AC20" s="50" t="n">
        <f aca="false">IF($F20="Spread",IF(AND(AC$10&gt;=$H20,AC$10&lt;$H20+MAX($I20,1)),$G20/MAX($I20,1),0),IF($F20="Annual",IF(AND(AC$10&gt;=$H20,AC$10&lt;$H20+IF($I20=0,MaxYears,$I20)),$G20,0),IF($F20="Periodic",IF(AND(AC$10&gt;=$H20,MOD(AC$10-$H20,MAX($I20,1))=0),$G20,0),0)))</f>
        <v>0</v>
      </c>
      <c r="AD20" s="50" t="n">
        <f aca="false">IF($F20="Spread",IF(AND(AD$10&gt;=$H20,AD$10&lt;$H20+MAX($I20,1)),$G20/MAX($I20,1),0),IF($F20="Annual",IF(AND(AD$10&gt;=$H20,AD$10&lt;$H20+IF($I20=0,MaxYears,$I20)),$G20,0),IF($F20="Periodic",IF(AND(AD$10&gt;=$H20,MOD(AD$10-$H20,MAX($I20,1))=0),$G20,0),0)))</f>
        <v>0</v>
      </c>
      <c r="AE20" s="50" t="n">
        <f aca="false">IF($F20="Spread",IF(AND(AE$10&gt;=$H20,AE$10&lt;$H20+MAX($I20,1)),$G20/MAX($I20,1),0),IF($F20="Annual",IF(AND(AE$10&gt;=$H20,AE$10&lt;$H20+IF($I20=0,MaxYears,$I20)),$G20,0),IF($F20="Periodic",IF(AND(AE$10&gt;=$H20,MOD(AE$10-$H20,MAX($I20,1))=0),$G20,0),0)))</f>
        <v>0</v>
      </c>
      <c r="AF20" s="50" t="n">
        <f aca="false">IF($F20="Spread",IF(AND(AF$10&gt;=$H20,AF$10&lt;$H20+MAX($I20,1)),$G20/MAX($I20,1),0),IF($F20="Annual",IF(AND(AF$10&gt;=$H20,AF$10&lt;$H20+IF($I20=0,MaxYears,$I20)),$G20,0),IF($F20="Periodic",IF(AND(AF$10&gt;=$H20,MOD(AF$10-$H20,MAX($I20,1))=0),$G20,0),0)))</f>
        <v>0</v>
      </c>
      <c r="AG20" s="50" t="n">
        <f aca="false">IF($F20="Spread",IF(AND(AG$10&gt;=$H20,AG$10&lt;$H20+MAX($I20,1)),$G20/MAX($I20,1),0),IF($F20="Annual",IF(AND(AG$10&gt;=$H20,AG$10&lt;$H20+IF($I20=0,MaxYears,$I20)),$G20,0),IF($F20="Periodic",IF(AND(AG$10&gt;=$H20,MOD(AG$10-$H20,MAX($I20,1))=0),$G20,0),0)))</f>
        <v>0</v>
      </c>
      <c r="AH20" s="50" t="n">
        <f aca="false">IF($F20="Spread",IF(AND(AH$10&gt;=$H20,AH$10&lt;$H20+MAX($I20,1)),$G20/MAX($I20,1),0),IF($F20="Annual",IF(AND(AH$10&gt;=$H20,AH$10&lt;$H20+IF($I20=0,MaxYears,$I20)),$G20,0),IF($F20="Periodic",IF(AND(AH$10&gt;=$H20,MOD(AH$10-$H20,MAX($I20,1))=0),$G20,0),0)))</f>
        <v>0</v>
      </c>
      <c r="AI20" s="50" t="n">
        <f aca="false">IF($F20="Spread",IF(AND(AI$10&gt;=$H20,AI$10&lt;$H20+MAX($I20,1)),$G20/MAX($I20,1),0),IF($F20="Annual",IF(AND(AI$10&gt;=$H20,AI$10&lt;$H20+IF($I20=0,MaxYears,$I20)),$G20,0),IF($F20="Periodic",IF(AND(AI$10&gt;=$H20,MOD(AI$10-$H20,MAX($I20,1))=0),$G20,0),0)))</f>
        <v>0</v>
      </c>
      <c r="AJ20" s="50" t="n">
        <f aca="false">IF($F20="Spread",IF(AND(AJ$10&gt;=$H20,AJ$10&lt;$H20+MAX($I20,1)),$G20/MAX($I20,1),0),IF($F20="Annual",IF(AND(AJ$10&gt;=$H20,AJ$10&lt;$H20+IF($I20=0,MaxYears,$I20)),$G20,0),IF($F20="Periodic",IF(AND(AJ$10&gt;=$H20,MOD(AJ$10-$H20,MAX($I20,1))=0),$G20,0),0)))</f>
        <v>0</v>
      </c>
      <c r="AK20" s="50" t="n">
        <f aca="false">IF($F20="Spread",IF(AND(AK$10&gt;=$H20,AK$10&lt;$H20+MAX($I20,1)),$G20/MAX($I20,1),0),IF($F20="Annual",IF(AND(AK$10&gt;=$H20,AK$10&lt;$H20+IF($I20=0,MaxYears,$I20)),$G20,0),IF($F20="Periodic",IF(AND(AK$10&gt;=$H20,MOD(AK$10-$H20,MAX($I20,1))=0),$G20,0),0)))</f>
        <v>0</v>
      </c>
      <c r="AL20" s="50" t="n">
        <f aca="false">IF($F20="Spread",IF(AND(AL$10&gt;=$H20,AL$10&lt;$H20+MAX($I20,1)),$G20/MAX($I20,1),0),IF($F20="Annual",IF(AND(AL$10&gt;=$H20,AL$10&lt;$H20+IF($I20=0,MaxYears,$I20)),$G20,0),IF($F20="Periodic",IF(AND(AL$10&gt;=$H20,MOD(AL$10-$H20,MAX($I20,1))=0),$G20,0),0)))</f>
        <v>0</v>
      </c>
      <c r="AM20" s="50" t="n">
        <f aca="false">IF($F20="Spread",IF(AND(AM$10&gt;=$H20,AM$10&lt;$H20+MAX($I20,1)),$G20/MAX($I20,1),0),IF($F20="Annual",IF(AND(AM$10&gt;=$H20,AM$10&lt;$H20+IF($I20=0,MaxYears,$I20)),$G20,0),IF($F20="Periodic",IF(AND(AM$10&gt;=$H20,MOD(AM$10-$H20,MAX($I20,1))=0),$G20,0),0)))</f>
        <v>0</v>
      </c>
      <c r="AN20" s="50" t="n">
        <f aca="false">IF($F20="Spread",IF(AND(AN$10&gt;=$H20,AN$10&lt;$H20+MAX($I20,1)),$G20/MAX($I20,1),0),IF($F20="Annual",IF(AND(AN$10&gt;=$H20,AN$10&lt;$H20+IF($I20=0,MaxYears,$I20)),$G20,0),IF($F20="Periodic",IF(AND(AN$10&gt;=$H20,MOD(AN$10-$H20,MAX($I20,1))=0),$G20,0),0)))</f>
        <v>0</v>
      </c>
      <c r="AO20" s="50" t="n">
        <f aca="false">IF($F20="Spread",IF(AND(AO$10&gt;=$H20,AO$10&lt;$H20+MAX($I20,1)),$G20/MAX($I20,1),0),IF($F20="Annual",IF(AND(AO$10&gt;=$H20,AO$10&lt;$H20+IF($I20=0,MaxYears,$I20)),$G20,0),IF($F20="Periodic",IF(AND(AO$10&gt;=$H20,MOD(AO$10-$H20,MAX($I20,1))=0),$G20,0),0)))</f>
        <v>0</v>
      </c>
      <c r="AP20" s="50" t="n">
        <f aca="false">IF($F20="Spread",IF(AND(AP$10&gt;=$H20,AP$10&lt;$H20+MAX($I20,1)),$G20/MAX($I20,1),0),IF($F20="Annual",IF(AND(AP$10&gt;=$H20,AP$10&lt;$H20+IF($I20=0,MaxYears,$I20)),$G20,0),IF($F20="Periodic",IF(AND(AP$10&gt;=$H20,MOD(AP$10-$H20,MAX($I20,1))=0),$G20,0),0)))</f>
        <v>0</v>
      </c>
      <c r="AQ20" s="50" t="n">
        <f aca="false">IF($F20="Spread",IF(AND(AQ$10&gt;=$H20,AQ$10&lt;$H20+MAX($I20,1)),$G20/MAX($I20,1),0),IF($F20="Annual",IF(AND(AQ$10&gt;=$H20,AQ$10&lt;$H20+IF($I20=0,MaxYears,$I20)),$G20,0),IF($F20="Periodic",IF(AND(AQ$10&gt;=$H20,MOD(AQ$10-$H20,MAX($I20,1))=0),$G20,0),0)))</f>
        <v>0</v>
      </c>
      <c r="AR20" s="50" t="n">
        <f aca="false">IF($F20="Spread",IF(AND(AR$10&gt;=$H20,AR$10&lt;$H20+MAX($I20,1)),$G20/MAX($I20,1),0),IF($F20="Annual",IF(AND(AR$10&gt;=$H20,AR$10&lt;$H20+IF($I20=0,MaxYears,$I20)),$G20,0),IF($F20="Periodic",IF(AND(AR$10&gt;=$H20,MOD(AR$10-$H20,MAX($I20,1))=0),$G20,0),0)))</f>
        <v>0</v>
      </c>
      <c r="AS20" s="50" t="n">
        <f aca="false">IF($F20="Spread",IF(AND(AS$10&gt;=$H20,AS$10&lt;$H20+MAX($I20,1)),$G20/MAX($I20,1),0),IF($F20="Annual",IF(AND(AS$10&gt;=$H20,AS$10&lt;$H20+IF($I20=0,MaxYears,$I20)),$G20,0),IF($F20="Periodic",IF(AND(AS$10&gt;=$H20,MOD(AS$10-$H20,MAX($I20,1))=0),$G20,0),0)))</f>
        <v>0</v>
      </c>
      <c r="AT20" s="50" t="n">
        <f aca="false">IF($F20="Spread",IF(AND(AT$10&gt;=$H20,AT$10&lt;$H20+MAX($I20,1)),$G20/MAX($I20,1),0),IF($F20="Annual",IF(AND(AT$10&gt;=$H20,AT$10&lt;$H20+IF($I20=0,MaxYears,$I20)),$G20,0),IF($F20="Periodic",IF(AND(AT$10&gt;=$H20,MOD(AT$10-$H20,MAX($I20,1))=0),$G20,0),0)))</f>
        <v>0</v>
      </c>
      <c r="AU20" s="50" t="n">
        <f aca="false">IF($F20="Spread",IF(AND(AU$10&gt;=$H20,AU$10&lt;$H20+MAX($I20,1)),$G20/MAX($I20,1),0),IF($F20="Annual",IF(AND(AU$10&gt;=$H20,AU$10&lt;$H20+IF($I20=0,MaxYears,$I20)),$G20,0),IF($F20="Periodic",IF(AND(AU$10&gt;=$H20,MOD(AU$10-$H20,MAX($I20,1))=0),$G20,0),0)))</f>
        <v>0</v>
      </c>
      <c r="AV20" s="50" t="n">
        <f aca="false">IF($F20="Spread",IF(AND(AV$10&gt;=$H20,AV$10&lt;$H20+MAX($I20,1)),$G20/MAX($I20,1),0),IF($F20="Annual",IF(AND(AV$10&gt;=$H20,AV$10&lt;$H20+IF($I20=0,MaxYears,$I20)),$G20,0),IF($F20="Periodic",IF(AND(AV$10&gt;=$H20,MOD(AV$10-$H20,MAX($I20,1))=0),$G20,0),0)))</f>
        <v>0</v>
      </c>
      <c r="AW20" s="50" t="n">
        <f aca="false">IF($F20="Spread",IF(AND(AW$10&gt;=$H20,AW$10&lt;$H20+MAX($I20,1)),$G20/MAX($I20,1),0),IF($F20="Annual",IF(AND(AW$10&gt;=$H20,AW$10&lt;$H20+IF($I20=0,MaxYears,$I20)),$G20,0),IF($F20="Periodic",IF(AND(AW$10&gt;=$H20,MOD(AW$10-$H20,MAX($I20,1))=0),$G20,0),0)))</f>
        <v>0</v>
      </c>
      <c r="AX20" s="50" t="n">
        <f aca="false">IF($F20="Spread",IF(AND(AX$10&gt;=$H20,AX$10&lt;$H20+MAX($I20,1)),$G20/MAX($I20,1),0),IF($F20="Annual",IF(AND(AX$10&gt;=$H20,AX$10&lt;$H20+IF($I20=0,MaxYears,$I20)),$G20,0),IF($F20="Periodic",IF(AND(AX$10&gt;=$H20,MOD(AX$10-$H20,MAX($I20,1))=0),$G20,0),0)))</f>
        <v>0</v>
      </c>
      <c r="AY20" s="50" t="n">
        <f aca="false">IF($F20="Spread",IF(AND(AY$10&gt;=$H20,AY$10&lt;$H20+MAX($I20,1)),$G20/MAX($I20,1),0),IF($F20="Annual",IF(AND(AY$10&gt;=$H20,AY$10&lt;$H20+IF($I20=0,MaxYears,$I20)),$G20,0),IF($F20="Periodic",IF(AND(AY$10&gt;=$H20,MOD(AY$10-$H20,MAX($I20,1))=0),$G20,0),0)))</f>
        <v>0</v>
      </c>
      <c r="AZ20" s="50" t="n">
        <f aca="false">IF($F20="Spread",IF(AND(AZ$10&gt;=$H20,AZ$10&lt;$H20+MAX($I20,1)),$G20/MAX($I20,1),0),IF($F20="Annual",IF(AND(AZ$10&gt;=$H20,AZ$10&lt;$H20+IF($I20=0,MaxYears,$I20)),$G20,0),IF($F20="Periodic",IF(AND(AZ$10&gt;=$H20,MOD(AZ$10-$H20,MAX($I20,1))=0),$G20,0),0)))</f>
        <v>0</v>
      </c>
    </row>
    <row r="21" customFormat="false" ht="27.75" hidden="false" customHeight="true" outlineLevel="0" collapsed="false">
      <c r="B21" s="25" t="s">
        <v>289</v>
      </c>
      <c r="C21" s="45" t="s">
        <v>290</v>
      </c>
      <c r="D21" s="45" t="s">
        <v>291</v>
      </c>
      <c r="E21" s="46" t="s">
        <v>257</v>
      </c>
      <c r="F21" s="46" t="s">
        <v>258</v>
      </c>
      <c r="G21" s="47" t="n">
        <v>1380000</v>
      </c>
      <c r="H21" s="51" t="n">
        <f aca="false">MAX(ConstrYears-1,1)</f>
        <v>2</v>
      </c>
      <c r="I21" s="48" t="n">
        <v>1</v>
      </c>
      <c r="J21" s="45" t="s">
        <v>292</v>
      </c>
      <c r="K21" s="46" t="s">
        <v>260</v>
      </c>
      <c r="L21" s="49" t="n">
        <f aca="false">SUM(M21:AZ21)</f>
        <v>1380000</v>
      </c>
      <c r="M21" s="50" t="n">
        <f aca="false">IF($F21="Spread",IF(AND(M$10&gt;=$H21,M$10&lt;$H21+MAX($I21,1)),$G21/MAX($I21,1),0),IF($F21="Annual",IF(AND(M$10&gt;=$H21,M$10&lt;$H21+IF($I21=0,MaxYears,$I21)),$G21,0),IF($F21="Periodic",IF(AND(M$10&gt;=$H21,MOD(M$10-$H21,MAX($I21,1))=0),$G21,0),0)))</f>
        <v>0</v>
      </c>
      <c r="N21" s="50" t="n">
        <f aca="false">IF($F21="Spread",IF(AND(N$10&gt;=$H21,N$10&lt;$H21+MAX($I21,1)),$G21/MAX($I21,1),0),IF($F21="Annual",IF(AND(N$10&gt;=$H21,N$10&lt;$H21+IF($I21=0,MaxYears,$I21)),$G21,0),IF($F21="Periodic",IF(AND(N$10&gt;=$H21,MOD(N$10-$H21,MAX($I21,1))=0),$G21,0),0)))</f>
        <v>0</v>
      </c>
      <c r="O21" s="50" t="n">
        <f aca="false">IF($F21="Spread",IF(AND(O$10&gt;=$H21,O$10&lt;$H21+MAX($I21,1)),$G21/MAX($I21,1),0),IF($F21="Annual",IF(AND(O$10&gt;=$H21,O$10&lt;$H21+IF($I21=0,MaxYears,$I21)),$G21,0),IF($F21="Periodic",IF(AND(O$10&gt;=$H21,MOD(O$10-$H21,MAX($I21,1))=0),$G21,0),0)))</f>
        <v>1380000</v>
      </c>
      <c r="P21" s="50" t="n">
        <f aca="false">IF($F21="Spread",IF(AND(P$10&gt;=$H21,P$10&lt;$H21+MAX($I21,1)),$G21/MAX($I21,1),0),IF($F21="Annual",IF(AND(P$10&gt;=$H21,P$10&lt;$H21+IF($I21=0,MaxYears,$I21)),$G21,0),IF($F21="Periodic",IF(AND(P$10&gt;=$H21,MOD(P$10-$H21,MAX($I21,1))=0),$G21,0),0)))</f>
        <v>0</v>
      </c>
      <c r="Q21" s="50" t="n">
        <f aca="false">IF($F21="Spread",IF(AND(Q$10&gt;=$H21,Q$10&lt;$H21+MAX($I21,1)),$G21/MAX($I21,1),0),IF($F21="Annual",IF(AND(Q$10&gt;=$H21,Q$10&lt;$H21+IF($I21=0,MaxYears,$I21)),$G21,0),IF($F21="Periodic",IF(AND(Q$10&gt;=$H21,MOD(Q$10-$H21,MAX($I21,1))=0),$G21,0),0)))</f>
        <v>0</v>
      </c>
      <c r="R21" s="50" t="n">
        <f aca="false">IF($F21="Spread",IF(AND(R$10&gt;=$H21,R$10&lt;$H21+MAX($I21,1)),$G21/MAX($I21,1),0),IF($F21="Annual",IF(AND(R$10&gt;=$H21,R$10&lt;$H21+IF($I21=0,MaxYears,$I21)),$G21,0),IF($F21="Periodic",IF(AND(R$10&gt;=$H21,MOD(R$10-$H21,MAX($I21,1))=0),$G21,0),0)))</f>
        <v>0</v>
      </c>
      <c r="S21" s="50" t="n">
        <f aca="false">IF($F21="Spread",IF(AND(S$10&gt;=$H21,S$10&lt;$H21+MAX($I21,1)),$G21/MAX($I21,1),0),IF($F21="Annual",IF(AND(S$10&gt;=$H21,S$10&lt;$H21+IF($I21=0,MaxYears,$I21)),$G21,0),IF($F21="Periodic",IF(AND(S$10&gt;=$H21,MOD(S$10-$H21,MAX($I21,1))=0),$G21,0),0)))</f>
        <v>0</v>
      </c>
      <c r="T21" s="50" t="n">
        <f aca="false">IF($F21="Spread",IF(AND(T$10&gt;=$H21,T$10&lt;$H21+MAX($I21,1)),$G21/MAX($I21,1),0),IF($F21="Annual",IF(AND(T$10&gt;=$H21,T$10&lt;$H21+IF($I21=0,MaxYears,$I21)),$G21,0),IF($F21="Periodic",IF(AND(T$10&gt;=$H21,MOD(T$10-$H21,MAX($I21,1))=0),$G21,0),0)))</f>
        <v>0</v>
      </c>
      <c r="U21" s="50" t="n">
        <f aca="false">IF($F21="Spread",IF(AND(U$10&gt;=$H21,U$10&lt;$H21+MAX($I21,1)),$G21/MAX($I21,1),0),IF($F21="Annual",IF(AND(U$10&gt;=$H21,U$10&lt;$H21+IF($I21=0,MaxYears,$I21)),$G21,0),IF($F21="Periodic",IF(AND(U$10&gt;=$H21,MOD(U$10-$H21,MAX($I21,1))=0),$G21,0),0)))</f>
        <v>0</v>
      </c>
      <c r="V21" s="50" t="n">
        <f aca="false">IF($F21="Spread",IF(AND(V$10&gt;=$H21,V$10&lt;$H21+MAX($I21,1)),$G21/MAX($I21,1),0),IF($F21="Annual",IF(AND(V$10&gt;=$H21,V$10&lt;$H21+IF($I21=0,MaxYears,$I21)),$G21,0),IF($F21="Periodic",IF(AND(V$10&gt;=$H21,MOD(V$10-$H21,MAX($I21,1))=0),$G21,0),0)))</f>
        <v>0</v>
      </c>
      <c r="W21" s="50" t="n">
        <f aca="false">IF($F21="Spread",IF(AND(W$10&gt;=$H21,W$10&lt;$H21+MAX($I21,1)),$G21/MAX($I21,1),0),IF($F21="Annual",IF(AND(W$10&gt;=$H21,W$10&lt;$H21+IF($I21=0,MaxYears,$I21)),$G21,0),IF($F21="Periodic",IF(AND(W$10&gt;=$H21,MOD(W$10-$H21,MAX($I21,1))=0),$G21,0),0)))</f>
        <v>0</v>
      </c>
      <c r="X21" s="50" t="n">
        <f aca="false">IF($F21="Spread",IF(AND(X$10&gt;=$H21,X$10&lt;$H21+MAX($I21,1)),$G21/MAX($I21,1),0),IF($F21="Annual",IF(AND(X$10&gt;=$H21,X$10&lt;$H21+IF($I21=0,MaxYears,$I21)),$G21,0),IF($F21="Periodic",IF(AND(X$10&gt;=$H21,MOD(X$10-$H21,MAX($I21,1))=0),$G21,0),0)))</f>
        <v>0</v>
      </c>
      <c r="Y21" s="50" t="n">
        <f aca="false">IF($F21="Spread",IF(AND(Y$10&gt;=$H21,Y$10&lt;$H21+MAX($I21,1)),$G21/MAX($I21,1),0),IF($F21="Annual",IF(AND(Y$10&gt;=$H21,Y$10&lt;$H21+IF($I21=0,MaxYears,$I21)),$G21,0),IF($F21="Periodic",IF(AND(Y$10&gt;=$H21,MOD(Y$10-$H21,MAX($I21,1))=0),$G21,0),0)))</f>
        <v>0</v>
      </c>
      <c r="Z21" s="50" t="n">
        <f aca="false">IF($F21="Spread",IF(AND(Z$10&gt;=$H21,Z$10&lt;$H21+MAX($I21,1)),$G21/MAX($I21,1),0),IF($F21="Annual",IF(AND(Z$10&gt;=$H21,Z$10&lt;$H21+IF($I21=0,MaxYears,$I21)),$G21,0),IF($F21="Periodic",IF(AND(Z$10&gt;=$H21,MOD(Z$10-$H21,MAX($I21,1))=0),$G21,0),0)))</f>
        <v>0</v>
      </c>
      <c r="AA21" s="50" t="n">
        <f aca="false">IF($F21="Spread",IF(AND(AA$10&gt;=$H21,AA$10&lt;$H21+MAX($I21,1)),$G21/MAX($I21,1),0),IF($F21="Annual",IF(AND(AA$10&gt;=$H21,AA$10&lt;$H21+IF($I21=0,MaxYears,$I21)),$G21,0),IF($F21="Periodic",IF(AND(AA$10&gt;=$H21,MOD(AA$10-$H21,MAX($I21,1))=0),$G21,0),0)))</f>
        <v>0</v>
      </c>
      <c r="AB21" s="50" t="n">
        <f aca="false">IF($F21="Spread",IF(AND(AB$10&gt;=$H21,AB$10&lt;$H21+MAX($I21,1)),$G21/MAX($I21,1),0),IF($F21="Annual",IF(AND(AB$10&gt;=$H21,AB$10&lt;$H21+IF($I21=0,MaxYears,$I21)),$G21,0),IF($F21="Periodic",IF(AND(AB$10&gt;=$H21,MOD(AB$10-$H21,MAX($I21,1))=0),$G21,0),0)))</f>
        <v>0</v>
      </c>
      <c r="AC21" s="50" t="n">
        <f aca="false">IF($F21="Spread",IF(AND(AC$10&gt;=$H21,AC$10&lt;$H21+MAX($I21,1)),$G21/MAX($I21,1),0),IF($F21="Annual",IF(AND(AC$10&gt;=$H21,AC$10&lt;$H21+IF($I21=0,MaxYears,$I21)),$G21,0),IF($F21="Periodic",IF(AND(AC$10&gt;=$H21,MOD(AC$10-$H21,MAX($I21,1))=0),$G21,0),0)))</f>
        <v>0</v>
      </c>
      <c r="AD21" s="50" t="n">
        <f aca="false">IF($F21="Spread",IF(AND(AD$10&gt;=$H21,AD$10&lt;$H21+MAX($I21,1)),$G21/MAX($I21,1),0),IF($F21="Annual",IF(AND(AD$10&gt;=$H21,AD$10&lt;$H21+IF($I21=0,MaxYears,$I21)),$G21,0),IF($F21="Periodic",IF(AND(AD$10&gt;=$H21,MOD(AD$10-$H21,MAX($I21,1))=0),$G21,0),0)))</f>
        <v>0</v>
      </c>
      <c r="AE21" s="50" t="n">
        <f aca="false">IF($F21="Spread",IF(AND(AE$10&gt;=$H21,AE$10&lt;$H21+MAX($I21,1)),$G21/MAX($I21,1),0),IF($F21="Annual",IF(AND(AE$10&gt;=$H21,AE$10&lt;$H21+IF($I21=0,MaxYears,$I21)),$G21,0),IF($F21="Periodic",IF(AND(AE$10&gt;=$H21,MOD(AE$10-$H21,MAX($I21,1))=0),$G21,0),0)))</f>
        <v>0</v>
      </c>
      <c r="AF21" s="50" t="n">
        <f aca="false">IF($F21="Spread",IF(AND(AF$10&gt;=$H21,AF$10&lt;$H21+MAX($I21,1)),$G21/MAX($I21,1),0),IF($F21="Annual",IF(AND(AF$10&gt;=$H21,AF$10&lt;$H21+IF($I21=0,MaxYears,$I21)),$G21,0),IF($F21="Periodic",IF(AND(AF$10&gt;=$H21,MOD(AF$10-$H21,MAX($I21,1))=0),$G21,0),0)))</f>
        <v>0</v>
      </c>
      <c r="AG21" s="50" t="n">
        <f aca="false">IF($F21="Spread",IF(AND(AG$10&gt;=$H21,AG$10&lt;$H21+MAX($I21,1)),$G21/MAX($I21,1),0),IF($F21="Annual",IF(AND(AG$10&gt;=$H21,AG$10&lt;$H21+IF($I21=0,MaxYears,$I21)),$G21,0),IF($F21="Periodic",IF(AND(AG$10&gt;=$H21,MOD(AG$10-$H21,MAX($I21,1))=0),$G21,0),0)))</f>
        <v>0</v>
      </c>
      <c r="AH21" s="50" t="n">
        <f aca="false">IF($F21="Spread",IF(AND(AH$10&gt;=$H21,AH$10&lt;$H21+MAX($I21,1)),$G21/MAX($I21,1),0),IF($F21="Annual",IF(AND(AH$10&gt;=$H21,AH$10&lt;$H21+IF($I21=0,MaxYears,$I21)),$G21,0),IF($F21="Periodic",IF(AND(AH$10&gt;=$H21,MOD(AH$10-$H21,MAX($I21,1))=0),$G21,0),0)))</f>
        <v>0</v>
      </c>
      <c r="AI21" s="50" t="n">
        <f aca="false">IF($F21="Spread",IF(AND(AI$10&gt;=$H21,AI$10&lt;$H21+MAX($I21,1)),$G21/MAX($I21,1),0),IF($F21="Annual",IF(AND(AI$10&gt;=$H21,AI$10&lt;$H21+IF($I21=0,MaxYears,$I21)),$G21,0),IF($F21="Periodic",IF(AND(AI$10&gt;=$H21,MOD(AI$10-$H21,MAX($I21,1))=0),$G21,0),0)))</f>
        <v>0</v>
      </c>
      <c r="AJ21" s="50" t="n">
        <f aca="false">IF($F21="Spread",IF(AND(AJ$10&gt;=$H21,AJ$10&lt;$H21+MAX($I21,1)),$G21/MAX($I21,1),0),IF($F21="Annual",IF(AND(AJ$10&gt;=$H21,AJ$10&lt;$H21+IF($I21=0,MaxYears,$I21)),$G21,0),IF($F21="Periodic",IF(AND(AJ$10&gt;=$H21,MOD(AJ$10-$H21,MAX($I21,1))=0),$G21,0),0)))</f>
        <v>0</v>
      </c>
      <c r="AK21" s="50" t="n">
        <f aca="false">IF($F21="Spread",IF(AND(AK$10&gt;=$H21,AK$10&lt;$H21+MAX($I21,1)),$G21/MAX($I21,1),0),IF($F21="Annual",IF(AND(AK$10&gt;=$H21,AK$10&lt;$H21+IF($I21=0,MaxYears,$I21)),$G21,0),IF($F21="Periodic",IF(AND(AK$10&gt;=$H21,MOD(AK$10-$H21,MAX($I21,1))=0),$G21,0),0)))</f>
        <v>0</v>
      </c>
      <c r="AL21" s="50" t="n">
        <f aca="false">IF($F21="Spread",IF(AND(AL$10&gt;=$H21,AL$10&lt;$H21+MAX($I21,1)),$G21/MAX($I21,1),0),IF($F21="Annual",IF(AND(AL$10&gt;=$H21,AL$10&lt;$H21+IF($I21=0,MaxYears,$I21)),$G21,0),IF($F21="Periodic",IF(AND(AL$10&gt;=$H21,MOD(AL$10-$H21,MAX($I21,1))=0),$G21,0),0)))</f>
        <v>0</v>
      </c>
      <c r="AM21" s="50" t="n">
        <f aca="false">IF($F21="Spread",IF(AND(AM$10&gt;=$H21,AM$10&lt;$H21+MAX($I21,1)),$G21/MAX($I21,1),0),IF($F21="Annual",IF(AND(AM$10&gt;=$H21,AM$10&lt;$H21+IF($I21=0,MaxYears,$I21)),$G21,0),IF($F21="Periodic",IF(AND(AM$10&gt;=$H21,MOD(AM$10-$H21,MAX($I21,1))=0),$G21,0),0)))</f>
        <v>0</v>
      </c>
      <c r="AN21" s="50" t="n">
        <f aca="false">IF($F21="Spread",IF(AND(AN$10&gt;=$H21,AN$10&lt;$H21+MAX($I21,1)),$G21/MAX($I21,1),0),IF($F21="Annual",IF(AND(AN$10&gt;=$H21,AN$10&lt;$H21+IF($I21=0,MaxYears,$I21)),$G21,0),IF($F21="Periodic",IF(AND(AN$10&gt;=$H21,MOD(AN$10-$H21,MAX($I21,1))=0),$G21,0),0)))</f>
        <v>0</v>
      </c>
      <c r="AO21" s="50" t="n">
        <f aca="false">IF($F21="Spread",IF(AND(AO$10&gt;=$H21,AO$10&lt;$H21+MAX($I21,1)),$G21/MAX($I21,1),0),IF($F21="Annual",IF(AND(AO$10&gt;=$H21,AO$10&lt;$H21+IF($I21=0,MaxYears,$I21)),$G21,0),IF($F21="Periodic",IF(AND(AO$10&gt;=$H21,MOD(AO$10-$H21,MAX($I21,1))=0),$G21,0),0)))</f>
        <v>0</v>
      </c>
      <c r="AP21" s="50" t="n">
        <f aca="false">IF($F21="Spread",IF(AND(AP$10&gt;=$H21,AP$10&lt;$H21+MAX($I21,1)),$G21/MAX($I21,1),0),IF($F21="Annual",IF(AND(AP$10&gt;=$H21,AP$10&lt;$H21+IF($I21=0,MaxYears,$I21)),$G21,0),IF($F21="Periodic",IF(AND(AP$10&gt;=$H21,MOD(AP$10-$H21,MAX($I21,1))=0),$G21,0),0)))</f>
        <v>0</v>
      </c>
      <c r="AQ21" s="50" t="n">
        <f aca="false">IF($F21="Spread",IF(AND(AQ$10&gt;=$H21,AQ$10&lt;$H21+MAX($I21,1)),$G21/MAX($I21,1),0),IF($F21="Annual",IF(AND(AQ$10&gt;=$H21,AQ$10&lt;$H21+IF($I21=0,MaxYears,$I21)),$G21,0),IF($F21="Periodic",IF(AND(AQ$10&gt;=$H21,MOD(AQ$10-$H21,MAX($I21,1))=0),$G21,0),0)))</f>
        <v>0</v>
      </c>
      <c r="AR21" s="50" t="n">
        <f aca="false">IF($F21="Spread",IF(AND(AR$10&gt;=$H21,AR$10&lt;$H21+MAX($I21,1)),$G21/MAX($I21,1),0),IF($F21="Annual",IF(AND(AR$10&gt;=$H21,AR$10&lt;$H21+IF($I21=0,MaxYears,$I21)),$G21,0),IF($F21="Periodic",IF(AND(AR$10&gt;=$H21,MOD(AR$10-$H21,MAX($I21,1))=0),$G21,0),0)))</f>
        <v>0</v>
      </c>
      <c r="AS21" s="50" t="n">
        <f aca="false">IF($F21="Spread",IF(AND(AS$10&gt;=$H21,AS$10&lt;$H21+MAX($I21,1)),$G21/MAX($I21,1),0),IF($F21="Annual",IF(AND(AS$10&gt;=$H21,AS$10&lt;$H21+IF($I21=0,MaxYears,$I21)),$G21,0),IF($F21="Periodic",IF(AND(AS$10&gt;=$H21,MOD(AS$10-$H21,MAX($I21,1))=0),$G21,0),0)))</f>
        <v>0</v>
      </c>
      <c r="AT21" s="50" t="n">
        <f aca="false">IF($F21="Spread",IF(AND(AT$10&gt;=$H21,AT$10&lt;$H21+MAX($I21,1)),$G21/MAX($I21,1),0),IF($F21="Annual",IF(AND(AT$10&gt;=$H21,AT$10&lt;$H21+IF($I21=0,MaxYears,$I21)),$G21,0),IF($F21="Periodic",IF(AND(AT$10&gt;=$H21,MOD(AT$10-$H21,MAX($I21,1))=0),$G21,0),0)))</f>
        <v>0</v>
      </c>
      <c r="AU21" s="50" t="n">
        <f aca="false">IF($F21="Spread",IF(AND(AU$10&gt;=$H21,AU$10&lt;$H21+MAX($I21,1)),$G21/MAX($I21,1),0),IF($F21="Annual",IF(AND(AU$10&gt;=$H21,AU$10&lt;$H21+IF($I21=0,MaxYears,$I21)),$G21,0),IF($F21="Periodic",IF(AND(AU$10&gt;=$H21,MOD(AU$10-$H21,MAX($I21,1))=0),$G21,0),0)))</f>
        <v>0</v>
      </c>
      <c r="AV21" s="50" t="n">
        <f aca="false">IF($F21="Spread",IF(AND(AV$10&gt;=$H21,AV$10&lt;$H21+MAX($I21,1)),$G21/MAX($I21,1),0),IF($F21="Annual",IF(AND(AV$10&gt;=$H21,AV$10&lt;$H21+IF($I21=0,MaxYears,$I21)),$G21,0),IF($F21="Periodic",IF(AND(AV$10&gt;=$H21,MOD(AV$10-$H21,MAX($I21,1))=0),$G21,0),0)))</f>
        <v>0</v>
      </c>
      <c r="AW21" s="50" t="n">
        <f aca="false">IF($F21="Spread",IF(AND(AW$10&gt;=$H21,AW$10&lt;$H21+MAX($I21,1)),$G21/MAX($I21,1),0),IF($F21="Annual",IF(AND(AW$10&gt;=$H21,AW$10&lt;$H21+IF($I21=0,MaxYears,$I21)),$G21,0),IF($F21="Periodic",IF(AND(AW$10&gt;=$H21,MOD(AW$10-$H21,MAX($I21,1))=0),$G21,0),0)))</f>
        <v>0</v>
      </c>
      <c r="AX21" s="50" t="n">
        <f aca="false">IF($F21="Spread",IF(AND(AX$10&gt;=$H21,AX$10&lt;$H21+MAX($I21,1)),$G21/MAX($I21,1),0),IF($F21="Annual",IF(AND(AX$10&gt;=$H21,AX$10&lt;$H21+IF($I21=0,MaxYears,$I21)),$G21,0),IF($F21="Periodic",IF(AND(AX$10&gt;=$H21,MOD(AX$10-$H21,MAX($I21,1))=0),$G21,0),0)))</f>
        <v>0</v>
      </c>
      <c r="AY21" s="50" t="n">
        <f aca="false">IF($F21="Spread",IF(AND(AY$10&gt;=$H21,AY$10&lt;$H21+MAX($I21,1)),$G21/MAX($I21,1),0),IF($F21="Annual",IF(AND(AY$10&gt;=$H21,AY$10&lt;$H21+IF($I21=0,MaxYears,$I21)),$G21,0),IF($F21="Periodic",IF(AND(AY$10&gt;=$H21,MOD(AY$10-$H21,MAX($I21,1))=0),$G21,0),0)))</f>
        <v>0</v>
      </c>
      <c r="AZ21" s="50" t="n">
        <f aca="false">IF($F21="Spread",IF(AND(AZ$10&gt;=$H21,AZ$10&lt;$H21+MAX($I21,1)),$G21/MAX($I21,1),0),IF($F21="Annual",IF(AND(AZ$10&gt;=$H21,AZ$10&lt;$H21+IF($I21=0,MaxYears,$I21)),$G21,0),IF($F21="Periodic",IF(AND(AZ$10&gt;=$H21,MOD(AZ$10-$H21,MAX($I21,1))=0),$G21,0),0)))</f>
        <v>0</v>
      </c>
    </row>
    <row r="22" customFormat="false" ht="27.75" hidden="false" customHeight="true" outlineLevel="0" collapsed="false">
      <c r="B22" s="25" t="s">
        <v>293</v>
      </c>
      <c r="C22" s="45" t="s">
        <v>290</v>
      </c>
      <c r="D22" s="45" t="s">
        <v>294</v>
      </c>
      <c r="E22" s="46" t="s">
        <v>257</v>
      </c>
      <c r="F22" s="46" t="s">
        <v>258</v>
      </c>
      <c r="G22" s="47" t="n">
        <v>1620000</v>
      </c>
      <c r="H22" s="51" t="n">
        <f aca="false">MAX(ConstrYears-1,1)</f>
        <v>2</v>
      </c>
      <c r="I22" s="48" t="n">
        <v>1</v>
      </c>
      <c r="J22" s="45" t="s">
        <v>295</v>
      </c>
      <c r="K22" s="46" t="s">
        <v>260</v>
      </c>
      <c r="L22" s="49" t="n">
        <f aca="false">SUM(M22:AZ22)</f>
        <v>1620000</v>
      </c>
      <c r="M22" s="50" t="n">
        <f aca="false">IF($F22="Spread",IF(AND(M$10&gt;=$H22,M$10&lt;$H22+MAX($I22,1)),$G22/MAX($I22,1),0),IF($F22="Annual",IF(AND(M$10&gt;=$H22,M$10&lt;$H22+IF($I22=0,MaxYears,$I22)),$G22,0),IF($F22="Periodic",IF(AND(M$10&gt;=$H22,MOD(M$10-$H22,MAX($I22,1))=0),$G22,0),0)))</f>
        <v>0</v>
      </c>
      <c r="N22" s="50" t="n">
        <f aca="false">IF($F22="Spread",IF(AND(N$10&gt;=$H22,N$10&lt;$H22+MAX($I22,1)),$G22/MAX($I22,1),0),IF($F22="Annual",IF(AND(N$10&gt;=$H22,N$10&lt;$H22+IF($I22=0,MaxYears,$I22)),$G22,0),IF($F22="Periodic",IF(AND(N$10&gt;=$H22,MOD(N$10-$H22,MAX($I22,1))=0),$G22,0),0)))</f>
        <v>0</v>
      </c>
      <c r="O22" s="50" t="n">
        <f aca="false">IF($F22="Spread",IF(AND(O$10&gt;=$H22,O$10&lt;$H22+MAX($I22,1)),$G22/MAX($I22,1),0),IF($F22="Annual",IF(AND(O$10&gt;=$H22,O$10&lt;$H22+IF($I22=0,MaxYears,$I22)),$G22,0),IF($F22="Periodic",IF(AND(O$10&gt;=$H22,MOD(O$10-$H22,MAX($I22,1))=0),$G22,0),0)))</f>
        <v>1620000</v>
      </c>
      <c r="P22" s="50" t="n">
        <f aca="false">IF($F22="Spread",IF(AND(P$10&gt;=$H22,P$10&lt;$H22+MAX($I22,1)),$G22/MAX($I22,1),0),IF($F22="Annual",IF(AND(P$10&gt;=$H22,P$10&lt;$H22+IF($I22=0,MaxYears,$I22)),$G22,0),IF($F22="Periodic",IF(AND(P$10&gt;=$H22,MOD(P$10-$H22,MAX($I22,1))=0),$G22,0),0)))</f>
        <v>0</v>
      </c>
      <c r="Q22" s="50" t="n">
        <f aca="false">IF($F22="Spread",IF(AND(Q$10&gt;=$H22,Q$10&lt;$H22+MAX($I22,1)),$G22/MAX($I22,1),0),IF($F22="Annual",IF(AND(Q$10&gt;=$H22,Q$10&lt;$H22+IF($I22=0,MaxYears,$I22)),$G22,0),IF($F22="Periodic",IF(AND(Q$10&gt;=$H22,MOD(Q$10-$H22,MAX($I22,1))=0),$G22,0),0)))</f>
        <v>0</v>
      </c>
      <c r="R22" s="50" t="n">
        <f aca="false">IF($F22="Spread",IF(AND(R$10&gt;=$H22,R$10&lt;$H22+MAX($I22,1)),$G22/MAX($I22,1),0),IF($F22="Annual",IF(AND(R$10&gt;=$H22,R$10&lt;$H22+IF($I22=0,MaxYears,$I22)),$G22,0),IF($F22="Periodic",IF(AND(R$10&gt;=$H22,MOD(R$10-$H22,MAX($I22,1))=0),$G22,0),0)))</f>
        <v>0</v>
      </c>
      <c r="S22" s="50" t="n">
        <f aca="false">IF($F22="Spread",IF(AND(S$10&gt;=$H22,S$10&lt;$H22+MAX($I22,1)),$G22/MAX($I22,1),0),IF($F22="Annual",IF(AND(S$10&gt;=$H22,S$10&lt;$H22+IF($I22=0,MaxYears,$I22)),$G22,0),IF($F22="Periodic",IF(AND(S$10&gt;=$H22,MOD(S$10-$H22,MAX($I22,1))=0),$G22,0),0)))</f>
        <v>0</v>
      </c>
      <c r="T22" s="50" t="n">
        <f aca="false">IF($F22="Spread",IF(AND(T$10&gt;=$H22,T$10&lt;$H22+MAX($I22,1)),$G22/MAX($I22,1),0),IF($F22="Annual",IF(AND(T$10&gt;=$H22,T$10&lt;$H22+IF($I22=0,MaxYears,$I22)),$G22,0),IF($F22="Periodic",IF(AND(T$10&gt;=$H22,MOD(T$10-$H22,MAX($I22,1))=0),$G22,0),0)))</f>
        <v>0</v>
      </c>
      <c r="U22" s="50" t="n">
        <f aca="false">IF($F22="Spread",IF(AND(U$10&gt;=$H22,U$10&lt;$H22+MAX($I22,1)),$G22/MAX($I22,1),0),IF($F22="Annual",IF(AND(U$10&gt;=$H22,U$10&lt;$H22+IF($I22=0,MaxYears,$I22)),$G22,0),IF($F22="Periodic",IF(AND(U$10&gt;=$H22,MOD(U$10-$H22,MAX($I22,1))=0),$G22,0),0)))</f>
        <v>0</v>
      </c>
      <c r="V22" s="50" t="n">
        <f aca="false">IF($F22="Spread",IF(AND(V$10&gt;=$H22,V$10&lt;$H22+MAX($I22,1)),$G22/MAX($I22,1),0),IF($F22="Annual",IF(AND(V$10&gt;=$H22,V$10&lt;$H22+IF($I22=0,MaxYears,$I22)),$G22,0),IF($F22="Periodic",IF(AND(V$10&gt;=$H22,MOD(V$10-$H22,MAX($I22,1))=0),$G22,0),0)))</f>
        <v>0</v>
      </c>
      <c r="W22" s="50" t="n">
        <f aca="false">IF($F22="Spread",IF(AND(W$10&gt;=$H22,W$10&lt;$H22+MAX($I22,1)),$G22/MAX($I22,1),0),IF($F22="Annual",IF(AND(W$10&gt;=$H22,W$10&lt;$H22+IF($I22=0,MaxYears,$I22)),$G22,0),IF($F22="Periodic",IF(AND(W$10&gt;=$H22,MOD(W$10-$H22,MAX($I22,1))=0),$G22,0),0)))</f>
        <v>0</v>
      </c>
      <c r="X22" s="50" t="n">
        <f aca="false">IF($F22="Spread",IF(AND(X$10&gt;=$H22,X$10&lt;$H22+MAX($I22,1)),$G22/MAX($I22,1),0),IF($F22="Annual",IF(AND(X$10&gt;=$H22,X$10&lt;$H22+IF($I22=0,MaxYears,$I22)),$G22,0),IF($F22="Periodic",IF(AND(X$10&gt;=$H22,MOD(X$10-$H22,MAX($I22,1))=0),$G22,0),0)))</f>
        <v>0</v>
      </c>
      <c r="Y22" s="50" t="n">
        <f aca="false">IF($F22="Spread",IF(AND(Y$10&gt;=$H22,Y$10&lt;$H22+MAX($I22,1)),$G22/MAX($I22,1),0),IF($F22="Annual",IF(AND(Y$10&gt;=$H22,Y$10&lt;$H22+IF($I22=0,MaxYears,$I22)),$G22,0),IF($F22="Periodic",IF(AND(Y$10&gt;=$H22,MOD(Y$10-$H22,MAX($I22,1))=0),$G22,0),0)))</f>
        <v>0</v>
      </c>
      <c r="Z22" s="50" t="n">
        <f aca="false">IF($F22="Spread",IF(AND(Z$10&gt;=$H22,Z$10&lt;$H22+MAX($I22,1)),$G22/MAX($I22,1),0),IF($F22="Annual",IF(AND(Z$10&gt;=$H22,Z$10&lt;$H22+IF($I22=0,MaxYears,$I22)),$G22,0),IF($F22="Periodic",IF(AND(Z$10&gt;=$H22,MOD(Z$10-$H22,MAX($I22,1))=0),$G22,0),0)))</f>
        <v>0</v>
      </c>
      <c r="AA22" s="50" t="n">
        <f aca="false">IF($F22="Spread",IF(AND(AA$10&gt;=$H22,AA$10&lt;$H22+MAX($I22,1)),$G22/MAX($I22,1),0),IF($F22="Annual",IF(AND(AA$10&gt;=$H22,AA$10&lt;$H22+IF($I22=0,MaxYears,$I22)),$G22,0),IF($F22="Periodic",IF(AND(AA$10&gt;=$H22,MOD(AA$10-$H22,MAX($I22,1))=0),$G22,0),0)))</f>
        <v>0</v>
      </c>
      <c r="AB22" s="50" t="n">
        <f aca="false">IF($F22="Spread",IF(AND(AB$10&gt;=$H22,AB$10&lt;$H22+MAX($I22,1)),$G22/MAX($I22,1),0),IF($F22="Annual",IF(AND(AB$10&gt;=$H22,AB$10&lt;$H22+IF($I22=0,MaxYears,$I22)),$G22,0),IF($F22="Periodic",IF(AND(AB$10&gt;=$H22,MOD(AB$10-$H22,MAX($I22,1))=0),$G22,0),0)))</f>
        <v>0</v>
      </c>
      <c r="AC22" s="50" t="n">
        <f aca="false">IF($F22="Spread",IF(AND(AC$10&gt;=$H22,AC$10&lt;$H22+MAX($I22,1)),$G22/MAX($I22,1),0),IF($F22="Annual",IF(AND(AC$10&gt;=$H22,AC$10&lt;$H22+IF($I22=0,MaxYears,$I22)),$G22,0),IF($F22="Periodic",IF(AND(AC$10&gt;=$H22,MOD(AC$10-$H22,MAX($I22,1))=0),$G22,0),0)))</f>
        <v>0</v>
      </c>
      <c r="AD22" s="50" t="n">
        <f aca="false">IF($F22="Spread",IF(AND(AD$10&gt;=$H22,AD$10&lt;$H22+MAX($I22,1)),$G22/MAX($I22,1),0),IF($F22="Annual",IF(AND(AD$10&gt;=$H22,AD$10&lt;$H22+IF($I22=0,MaxYears,$I22)),$G22,0),IF($F22="Periodic",IF(AND(AD$10&gt;=$H22,MOD(AD$10-$H22,MAX($I22,1))=0),$G22,0),0)))</f>
        <v>0</v>
      </c>
      <c r="AE22" s="50" t="n">
        <f aca="false">IF($F22="Spread",IF(AND(AE$10&gt;=$H22,AE$10&lt;$H22+MAX($I22,1)),$G22/MAX($I22,1),0),IF($F22="Annual",IF(AND(AE$10&gt;=$H22,AE$10&lt;$H22+IF($I22=0,MaxYears,$I22)),$G22,0),IF($F22="Periodic",IF(AND(AE$10&gt;=$H22,MOD(AE$10-$H22,MAX($I22,1))=0),$G22,0),0)))</f>
        <v>0</v>
      </c>
      <c r="AF22" s="50" t="n">
        <f aca="false">IF($F22="Spread",IF(AND(AF$10&gt;=$H22,AF$10&lt;$H22+MAX($I22,1)),$G22/MAX($I22,1),0),IF($F22="Annual",IF(AND(AF$10&gt;=$H22,AF$10&lt;$H22+IF($I22=0,MaxYears,$I22)),$G22,0),IF($F22="Periodic",IF(AND(AF$10&gt;=$H22,MOD(AF$10-$H22,MAX($I22,1))=0),$G22,0),0)))</f>
        <v>0</v>
      </c>
      <c r="AG22" s="50" t="n">
        <f aca="false">IF($F22="Spread",IF(AND(AG$10&gt;=$H22,AG$10&lt;$H22+MAX($I22,1)),$G22/MAX($I22,1),0),IF($F22="Annual",IF(AND(AG$10&gt;=$H22,AG$10&lt;$H22+IF($I22=0,MaxYears,$I22)),$G22,0),IF($F22="Periodic",IF(AND(AG$10&gt;=$H22,MOD(AG$10-$H22,MAX($I22,1))=0),$G22,0),0)))</f>
        <v>0</v>
      </c>
      <c r="AH22" s="50" t="n">
        <f aca="false">IF($F22="Spread",IF(AND(AH$10&gt;=$H22,AH$10&lt;$H22+MAX($I22,1)),$G22/MAX($I22,1),0),IF($F22="Annual",IF(AND(AH$10&gt;=$H22,AH$10&lt;$H22+IF($I22=0,MaxYears,$I22)),$G22,0),IF($F22="Periodic",IF(AND(AH$10&gt;=$H22,MOD(AH$10-$H22,MAX($I22,1))=0),$G22,0),0)))</f>
        <v>0</v>
      </c>
      <c r="AI22" s="50" t="n">
        <f aca="false">IF($F22="Spread",IF(AND(AI$10&gt;=$H22,AI$10&lt;$H22+MAX($I22,1)),$G22/MAX($I22,1),0),IF($F22="Annual",IF(AND(AI$10&gt;=$H22,AI$10&lt;$H22+IF($I22=0,MaxYears,$I22)),$G22,0),IF($F22="Periodic",IF(AND(AI$10&gt;=$H22,MOD(AI$10-$H22,MAX($I22,1))=0),$G22,0),0)))</f>
        <v>0</v>
      </c>
      <c r="AJ22" s="50" t="n">
        <f aca="false">IF($F22="Spread",IF(AND(AJ$10&gt;=$H22,AJ$10&lt;$H22+MAX($I22,1)),$G22/MAX($I22,1),0),IF($F22="Annual",IF(AND(AJ$10&gt;=$H22,AJ$10&lt;$H22+IF($I22=0,MaxYears,$I22)),$G22,0),IF($F22="Periodic",IF(AND(AJ$10&gt;=$H22,MOD(AJ$10-$H22,MAX($I22,1))=0),$G22,0),0)))</f>
        <v>0</v>
      </c>
      <c r="AK22" s="50" t="n">
        <f aca="false">IF($F22="Spread",IF(AND(AK$10&gt;=$H22,AK$10&lt;$H22+MAX($I22,1)),$G22/MAX($I22,1),0),IF($F22="Annual",IF(AND(AK$10&gt;=$H22,AK$10&lt;$H22+IF($I22=0,MaxYears,$I22)),$G22,0),IF($F22="Periodic",IF(AND(AK$10&gt;=$H22,MOD(AK$10-$H22,MAX($I22,1))=0),$G22,0),0)))</f>
        <v>0</v>
      </c>
      <c r="AL22" s="50" t="n">
        <f aca="false">IF($F22="Spread",IF(AND(AL$10&gt;=$H22,AL$10&lt;$H22+MAX($I22,1)),$G22/MAX($I22,1),0),IF($F22="Annual",IF(AND(AL$10&gt;=$H22,AL$10&lt;$H22+IF($I22=0,MaxYears,$I22)),$G22,0),IF($F22="Periodic",IF(AND(AL$10&gt;=$H22,MOD(AL$10-$H22,MAX($I22,1))=0),$G22,0),0)))</f>
        <v>0</v>
      </c>
      <c r="AM22" s="50" t="n">
        <f aca="false">IF($F22="Spread",IF(AND(AM$10&gt;=$H22,AM$10&lt;$H22+MAX($I22,1)),$G22/MAX($I22,1),0),IF($F22="Annual",IF(AND(AM$10&gt;=$H22,AM$10&lt;$H22+IF($I22=0,MaxYears,$I22)),$G22,0),IF($F22="Periodic",IF(AND(AM$10&gt;=$H22,MOD(AM$10-$H22,MAX($I22,1))=0),$G22,0),0)))</f>
        <v>0</v>
      </c>
      <c r="AN22" s="50" t="n">
        <f aca="false">IF($F22="Spread",IF(AND(AN$10&gt;=$H22,AN$10&lt;$H22+MAX($I22,1)),$G22/MAX($I22,1),0),IF($F22="Annual",IF(AND(AN$10&gt;=$H22,AN$10&lt;$H22+IF($I22=0,MaxYears,$I22)),$G22,0),IF($F22="Periodic",IF(AND(AN$10&gt;=$H22,MOD(AN$10-$H22,MAX($I22,1))=0),$G22,0),0)))</f>
        <v>0</v>
      </c>
      <c r="AO22" s="50" t="n">
        <f aca="false">IF($F22="Spread",IF(AND(AO$10&gt;=$H22,AO$10&lt;$H22+MAX($I22,1)),$G22/MAX($I22,1),0),IF($F22="Annual",IF(AND(AO$10&gt;=$H22,AO$10&lt;$H22+IF($I22=0,MaxYears,$I22)),$G22,0),IF($F22="Periodic",IF(AND(AO$10&gt;=$H22,MOD(AO$10-$H22,MAX($I22,1))=0),$G22,0),0)))</f>
        <v>0</v>
      </c>
      <c r="AP22" s="50" t="n">
        <f aca="false">IF($F22="Spread",IF(AND(AP$10&gt;=$H22,AP$10&lt;$H22+MAX($I22,1)),$G22/MAX($I22,1),0),IF($F22="Annual",IF(AND(AP$10&gt;=$H22,AP$10&lt;$H22+IF($I22=0,MaxYears,$I22)),$G22,0),IF($F22="Periodic",IF(AND(AP$10&gt;=$H22,MOD(AP$10-$H22,MAX($I22,1))=0),$G22,0),0)))</f>
        <v>0</v>
      </c>
      <c r="AQ22" s="50" t="n">
        <f aca="false">IF($F22="Spread",IF(AND(AQ$10&gt;=$H22,AQ$10&lt;$H22+MAX($I22,1)),$G22/MAX($I22,1),0),IF($F22="Annual",IF(AND(AQ$10&gt;=$H22,AQ$10&lt;$H22+IF($I22=0,MaxYears,$I22)),$G22,0),IF($F22="Periodic",IF(AND(AQ$10&gt;=$H22,MOD(AQ$10-$H22,MAX($I22,1))=0),$G22,0),0)))</f>
        <v>0</v>
      </c>
      <c r="AR22" s="50" t="n">
        <f aca="false">IF($F22="Spread",IF(AND(AR$10&gt;=$H22,AR$10&lt;$H22+MAX($I22,1)),$G22/MAX($I22,1),0),IF($F22="Annual",IF(AND(AR$10&gt;=$H22,AR$10&lt;$H22+IF($I22=0,MaxYears,$I22)),$G22,0),IF($F22="Periodic",IF(AND(AR$10&gt;=$H22,MOD(AR$10-$H22,MAX($I22,1))=0),$G22,0),0)))</f>
        <v>0</v>
      </c>
      <c r="AS22" s="50" t="n">
        <f aca="false">IF($F22="Spread",IF(AND(AS$10&gt;=$H22,AS$10&lt;$H22+MAX($I22,1)),$G22/MAX($I22,1),0),IF($F22="Annual",IF(AND(AS$10&gt;=$H22,AS$10&lt;$H22+IF($I22=0,MaxYears,$I22)),$G22,0),IF($F22="Periodic",IF(AND(AS$10&gt;=$H22,MOD(AS$10-$H22,MAX($I22,1))=0),$G22,0),0)))</f>
        <v>0</v>
      </c>
      <c r="AT22" s="50" t="n">
        <f aca="false">IF($F22="Spread",IF(AND(AT$10&gt;=$H22,AT$10&lt;$H22+MAX($I22,1)),$G22/MAX($I22,1),0),IF($F22="Annual",IF(AND(AT$10&gt;=$H22,AT$10&lt;$H22+IF($I22=0,MaxYears,$I22)),$G22,0),IF($F22="Periodic",IF(AND(AT$10&gt;=$H22,MOD(AT$10-$H22,MAX($I22,1))=0),$G22,0),0)))</f>
        <v>0</v>
      </c>
      <c r="AU22" s="50" t="n">
        <f aca="false">IF($F22="Spread",IF(AND(AU$10&gt;=$H22,AU$10&lt;$H22+MAX($I22,1)),$G22/MAX($I22,1),0),IF($F22="Annual",IF(AND(AU$10&gt;=$H22,AU$10&lt;$H22+IF($I22=0,MaxYears,$I22)),$G22,0),IF($F22="Periodic",IF(AND(AU$10&gt;=$H22,MOD(AU$10-$H22,MAX($I22,1))=0),$G22,0),0)))</f>
        <v>0</v>
      </c>
      <c r="AV22" s="50" t="n">
        <f aca="false">IF($F22="Spread",IF(AND(AV$10&gt;=$H22,AV$10&lt;$H22+MAX($I22,1)),$G22/MAX($I22,1),0),IF($F22="Annual",IF(AND(AV$10&gt;=$H22,AV$10&lt;$H22+IF($I22=0,MaxYears,$I22)),$G22,0),IF($F22="Periodic",IF(AND(AV$10&gt;=$H22,MOD(AV$10-$H22,MAX($I22,1))=0),$G22,0),0)))</f>
        <v>0</v>
      </c>
      <c r="AW22" s="50" t="n">
        <f aca="false">IF($F22="Spread",IF(AND(AW$10&gt;=$H22,AW$10&lt;$H22+MAX($I22,1)),$G22/MAX($I22,1),0),IF($F22="Annual",IF(AND(AW$10&gt;=$H22,AW$10&lt;$H22+IF($I22=0,MaxYears,$I22)),$G22,0),IF($F22="Periodic",IF(AND(AW$10&gt;=$H22,MOD(AW$10-$H22,MAX($I22,1))=0),$G22,0),0)))</f>
        <v>0</v>
      </c>
      <c r="AX22" s="50" t="n">
        <f aca="false">IF($F22="Spread",IF(AND(AX$10&gt;=$H22,AX$10&lt;$H22+MAX($I22,1)),$G22/MAX($I22,1),0),IF($F22="Annual",IF(AND(AX$10&gt;=$H22,AX$10&lt;$H22+IF($I22=0,MaxYears,$I22)),$G22,0),IF($F22="Periodic",IF(AND(AX$10&gt;=$H22,MOD(AX$10-$H22,MAX($I22,1))=0),$G22,0),0)))</f>
        <v>0</v>
      </c>
      <c r="AY22" s="50" t="n">
        <f aca="false">IF($F22="Spread",IF(AND(AY$10&gt;=$H22,AY$10&lt;$H22+MAX($I22,1)),$G22/MAX($I22,1),0),IF($F22="Annual",IF(AND(AY$10&gt;=$H22,AY$10&lt;$H22+IF($I22=0,MaxYears,$I22)),$G22,0),IF($F22="Periodic",IF(AND(AY$10&gt;=$H22,MOD(AY$10-$H22,MAX($I22,1))=0),$G22,0),0)))</f>
        <v>0</v>
      </c>
      <c r="AZ22" s="50" t="n">
        <f aca="false">IF($F22="Spread",IF(AND(AZ$10&gt;=$H22,AZ$10&lt;$H22+MAX($I22,1)),$G22/MAX($I22,1),0),IF($F22="Annual",IF(AND(AZ$10&gt;=$H22,AZ$10&lt;$H22+IF($I22=0,MaxYears,$I22)),$G22,0),IF($F22="Periodic",IF(AND(AZ$10&gt;=$H22,MOD(AZ$10-$H22,MAX($I22,1))=0),$G22,0),0)))</f>
        <v>0</v>
      </c>
    </row>
    <row r="23" customFormat="false" ht="27.75" hidden="false" customHeight="true" outlineLevel="0" collapsed="false">
      <c r="B23" s="25" t="s">
        <v>296</v>
      </c>
      <c r="C23" s="45" t="s">
        <v>297</v>
      </c>
      <c r="D23" s="45" t="s">
        <v>298</v>
      </c>
      <c r="E23" s="46" t="s">
        <v>257</v>
      </c>
      <c r="F23" s="46" t="s">
        <v>258</v>
      </c>
      <c r="G23" s="47" t="n">
        <v>780000</v>
      </c>
      <c r="H23" s="48" t="n">
        <v>0</v>
      </c>
      <c r="I23" s="48" t="n">
        <v>2</v>
      </c>
      <c r="J23" s="45" t="s">
        <v>299</v>
      </c>
      <c r="K23" s="46" t="s">
        <v>264</v>
      </c>
      <c r="L23" s="49" t="n">
        <f aca="false">SUM(M23:AZ23)</f>
        <v>780000</v>
      </c>
      <c r="M23" s="50" t="n">
        <f aca="false">IF($F23="Spread",IF(AND(M$10&gt;=$H23,M$10&lt;$H23+MAX($I23,1)),$G23/MAX($I23,1),0),IF($F23="Annual",IF(AND(M$10&gt;=$H23,M$10&lt;$H23+IF($I23=0,MaxYears,$I23)),$G23,0),IF($F23="Periodic",IF(AND(M$10&gt;=$H23,MOD(M$10-$H23,MAX($I23,1))=0),$G23,0),0)))</f>
        <v>390000</v>
      </c>
      <c r="N23" s="50" t="n">
        <f aca="false">IF($F23="Spread",IF(AND(N$10&gt;=$H23,N$10&lt;$H23+MAX($I23,1)),$G23/MAX($I23,1),0),IF($F23="Annual",IF(AND(N$10&gt;=$H23,N$10&lt;$H23+IF($I23=0,MaxYears,$I23)),$G23,0),IF($F23="Periodic",IF(AND(N$10&gt;=$H23,MOD(N$10-$H23,MAX($I23,1))=0),$G23,0),0)))</f>
        <v>390000</v>
      </c>
      <c r="O23" s="50" t="n">
        <f aca="false">IF($F23="Spread",IF(AND(O$10&gt;=$H23,O$10&lt;$H23+MAX($I23,1)),$G23/MAX($I23,1),0),IF($F23="Annual",IF(AND(O$10&gt;=$H23,O$10&lt;$H23+IF($I23=0,MaxYears,$I23)),$G23,0),IF($F23="Periodic",IF(AND(O$10&gt;=$H23,MOD(O$10-$H23,MAX($I23,1))=0),$G23,0),0)))</f>
        <v>0</v>
      </c>
      <c r="P23" s="50" t="n">
        <f aca="false">IF($F23="Spread",IF(AND(P$10&gt;=$H23,P$10&lt;$H23+MAX($I23,1)),$G23/MAX($I23,1),0),IF($F23="Annual",IF(AND(P$10&gt;=$H23,P$10&lt;$H23+IF($I23=0,MaxYears,$I23)),$G23,0),IF($F23="Periodic",IF(AND(P$10&gt;=$H23,MOD(P$10-$H23,MAX($I23,1))=0),$G23,0),0)))</f>
        <v>0</v>
      </c>
      <c r="Q23" s="50" t="n">
        <f aca="false">IF($F23="Spread",IF(AND(Q$10&gt;=$H23,Q$10&lt;$H23+MAX($I23,1)),$G23/MAX($I23,1),0),IF($F23="Annual",IF(AND(Q$10&gt;=$H23,Q$10&lt;$H23+IF($I23=0,MaxYears,$I23)),$G23,0),IF($F23="Periodic",IF(AND(Q$10&gt;=$H23,MOD(Q$10-$H23,MAX($I23,1))=0),$G23,0),0)))</f>
        <v>0</v>
      </c>
      <c r="R23" s="50" t="n">
        <f aca="false">IF($F23="Spread",IF(AND(R$10&gt;=$H23,R$10&lt;$H23+MAX($I23,1)),$G23/MAX($I23,1),0),IF($F23="Annual",IF(AND(R$10&gt;=$H23,R$10&lt;$H23+IF($I23=0,MaxYears,$I23)),$G23,0),IF($F23="Periodic",IF(AND(R$10&gt;=$H23,MOD(R$10-$H23,MAX($I23,1))=0),$G23,0),0)))</f>
        <v>0</v>
      </c>
      <c r="S23" s="50" t="n">
        <f aca="false">IF($F23="Spread",IF(AND(S$10&gt;=$H23,S$10&lt;$H23+MAX($I23,1)),$G23/MAX($I23,1),0),IF($F23="Annual",IF(AND(S$10&gt;=$H23,S$10&lt;$H23+IF($I23=0,MaxYears,$I23)),$G23,0),IF($F23="Periodic",IF(AND(S$10&gt;=$H23,MOD(S$10-$H23,MAX($I23,1))=0),$G23,0),0)))</f>
        <v>0</v>
      </c>
      <c r="T23" s="50" t="n">
        <f aca="false">IF($F23="Spread",IF(AND(T$10&gt;=$H23,T$10&lt;$H23+MAX($I23,1)),$G23/MAX($I23,1),0),IF($F23="Annual",IF(AND(T$10&gt;=$H23,T$10&lt;$H23+IF($I23=0,MaxYears,$I23)),$G23,0),IF($F23="Periodic",IF(AND(T$10&gt;=$H23,MOD(T$10-$H23,MAX($I23,1))=0),$G23,0),0)))</f>
        <v>0</v>
      </c>
      <c r="U23" s="50" t="n">
        <f aca="false">IF($F23="Spread",IF(AND(U$10&gt;=$H23,U$10&lt;$H23+MAX($I23,1)),$G23/MAX($I23,1),0),IF($F23="Annual",IF(AND(U$10&gt;=$H23,U$10&lt;$H23+IF($I23=0,MaxYears,$I23)),$G23,0),IF($F23="Periodic",IF(AND(U$10&gt;=$H23,MOD(U$10-$H23,MAX($I23,1))=0),$G23,0),0)))</f>
        <v>0</v>
      </c>
      <c r="V23" s="50" t="n">
        <f aca="false">IF($F23="Spread",IF(AND(V$10&gt;=$H23,V$10&lt;$H23+MAX($I23,1)),$G23/MAX($I23,1),0),IF($F23="Annual",IF(AND(V$10&gt;=$H23,V$10&lt;$H23+IF($I23=0,MaxYears,$I23)),$G23,0),IF($F23="Periodic",IF(AND(V$10&gt;=$H23,MOD(V$10-$H23,MAX($I23,1))=0),$G23,0),0)))</f>
        <v>0</v>
      </c>
      <c r="W23" s="50" t="n">
        <f aca="false">IF($F23="Spread",IF(AND(W$10&gt;=$H23,W$10&lt;$H23+MAX($I23,1)),$G23/MAX($I23,1),0),IF($F23="Annual",IF(AND(W$10&gt;=$H23,W$10&lt;$H23+IF($I23=0,MaxYears,$I23)),$G23,0),IF($F23="Periodic",IF(AND(W$10&gt;=$H23,MOD(W$10-$H23,MAX($I23,1))=0),$G23,0),0)))</f>
        <v>0</v>
      </c>
      <c r="X23" s="50" t="n">
        <f aca="false">IF($F23="Spread",IF(AND(X$10&gt;=$H23,X$10&lt;$H23+MAX($I23,1)),$G23/MAX($I23,1),0),IF($F23="Annual",IF(AND(X$10&gt;=$H23,X$10&lt;$H23+IF($I23=0,MaxYears,$I23)),$G23,0),IF($F23="Periodic",IF(AND(X$10&gt;=$H23,MOD(X$10-$H23,MAX($I23,1))=0),$G23,0),0)))</f>
        <v>0</v>
      </c>
      <c r="Y23" s="50" t="n">
        <f aca="false">IF($F23="Spread",IF(AND(Y$10&gt;=$H23,Y$10&lt;$H23+MAX($I23,1)),$G23/MAX($I23,1),0),IF($F23="Annual",IF(AND(Y$10&gt;=$H23,Y$10&lt;$H23+IF($I23=0,MaxYears,$I23)),$G23,0),IF($F23="Periodic",IF(AND(Y$10&gt;=$H23,MOD(Y$10-$H23,MAX($I23,1))=0),$G23,0),0)))</f>
        <v>0</v>
      </c>
      <c r="Z23" s="50" t="n">
        <f aca="false">IF($F23="Spread",IF(AND(Z$10&gt;=$H23,Z$10&lt;$H23+MAX($I23,1)),$G23/MAX($I23,1),0),IF($F23="Annual",IF(AND(Z$10&gt;=$H23,Z$10&lt;$H23+IF($I23=0,MaxYears,$I23)),$G23,0),IF($F23="Periodic",IF(AND(Z$10&gt;=$H23,MOD(Z$10-$H23,MAX($I23,1))=0),$G23,0),0)))</f>
        <v>0</v>
      </c>
      <c r="AA23" s="50" t="n">
        <f aca="false">IF($F23="Spread",IF(AND(AA$10&gt;=$H23,AA$10&lt;$H23+MAX($I23,1)),$G23/MAX($I23,1),0),IF($F23="Annual",IF(AND(AA$10&gt;=$H23,AA$10&lt;$H23+IF($I23=0,MaxYears,$I23)),$G23,0),IF($F23="Periodic",IF(AND(AA$10&gt;=$H23,MOD(AA$10-$H23,MAX($I23,1))=0),$G23,0),0)))</f>
        <v>0</v>
      </c>
      <c r="AB23" s="50" t="n">
        <f aca="false">IF($F23="Spread",IF(AND(AB$10&gt;=$H23,AB$10&lt;$H23+MAX($I23,1)),$G23/MAX($I23,1),0),IF($F23="Annual",IF(AND(AB$10&gt;=$H23,AB$10&lt;$H23+IF($I23=0,MaxYears,$I23)),$G23,0),IF($F23="Periodic",IF(AND(AB$10&gt;=$H23,MOD(AB$10-$H23,MAX($I23,1))=0),$G23,0),0)))</f>
        <v>0</v>
      </c>
      <c r="AC23" s="50" t="n">
        <f aca="false">IF($F23="Spread",IF(AND(AC$10&gt;=$H23,AC$10&lt;$H23+MAX($I23,1)),$G23/MAX($I23,1),0),IF($F23="Annual",IF(AND(AC$10&gt;=$H23,AC$10&lt;$H23+IF($I23=0,MaxYears,$I23)),$G23,0),IF($F23="Periodic",IF(AND(AC$10&gt;=$H23,MOD(AC$10-$H23,MAX($I23,1))=0),$G23,0),0)))</f>
        <v>0</v>
      </c>
      <c r="AD23" s="50" t="n">
        <f aca="false">IF($F23="Spread",IF(AND(AD$10&gt;=$H23,AD$10&lt;$H23+MAX($I23,1)),$G23/MAX($I23,1),0),IF($F23="Annual",IF(AND(AD$10&gt;=$H23,AD$10&lt;$H23+IF($I23=0,MaxYears,$I23)),$G23,0),IF($F23="Periodic",IF(AND(AD$10&gt;=$H23,MOD(AD$10-$H23,MAX($I23,1))=0),$G23,0),0)))</f>
        <v>0</v>
      </c>
      <c r="AE23" s="50" t="n">
        <f aca="false">IF($F23="Spread",IF(AND(AE$10&gt;=$H23,AE$10&lt;$H23+MAX($I23,1)),$G23/MAX($I23,1),0),IF($F23="Annual",IF(AND(AE$10&gt;=$H23,AE$10&lt;$H23+IF($I23=0,MaxYears,$I23)),$G23,0),IF($F23="Periodic",IF(AND(AE$10&gt;=$H23,MOD(AE$10-$H23,MAX($I23,1))=0),$G23,0),0)))</f>
        <v>0</v>
      </c>
      <c r="AF23" s="50" t="n">
        <f aca="false">IF($F23="Spread",IF(AND(AF$10&gt;=$H23,AF$10&lt;$H23+MAX($I23,1)),$G23/MAX($I23,1),0),IF($F23="Annual",IF(AND(AF$10&gt;=$H23,AF$10&lt;$H23+IF($I23=0,MaxYears,$I23)),$G23,0),IF($F23="Periodic",IF(AND(AF$10&gt;=$H23,MOD(AF$10-$H23,MAX($I23,1))=0),$G23,0),0)))</f>
        <v>0</v>
      </c>
      <c r="AG23" s="50" t="n">
        <f aca="false">IF($F23="Spread",IF(AND(AG$10&gt;=$H23,AG$10&lt;$H23+MAX($I23,1)),$G23/MAX($I23,1),0),IF($F23="Annual",IF(AND(AG$10&gt;=$H23,AG$10&lt;$H23+IF($I23=0,MaxYears,$I23)),$G23,0),IF($F23="Periodic",IF(AND(AG$10&gt;=$H23,MOD(AG$10-$H23,MAX($I23,1))=0),$G23,0),0)))</f>
        <v>0</v>
      </c>
      <c r="AH23" s="50" t="n">
        <f aca="false">IF($F23="Spread",IF(AND(AH$10&gt;=$H23,AH$10&lt;$H23+MAX($I23,1)),$G23/MAX($I23,1),0),IF($F23="Annual",IF(AND(AH$10&gt;=$H23,AH$10&lt;$H23+IF($I23=0,MaxYears,$I23)),$G23,0),IF($F23="Periodic",IF(AND(AH$10&gt;=$H23,MOD(AH$10-$H23,MAX($I23,1))=0),$G23,0),0)))</f>
        <v>0</v>
      </c>
      <c r="AI23" s="50" t="n">
        <f aca="false">IF($F23="Spread",IF(AND(AI$10&gt;=$H23,AI$10&lt;$H23+MAX($I23,1)),$G23/MAX($I23,1),0),IF($F23="Annual",IF(AND(AI$10&gt;=$H23,AI$10&lt;$H23+IF($I23=0,MaxYears,$I23)),$G23,0),IF($F23="Periodic",IF(AND(AI$10&gt;=$H23,MOD(AI$10-$H23,MAX($I23,1))=0),$G23,0),0)))</f>
        <v>0</v>
      </c>
      <c r="AJ23" s="50" t="n">
        <f aca="false">IF($F23="Spread",IF(AND(AJ$10&gt;=$H23,AJ$10&lt;$H23+MAX($I23,1)),$G23/MAX($I23,1),0),IF($F23="Annual",IF(AND(AJ$10&gt;=$H23,AJ$10&lt;$H23+IF($I23=0,MaxYears,$I23)),$G23,0),IF($F23="Periodic",IF(AND(AJ$10&gt;=$H23,MOD(AJ$10-$H23,MAX($I23,1))=0),$G23,0),0)))</f>
        <v>0</v>
      </c>
      <c r="AK23" s="50" t="n">
        <f aca="false">IF($F23="Spread",IF(AND(AK$10&gt;=$H23,AK$10&lt;$H23+MAX($I23,1)),$G23/MAX($I23,1),0),IF($F23="Annual",IF(AND(AK$10&gt;=$H23,AK$10&lt;$H23+IF($I23=0,MaxYears,$I23)),$G23,0),IF($F23="Periodic",IF(AND(AK$10&gt;=$H23,MOD(AK$10-$H23,MAX($I23,1))=0),$G23,0),0)))</f>
        <v>0</v>
      </c>
      <c r="AL23" s="50" t="n">
        <f aca="false">IF($F23="Spread",IF(AND(AL$10&gt;=$H23,AL$10&lt;$H23+MAX($I23,1)),$G23/MAX($I23,1),0),IF($F23="Annual",IF(AND(AL$10&gt;=$H23,AL$10&lt;$H23+IF($I23=0,MaxYears,$I23)),$G23,0),IF($F23="Periodic",IF(AND(AL$10&gt;=$H23,MOD(AL$10-$H23,MAX($I23,1))=0),$G23,0),0)))</f>
        <v>0</v>
      </c>
      <c r="AM23" s="50" t="n">
        <f aca="false">IF($F23="Spread",IF(AND(AM$10&gt;=$H23,AM$10&lt;$H23+MAX($I23,1)),$G23/MAX($I23,1),0),IF($F23="Annual",IF(AND(AM$10&gt;=$H23,AM$10&lt;$H23+IF($I23=0,MaxYears,$I23)),$G23,0),IF($F23="Periodic",IF(AND(AM$10&gt;=$H23,MOD(AM$10-$H23,MAX($I23,1))=0),$G23,0),0)))</f>
        <v>0</v>
      </c>
      <c r="AN23" s="50" t="n">
        <f aca="false">IF($F23="Spread",IF(AND(AN$10&gt;=$H23,AN$10&lt;$H23+MAX($I23,1)),$G23/MAX($I23,1),0),IF($F23="Annual",IF(AND(AN$10&gt;=$H23,AN$10&lt;$H23+IF($I23=0,MaxYears,$I23)),$G23,0),IF($F23="Periodic",IF(AND(AN$10&gt;=$H23,MOD(AN$10-$H23,MAX($I23,1))=0),$G23,0),0)))</f>
        <v>0</v>
      </c>
      <c r="AO23" s="50" t="n">
        <f aca="false">IF($F23="Spread",IF(AND(AO$10&gt;=$H23,AO$10&lt;$H23+MAX($I23,1)),$G23/MAX($I23,1),0),IF($F23="Annual",IF(AND(AO$10&gt;=$H23,AO$10&lt;$H23+IF($I23=0,MaxYears,$I23)),$G23,0),IF($F23="Periodic",IF(AND(AO$10&gt;=$H23,MOD(AO$10-$H23,MAX($I23,1))=0),$G23,0),0)))</f>
        <v>0</v>
      </c>
      <c r="AP23" s="50" t="n">
        <f aca="false">IF($F23="Spread",IF(AND(AP$10&gt;=$H23,AP$10&lt;$H23+MAX($I23,1)),$G23/MAX($I23,1),0),IF($F23="Annual",IF(AND(AP$10&gt;=$H23,AP$10&lt;$H23+IF($I23=0,MaxYears,$I23)),$G23,0),IF($F23="Periodic",IF(AND(AP$10&gt;=$H23,MOD(AP$10-$H23,MAX($I23,1))=0),$G23,0),0)))</f>
        <v>0</v>
      </c>
      <c r="AQ23" s="50" t="n">
        <f aca="false">IF($F23="Spread",IF(AND(AQ$10&gt;=$H23,AQ$10&lt;$H23+MAX($I23,1)),$G23/MAX($I23,1),0),IF($F23="Annual",IF(AND(AQ$10&gt;=$H23,AQ$10&lt;$H23+IF($I23=0,MaxYears,$I23)),$G23,0),IF($F23="Periodic",IF(AND(AQ$10&gt;=$H23,MOD(AQ$10-$H23,MAX($I23,1))=0),$G23,0),0)))</f>
        <v>0</v>
      </c>
      <c r="AR23" s="50" t="n">
        <f aca="false">IF($F23="Spread",IF(AND(AR$10&gt;=$H23,AR$10&lt;$H23+MAX($I23,1)),$G23/MAX($I23,1),0),IF($F23="Annual",IF(AND(AR$10&gt;=$H23,AR$10&lt;$H23+IF($I23=0,MaxYears,$I23)),$G23,0),IF($F23="Periodic",IF(AND(AR$10&gt;=$H23,MOD(AR$10-$H23,MAX($I23,1))=0),$G23,0),0)))</f>
        <v>0</v>
      </c>
      <c r="AS23" s="50" t="n">
        <f aca="false">IF($F23="Spread",IF(AND(AS$10&gt;=$H23,AS$10&lt;$H23+MAX($I23,1)),$G23/MAX($I23,1),0),IF($F23="Annual",IF(AND(AS$10&gt;=$H23,AS$10&lt;$H23+IF($I23=0,MaxYears,$I23)),$G23,0),IF($F23="Periodic",IF(AND(AS$10&gt;=$H23,MOD(AS$10-$H23,MAX($I23,1))=0),$G23,0),0)))</f>
        <v>0</v>
      </c>
      <c r="AT23" s="50" t="n">
        <f aca="false">IF($F23="Spread",IF(AND(AT$10&gt;=$H23,AT$10&lt;$H23+MAX($I23,1)),$G23/MAX($I23,1),0),IF($F23="Annual",IF(AND(AT$10&gt;=$H23,AT$10&lt;$H23+IF($I23=0,MaxYears,$I23)),$G23,0),IF($F23="Periodic",IF(AND(AT$10&gt;=$H23,MOD(AT$10-$H23,MAX($I23,1))=0),$G23,0),0)))</f>
        <v>0</v>
      </c>
      <c r="AU23" s="50" t="n">
        <f aca="false">IF($F23="Spread",IF(AND(AU$10&gt;=$H23,AU$10&lt;$H23+MAX($I23,1)),$G23/MAX($I23,1),0),IF($F23="Annual",IF(AND(AU$10&gt;=$H23,AU$10&lt;$H23+IF($I23=0,MaxYears,$I23)),$G23,0),IF($F23="Periodic",IF(AND(AU$10&gt;=$H23,MOD(AU$10-$H23,MAX($I23,1))=0),$G23,0),0)))</f>
        <v>0</v>
      </c>
      <c r="AV23" s="50" t="n">
        <f aca="false">IF($F23="Spread",IF(AND(AV$10&gt;=$H23,AV$10&lt;$H23+MAX($I23,1)),$G23/MAX($I23,1),0),IF($F23="Annual",IF(AND(AV$10&gt;=$H23,AV$10&lt;$H23+IF($I23=0,MaxYears,$I23)),$G23,0),IF($F23="Periodic",IF(AND(AV$10&gt;=$H23,MOD(AV$10-$H23,MAX($I23,1))=0),$G23,0),0)))</f>
        <v>0</v>
      </c>
      <c r="AW23" s="50" t="n">
        <f aca="false">IF($F23="Spread",IF(AND(AW$10&gt;=$H23,AW$10&lt;$H23+MAX($I23,1)),$G23/MAX($I23,1),0),IF($F23="Annual",IF(AND(AW$10&gt;=$H23,AW$10&lt;$H23+IF($I23=0,MaxYears,$I23)),$G23,0),IF($F23="Periodic",IF(AND(AW$10&gt;=$H23,MOD(AW$10-$H23,MAX($I23,1))=0),$G23,0),0)))</f>
        <v>0</v>
      </c>
      <c r="AX23" s="50" t="n">
        <f aca="false">IF($F23="Spread",IF(AND(AX$10&gt;=$H23,AX$10&lt;$H23+MAX($I23,1)),$G23/MAX($I23,1),0),IF($F23="Annual",IF(AND(AX$10&gt;=$H23,AX$10&lt;$H23+IF($I23=0,MaxYears,$I23)),$G23,0),IF($F23="Periodic",IF(AND(AX$10&gt;=$H23,MOD(AX$10-$H23,MAX($I23,1))=0),$G23,0),0)))</f>
        <v>0</v>
      </c>
      <c r="AY23" s="50" t="n">
        <f aca="false">IF($F23="Spread",IF(AND(AY$10&gt;=$H23,AY$10&lt;$H23+MAX($I23,1)),$G23/MAX($I23,1),0),IF($F23="Annual",IF(AND(AY$10&gt;=$H23,AY$10&lt;$H23+IF($I23=0,MaxYears,$I23)),$G23,0),IF($F23="Periodic",IF(AND(AY$10&gt;=$H23,MOD(AY$10-$H23,MAX($I23,1))=0),$G23,0),0)))</f>
        <v>0</v>
      </c>
      <c r="AZ23" s="50" t="n">
        <f aca="false">IF($F23="Spread",IF(AND(AZ$10&gt;=$H23,AZ$10&lt;$H23+MAX($I23,1)),$G23/MAX($I23,1),0),IF($F23="Annual",IF(AND(AZ$10&gt;=$H23,AZ$10&lt;$H23+IF($I23=0,MaxYears,$I23)),$G23,0),IF($F23="Periodic",IF(AND(AZ$10&gt;=$H23,MOD(AZ$10-$H23,MAX($I23,1))=0),$G23,0),0)))</f>
        <v>0</v>
      </c>
    </row>
    <row r="24" customFormat="false" ht="27.75" hidden="false" customHeight="true" outlineLevel="0" collapsed="false">
      <c r="B24" s="25" t="s">
        <v>300</v>
      </c>
      <c r="C24" s="45" t="s">
        <v>297</v>
      </c>
      <c r="D24" s="45" t="s">
        <v>301</v>
      </c>
      <c r="E24" s="46" t="s">
        <v>257</v>
      </c>
      <c r="F24" s="46" t="s">
        <v>258</v>
      </c>
      <c r="G24" s="47" t="n">
        <v>900000</v>
      </c>
      <c r="H24" s="48" t="n">
        <v>0</v>
      </c>
      <c r="I24" s="48" t="n">
        <v>1</v>
      </c>
      <c r="J24" s="45" t="s">
        <v>302</v>
      </c>
      <c r="K24" s="46" t="s">
        <v>260</v>
      </c>
      <c r="L24" s="49" t="n">
        <f aca="false">SUM(M24:AZ24)</f>
        <v>900000</v>
      </c>
      <c r="M24" s="50" t="n">
        <f aca="false">IF($F24="Spread",IF(AND(M$10&gt;=$H24,M$10&lt;$H24+MAX($I24,1)),$G24/MAX($I24,1),0),IF($F24="Annual",IF(AND(M$10&gt;=$H24,M$10&lt;$H24+IF($I24=0,MaxYears,$I24)),$G24,0),IF($F24="Periodic",IF(AND(M$10&gt;=$H24,MOD(M$10-$H24,MAX($I24,1))=0),$G24,0),0)))</f>
        <v>900000</v>
      </c>
      <c r="N24" s="50" t="n">
        <f aca="false">IF($F24="Spread",IF(AND(N$10&gt;=$H24,N$10&lt;$H24+MAX($I24,1)),$G24/MAX($I24,1),0),IF($F24="Annual",IF(AND(N$10&gt;=$H24,N$10&lt;$H24+IF($I24=0,MaxYears,$I24)),$G24,0),IF($F24="Periodic",IF(AND(N$10&gt;=$H24,MOD(N$10-$H24,MAX($I24,1))=0),$G24,0),0)))</f>
        <v>0</v>
      </c>
      <c r="O24" s="50" t="n">
        <f aca="false">IF($F24="Spread",IF(AND(O$10&gt;=$H24,O$10&lt;$H24+MAX($I24,1)),$G24/MAX($I24,1),0),IF($F24="Annual",IF(AND(O$10&gt;=$H24,O$10&lt;$H24+IF($I24=0,MaxYears,$I24)),$G24,0),IF($F24="Periodic",IF(AND(O$10&gt;=$H24,MOD(O$10-$H24,MAX($I24,1))=0),$G24,0),0)))</f>
        <v>0</v>
      </c>
      <c r="P24" s="50" t="n">
        <f aca="false">IF($F24="Spread",IF(AND(P$10&gt;=$H24,P$10&lt;$H24+MAX($I24,1)),$G24/MAX($I24,1),0),IF($F24="Annual",IF(AND(P$10&gt;=$H24,P$10&lt;$H24+IF($I24=0,MaxYears,$I24)),$G24,0),IF($F24="Periodic",IF(AND(P$10&gt;=$H24,MOD(P$10-$H24,MAX($I24,1))=0),$G24,0),0)))</f>
        <v>0</v>
      </c>
      <c r="Q24" s="50" t="n">
        <f aca="false">IF($F24="Spread",IF(AND(Q$10&gt;=$H24,Q$10&lt;$H24+MAX($I24,1)),$G24/MAX($I24,1),0),IF($F24="Annual",IF(AND(Q$10&gt;=$H24,Q$10&lt;$H24+IF($I24=0,MaxYears,$I24)),$G24,0),IF($F24="Periodic",IF(AND(Q$10&gt;=$H24,MOD(Q$10-$H24,MAX($I24,1))=0),$G24,0),0)))</f>
        <v>0</v>
      </c>
      <c r="R24" s="50" t="n">
        <f aca="false">IF($F24="Spread",IF(AND(R$10&gt;=$H24,R$10&lt;$H24+MAX($I24,1)),$G24/MAX($I24,1),0),IF($F24="Annual",IF(AND(R$10&gt;=$H24,R$10&lt;$H24+IF($I24=0,MaxYears,$I24)),$G24,0),IF($F24="Periodic",IF(AND(R$10&gt;=$H24,MOD(R$10-$H24,MAX($I24,1))=0),$G24,0),0)))</f>
        <v>0</v>
      </c>
      <c r="S24" s="50" t="n">
        <f aca="false">IF($F24="Spread",IF(AND(S$10&gt;=$H24,S$10&lt;$H24+MAX($I24,1)),$G24/MAX($I24,1),0),IF($F24="Annual",IF(AND(S$10&gt;=$H24,S$10&lt;$H24+IF($I24=0,MaxYears,$I24)),$G24,0),IF($F24="Periodic",IF(AND(S$10&gt;=$H24,MOD(S$10-$H24,MAX($I24,1))=0),$G24,0),0)))</f>
        <v>0</v>
      </c>
      <c r="T24" s="50" t="n">
        <f aca="false">IF($F24="Spread",IF(AND(T$10&gt;=$H24,T$10&lt;$H24+MAX($I24,1)),$G24/MAX($I24,1),0),IF($F24="Annual",IF(AND(T$10&gt;=$H24,T$10&lt;$H24+IF($I24=0,MaxYears,$I24)),$G24,0),IF($F24="Periodic",IF(AND(T$10&gt;=$H24,MOD(T$10-$H24,MAX($I24,1))=0),$G24,0),0)))</f>
        <v>0</v>
      </c>
      <c r="U24" s="50" t="n">
        <f aca="false">IF($F24="Spread",IF(AND(U$10&gt;=$H24,U$10&lt;$H24+MAX($I24,1)),$G24/MAX($I24,1),0),IF($F24="Annual",IF(AND(U$10&gt;=$H24,U$10&lt;$H24+IF($I24=0,MaxYears,$I24)),$G24,0),IF($F24="Periodic",IF(AND(U$10&gt;=$H24,MOD(U$10-$H24,MAX($I24,1))=0),$G24,0),0)))</f>
        <v>0</v>
      </c>
      <c r="V24" s="50" t="n">
        <f aca="false">IF($F24="Spread",IF(AND(V$10&gt;=$H24,V$10&lt;$H24+MAX($I24,1)),$G24/MAX($I24,1),0),IF($F24="Annual",IF(AND(V$10&gt;=$H24,V$10&lt;$H24+IF($I24=0,MaxYears,$I24)),$G24,0),IF($F24="Periodic",IF(AND(V$10&gt;=$H24,MOD(V$10-$H24,MAX($I24,1))=0),$G24,0),0)))</f>
        <v>0</v>
      </c>
      <c r="W24" s="50" t="n">
        <f aca="false">IF($F24="Spread",IF(AND(W$10&gt;=$H24,W$10&lt;$H24+MAX($I24,1)),$G24/MAX($I24,1),0),IF($F24="Annual",IF(AND(W$10&gt;=$H24,W$10&lt;$H24+IF($I24=0,MaxYears,$I24)),$G24,0),IF($F24="Periodic",IF(AND(W$10&gt;=$H24,MOD(W$10-$H24,MAX($I24,1))=0),$G24,0),0)))</f>
        <v>0</v>
      </c>
      <c r="X24" s="50" t="n">
        <f aca="false">IF($F24="Spread",IF(AND(X$10&gt;=$H24,X$10&lt;$H24+MAX($I24,1)),$G24/MAX($I24,1),0),IF($F24="Annual",IF(AND(X$10&gt;=$H24,X$10&lt;$H24+IF($I24=0,MaxYears,$I24)),$G24,0),IF($F24="Periodic",IF(AND(X$10&gt;=$H24,MOD(X$10-$H24,MAX($I24,1))=0),$G24,0),0)))</f>
        <v>0</v>
      </c>
      <c r="Y24" s="50" t="n">
        <f aca="false">IF($F24="Spread",IF(AND(Y$10&gt;=$H24,Y$10&lt;$H24+MAX($I24,1)),$G24/MAX($I24,1),0),IF($F24="Annual",IF(AND(Y$10&gt;=$H24,Y$10&lt;$H24+IF($I24=0,MaxYears,$I24)),$G24,0),IF($F24="Periodic",IF(AND(Y$10&gt;=$H24,MOD(Y$10-$H24,MAX($I24,1))=0),$G24,0),0)))</f>
        <v>0</v>
      </c>
      <c r="Z24" s="50" t="n">
        <f aca="false">IF($F24="Spread",IF(AND(Z$10&gt;=$H24,Z$10&lt;$H24+MAX($I24,1)),$G24/MAX($I24,1),0),IF($F24="Annual",IF(AND(Z$10&gt;=$H24,Z$10&lt;$H24+IF($I24=0,MaxYears,$I24)),$G24,0),IF($F24="Periodic",IF(AND(Z$10&gt;=$H24,MOD(Z$10-$H24,MAX($I24,1))=0),$G24,0),0)))</f>
        <v>0</v>
      </c>
      <c r="AA24" s="50" t="n">
        <f aca="false">IF($F24="Spread",IF(AND(AA$10&gt;=$H24,AA$10&lt;$H24+MAX($I24,1)),$G24/MAX($I24,1),0),IF($F24="Annual",IF(AND(AA$10&gt;=$H24,AA$10&lt;$H24+IF($I24=0,MaxYears,$I24)),$G24,0),IF($F24="Periodic",IF(AND(AA$10&gt;=$H24,MOD(AA$10-$H24,MAX($I24,1))=0),$G24,0),0)))</f>
        <v>0</v>
      </c>
      <c r="AB24" s="50" t="n">
        <f aca="false">IF($F24="Spread",IF(AND(AB$10&gt;=$H24,AB$10&lt;$H24+MAX($I24,1)),$G24/MAX($I24,1),0),IF($F24="Annual",IF(AND(AB$10&gt;=$H24,AB$10&lt;$H24+IF($I24=0,MaxYears,$I24)),$G24,0),IF($F24="Periodic",IF(AND(AB$10&gt;=$H24,MOD(AB$10-$H24,MAX($I24,1))=0),$G24,0),0)))</f>
        <v>0</v>
      </c>
      <c r="AC24" s="50" t="n">
        <f aca="false">IF($F24="Spread",IF(AND(AC$10&gt;=$H24,AC$10&lt;$H24+MAX($I24,1)),$G24/MAX($I24,1),0),IF($F24="Annual",IF(AND(AC$10&gt;=$H24,AC$10&lt;$H24+IF($I24=0,MaxYears,$I24)),$G24,0),IF($F24="Periodic",IF(AND(AC$10&gt;=$H24,MOD(AC$10-$H24,MAX($I24,1))=0),$G24,0),0)))</f>
        <v>0</v>
      </c>
      <c r="AD24" s="50" t="n">
        <f aca="false">IF($F24="Spread",IF(AND(AD$10&gt;=$H24,AD$10&lt;$H24+MAX($I24,1)),$G24/MAX($I24,1),0),IF($F24="Annual",IF(AND(AD$10&gt;=$H24,AD$10&lt;$H24+IF($I24=0,MaxYears,$I24)),$G24,0),IF($F24="Periodic",IF(AND(AD$10&gt;=$H24,MOD(AD$10-$H24,MAX($I24,1))=0),$G24,0),0)))</f>
        <v>0</v>
      </c>
      <c r="AE24" s="50" t="n">
        <f aca="false">IF($F24="Spread",IF(AND(AE$10&gt;=$H24,AE$10&lt;$H24+MAX($I24,1)),$G24/MAX($I24,1),0),IF($F24="Annual",IF(AND(AE$10&gt;=$H24,AE$10&lt;$H24+IF($I24=0,MaxYears,$I24)),$G24,0),IF($F24="Periodic",IF(AND(AE$10&gt;=$H24,MOD(AE$10-$H24,MAX($I24,1))=0),$G24,0),0)))</f>
        <v>0</v>
      </c>
      <c r="AF24" s="50" t="n">
        <f aca="false">IF($F24="Spread",IF(AND(AF$10&gt;=$H24,AF$10&lt;$H24+MAX($I24,1)),$G24/MAX($I24,1),0),IF($F24="Annual",IF(AND(AF$10&gt;=$H24,AF$10&lt;$H24+IF($I24=0,MaxYears,$I24)),$G24,0),IF($F24="Periodic",IF(AND(AF$10&gt;=$H24,MOD(AF$10-$H24,MAX($I24,1))=0),$G24,0),0)))</f>
        <v>0</v>
      </c>
      <c r="AG24" s="50" t="n">
        <f aca="false">IF($F24="Spread",IF(AND(AG$10&gt;=$H24,AG$10&lt;$H24+MAX($I24,1)),$G24/MAX($I24,1),0),IF($F24="Annual",IF(AND(AG$10&gt;=$H24,AG$10&lt;$H24+IF($I24=0,MaxYears,$I24)),$G24,0),IF($F24="Periodic",IF(AND(AG$10&gt;=$H24,MOD(AG$10-$H24,MAX($I24,1))=0),$G24,0),0)))</f>
        <v>0</v>
      </c>
      <c r="AH24" s="50" t="n">
        <f aca="false">IF($F24="Spread",IF(AND(AH$10&gt;=$H24,AH$10&lt;$H24+MAX($I24,1)),$G24/MAX($I24,1),0),IF($F24="Annual",IF(AND(AH$10&gt;=$H24,AH$10&lt;$H24+IF($I24=0,MaxYears,$I24)),$G24,0),IF($F24="Periodic",IF(AND(AH$10&gt;=$H24,MOD(AH$10-$H24,MAX($I24,1))=0),$G24,0),0)))</f>
        <v>0</v>
      </c>
      <c r="AI24" s="50" t="n">
        <f aca="false">IF($F24="Spread",IF(AND(AI$10&gt;=$H24,AI$10&lt;$H24+MAX($I24,1)),$G24/MAX($I24,1),0),IF($F24="Annual",IF(AND(AI$10&gt;=$H24,AI$10&lt;$H24+IF($I24=0,MaxYears,$I24)),$G24,0),IF($F24="Periodic",IF(AND(AI$10&gt;=$H24,MOD(AI$10-$H24,MAX($I24,1))=0),$G24,0),0)))</f>
        <v>0</v>
      </c>
      <c r="AJ24" s="50" t="n">
        <f aca="false">IF($F24="Spread",IF(AND(AJ$10&gt;=$H24,AJ$10&lt;$H24+MAX($I24,1)),$G24/MAX($I24,1),0),IF($F24="Annual",IF(AND(AJ$10&gt;=$H24,AJ$10&lt;$H24+IF($I24=0,MaxYears,$I24)),$G24,0),IF($F24="Periodic",IF(AND(AJ$10&gt;=$H24,MOD(AJ$10-$H24,MAX($I24,1))=0),$G24,0),0)))</f>
        <v>0</v>
      </c>
      <c r="AK24" s="50" t="n">
        <f aca="false">IF($F24="Spread",IF(AND(AK$10&gt;=$H24,AK$10&lt;$H24+MAX($I24,1)),$G24/MAX($I24,1),0),IF($F24="Annual",IF(AND(AK$10&gt;=$H24,AK$10&lt;$H24+IF($I24=0,MaxYears,$I24)),$G24,0),IF($F24="Periodic",IF(AND(AK$10&gt;=$H24,MOD(AK$10-$H24,MAX($I24,1))=0),$G24,0),0)))</f>
        <v>0</v>
      </c>
      <c r="AL24" s="50" t="n">
        <f aca="false">IF($F24="Spread",IF(AND(AL$10&gt;=$H24,AL$10&lt;$H24+MAX($I24,1)),$G24/MAX($I24,1),0),IF($F24="Annual",IF(AND(AL$10&gt;=$H24,AL$10&lt;$H24+IF($I24=0,MaxYears,$I24)),$G24,0),IF($F24="Periodic",IF(AND(AL$10&gt;=$H24,MOD(AL$10-$H24,MAX($I24,1))=0),$G24,0),0)))</f>
        <v>0</v>
      </c>
      <c r="AM24" s="50" t="n">
        <f aca="false">IF($F24="Spread",IF(AND(AM$10&gt;=$H24,AM$10&lt;$H24+MAX($I24,1)),$G24/MAX($I24,1),0),IF($F24="Annual",IF(AND(AM$10&gt;=$H24,AM$10&lt;$H24+IF($I24=0,MaxYears,$I24)),$G24,0),IF($F24="Periodic",IF(AND(AM$10&gt;=$H24,MOD(AM$10-$H24,MAX($I24,1))=0),$G24,0),0)))</f>
        <v>0</v>
      </c>
      <c r="AN24" s="50" t="n">
        <f aca="false">IF($F24="Spread",IF(AND(AN$10&gt;=$H24,AN$10&lt;$H24+MAX($I24,1)),$G24/MAX($I24,1),0),IF($F24="Annual",IF(AND(AN$10&gt;=$H24,AN$10&lt;$H24+IF($I24=0,MaxYears,$I24)),$G24,0),IF($F24="Periodic",IF(AND(AN$10&gt;=$H24,MOD(AN$10-$H24,MAX($I24,1))=0),$G24,0),0)))</f>
        <v>0</v>
      </c>
      <c r="AO24" s="50" t="n">
        <f aca="false">IF($F24="Spread",IF(AND(AO$10&gt;=$H24,AO$10&lt;$H24+MAX($I24,1)),$G24/MAX($I24,1),0),IF($F24="Annual",IF(AND(AO$10&gt;=$H24,AO$10&lt;$H24+IF($I24=0,MaxYears,$I24)),$G24,0),IF($F24="Periodic",IF(AND(AO$10&gt;=$H24,MOD(AO$10-$H24,MAX($I24,1))=0),$G24,0),0)))</f>
        <v>0</v>
      </c>
      <c r="AP24" s="50" t="n">
        <f aca="false">IF($F24="Spread",IF(AND(AP$10&gt;=$H24,AP$10&lt;$H24+MAX($I24,1)),$G24/MAX($I24,1),0),IF($F24="Annual",IF(AND(AP$10&gt;=$H24,AP$10&lt;$H24+IF($I24=0,MaxYears,$I24)),$G24,0),IF($F24="Periodic",IF(AND(AP$10&gt;=$H24,MOD(AP$10-$H24,MAX($I24,1))=0),$G24,0),0)))</f>
        <v>0</v>
      </c>
      <c r="AQ24" s="50" t="n">
        <f aca="false">IF($F24="Spread",IF(AND(AQ$10&gt;=$H24,AQ$10&lt;$H24+MAX($I24,1)),$G24/MAX($I24,1),0),IF($F24="Annual",IF(AND(AQ$10&gt;=$H24,AQ$10&lt;$H24+IF($I24=0,MaxYears,$I24)),$G24,0),IF($F24="Periodic",IF(AND(AQ$10&gt;=$H24,MOD(AQ$10-$H24,MAX($I24,1))=0),$G24,0),0)))</f>
        <v>0</v>
      </c>
      <c r="AR24" s="50" t="n">
        <f aca="false">IF($F24="Spread",IF(AND(AR$10&gt;=$H24,AR$10&lt;$H24+MAX($I24,1)),$G24/MAX($I24,1),0),IF($F24="Annual",IF(AND(AR$10&gt;=$H24,AR$10&lt;$H24+IF($I24=0,MaxYears,$I24)),$G24,0),IF($F24="Periodic",IF(AND(AR$10&gt;=$H24,MOD(AR$10-$H24,MAX($I24,1))=0),$G24,0),0)))</f>
        <v>0</v>
      </c>
      <c r="AS24" s="50" t="n">
        <f aca="false">IF($F24="Spread",IF(AND(AS$10&gt;=$H24,AS$10&lt;$H24+MAX($I24,1)),$G24/MAX($I24,1),0),IF($F24="Annual",IF(AND(AS$10&gt;=$H24,AS$10&lt;$H24+IF($I24=0,MaxYears,$I24)),$G24,0),IF($F24="Periodic",IF(AND(AS$10&gt;=$H24,MOD(AS$10-$H24,MAX($I24,1))=0),$G24,0),0)))</f>
        <v>0</v>
      </c>
      <c r="AT24" s="50" t="n">
        <f aca="false">IF($F24="Spread",IF(AND(AT$10&gt;=$H24,AT$10&lt;$H24+MAX($I24,1)),$G24/MAX($I24,1),0),IF($F24="Annual",IF(AND(AT$10&gt;=$H24,AT$10&lt;$H24+IF($I24=0,MaxYears,$I24)),$G24,0),IF($F24="Periodic",IF(AND(AT$10&gt;=$H24,MOD(AT$10-$H24,MAX($I24,1))=0),$G24,0),0)))</f>
        <v>0</v>
      </c>
      <c r="AU24" s="50" t="n">
        <f aca="false">IF($F24="Spread",IF(AND(AU$10&gt;=$H24,AU$10&lt;$H24+MAX($I24,1)),$G24/MAX($I24,1),0),IF($F24="Annual",IF(AND(AU$10&gt;=$H24,AU$10&lt;$H24+IF($I24=0,MaxYears,$I24)),$G24,0),IF($F24="Periodic",IF(AND(AU$10&gt;=$H24,MOD(AU$10-$H24,MAX($I24,1))=0),$G24,0),0)))</f>
        <v>0</v>
      </c>
      <c r="AV24" s="50" t="n">
        <f aca="false">IF($F24="Spread",IF(AND(AV$10&gt;=$H24,AV$10&lt;$H24+MAX($I24,1)),$G24/MAX($I24,1),0),IF($F24="Annual",IF(AND(AV$10&gt;=$H24,AV$10&lt;$H24+IF($I24=0,MaxYears,$I24)),$G24,0),IF($F24="Periodic",IF(AND(AV$10&gt;=$H24,MOD(AV$10-$H24,MAX($I24,1))=0),$G24,0),0)))</f>
        <v>0</v>
      </c>
      <c r="AW24" s="50" t="n">
        <f aca="false">IF($F24="Spread",IF(AND(AW$10&gt;=$H24,AW$10&lt;$H24+MAX($I24,1)),$G24/MAX($I24,1),0),IF($F24="Annual",IF(AND(AW$10&gt;=$H24,AW$10&lt;$H24+IF($I24=0,MaxYears,$I24)),$G24,0),IF($F24="Periodic",IF(AND(AW$10&gt;=$H24,MOD(AW$10-$H24,MAX($I24,1))=0),$G24,0),0)))</f>
        <v>0</v>
      </c>
      <c r="AX24" s="50" t="n">
        <f aca="false">IF($F24="Spread",IF(AND(AX$10&gt;=$H24,AX$10&lt;$H24+MAX($I24,1)),$G24/MAX($I24,1),0),IF($F24="Annual",IF(AND(AX$10&gt;=$H24,AX$10&lt;$H24+IF($I24=0,MaxYears,$I24)),$G24,0),IF($F24="Periodic",IF(AND(AX$10&gt;=$H24,MOD(AX$10-$H24,MAX($I24,1))=0),$G24,0),0)))</f>
        <v>0</v>
      </c>
      <c r="AY24" s="50" t="n">
        <f aca="false">IF($F24="Spread",IF(AND(AY$10&gt;=$H24,AY$10&lt;$H24+MAX($I24,1)),$G24/MAX($I24,1),0),IF($F24="Annual",IF(AND(AY$10&gt;=$H24,AY$10&lt;$H24+IF($I24=0,MaxYears,$I24)),$G24,0),IF($F24="Periodic",IF(AND(AY$10&gt;=$H24,MOD(AY$10-$H24,MAX($I24,1))=0),$G24,0),0)))</f>
        <v>0</v>
      </c>
      <c r="AZ24" s="50" t="n">
        <f aca="false">IF($F24="Spread",IF(AND(AZ$10&gt;=$H24,AZ$10&lt;$H24+MAX($I24,1)),$G24/MAX($I24,1),0),IF($F24="Annual",IF(AND(AZ$10&gt;=$H24,AZ$10&lt;$H24+IF($I24=0,MaxYears,$I24)),$G24,0),IF($F24="Periodic",IF(AND(AZ$10&gt;=$H24,MOD(AZ$10-$H24,MAX($I24,1))=0),$G24,0),0)))</f>
        <v>0</v>
      </c>
    </row>
    <row r="25" customFormat="false" ht="27.75" hidden="false" customHeight="true" outlineLevel="0" collapsed="false">
      <c r="B25" s="25" t="s">
        <v>303</v>
      </c>
      <c r="C25" s="45" t="s">
        <v>304</v>
      </c>
      <c r="D25" s="45" t="s">
        <v>305</v>
      </c>
      <c r="E25" s="46" t="s">
        <v>257</v>
      </c>
      <c r="F25" s="46" t="s">
        <v>258</v>
      </c>
      <c r="G25" s="49" t="n">
        <f aca="false">ContPct*SUM($G$12:$G$24)</f>
        <v>5410800</v>
      </c>
      <c r="H25" s="48" t="n">
        <v>0</v>
      </c>
      <c r="I25" s="51" t="n">
        <f aca="false">ConstrYears</f>
        <v>3</v>
      </c>
      <c r="J25" s="45" t="s">
        <v>306</v>
      </c>
      <c r="K25" s="46" t="s">
        <v>260</v>
      </c>
      <c r="L25" s="49" t="n">
        <f aca="false">SUM(M25:AZ25)</f>
        <v>5410800</v>
      </c>
      <c r="M25" s="50" t="n">
        <f aca="false">IF($F25="Spread",IF(AND(M$10&gt;=$H25,M$10&lt;$H25+MAX($I25,1)),$G25/MAX($I25,1),0),IF($F25="Annual",IF(AND(M$10&gt;=$H25,M$10&lt;$H25+IF($I25=0,MaxYears,$I25)),$G25,0),IF($F25="Periodic",IF(AND(M$10&gt;=$H25,MOD(M$10-$H25,MAX($I25,1))=0),$G25,0),0)))</f>
        <v>1803600</v>
      </c>
      <c r="N25" s="50" t="n">
        <f aca="false">IF($F25="Spread",IF(AND(N$10&gt;=$H25,N$10&lt;$H25+MAX($I25,1)),$G25/MAX($I25,1),0),IF($F25="Annual",IF(AND(N$10&gt;=$H25,N$10&lt;$H25+IF($I25=0,MaxYears,$I25)),$G25,0),IF($F25="Periodic",IF(AND(N$10&gt;=$H25,MOD(N$10-$H25,MAX($I25,1))=0),$G25,0),0)))</f>
        <v>1803600</v>
      </c>
      <c r="O25" s="50" t="n">
        <f aca="false">IF($F25="Spread",IF(AND(O$10&gt;=$H25,O$10&lt;$H25+MAX($I25,1)),$G25/MAX($I25,1),0),IF($F25="Annual",IF(AND(O$10&gt;=$H25,O$10&lt;$H25+IF($I25=0,MaxYears,$I25)),$G25,0),IF($F25="Periodic",IF(AND(O$10&gt;=$H25,MOD(O$10-$H25,MAX($I25,1))=0),$G25,0),0)))</f>
        <v>1803600</v>
      </c>
      <c r="P25" s="50" t="n">
        <f aca="false">IF($F25="Spread",IF(AND(P$10&gt;=$H25,P$10&lt;$H25+MAX($I25,1)),$G25/MAX($I25,1),0),IF($F25="Annual",IF(AND(P$10&gt;=$H25,P$10&lt;$H25+IF($I25=0,MaxYears,$I25)),$G25,0),IF($F25="Periodic",IF(AND(P$10&gt;=$H25,MOD(P$10-$H25,MAX($I25,1))=0),$G25,0),0)))</f>
        <v>0</v>
      </c>
      <c r="Q25" s="50" t="n">
        <f aca="false">IF($F25="Spread",IF(AND(Q$10&gt;=$H25,Q$10&lt;$H25+MAX($I25,1)),$G25/MAX($I25,1),0),IF($F25="Annual",IF(AND(Q$10&gt;=$H25,Q$10&lt;$H25+IF($I25=0,MaxYears,$I25)),$G25,0),IF($F25="Periodic",IF(AND(Q$10&gt;=$H25,MOD(Q$10-$H25,MAX($I25,1))=0),$G25,0),0)))</f>
        <v>0</v>
      </c>
      <c r="R25" s="50" t="n">
        <f aca="false">IF($F25="Spread",IF(AND(R$10&gt;=$H25,R$10&lt;$H25+MAX($I25,1)),$G25/MAX($I25,1),0),IF($F25="Annual",IF(AND(R$10&gt;=$H25,R$10&lt;$H25+IF($I25=0,MaxYears,$I25)),$G25,0),IF($F25="Periodic",IF(AND(R$10&gt;=$H25,MOD(R$10-$H25,MAX($I25,1))=0),$G25,0),0)))</f>
        <v>0</v>
      </c>
      <c r="S25" s="50" t="n">
        <f aca="false">IF($F25="Spread",IF(AND(S$10&gt;=$H25,S$10&lt;$H25+MAX($I25,1)),$G25/MAX($I25,1),0),IF($F25="Annual",IF(AND(S$10&gt;=$H25,S$10&lt;$H25+IF($I25=0,MaxYears,$I25)),$G25,0),IF($F25="Periodic",IF(AND(S$10&gt;=$H25,MOD(S$10-$H25,MAX($I25,1))=0),$G25,0),0)))</f>
        <v>0</v>
      </c>
      <c r="T25" s="50" t="n">
        <f aca="false">IF($F25="Spread",IF(AND(T$10&gt;=$H25,T$10&lt;$H25+MAX($I25,1)),$G25/MAX($I25,1),0),IF($F25="Annual",IF(AND(T$10&gt;=$H25,T$10&lt;$H25+IF($I25=0,MaxYears,$I25)),$G25,0),IF($F25="Periodic",IF(AND(T$10&gt;=$H25,MOD(T$10-$H25,MAX($I25,1))=0),$G25,0),0)))</f>
        <v>0</v>
      </c>
      <c r="U25" s="50" t="n">
        <f aca="false">IF($F25="Spread",IF(AND(U$10&gt;=$H25,U$10&lt;$H25+MAX($I25,1)),$G25/MAX($I25,1),0),IF($F25="Annual",IF(AND(U$10&gt;=$H25,U$10&lt;$H25+IF($I25=0,MaxYears,$I25)),$G25,0),IF($F25="Periodic",IF(AND(U$10&gt;=$H25,MOD(U$10-$H25,MAX($I25,1))=0),$G25,0),0)))</f>
        <v>0</v>
      </c>
      <c r="V25" s="50" t="n">
        <f aca="false">IF($F25="Spread",IF(AND(V$10&gt;=$H25,V$10&lt;$H25+MAX($I25,1)),$G25/MAX($I25,1),0),IF($F25="Annual",IF(AND(V$10&gt;=$H25,V$10&lt;$H25+IF($I25=0,MaxYears,$I25)),$G25,0),IF($F25="Periodic",IF(AND(V$10&gt;=$H25,MOD(V$10-$H25,MAX($I25,1))=0),$G25,0),0)))</f>
        <v>0</v>
      </c>
      <c r="W25" s="50" t="n">
        <f aca="false">IF($F25="Spread",IF(AND(W$10&gt;=$H25,W$10&lt;$H25+MAX($I25,1)),$G25/MAX($I25,1),0),IF($F25="Annual",IF(AND(W$10&gt;=$H25,W$10&lt;$H25+IF($I25=0,MaxYears,$I25)),$G25,0),IF($F25="Periodic",IF(AND(W$10&gt;=$H25,MOD(W$10-$H25,MAX($I25,1))=0),$G25,0),0)))</f>
        <v>0</v>
      </c>
      <c r="X25" s="50" t="n">
        <f aca="false">IF($F25="Spread",IF(AND(X$10&gt;=$H25,X$10&lt;$H25+MAX($I25,1)),$G25/MAX($I25,1),0),IF($F25="Annual",IF(AND(X$10&gt;=$H25,X$10&lt;$H25+IF($I25=0,MaxYears,$I25)),$G25,0),IF($F25="Periodic",IF(AND(X$10&gt;=$H25,MOD(X$10-$H25,MAX($I25,1))=0),$G25,0),0)))</f>
        <v>0</v>
      </c>
      <c r="Y25" s="50" t="n">
        <f aca="false">IF($F25="Spread",IF(AND(Y$10&gt;=$H25,Y$10&lt;$H25+MAX($I25,1)),$G25/MAX($I25,1),0),IF($F25="Annual",IF(AND(Y$10&gt;=$H25,Y$10&lt;$H25+IF($I25=0,MaxYears,$I25)),$G25,0),IF($F25="Periodic",IF(AND(Y$10&gt;=$H25,MOD(Y$10-$H25,MAX($I25,1))=0),$G25,0),0)))</f>
        <v>0</v>
      </c>
      <c r="Z25" s="50" t="n">
        <f aca="false">IF($F25="Spread",IF(AND(Z$10&gt;=$H25,Z$10&lt;$H25+MAX($I25,1)),$G25/MAX($I25,1),0),IF($F25="Annual",IF(AND(Z$10&gt;=$H25,Z$10&lt;$H25+IF($I25=0,MaxYears,$I25)),$G25,0),IF($F25="Periodic",IF(AND(Z$10&gt;=$H25,MOD(Z$10-$H25,MAX($I25,1))=0),$G25,0),0)))</f>
        <v>0</v>
      </c>
      <c r="AA25" s="50" t="n">
        <f aca="false">IF($F25="Spread",IF(AND(AA$10&gt;=$H25,AA$10&lt;$H25+MAX($I25,1)),$G25/MAX($I25,1),0),IF($F25="Annual",IF(AND(AA$10&gt;=$H25,AA$10&lt;$H25+IF($I25=0,MaxYears,$I25)),$G25,0),IF($F25="Periodic",IF(AND(AA$10&gt;=$H25,MOD(AA$10-$H25,MAX($I25,1))=0),$G25,0),0)))</f>
        <v>0</v>
      </c>
      <c r="AB25" s="50" t="n">
        <f aca="false">IF($F25="Spread",IF(AND(AB$10&gt;=$H25,AB$10&lt;$H25+MAX($I25,1)),$G25/MAX($I25,1),0),IF($F25="Annual",IF(AND(AB$10&gt;=$H25,AB$10&lt;$H25+IF($I25=0,MaxYears,$I25)),$G25,0),IF($F25="Periodic",IF(AND(AB$10&gt;=$H25,MOD(AB$10-$H25,MAX($I25,1))=0),$G25,0),0)))</f>
        <v>0</v>
      </c>
      <c r="AC25" s="50" t="n">
        <f aca="false">IF($F25="Spread",IF(AND(AC$10&gt;=$H25,AC$10&lt;$H25+MAX($I25,1)),$G25/MAX($I25,1),0),IF($F25="Annual",IF(AND(AC$10&gt;=$H25,AC$10&lt;$H25+IF($I25=0,MaxYears,$I25)),$G25,0),IF($F25="Periodic",IF(AND(AC$10&gt;=$H25,MOD(AC$10-$H25,MAX($I25,1))=0),$G25,0),0)))</f>
        <v>0</v>
      </c>
      <c r="AD25" s="50" t="n">
        <f aca="false">IF($F25="Spread",IF(AND(AD$10&gt;=$H25,AD$10&lt;$H25+MAX($I25,1)),$G25/MAX($I25,1),0),IF($F25="Annual",IF(AND(AD$10&gt;=$H25,AD$10&lt;$H25+IF($I25=0,MaxYears,$I25)),$G25,0),IF($F25="Periodic",IF(AND(AD$10&gt;=$H25,MOD(AD$10-$H25,MAX($I25,1))=0),$G25,0),0)))</f>
        <v>0</v>
      </c>
      <c r="AE25" s="50" t="n">
        <f aca="false">IF($F25="Spread",IF(AND(AE$10&gt;=$H25,AE$10&lt;$H25+MAX($I25,1)),$G25/MAX($I25,1),0),IF($F25="Annual",IF(AND(AE$10&gt;=$H25,AE$10&lt;$H25+IF($I25=0,MaxYears,$I25)),$G25,0),IF($F25="Periodic",IF(AND(AE$10&gt;=$H25,MOD(AE$10-$H25,MAX($I25,1))=0),$G25,0),0)))</f>
        <v>0</v>
      </c>
      <c r="AF25" s="50" t="n">
        <f aca="false">IF($F25="Spread",IF(AND(AF$10&gt;=$H25,AF$10&lt;$H25+MAX($I25,1)),$G25/MAX($I25,1),0),IF($F25="Annual",IF(AND(AF$10&gt;=$H25,AF$10&lt;$H25+IF($I25=0,MaxYears,$I25)),$G25,0),IF($F25="Periodic",IF(AND(AF$10&gt;=$H25,MOD(AF$10-$H25,MAX($I25,1))=0),$G25,0),0)))</f>
        <v>0</v>
      </c>
      <c r="AG25" s="50" t="n">
        <f aca="false">IF($F25="Spread",IF(AND(AG$10&gt;=$H25,AG$10&lt;$H25+MAX($I25,1)),$G25/MAX($I25,1),0),IF($F25="Annual",IF(AND(AG$10&gt;=$H25,AG$10&lt;$H25+IF($I25=0,MaxYears,$I25)),$G25,0),IF($F25="Periodic",IF(AND(AG$10&gt;=$H25,MOD(AG$10-$H25,MAX($I25,1))=0),$G25,0),0)))</f>
        <v>0</v>
      </c>
      <c r="AH25" s="50" t="n">
        <f aca="false">IF($F25="Spread",IF(AND(AH$10&gt;=$H25,AH$10&lt;$H25+MAX($I25,1)),$G25/MAX($I25,1),0),IF($F25="Annual",IF(AND(AH$10&gt;=$H25,AH$10&lt;$H25+IF($I25=0,MaxYears,$I25)),$G25,0),IF($F25="Periodic",IF(AND(AH$10&gt;=$H25,MOD(AH$10-$H25,MAX($I25,1))=0),$G25,0),0)))</f>
        <v>0</v>
      </c>
      <c r="AI25" s="50" t="n">
        <f aca="false">IF($F25="Spread",IF(AND(AI$10&gt;=$H25,AI$10&lt;$H25+MAX($I25,1)),$G25/MAX($I25,1),0),IF($F25="Annual",IF(AND(AI$10&gt;=$H25,AI$10&lt;$H25+IF($I25=0,MaxYears,$I25)),$G25,0),IF($F25="Periodic",IF(AND(AI$10&gt;=$H25,MOD(AI$10-$H25,MAX($I25,1))=0),$G25,0),0)))</f>
        <v>0</v>
      </c>
      <c r="AJ25" s="50" t="n">
        <f aca="false">IF($F25="Spread",IF(AND(AJ$10&gt;=$H25,AJ$10&lt;$H25+MAX($I25,1)),$G25/MAX($I25,1),0),IF($F25="Annual",IF(AND(AJ$10&gt;=$H25,AJ$10&lt;$H25+IF($I25=0,MaxYears,$I25)),$G25,0),IF($F25="Periodic",IF(AND(AJ$10&gt;=$H25,MOD(AJ$10-$H25,MAX($I25,1))=0),$G25,0),0)))</f>
        <v>0</v>
      </c>
      <c r="AK25" s="50" t="n">
        <f aca="false">IF($F25="Spread",IF(AND(AK$10&gt;=$H25,AK$10&lt;$H25+MAX($I25,1)),$G25/MAX($I25,1),0),IF($F25="Annual",IF(AND(AK$10&gt;=$H25,AK$10&lt;$H25+IF($I25=0,MaxYears,$I25)),$G25,0),IF($F25="Periodic",IF(AND(AK$10&gt;=$H25,MOD(AK$10-$H25,MAX($I25,1))=0),$G25,0),0)))</f>
        <v>0</v>
      </c>
      <c r="AL25" s="50" t="n">
        <f aca="false">IF($F25="Spread",IF(AND(AL$10&gt;=$H25,AL$10&lt;$H25+MAX($I25,1)),$G25/MAX($I25,1),0),IF($F25="Annual",IF(AND(AL$10&gt;=$H25,AL$10&lt;$H25+IF($I25=0,MaxYears,$I25)),$G25,0),IF($F25="Periodic",IF(AND(AL$10&gt;=$H25,MOD(AL$10-$H25,MAX($I25,1))=0),$G25,0),0)))</f>
        <v>0</v>
      </c>
      <c r="AM25" s="50" t="n">
        <f aca="false">IF($F25="Spread",IF(AND(AM$10&gt;=$H25,AM$10&lt;$H25+MAX($I25,1)),$G25/MAX($I25,1),0),IF($F25="Annual",IF(AND(AM$10&gt;=$H25,AM$10&lt;$H25+IF($I25=0,MaxYears,$I25)),$G25,0),IF($F25="Periodic",IF(AND(AM$10&gt;=$H25,MOD(AM$10-$H25,MAX($I25,1))=0),$G25,0),0)))</f>
        <v>0</v>
      </c>
      <c r="AN25" s="50" t="n">
        <f aca="false">IF($F25="Spread",IF(AND(AN$10&gt;=$H25,AN$10&lt;$H25+MAX($I25,1)),$G25/MAX($I25,1),0),IF($F25="Annual",IF(AND(AN$10&gt;=$H25,AN$10&lt;$H25+IF($I25=0,MaxYears,$I25)),$G25,0),IF($F25="Periodic",IF(AND(AN$10&gt;=$H25,MOD(AN$10-$H25,MAX($I25,1))=0),$G25,0),0)))</f>
        <v>0</v>
      </c>
      <c r="AO25" s="50" t="n">
        <f aca="false">IF($F25="Spread",IF(AND(AO$10&gt;=$H25,AO$10&lt;$H25+MAX($I25,1)),$G25/MAX($I25,1),0),IF($F25="Annual",IF(AND(AO$10&gt;=$H25,AO$10&lt;$H25+IF($I25=0,MaxYears,$I25)),$G25,0),IF($F25="Periodic",IF(AND(AO$10&gt;=$H25,MOD(AO$10-$H25,MAX($I25,1))=0),$G25,0),0)))</f>
        <v>0</v>
      </c>
      <c r="AP25" s="50" t="n">
        <f aca="false">IF($F25="Spread",IF(AND(AP$10&gt;=$H25,AP$10&lt;$H25+MAX($I25,1)),$G25/MAX($I25,1),0),IF($F25="Annual",IF(AND(AP$10&gt;=$H25,AP$10&lt;$H25+IF($I25=0,MaxYears,$I25)),$G25,0),IF($F25="Periodic",IF(AND(AP$10&gt;=$H25,MOD(AP$10-$H25,MAX($I25,1))=0),$G25,0),0)))</f>
        <v>0</v>
      </c>
      <c r="AQ25" s="50" t="n">
        <f aca="false">IF($F25="Spread",IF(AND(AQ$10&gt;=$H25,AQ$10&lt;$H25+MAX($I25,1)),$G25/MAX($I25,1),0),IF($F25="Annual",IF(AND(AQ$10&gt;=$H25,AQ$10&lt;$H25+IF($I25=0,MaxYears,$I25)),$G25,0),IF($F25="Periodic",IF(AND(AQ$10&gt;=$H25,MOD(AQ$10-$H25,MAX($I25,1))=0),$G25,0),0)))</f>
        <v>0</v>
      </c>
      <c r="AR25" s="50" t="n">
        <f aca="false">IF($F25="Spread",IF(AND(AR$10&gt;=$H25,AR$10&lt;$H25+MAX($I25,1)),$G25/MAX($I25,1),0),IF($F25="Annual",IF(AND(AR$10&gt;=$H25,AR$10&lt;$H25+IF($I25=0,MaxYears,$I25)),$G25,0),IF($F25="Periodic",IF(AND(AR$10&gt;=$H25,MOD(AR$10-$H25,MAX($I25,1))=0),$G25,0),0)))</f>
        <v>0</v>
      </c>
      <c r="AS25" s="50" t="n">
        <f aca="false">IF($F25="Spread",IF(AND(AS$10&gt;=$H25,AS$10&lt;$H25+MAX($I25,1)),$G25/MAX($I25,1),0),IF($F25="Annual",IF(AND(AS$10&gt;=$H25,AS$10&lt;$H25+IF($I25=0,MaxYears,$I25)),$G25,0),IF($F25="Periodic",IF(AND(AS$10&gt;=$H25,MOD(AS$10-$H25,MAX($I25,1))=0),$G25,0),0)))</f>
        <v>0</v>
      </c>
      <c r="AT25" s="50" t="n">
        <f aca="false">IF($F25="Spread",IF(AND(AT$10&gt;=$H25,AT$10&lt;$H25+MAX($I25,1)),$G25/MAX($I25,1),0),IF($F25="Annual",IF(AND(AT$10&gt;=$H25,AT$10&lt;$H25+IF($I25=0,MaxYears,$I25)),$G25,0),IF($F25="Periodic",IF(AND(AT$10&gt;=$H25,MOD(AT$10-$H25,MAX($I25,1))=0),$G25,0),0)))</f>
        <v>0</v>
      </c>
      <c r="AU25" s="50" t="n">
        <f aca="false">IF($F25="Spread",IF(AND(AU$10&gt;=$H25,AU$10&lt;$H25+MAX($I25,1)),$G25/MAX($I25,1),0),IF($F25="Annual",IF(AND(AU$10&gt;=$H25,AU$10&lt;$H25+IF($I25=0,MaxYears,$I25)),$G25,0),IF($F25="Periodic",IF(AND(AU$10&gt;=$H25,MOD(AU$10-$H25,MAX($I25,1))=0),$G25,0),0)))</f>
        <v>0</v>
      </c>
      <c r="AV25" s="50" t="n">
        <f aca="false">IF($F25="Spread",IF(AND(AV$10&gt;=$H25,AV$10&lt;$H25+MAX($I25,1)),$G25/MAX($I25,1),0),IF($F25="Annual",IF(AND(AV$10&gt;=$H25,AV$10&lt;$H25+IF($I25=0,MaxYears,$I25)),$G25,0),IF($F25="Periodic",IF(AND(AV$10&gt;=$H25,MOD(AV$10-$H25,MAX($I25,1))=0),$G25,0),0)))</f>
        <v>0</v>
      </c>
      <c r="AW25" s="50" t="n">
        <f aca="false">IF($F25="Spread",IF(AND(AW$10&gt;=$H25,AW$10&lt;$H25+MAX($I25,1)),$G25/MAX($I25,1),0),IF($F25="Annual",IF(AND(AW$10&gt;=$H25,AW$10&lt;$H25+IF($I25=0,MaxYears,$I25)),$G25,0),IF($F25="Periodic",IF(AND(AW$10&gt;=$H25,MOD(AW$10-$H25,MAX($I25,1))=0),$G25,0),0)))</f>
        <v>0</v>
      </c>
      <c r="AX25" s="50" t="n">
        <f aca="false">IF($F25="Spread",IF(AND(AX$10&gt;=$H25,AX$10&lt;$H25+MAX($I25,1)),$G25/MAX($I25,1),0),IF($F25="Annual",IF(AND(AX$10&gt;=$H25,AX$10&lt;$H25+IF($I25=0,MaxYears,$I25)),$G25,0),IF($F25="Periodic",IF(AND(AX$10&gt;=$H25,MOD(AX$10-$H25,MAX($I25,1))=0),$G25,0),0)))</f>
        <v>0</v>
      </c>
      <c r="AY25" s="50" t="n">
        <f aca="false">IF($F25="Spread",IF(AND(AY$10&gt;=$H25,AY$10&lt;$H25+MAX($I25,1)),$G25/MAX($I25,1),0),IF($F25="Annual",IF(AND(AY$10&gt;=$H25,AY$10&lt;$H25+IF($I25=0,MaxYears,$I25)),$G25,0),IF($F25="Periodic",IF(AND(AY$10&gt;=$H25,MOD(AY$10-$H25,MAX($I25,1))=0),$G25,0),0)))</f>
        <v>0</v>
      </c>
      <c r="AZ25" s="50" t="n">
        <f aca="false">IF($F25="Spread",IF(AND(AZ$10&gt;=$H25,AZ$10&lt;$H25+MAX($I25,1)),$G25/MAX($I25,1),0),IF($F25="Annual",IF(AND(AZ$10&gt;=$H25,AZ$10&lt;$H25+IF($I25=0,MaxYears,$I25)),$G25,0),IF($F25="Periodic",IF(AND(AZ$10&gt;=$H25,MOD(AZ$10-$H25,MAX($I25,1))=0),$G25,0),0)))</f>
        <v>0</v>
      </c>
    </row>
    <row r="26" customFormat="false" ht="27.75" hidden="false" customHeight="true" outlineLevel="0" collapsed="false">
      <c r="B26" s="25" t="s">
        <v>307</v>
      </c>
      <c r="C26" s="45" t="s">
        <v>308</v>
      </c>
      <c r="D26" s="45" t="s">
        <v>309</v>
      </c>
      <c r="E26" s="46" t="s">
        <v>310</v>
      </c>
      <c r="F26" s="46" t="s">
        <v>311</v>
      </c>
      <c r="G26" s="47" t="n">
        <v>1250000</v>
      </c>
      <c r="H26" s="51" t="n">
        <f aca="false">ConstrYears</f>
        <v>3</v>
      </c>
      <c r="I26" s="48" t="n">
        <v>0</v>
      </c>
      <c r="J26" s="45" t="s">
        <v>312</v>
      </c>
      <c r="K26" s="46" t="s">
        <v>260</v>
      </c>
      <c r="L26" s="49" t="n">
        <f aca="false">SUM(M26:AZ26)</f>
        <v>46250000</v>
      </c>
      <c r="M26" s="50" t="n">
        <f aca="false">IF($F26="Spread",IF(AND(M$10&gt;=$H26,M$10&lt;$H26+MAX($I26,1)),$G26/MAX($I26,1),0),IF($F26="Annual",IF(AND(M$10&gt;=$H26,M$10&lt;$H26+IF($I26=0,MaxYears,$I26)),$G26,0),IF($F26="Periodic",IF(AND(M$10&gt;=$H26,MOD(M$10-$H26,MAX($I26,1))=0),$G26,0),0)))</f>
        <v>0</v>
      </c>
      <c r="N26" s="50" t="n">
        <f aca="false">IF($F26="Spread",IF(AND(N$10&gt;=$H26,N$10&lt;$H26+MAX($I26,1)),$G26/MAX($I26,1),0),IF($F26="Annual",IF(AND(N$10&gt;=$H26,N$10&lt;$H26+IF($I26=0,MaxYears,$I26)),$G26,0),IF($F26="Periodic",IF(AND(N$10&gt;=$H26,MOD(N$10-$H26,MAX($I26,1))=0),$G26,0),0)))</f>
        <v>0</v>
      </c>
      <c r="O26" s="50" t="n">
        <f aca="false">IF($F26="Spread",IF(AND(O$10&gt;=$H26,O$10&lt;$H26+MAX($I26,1)),$G26/MAX($I26,1),0),IF($F26="Annual",IF(AND(O$10&gt;=$H26,O$10&lt;$H26+IF($I26=0,MaxYears,$I26)),$G26,0),IF($F26="Periodic",IF(AND(O$10&gt;=$H26,MOD(O$10-$H26,MAX($I26,1))=0),$G26,0),0)))</f>
        <v>0</v>
      </c>
      <c r="P26" s="50" t="n">
        <f aca="false">IF($F26="Spread",IF(AND(P$10&gt;=$H26,P$10&lt;$H26+MAX($I26,1)),$G26/MAX($I26,1),0),IF($F26="Annual",IF(AND(P$10&gt;=$H26,P$10&lt;$H26+IF($I26=0,MaxYears,$I26)),$G26,0),IF($F26="Periodic",IF(AND(P$10&gt;=$H26,MOD(P$10-$H26,MAX($I26,1))=0),$G26,0),0)))</f>
        <v>1250000</v>
      </c>
      <c r="Q26" s="50" t="n">
        <f aca="false">IF($F26="Spread",IF(AND(Q$10&gt;=$H26,Q$10&lt;$H26+MAX($I26,1)),$G26/MAX($I26,1),0),IF($F26="Annual",IF(AND(Q$10&gt;=$H26,Q$10&lt;$H26+IF($I26=0,MaxYears,$I26)),$G26,0),IF($F26="Periodic",IF(AND(Q$10&gt;=$H26,MOD(Q$10-$H26,MAX($I26,1))=0),$G26,0),0)))</f>
        <v>1250000</v>
      </c>
      <c r="R26" s="50" t="n">
        <f aca="false">IF($F26="Spread",IF(AND(R$10&gt;=$H26,R$10&lt;$H26+MAX($I26,1)),$G26/MAX($I26,1),0),IF($F26="Annual",IF(AND(R$10&gt;=$H26,R$10&lt;$H26+IF($I26=0,MaxYears,$I26)),$G26,0),IF($F26="Periodic",IF(AND(R$10&gt;=$H26,MOD(R$10-$H26,MAX($I26,1))=0),$G26,0),0)))</f>
        <v>1250000</v>
      </c>
      <c r="S26" s="50" t="n">
        <f aca="false">IF($F26="Spread",IF(AND(S$10&gt;=$H26,S$10&lt;$H26+MAX($I26,1)),$G26/MAX($I26,1),0),IF($F26="Annual",IF(AND(S$10&gt;=$H26,S$10&lt;$H26+IF($I26=0,MaxYears,$I26)),$G26,0),IF($F26="Periodic",IF(AND(S$10&gt;=$H26,MOD(S$10-$H26,MAX($I26,1))=0),$G26,0),0)))</f>
        <v>1250000</v>
      </c>
      <c r="T26" s="50" t="n">
        <f aca="false">IF($F26="Spread",IF(AND(T$10&gt;=$H26,T$10&lt;$H26+MAX($I26,1)),$G26/MAX($I26,1),0),IF($F26="Annual",IF(AND(T$10&gt;=$H26,T$10&lt;$H26+IF($I26=0,MaxYears,$I26)),$G26,0),IF($F26="Periodic",IF(AND(T$10&gt;=$H26,MOD(T$10-$H26,MAX($I26,1))=0),$G26,0),0)))</f>
        <v>1250000</v>
      </c>
      <c r="U26" s="50" t="n">
        <f aca="false">IF($F26="Spread",IF(AND(U$10&gt;=$H26,U$10&lt;$H26+MAX($I26,1)),$G26/MAX($I26,1),0),IF($F26="Annual",IF(AND(U$10&gt;=$H26,U$10&lt;$H26+IF($I26=0,MaxYears,$I26)),$G26,0),IF($F26="Periodic",IF(AND(U$10&gt;=$H26,MOD(U$10-$H26,MAX($I26,1))=0),$G26,0),0)))</f>
        <v>1250000</v>
      </c>
      <c r="V26" s="50" t="n">
        <f aca="false">IF($F26="Spread",IF(AND(V$10&gt;=$H26,V$10&lt;$H26+MAX($I26,1)),$G26/MAX($I26,1),0),IF($F26="Annual",IF(AND(V$10&gt;=$H26,V$10&lt;$H26+IF($I26=0,MaxYears,$I26)),$G26,0),IF($F26="Periodic",IF(AND(V$10&gt;=$H26,MOD(V$10-$H26,MAX($I26,1))=0),$G26,0),0)))</f>
        <v>1250000</v>
      </c>
      <c r="W26" s="50" t="n">
        <f aca="false">IF($F26="Spread",IF(AND(W$10&gt;=$H26,W$10&lt;$H26+MAX($I26,1)),$G26/MAX($I26,1),0),IF($F26="Annual",IF(AND(W$10&gt;=$H26,W$10&lt;$H26+IF($I26=0,MaxYears,$I26)),$G26,0),IF($F26="Periodic",IF(AND(W$10&gt;=$H26,MOD(W$10-$H26,MAX($I26,1))=0),$G26,0),0)))</f>
        <v>1250000</v>
      </c>
      <c r="X26" s="50" t="n">
        <f aca="false">IF($F26="Spread",IF(AND(X$10&gt;=$H26,X$10&lt;$H26+MAX($I26,1)),$G26/MAX($I26,1),0),IF($F26="Annual",IF(AND(X$10&gt;=$H26,X$10&lt;$H26+IF($I26=0,MaxYears,$I26)),$G26,0),IF($F26="Periodic",IF(AND(X$10&gt;=$H26,MOD(X$10-$H26,MAX($I26,1))=0),$G26,0),0)))</f>
        <v>1250000</v>
      </c>
      <c r="Y26" s="50" t="n">
        <f aca="false">IF($F26="Spread",IF(AND(Y$10&gt;=$H26,Y$10&lt;$H26+MAX($I26,1)),$G26/MAX($I26,1),0),IF($F26="Annual",IF(AND(Y$10&gt;=$H26,Y$10&lt;$H26+IF($I26=0,MaxYears,$I26)),$G26,0),IF($F26="Periodic",IF(AND(Y$10&gt;=$H26,MOD(Y$10-$H26,MAX($I26,1))=0),$G26,0),0)))</f>
        <v>1250000</v>
      </c>
      <c r="Z26" s="50" t="n">
        <f aca="false">IF($F26="Spread",IF(AND(Z$10&gt;=$H26,Z$10&lt;$H26+MAX($I26,1)),$G26/MAX($I26,1),0),IF($F26="Annual",IF(AND(Z$10&gt;=$H26,Z$10&lt;$H26+IF($I26=0,MaxYears,$I26)),$G26,0),IF($F26="Periodic",IF(AND(Z$10&gt;=$H26,MOD(Z$10-$H26,MAX($I26,1))=0),$G26,0),0)))</f>
        <v>1250000</v>
      </c>
      <c r="AA26" s="50" t="n">
        <f aca="false">IF($F26="Spread",IF(AND(AA$10&gt;=$H26,AA$10&lt;$H26+MAX($I26,1)),$G26/MAX($I26,1),0),IF($F26="Annual",IF(AND(AA$10&gt;=$H26,AA$10&lt;$H26+IF($I26=0,MaxYears,$I26)),$G26,0),IF($F26="Periodic",IF(AND(AA$10&gt;=$H26,MOD(AA$10-$H26,MAX($I26,1))=0),$G26,0),0)))</f>
        <v>1250000</v>
      </c>
      <c r="AB26" s="50" t="n">
        <f aca="false">IF($F26="Spread",IF(AND(AB$10&gt;=$H26,AB$10&lt;$H26+MAX($I26,1)),$G26/MAX($I26,1),0),IF($F26="Annual",IF(AND(AB$10&gt;=$H26,AB$10&lt;$H26+IF($I26=0,MaxYears,$I26)),$G26,0),IF($F26="Periodic",IF(AND(AB$10&gt;=$H26,MOD(AB$10-$H26,MAX($I26,1))=0),$G26,0),0)))</f>
        <v>1250000</v>
      </c>
      <c r="AC26" s="50" t="n">
        <f aca="false">IF($F26="Spread",IF(AND(AC$10&gt;=$H26,AC$10&lt;$H26+MAX($I26,1)),$G26/MAX($I26,1),0),IF($F26="Annual",IF(AND(AC$10&gt;=$H26,AC$10&lt;$H26+IF($I26=0,MaxYears,$I26)),$G26,0),IF($F26="Periodic",IF(AND(AC$10&gt;=$H26,MOD(AC$10-$H26,MAX($I26,1))=0),$G26,0),0)))</f>
        <v>1250000</v>
      </c>
      <c r="AD26" s="50" t="n">
        <f aca="false">IF($F26="Spread",IF(AND(AD$10&gt;=$H26,AD$10&lt;$H26+MAX($I26,1)),$G26/MAX($I26,1),0),IF($F26="Annual",IF(AND(AD$10&gt;=$H26,AD$10&lt;$H26+IF($I26=0,MaxYears,$I26)),$G26,0),IF($F26="Periodic",IF(AND(AD$10&gt;=$H26,MOD(AD$10-$H26,MAX($I26,1))=0),$G26,0),0)))</f>
        <v>1250000</v>
      </c>
      <c r="AE26" s="50" t="n">
        <f aca="false">IF($F26="Spread",IF(AND(AE$10&gt;=$H26,AE$10&lt;$H26+MAX($I26,1)),$G26/MAX($I26,1),0),IF($F26="Annual",IF(AND(AE$10&gt;=$H26,AE$10&lt;$H26+IF($I26=0,MaxYears,$I26)),$G26,0),IF($F26="Periodic",IF(AND(AE$10&gt;=$H26,MOD(AE$10-$H26,MAX($I26,1))=0),$G26,0),0)))</f>
        <v>1250000</v>
      </c>
      <c r="AF26" s="50" t="n">
        <f aca="false">IF($F26="Spread",IF(AND(AF$10&gt;=$H26,AF$10&lt;$H26+MAX($I26,1)),$G26/MAX($I26,1),0),IF($F26="Annual",IF(AND(AF$10&gt;=$H26,AF$10&lt;$H26+IF($I26=0,MaxYears,$I26)),$G26,0),IF($F26="Periodic",IF(AND(AF$10&gt;=$H26,MOD(AF$10-$H26,MAX($I26,1))=0),$G26,0),0)))</f>
        <v>1250000</v>
      </c>
      <c r="AG26" s="50" t="n">
        <f aca="false">IF($F26="Spread",IF(AND(AG$10&gt;=$H26,AG$10&lt;$H26+MAX($I26,1)),$G26/MAX($I26,1),0),IF($F26="Annual",IF(AND(AG$10&gt;=$H26,AG$10&lt;$H26+IF($I26=0,MaxYears,$I26)),$G26,0),IF($F26="Periodic",IF(AND(AG$10&gt;=$H26,MOD(AG$10-$H26,MAX($I26,1))=0),$G26,0),0)))</f>
        <v>1250000</v>
      </c>
      <c r="AH26" s="50" t="n">
        <f aca="false">IF($F26="Spread",IF(AND(AH$10&gt;=$H26,AH$10&lt;$H26+MAX($I26,1)),$G26/MAX($I26,1),0),IF($F26="Annual",IF(AND(AH$10&gt;=$H26,AH$10&lt;$H26+IF($I26=0,MaxYears,$I26)),$G26,0),IF($F26="Periodic",IF(AND(AH$10&gt;=$H26,MOD(AH$10-$H26,MAX($I26,1))=0),$G26,0),0)))</f>
        <v>1250000</v>
      </c>
      <c r="AI26" s="50" t="n">
        <f aca="false">IF($F26="Spread",IF(AND(AI$10&gt;=$H26,AI$10&lt;$H26+MAX($I26,1)),$G26/MAX($I26,1),0),IF($F26="Annual",IF(AND(AI$10&gt;=$H26,AI$10&lt;$H26+IF($I26=0,MaxYears,$I26)),$G26,0),IF($F26="Periodic",IF(AND(AI$10&gt;=$H26,MOD(AI$10-$H26,MAX($I26,1))=0),$G26,0),0)))</f>
        <v>1250000</v>
      </c>
      <c r="AJ26" s="50" t="n">
        <f aca="false">IF($F26="Spread",IF(AND(AJ$10&gt;=$H26,AJ$10&lt;$H26+MAX($I26,1)),$G26/MAX($I26,1),0),IF($F26="Annual",IF(AND(AJ$10&gt;=$H26,AJ$10&lt;$H26+IF($I26=0,MaxYears,$I26)),$G26,0),IF($F26="Periodic",IF(AND(AJ$10&gt;=$H26,MOD(AJ$10-$H26,MAX($I26,1))=0),$G26,0),0)))</f>
        <v>1250000</v>
      </c>
      <c r="AK26" s="50" t="n">
        <f aca="false">IF($F26="Spread",IF(AND(AK$10&gt;=$H26,AK$10&lt;$H26+MAX($I26,1)),$G26/MAX($I26,1),0),IF($F26="Annual",IF(AND(AK$10&gt;=$H26,AK$10&lt;$H26+IF($I26=0,MaxYears,$I26)),$G26,0),IF($F26="Periodic",IF(AND(AK$10&gt;=$H26,MOD(AK$10-$H26,MAX($I26,1))=0),$G26,0),0)))</f>
        <v>1250000</v>
      </c>
      <c r="AL26" s="50" t="n">
        <f aca="false">IF($F26="Spread",IF(AND(AL$10&gt;=$H26,AL$10&lt;$H26+MAX($I26,1)),$G26/MAX($I26,1),0),IF($F26="Annual",IF(AND(AL$10&gt;=$H26,AL$10&lt;$H26+IF($I26=0,MaxYears,$I26)),$G26,0),IF($F26="Periodic",IF(AND(AL$10&gt;=$H26,MOD(AL$10-$H26,MAX($I26,1))=0),$G26,0),0)))</f>
        <v>1250000</v>
      </c>
      <c r="AM26" s="50" t="n">
        <f aca="false">IF($F26="Spread",IF(AND(AM$10&gt;=$H26,AM$10&lt;$H26+MAX($I26,1)),$G26/MAX($I26,1),0),IF($F26="Annual",IF(AND(AM$10&gt;=$H26,AM$10&lt;$H26+IF($I26=0,MaxYears,$I26)),$G26,0),IF($F26="Periodic",IF(AND(AM$10&gt;=$H26,MOD(AM$10-$H26,MAX($I26,1))=0),$G26,0),0)))</f>
        <v>1250000</v>
      </c>
      <c r="AN26" s="50" t="n">
        <f aca="false">IF($F26="Spread",IF(AND(AN$10&gt;=$H26,AN$10&lt;$H26+MAX($I26,1)),$G26/MAX($I26,1),0),IF($F26="Annual",IF(AND(AN$10&gt;=$H26,AN$10&lt;$H26+IF($I26=0,MaxYears,$I26)),$G26,0),IF($F26="Periodic",IF(AND(AN$10&gt;=$H26,MOD(AN$10-$H26,MAX($I26,1))=0),$G26,0),0)))</f>
        <v>1250000</v>
      </c>
      <c r="AO26" s="50" t="n">
        <f aca="false">IF($F26="Spread",IF(AND(AO$10&gt;=$H26,AO$10&lt;$H26+MAX($I26,1)),$G26/MAX($I26,1),0),IF($F26="Annual",IF(AND(AO$10&gt;=$H26,AO$10&lt;$H26+IF($I26=0,MaxYears,$I26)),$G26,0),IF($F26="Periodic",IF(AND(AO$10&gt;=$H26,MOD(AO$10-$H26,MAX($I26,1))=0),$G26,0),0)))</f>
        <v>1250000</v>
      </c>
      <c r="AP26" s="50" t="n">
        <f aca="false">IF($F26="Spread",IF(AND(AP$10&gt;=$H26,AP$10&lt;$H26+MAX($I26,1)),$G26/MAX($I26,1),0),IF($F26="Annual",IF(AND(AP$10&gt;=$H26,AP$10&lt;$H26+IF($I26=0,MaxYears,$I26)),$G26,0),IF($F26="Periodic",IF(AND(AP$10&gt;=$H26,MOD(AP$10-$H26,MAX($I26,1))=0),$G26,0),0)))</f>
        <v>1250000</v>
      </c>
      <c r="AQ26" s="50" t="n">
        <f aca="false">IF($F26="Spread",IF(AND(AQ$10&gt;=$H26,AQ$10&lt;$H26+MAX($I26,1)),$G26/MAX($I26,1),0),IF($F26="Annual",IF(AND(AQ$10&gt;=$H26,AQ$10&lt;$H26+IF($I26=0,MaxYears,$I26)),$G26,0),IF($F26="Periodic",IF(AND(AQ$10&gt;=$H26,MOD(AQ$10-$H26,MAX($I26,1))=0),$G26,0),0)))</f>
        <v>1250000</v>
      </c>
      <c r="AR26" s="50" t="n">
        <f aca="false">IF($F26="Spread",IF(AND(AR$10&gt;=$H26,AR$10&lt;$H26+MAX($I26,1)),$G26/MAX($I26,1),0),IF($F26="Annual",IF(AND(AR$10&gt;=$H26,AR$10&lt;$H26+IF($I26=0,MaxYears,$I26)),$G26,0),IF($F26="Periodic",IF(AND(AR$10&gt;=$H26,MOD(AR$10-$H26,MAX($I26,1))=0),$G26,0),0)))</f>
        <v>1250000</v>
      </c>
      <c r="AS26" s="50" t="n">
        <f aca="false">IF($F26="Spread",IF(AND(AS$10&gt;=$H26,AS$10&lt;$H26+MAX($I26,1)),$G26/MAX($I26,1),0),IF($F26="Annual",IF(AND(AS$10&gt;=$H26,AS$10&lt;$H26+IF($I26=0,MaxYears,$I26)),$G26,0),IF($F26="Periodic",IF(AND(AS$10&gt;=$H26,MOD(AS$10-$H26,MAX($I26,1))=0),$G26,0),0)))</f>
        <v>1250000</v>
      </c>
      <c r="AT26" s="50" t="n">
        <f aca="false">IF($F26="Spread",IF(AND(AT$10&gt;=$H26,AT$10&lt;$H26+MAX($I26,1)),$G26/MAX($I26,1),0),IF($F26="Annual",IF(AND(AT$10&gt;=$H26,AT$10&lt;$H26+IF($I26=0,MaxYears,$I26)),$G26,0),IF($F26="Periodic",IF(AND(AT$10&gt;=$H26,MOD(AT$10-$H26,MAX($I26,1))=0),$G26,0),0)))</f>
        <v>1250000</v>
      </c>
      <c r="AU26" s="50" t="n">
        <f aca="false">IF($F26="Spread",IF(AND(AU$10&gt;=$H26,AU$10&lt;$H26+MAX($I26,1)),$G26/MAX($I26,1),0),IF($F26="Annual",IF(AND(AU$10&gt;=$H26,AU$10&lt;$H26+IF($I26=0,MaxYears,$I26)),$G26,0),IF($F26="Periodic",IF(AND(AU$10&gt;=$H26,MOD(AU$10-$H26,MAX($I26,1))=0),$G26,0),0)))</f>
        <v>1250000</v>
      </c>
      <c r="AV26" s="50" t="n">
        <f aca="false">IF($F26="Spread",IF(AND(AV$10&gt;=$H26,AV$10&lt;$H26+MAX($I26,1)),$G26/MAX($I26,1),0),IF($F26="Annual",IF(AND(AV$10&gt;=$H26,AV$10&lt;$H26+IF($I26=0,MaxYears,$I26)),$G26,0),IF($F26="Periodic",IF(AND(AV$10&gt;=$H26,MOD(AV$10-$H26,MAX($I26,1))=0),$G26,0),0)))</f>
        <v>1250000</v>
      </c>
      <c r="AW26" s="50" t="n">
        <f aca="false">IF($F26="Spread",IF(AND(AW$10&gt;=$H26,AW$10&lt;$H26+MAX($I26,1)),$G26/MAX($I26,1),0),IF($F26="Annual",IF(AND(AW$10&gt;=$H26,AW$10&lt;$H26+IF($I26=0,MaxYears,$I26)),$G26,0),IF($F26="Periodic",IF(AND(AW$10&gt;=$H26,MOD(AW$10-$H26,MAX($I26,1))=0),$G26,0),0)))</f>
        <v>1250000</v>
      </c>
      <c r="AX26" s="50" t="n">
        <f aca="false">IF($F26="Spread",IF(AND(AX$10&gt;=$H26,AX$10&lt;$H26+MAX($I26,1)),$G26/MAX($I26,1),0),IF($F26="Annual",IF(AND(AX$10&gt;=$H26,AX$10&lt;$H26+IF($I26=0,MaxYears,$I26)),$G26,0),IF($F26="Periodic",IF(AND(AX$10&gt;=$H26,MOD(AX$10-$H26,MAX($I26,1))=0),$G26,0),0)))</f>
        <v>1250000</v>
      </c>
      <c r="AY26" s="50" t="n">
        <f aca="false">IF($F26="Spread",IF(AND(AY$10&gt;=$H26,AY$10&lt;$H26+MAX($I26,1)),$G26/MAX($I26,1),0),IF($F26="Annual",IF(AND(AY$10&gt;=$H26,AY$10&lt;$H26+IF($I26=0,MaxYears,$I26)),$G26,0),IF($F26="Periodic",IF(AND(AY$10&gt;=$H26,MOD(AY$10-$H26,MAX($I26,1))=0),$G26,0),0)))</f>
        <v>1250000</v>
      </c>
      <c r="AZ26" s="50" t="n">
        <f aca="false">IF($F26="Spread",IF(AND(AZ$10&gt;=$H26,AZ$10&lt;$H26+MAX($I26,1)),$G26/MAX($I26,1),0),IF($F26="Annual",IF(AND(AZ$10&gt;=$H26,AZ$10&lt;$H26+IF($I26=0,MaxYears,$I26)),$G26,0),IF($F26="Periodic",IF(AND(AZ$10&gt;=$H26,MOD(AZ$10-$H26,MAX($I26,1))=0),$G26,0),0)))</f>
        <v>1250000</v>
      </c>
    </row>
    <row r="27" customFormat="false" ht="27.75" hidden="false" customHeight="true" outlineLevel="0" collapsed="false">
      <c r="B27" s="25" t="s">
        <v>313</v>
      </c>
      <c r="C27" s="45" t="s">
        <v>314</v>
      </c>
      <c r="D27" s="45" t="s">
        <v>315</v>
      </c>
      <c r="E27" s="46" t="s">
        <v>310</v>
      </c>
      <c r="F27" s="46" t="s">
        <v>311</v>
      </c>
      <c r="G27" s="47" t="n">
        <v>1850000</v>
      </c>
      <c r="H27" s="51" t="n">
        <f aca="false">ConstrYears</f>
        <v>3</v>
      </c>
      <c r="I27" s="48" t="n">
        <v>0</v>
      </c>
      <c r="J27" s="45" t="s">
        <v>316</v>
      </c>
      <c r="K27" s="46" t="s">
        <v>260</v>
      </c>
      <c r="L27" s="49" t="n">
        <f aca="false">SUM(M27:AZ27)</f>
        <v>68450000</v>
      </c>
      <c r="M27" s="50" t="n">
        <f aca="false">IF($F27="Spread",IF(AND(M$10&gt;=$H27,M$10&lt;$H27+MAX($I27,1)),$G27/MAX($I27,1),0),IF($F27="Annual",IF(AND(M$10&gt;=$H27,M$10&lt;$H27+IF($I27=0,MaxYears,$I27)),$G27,0),IF($F27="Periodic",IF(AND(M$10&gt;=$H27,MOD(M$10-$H27,MAX($I27,1))=0),$G27,0),0)))</f>
        <v>0</v>
      </c>
      <c r="N27" s="50" t="n">
        <f aca="false">IF($F27="Spread",IF(AND(N$10&gt;=$H27,N$10&lt;$H27+MAX($I27,1)),$G27/MAX($I27,1),0),IF($F27="Annual",IF(AND(N$10&gt;=$H27,N$10&lt;$H27+IF($I27=0,MaxYears,$I27)),$G27,0),IF($F27="Periodic",IF(AND(N$10&gt;=$H27,MOD(N$10-$H27,MAX($I27,1))=0),$G27,0),0)))</f>
        <v>0</v>
      </c>
      <c r="O27" s="50" t="n">
        <f aca="false">IF($F27="Spread",IF(AND(O$10&gt;=$H27,O$10&lt;$H27+MAX($I27,1)),$G27/MAX($I27,1),0),IF($F27="Annual",IF(AND(O$10&gt;=$H27,O$10&lt;$H27+IF($I27=0,MaxYears,$I27)),$G27,0),IF($F27="Periodic",IF(AND(O$10&gt;=$H27,MOD(O$10-$H27,MAX($I27,1))=0),$G27,0),0)))</f>
        <v>0</v>
      </c>
      <c r="P27" s="50" t="n">
        <f aca="false">IF($F27="Spread",IF(AND(P$10&gt;=$H27,P$10&lt;$H27+MAX($I27,1)),$G27/MAX($I27,1),0),IF($F27="Annual",IF(AND(P$10&gt;=$H27,P$10&lt;$H27+IF($I27=0,MaxYears,$I27)),$G27,0),IF($F27="Periodic",IF(AND(P$10&gt;=$H27,MOD(P$10-$H27,MAX($I27,1))=0),$G27,0),0)))</f>
        <v>1850000</v>
      </c>
      <c r="Q27" s="50" t="n">
        <f aca="false">IF($F27="Spread",IF(AND(Q$10&gt;=$H27,Q$10&lt;$H27+MAX($I27,1)),$G27/MAX($I27,1),0),IF($F27="Annual",IF(AND(Q$10&gt;=$H27,Q$10&lt;$H27+IF($I27=0,MaxYears,$I27)),$G27,0),IF($F27="Periodic",IF(AND(Q$10&gt;=$H27,MOD(Q$10-$H27,MAX($I27,1))=0),$G27,0),0)))</f>
        <v>1850000</v>
      </c>
      <c r="R27" s="50" t="n">
        <f aca="false">IF($F27="Spread",IF(AND(R$10&gt;=$H27,R$10&lt;$H27+MAX($I27,1)),$G27/MAX($I27,1),0),IF($F27="Annual",IF(AND(R$10&gt;=$H27,R$10&lt;$H27+IF($I27=0,MaxYears,$I27)),$G27,0),IF($F27="Periodic",IF(AND(R$10&gt;=$H27,MOD(R$10-$H27,MAX($I27,1))=0),$G27,0),0)))</f>
        <v>1850000</v>
      </c>
      <c r="S27" s="50" t="n">
        <f aca="false">IF($F27="Spread",IF(AND(S$10&gt;=$H27,S$10&lt;$H27+MAX($I27,1)),$G27/MAX($I27,1),0),IF($F27="Annual",IF(AND(S$10&gt;=$H27,S$10&lt;$H27+IF($I27=0,MaxYears,$I27)),$G27,0),IF($F27="Periodic",IF(AND(S$10&gt;=$H27,MOD(S$10-$H27,MAX($I27,1))=0),$G27,0),0)))</f>
        <v>1850000</v>
      </c>
      <c r="T27" s="50" t="n">
        <f aca="false">IF($F27="Spread",IF(AND(T$10&gt;=$H27,T$10&lt;$H27+MAX($I27,1)),$G27/MAX($I27,1),0),IF($F27="Annual",IF(AND(T$10&gt;=$H27,T$10&lt;$H27+IF($I27=0,MaxYears,$I27)),$G27,0),IF($F27="Periodic",IF(AND(T$10&gt;=$H27,MOD(T$10-$H27,MAX($I27,1))=0),$G27,0),0)))</f>
        <v>1850000</v>
      </c>
      <c r="U27" s="50" t="n">
        <f aca="false">IF($F27="Spread",IF(AND(U$10&gt;=$H27,U$10&lt;$H27+MAX($I27,1)),$G27/MAX($I27,1),0),IF($F27="Annual",IF(AND(U$10&gt;=$H27,U$10&lt;$H27+IF($I27=0,MaxYears,$I27)),$G27,0),IF($F27="Periodic",IF(AND(U$10&gt;=$H27,MOD(U$10-$H27,MAX($I27,1))=0),$G27,0),0)))</f>
        <v>1850000</v>
      </c>
      <c r="V27" s="50" t="n">
        <f aca="false">IF($F27="Spread",IF(AND(V$10&gt;=$H27,V$10&lt;$H27+MAX($I27,1)),$G27/MAX($I27,1),0),IF($F27="Annual",IF(AND(V$10&gt;=$H27,V$10&lt;$H27+IF($I27=0,MaxYears,$I27)),$G27,0),IF($F27="Periodic",IF(AND(V$10&gt;=$H27,MOD(V$10-$H27,MAX($I27,1))=0),$G27,0),0)))</f>
        <v>1850000</v>
      </c>
      <c r="W27" s="50" t="n">
        <f aca="false">IF($F27="Spread",IF(AND(W$10&gt;=$H27,W$10&lt;$H27+MAX($I27,1)),$G27/MAX($I27,1),0),IF($F27="Annual",IF(AND(W$10&gt;=$H27,W$10&lt;$H27+IF($I27=0,MaxYears,$I27)),$G27,0),IF($F27="Periodic",IF(AND(W$10&gt;=$H27,MOD(W$10-$H27,MAX($I27,1))=0),$G27,0),0)))</f>
        <v>1850000</v>
      </c>
      <c r="X27" s="50" t="n">
        <f aca="false">IF($F27="Spread",IF(AND(X$10&gt;=$H27,X$10&lt;$H27+MAX($I27,1)),$G27/MAX($I27,1),0),IF($F27="Annual",IF(AND(X$10&gt;=$H27,X$10&lt;$H27+IF($I27=0,MaxYears,$I27)),$G27,0),IF($F27="Periodic",IF(AND(X$10&gt;=$H27,MOD(X$10-$H27,MAX($I27,1))=0),$G27,0),0)))</f>
        <v>1850000</v>
      </c>
      <c r="Y27" s="50" t="n">
        <f aca="false">IF($F27="Spread",IF(AND(Y$10&gt;=$H27,Y$10&lt;$H27+MAX($I27,1)),$G27/MAX($I27,1),0),IF($F27="Annual",IF(AND(Y$10&gt;=$H27,Y$10&lt;$H27+IF($I27=0,MaxYears,$I27)),$G27,0),IF($F27="Periodic",IF(AND(Y$10&gt;=$H27,MOD(Y$10-$H27,MAX($I27,1))=0),$G27,0),0)))</f>
        <v>1850000</v>
      </c>
      <c r="Z27" s="50" t="n">
        <f aca="false">IF($F27="Spread",IF(AND(Z$10&gt;=$H27,Z$10&lt;$H27+MAX($I27,1)),$G27/MAX($I27,1),0),IF($F27="Annual",IF(AND(Z$10&gt;=$H27,Z$10&lt;$H27+IF($I27=0,MaxYears,$I27)),$G27,0),IF($F27="Periodic",IF(AND(Z$10&gt;=$H27,MOD(Z$10-$H27,MAX($I27,1))=0),$G27,0),0)))</f>
        <v>1850000</v>
      </c>
      <c r="AA27" s="50" t="n">
        <f aca="false">IF($F27="Spread",IF(AND(AA$10&gt;=$H27,AA$10&lt;$H27+MAX($I27,1)),$G27/MAX($I27,1),0),IF($F27="Annual",IF(AND(AA$10&gt;=$H27,AA$10&lt;$H27+IF($I27=0,MaxYears,$I27)),$G27,0),IF($F27="Periodic",IF(AND(AA$10&gt;=$H27,MOD(AA$10-$H27,MAX($I27,1))=0),$G27,0),0)))</f>
        <v>1850000</v>
      </c>
      <c r="AB27" s="50" t="n">
        <f aca="false">IF($F27="Spread",IF(AND(AB$10&gt;=$H27,AB$10&lt;$H27+MAX($I27,1)),$G27/MAX($I27,1),0),IF($F27="Annual",IF(AND(AB$10&gt;=$H27,AB$10&lt;$H27+IF($I27=0,MaxYears,$I27)),$G27,0),IF($F27="Periodic",IF(AND(AB$10&gt;=$H27,MOD(AB$10-$H27,MAX($I27,1))=0),$G27,0),0)))</f>
        <v>1850000</v>
      </c>
      <c r="AC27" s="50" t="n">
        <f aca="false">IF($F27="Spread",IF(AND(AC$10&gt;=$H27,AC$10&lt;$H27+MAX($I27,1)),$G27/MAX($I27,1),0),IF($F27="Annual",IF(AND(AC$10&gt;=$H27,AC$10&lt;$H27+IF($I27=0,MaxYears,$I27)),$G27,0),IF($F27="Periodic",IF(AND(AC$10&gt;=$H27,MOD(AC$10-$H27,MAX($I27,1))=0),$G27,0),0)))</f>
        <v>1850000</v>
      </c>
      <c r="AD27" s="50" t="n">
        <f aca="false">IF($F27="Spread",IF(AND(AD$10&gt;=$H27,AD$10&lt;$H27+MAX($I27,1)),$G27/MAX($I27,1),0),IF($F27="Annual",IF(AND(AD$10&gt;=$H27,AD$10&lt;$H27+IF($I27=0,MaxYears,$I27)),$G27,0),IF($F27="Periodic",IF(AND(AD$10&gt;=$H27,MOD(AD$10-$H27,MAX($I27,1))=0),$G27,0),0)))</f>
        <v>1850000</v>
      </c>
      <c r="AE27" s="50" t="n">
        <f aca="false">IF($F27="Spread",IF(AND(AE$10&gt;=$H27,AE$10&lt;$H27+MAX($I27,1)),$G27/MAX($I27,1),0),IF($F27="Annual",IF(AND(AE$10&gt;=$H27,AE$10&lt;$H27+IF($I27=0,MaxYears,$I27)),$G27,0),IF($F27="Periodic",IF(AND(AE$10&gt;=$H27,MOD(AE$10-$H27,MAX($I27,1))=0),$G27,0),0)))</f>
        <v>1850000</v>
      </c>
      <c r="AF27" s="50" t="n">
        <f aca="false">IF($F27="Spread",IF(AND(AF$10&gt;=$H27,AF$10&lt;$H27+MAX($I27,1)),$G27/MAX($I27,1),0),IF($F27="Annual",IF(AND(AF$10&gt;=$H27,AF$10&lt;$H27+IF($I27=0,MaxYears,$I27)),$G27,0),IF($F27="Periodic",IF(AND(AF$10&gt;=$H27,MOD(AF$10-$H27,MAX($I27,1))=0),$G27,0),0)))</f>
        <v>1850000</v>
      </c>
      <c r="AG27" s="50" t="n">
        <f aca="false">IF($F27="Spread",IF(AND(AG$10&gt;=$H27,AG$10&lt;$H27+MAX($I27,1)),$G27/MAX($I27,1),0),IF($F27="Annual",IF(AND(AG$10&gt;=$H27,AG$10&lt;$H27+IF($I27=0,MaxYears,$I27)),$G27,0),IF($F27="Periodic",IF(AND(AG$10&gt;=$H27,MOD(AG$10-$H27,MAX($I27,1))=0),$G27,0),0)))</f>
        <v>1850000</v>
      </c>
      <c r="AH27" s="50" t="n">
        <f aca="false">IF($F27="Spread",IF(AND(AH$10&gt;=$H27,AH$10&lt;$H27+MAX($I27,1)),$G27/MAX($I27,1),0),IF($F27="Annual",IF(AND(AH$10&gt;=$H27,AH$10&lt;$H27+IF($I27=0,MaxYears,$I27)),$G27,0),IF($F27="Periodic",IF(AND(AH$10&gt;=$H27,MOD(AH$10-$H27,MAX($I27,1))=0),$G27,0),0)))</f>
        <v>1850000</v>
      </c>
      <c r="AI27" s="50" t="n">
        <f aca="false">IF($F27="Spread",IF(AND(AI$10&gt;=$H27,AI$10&lt;$H27+MAX($I27,1)),$G27/MAX($I27,1),0),IF($F27="Annual",IF(AND(AI$10&gt;=$H27,AI$10&lt;$H27+IF($I27=0,MaxYears,$I27)),$G27,0),IF($F27="Periodic",IF(AND(AI$10&gt;=$H27,MOD(AI$10-$H27,MAX($I27,1))=0),$G27,0),0)))</f>
        <v>1850000</v>
      </c>
      <c r="AJ27" s="50" t="n">
        <f aca="false">IF($F27="Spread",IF(AND(AJ$10&gt;=$H27,AJ$10&lt;$H27+MAX($I27,1)),$G27/MAX($I27,1),0),IF($F27="Annual",IF(AND(AJ$10&gt;=$H27,AJ$10&lt;$H27+IF($I27=0,MaxYears,$I27)),$G27,0),IF($F27="Periodic",IF(AND(AJ$10&gt;=$H27,MOD(AJ$10-$H27,MAX($I27,1))=0),$G27,0),0)))</f>
        <v>1850000</v>
      </c>
      <c r="AK27" s="50" t="n">
        <f aca="false">IF($F27="Spread",IF(AND(AK$10&gt;=$H27,AK$10&lt;$H27+MAX($I27,1)),$G27/MAX($I27,1),0),IF($F27="Annual",IF(AND(AK$10&gt;=$H27,AK$10&lt;$H27+IF($I27=0,MaxYears,$I27)),$G27,0),IF($F27="Periodic",IF(AND(AK$10&gt;=$H27,MOD(AK$10-$H27,MAX($I27,1))=0),$G27,0),0)))</f>
        <v>1850000</v>
      </c>
      <c r="AL27" s="50" t="n">
        <f aca="false">IF($F27="Spread",IF(AND(AL$10&gt;=$H27,AL$10&lt;$H27+MAX($I27,1)),$G27/MAX($I27,1),0),IF($F27="Annual",IF(AND(AL$10&gt;=$H27,AL$10&lt;$H27+IF($I27=0,MaxYears,$I27)),$G27,0),IF($F27="Periodic",IF(AND(AL$10&gt;=$H27,MOD(AL$10-$H27,MAX($I27,1))=0),$G27,0),0)))</f>
        <v>1850000</v>
      </c>
      <c r="AM27" s="50" t="n">
        <f aca="false">IF($F27="Spread",IF(AND(AM$10&gt;=$H27,AM$10&lt;$H27+MAX($I27,1)),$G27/MAX($I27,1),0),IF($F27="Annual",IF(AND(AM$10&gt;=$H27,AM$10&lt;$H27+IF($I27=0,MaxYears,$I27)),$G27,0),IF($F27="Periodic",IF(AND(AM$10&gt;=$H27,MOD(AM$10-$H27,MAX($I27,1))=0),$G27,0),0)))</f>
        <v>1850000</v>
      </c>
      <c r="AN27" s="50" t="n">
        <f aca="false">IF($F27="Spread",IF(AND(AN$10&gt;=$H27,AN$10&lt;$H27+MAX($I27,1)),$G27/MAX($I27,1),0),IF($F27="Annual",IF(AND(AN$10&gt;=$H27,AN$10&lt;$H27+IF($I27=0,MaxYears,$I27)),$G27,0),IF($F27="Periodic",IF(AND(AN$10&gt;=$H27,MOD(AN$10-$H27,MAX($I27,1))=0),$G27,0),0)))</f>
        <v>1850000</v>
      </c>
      <c r="AO27" s="50" t="n">
        <f aca="false">IF($F27="Spread",IF(AND(AO$10&gt;=$H27,AO$10&lt;$H27+MAX($I27,1)),$G27/MAX($I27,1),0),IF($F27="Annual",IF(AND(AO$10&gt;=$H27,AO$10&lt;$H27+IF($I27=0,MaxYears,$I27)),$G27,0),IF($F27="Periodic",IF(AND(AO$10&gt;=$H27,MOD(AO$10-$H27,MAX($I27,1))=0),$G27,0),0)))</f>
        <v>1850000</v>
      </c>
      <c r="AP27" s="50" t="n">
        <f aca="false">IF($F27="Spread",IF(AND(AP$10&gt;=$H27,AP$10&lt;$H27+MAX($I27,1)),$G27/MAX($I27,1),0),IF($F27="Annual",IF(AND(AP$10&gt;=$H27,AP$10&lt;$H27+IF($I27=0,MaxYears,$I27)),$G27,0),IF($F27="Periodic",IF(AND(AP$10&gt;=$H27,MOD(AP$10-$H27,MAX($I27,1))=0),$G27,0),0)))</f>
        <v>1850000</v>
      </c>
      <c r="AQ27" s="50" t="n">
        <f aca="false">IF($F27="Spread",IF(AND(AQ$10&gt;=$H27,AQ$10&lt;$H27+MAX($I27,1)),$G27/MAX($I27,1),0),IF($F27="Annual",IF(AND(AQ$10&gt;=$H27,AQ$10&lt;$H27+IF($I27=0,MaxYears,$I27)),$G27,0),IF($F27="Periodic",IF(AND(AQ$10&gt;=$H27,MOD(AQ$10-$H27,MAX($I27,1))=0),$G27,0),0)))</f>
        <v>1850000</v>
      </c>
      <c r="AR27" s="50" t="n">
        <f aca="false">IF($F27="Spread",IF(AND(AR$10&gt;=$H27,AR$10&lt;$H27+MAX($I27,1)),$G27/MAX($I27,1),0),IF($F27="Annual",IF(AND(AR$10&gt;=$H27,AR$10&lt;$H27+IF($I27=0,MaxYears,$I27)),$G27,0),IF($F27="Periodic",IF(AND(AR$10&gt;=$H27,MOD(AR$10-$H27,MAX($I27,1))=0),$G27,0),0)))</f>
        <v>1850000</v>
      </c>
      <c r="AS27" s="50" t="n">
        <f aca="false">IF($F27="Spread",IF(AND(AS$10&gt;=$H27,AS$10&lt;$H27+MAX($I27,1)),$G27/MAX($I27,1),0),IF($F27="Annual",IF(AND(AS$10&gt;=$H27,AS$10&lt;$H27+IF($I27=0,MaxYears,$I27)),$G27,0),IF($F27="Periodic",IF(AND(AS$10&gt;=$H27,MOD(AS$10-$H27,MAX($I27,1))=0),$G27,0),0)))</f>
        <v>1850000</v>
      </c>
      <c r="AT27" s="50" t="n">
        <f aca="false">IF($F27="Spread",IF(AND(AT$10&gt;=$H27,AT$10&lt;$H27+MAX($I27,1)),$G27/MAX($I27,1),0),IF($F27="Annual",IF(AND(AT$10&gt;=$H27,AT$10&lt;$H27+IF($I27=0,MaxYears,$I27)),$G27,0),IF($F27="Periodic",IF(AND(AT$10&gt;=$H27,MOD(AT$10-$H27,MAX($I27,1))=0),$G27,0),0)))</f>
        <v>1850000</v>
      </c>
      <c r="AU27" s="50" t="n">
        <f aca="false">IF($F27="Spread",IF(AND(AU$10&gt;=$H27,AU$10&lt;$H27+MAX($I27,1)),$G27/MAX($I27,1),0),IF($F27="Annual",IF(AND(AU$10&gt;=$H27,AU$10&lt;$H27+IF($I27=0,MaxYears,$I27)),$G27,0),IF($F27="Periodic",IF(AND(AU$10&gt;=$H27,MOD(AU$10-$H27,MAX($I27,1))=0),$G27,0),0)))</f>
        <v>1850000</v>
      </c>
      <c r="AV27" s="50" t="n">
        <f aca="false">IF($F27="Spread",IF(AND(AV$10&gt;=$H27,AV$10&lt;$H27+MAX($I27,1)),$G27/MAX($I27,1),0),IF($F27="Annual",IF(AND(AV$10&gt;=$H27,AV$10&lt;$H27+IF($I27=0,MaxYears,$I27)),$G27,0),IF($F27="Periodic",IF(AND(AV$10&gt;=$H27,MOD(AV$10-$H27,MAX($I27,1))=0),$G27,0),0)))</f>
        <v>1850000</v>
      </c>
      <c r="AW27" s="50" t="n">
        <f aca="false">IF($F27="Spread",IF(AND(AW$10&gt;=$H27,AW$10&lt;$H27+MAX($I27,1)),$G27/MAX($I27,1),0),IF($F27="Annual",IF(AND(AW$10&gt;=$H27,AW$10&lt;$H27+IF($I27=0,MaxYears,$I27)),$G27,0),IF($F27="Periodic",IF(AND(AW$10&gt;=$H27,MOD(AW$10-$H27,MAX($I27,1))=0),$G27,0),0)))</f>
        <v>1850000</v>
      </c>
      <c r="AX27" s="50" t="n">
        <f aca="false">IF($F27="Spread",IF(AND(AX$10&gt;=$H27,AX$10&lt;$H27+MAX($I27,1)),$G27/MAX($I27,1),0),IF($F27="Annual",IF(AND(AX$10&gt;=$H27,AX$10&lt;$H27+IF($I27=0,MaxYears,$I27)),$G27,0),IF($F27="Periodic",IF(AND(AX$10&gt;=$H27,MOD(AX$10-$H27,MAX($I27,1))=0),$G27,0),0)))</f>
        <v>1850000</v>
      </c>
      <c r="AY27" s="50" t="n">
        <f aca="false">IF($F27="Spread",IF(AND(AY$10&gt;=$H27,AY$10&lt;$H27+MAX($I27,1)),$G27/MAX($I27,1),0),IF($F27="Annual",IF(AND(AY$10&gt;=$H27,AY$10&lt;$H27+IF($I27=0,MaxYears,$I27)),$G27,0),IF($F27="Periodic",IF(AND(AY$10&gt;=$H27,MOD(AY$10-$H27,MAX($I27,1))=0),$G27,0),0)))</f>
        <v>1850000</v>
      </c>
      <c r="AZ27" s="50" t="n">
        <f aca="false">IF($F27="Spread",IF(AND(AZ$10&gt;=$H27,AZ$10&lt;$H27+MAX($I27,1)),$G27/MAX($I27,1),0),IF($F27="Annual",IF(AND(AZ$10&gt;=$H27,AZ$10&lt;$H27+IF($I27=0,MaxYears,$I27)),$G27,0),IF($F27="Periodic",IF(AND(AZ$10&gt;=$H27,MOD(AZ$10-$H27,MAX($I27,1))=0),$G27,0),0)))</f>
        <v>1850000</v>
      </c>
    </row>
    <row r="28" customFormat="false" ht="27.75" hidden="false" customHeight="true" outlineLevel="0" collapsed="false">
      <c r="B28" s="25" t="s">
        <v>317</v>
      </c>
      <c r="C28" s="45" t="s">
        <v>318</v>
      </c>
      <c r="D28" s="45" t="s">
        <v>319</v>
      </c>
      <c r="E28" s="46" t="s">
        <v>310</v>
      </c>
      <c r="F28" s="46" t="s">
        <v>311</v>
      </c>
      <c r="G28" s="47" t="n">
        <v>520000</v>
      </c>
      <c r="H28" s="51" t="n">
        <f aca="false">ConstrYears</f>
        <v>3</v>
      </c>
      <c r="I28" s="48" t="n">
        <v>0</v>
      </c>
      <c r="J28" s="45" t="s">
        <v>320</v>
      </c>
      <c r="K28" s="46" t="s">
        <v>260</v>
      </c>
      <c r="L28" s="49" t="n">
        <f aca="false">SUM(M28:AZ28)</f>
        <v>19240000</v>
      </c>
      <c r="M28" s="50" t="n">
        <f aca="false">IF($F28="Spread",IF(AND(M$10&gt;=$H28,M$10&lt;$H28+MAX($I28,1)),$G28/MAX($I28,1),0),IF($F28="Annual",IF(AND(M$10&gt;=$H28,M$10&lt;$H28+IF($I28=0,MaxYears,$I28)),$G28,0),IF($F28="Periodic",IF(AND(M$10&gt;=$H28,MOD(M$10-$H28,MAX($I28,1))=0),$G28,0),0)))</f>
        <v>0</v>
      </c>
      <c r="N28" s="50" t="n">
        <f aca="false">IF($F28="Spread",IF(AND(N$10&gt;=$H28,N$10&lt;$H28+MAX($I28,1)),$G28/MAX($I28,1),0),IF($F28="Annual",IF(AND(N$10&gt;=$H28,N$10&lt;$H28+IF($I28=0,MaxYears,$I28)),$G28,0),IF($F28="Periodic",IF(AND(N$10&gt;=$H28,MOD(N$10-$H28,MAX($I28,1))=0),$G28,0),0)))</f>
        <v>0</v>
      </c>
      <c r="O28" s="50" t="n">
        <f aca="false">IF($F28="Spread",IF(AND(O$10&gt;=$H28,O$10&lt;$H28+MAX($I28,1)),$G28/MAX($I28,1),0),IF($F28="Annual",IF(AND(O$10&gt;=$H28,O$10&lt;$H28+IF($I28=0,MaxYears,$I28)),$G28,0),IF($F28="Periodic",IF(AND(O$10&gt;=$H28,MOD(O$10-$H28,MAX($I28,1))=0),$G28,0),0)))</f>
        <v>0</v>
      </c>
      <c r="P28" s="50" t="n">
        <f aca="false">IF($F28="Spread",IF(AND(P$10&gt;=$H28,P$10&lt;$H28+MAX($I28,1)),$G28/MAX($I28,1),0),IF($F28="Annual",IF(AND(P$10&gt;=$H28,P$10&lt;$H28+IF($I28=0,MaxYears,$I28)),$G28,0),IF($F28="Periodic",IF(AND(P$10&gt;=$H28,MOD(P$10-$H28,MAX($I28,1))=0),$G28,0),0)))</f>
        <v>520000</v>
      </c>
      <c r="Q28" s="50" t="n">
        <f aca="false">IF($F28="Spread",IF(AND(Q$10&gt;=$H28,Q$10&lt;$H28+MAX($I28,1)),$G28/MAX($I28,1),0),IF($F28="Annual",IF(AND(Q$10&gt;=$H28,Q$10&lt;$H28+IF($I28=0,MaxYears,$I28)),$G28,0),IF($F28="Periodic",IF(AND(Q$10&gt;=$H28,MOD(Q$10-$H28,MAX($I28,1))=0),$G28,0),0)))</f>
        <v>520000</v>
      </c>
      <c r="R28" s="50" t="n">
        <f aca="false">IF($F28="Spread",IF(AND(R$10&gt;=$H28,R$10&lt;$H28+MAX($I28,1)),$G28/MAX($I28,1),0),IF($F28="Annual",IF(AND(R$10&gt;=$H28,R$10&lt;$H28+IF($I28=0,MaxYears,$I28)),$G28,0),IF($F28="Periodic",IF(AND(R$10&gt;=$H28,MOD(R$10-$H28,MAX($I28,1))=0),$G28,0),0)))</f>
        <v>520000</v>
      </c>
      <c r="S28" s="50" t="n">
        <f aca="false">IF($F28="Spread",IF(AND(S$10&gt;=$H28,S$10&lt;$H28+MAX($I28,1)),$G28/MAX($I28,1),0),IF($F28="Annual",IF(AND(S$10&gt;=$H28,S$10&lt;$H28+IF($I28=0,MaxYears,$I28)),$G28,0),IF($F28="Periodic",IF(AND(S$10&gt;=$H28,MOD(S$10-$H28,MAX($I28,1))=0),$G28,0),0)))</f>
        <v>520000</v>
      </c>
      <c r="T28" s="50" t="n">
        <f aca="false">IF($F28="Spread",IF(AND(T$10&gt;=$H28,T$10&lt;$H28+MAX($I28,1)),$G28/MAX($I28,1),0),IF($F28="Annual",IF(AND(T$10&gt;=$H28,T$10&lt;$H28+IF($I28=0,MaxYears,$I28)),$G28,0),IF($F28="Periodic",IF(AND(T$10&gt;=$H28,MOD(T$10-$H28,MAX($I28,1))=0),$G28,0),0)))</f>
        <v>520000</v>
      </c>
      <c r="U28" s="50" t="n">
        <f aca="false">IF($F28="Spread",IF(AND(U$10&gt;=$H28,U$10&lt;$H28+MAX($I28,1)),$G28/MAX($I28,1),0),IF($F28="Annual",IF(AND(U$10&gt;=$H28,U$10&lt;$H28+IF($I28=0,MaxYears,$I28)),$G28,0),IF($F28="Periodic",IF(AND(U$10&gt;=$H28,MOD(U$10-$H28,MAX($I28,1))=0),$G28,0),0)))</f>
        <v>520000</v>
      </c>
      <c r="V28" s="50" t="n">
        <f aca="false">IF($F28="Spread",IF(AND(V$10&gt;=$H28,V$10&lt;$H28+MAX($I28,1)),$G28/MAX($I28,1),0),IF($F28="Annual",IF(AND(V$10&gt;=$H28,V$10&lt;$H28+IF($I28=0,MaxYears,$I28)),$G28,0),IF($F28="Periodic",IF(AND(V$10&gt;=$H28,MOD(V$10-$H28,MAX($I28,1))=0),$G28,0),0)))</f>
        <v>520000</v>
      </c>
      <c r="W28" s="50" t="n">
        <f aca="false">IF($F28="Spread",IF(AND(W$10&gt;=$H28,W$10&lt;$H28+MAX($I28,1)),$G28/MAX($I28,1),0),IF($F28="Annual",IF(AND(W$10&gt;=$H28,W$10&lt;$H28+IF($I28=0,MaxYears,$I28)),$G28,0),IF($F28="Periodic",IF(AND(W$10&gt;=$H28,MOD(W$10-$H28,MAX($I28,1))=0),$G28,0),0)))</f>
        <v>520000</v>
      </c>
      <c r="X28" s="50" t="n">
        <f aca="false">IF($F28="Spread",IF(AND(X$10&gt;=$H28,X$10&lt;$H28+MAX($I28,1)),$G28/MAX($I28,1),0),IF($F28="Annual",IF(AND(X$10&gt;=$H28,X$10&lt;$H28+IF($I28=0,MaxYears,$I28)),$G28,0),IF($F28="Periodic",IF(AND(X$10&gt;=$H28,MOD(X$10-$H28,MAX($I28,1))=0),$G28,0),0)))</f>
        <v>520000</v>
      </c>
      <c r="Y28" s="50" t="n">
        <f aca="false">IF($F28="Spread",IF(AND(Y$10&gt;=$H28,Y$10&lt;$H28+MAX($I28,1)),$G28/MAX($I28,1),0),IF($F28="Annual",IF(AND(Y$10&gt;=$H28,Y$10&lt;$H28+IF($I28=0,MaxYears,$I28)),$G28,0),IF($F28="Periodic",IF(AND(Y$10&gt;=$H28,MOD(Y$10-$H28,MAX($I28,1))=0),$G28,0),0)))</f>
        <v>520000</v>
      </c>
      <c r="Z28" s="50" t="n">
        <f aca="false">IF($F28="Spread",IF(AND(Z$10&gt;=$H28,Z$10&lt;$H28+MAX($I28,1)),$G28/MAX($I28,1),0),IF($F28="Annual",IF(AND(Z$10&gt;=$H28,Z$10&lt;$H28+IF($I28=0,MaxYears,$I28)),$G28,0),IF($F28="Periodic",IF(AND(Z$10&gt;=$H28,MOD(Z$10-$H28,MAX($I28,1))=0),$G28,0),0)))</f>
        <v>520000</v>
      </c>
      <c r="AA28" s="50" t="n">
        <f aca="false">IF($F28="Spread",IF(AND(AA$10&gt;=$H28,AA$10&lt;$H28+MAX($I28,1)),$G28/MAX($I28,1),0),IF($F28="Annual",IF(AND(AA$10&gt;=$H28,AA$10&lt;$H28+IF($I28=0,MaxYears,$I28)),$G28,0),IF($F28="Periodic",IF(AND(AA$10&gt;=$H28,MOD(AA$10-$H28,MAX($I28,1))=0),$G28,0),0)))</f>
        <v>520000</v>
      </c>
      <c r="AB28" s="50" t="n">
        <f aca="false">IF($F28="Spread",IF(AND(AB$10&gt;=$H28,AB$10&lt;$H28+MAX($I28,1)),$G28/MAX($I28,1),0),IF($F28="Annual",IF(AND(AB$10&gt;=$H28,AB$10&lt;$H28+IF($I28=0,MaxYears,$I28)),$G28,0),IF($F28="Periodic",IF(AND(AB$10&gt;=$H28,MOD(AB$10-$H28,MAX($I28,1))=0),$G28,0),0)))</f>
        <v>520000</v>
      </c>
      <c r="AC28" s="50" t="n">
        <f aca="false">IF($F28="Spread",IF(AND(AC$10&gt;=$H28,AC$10&lt;$H28+MAX($I28,1)),$G28/MAX($I28,1),0),IF($F28="Annual",IF(AND(AC$10&gt;=$H28,AC$10&lt;$H28+IF($I28=0,MaxYears,$I28)),$G28,0),IF($F28="Periodic",IF(AND(AC$10&gt;=$H28,MOD(AC$10-$H28,MAX($I28,1))=0),$G28,0),0)))</f>
        <v>520000</v>
      </c>
      <c r="AD28" s="50" t="n">
        <f aca="false">IF($F28="Spread",IF(AND(AD$10&gt;=$H28,AD$10&lt;$H28+MAX($I28,1)),$G28/MAX($I28,1),0),IF($F28="Annual",IF(AND(AD$10&gt;=$H28,AD$10&lt;$H28+IF($I28=0,MaxYears,$I28)),$G28,0),IF($F28="Periodic",IF(AND(AD$10&gt;=$H28,MOD(AD$10-$H28,MAX($I28,1))=0),$G28,0),0)))</f>
        <v>520000</v>
      </c>
      <c r="AE28" s="50" t="n">
        <f aca="false">IF($F28="Spread",IF(AND(AE$10&gt;=$H28,AE$10&lt;$H28+MAX($I28,1)),$G28/MAX($I28,1),0),IF($F28="Annual",IF(AND(AE$10&gt;=$H28,AE$10&lt;$H28+IF($I28=0,MaxYears,$I28)),$G28,0),IF($F28="Periodic",IF(AND(AE$10&gt;=$H28,MOD(AE$10-$H28,MAX($I28,1))=0),$G28,0),0)))</f>
        <v>520000</v>
      </c>
      <c r="AF28" s="50" t="n">
        <f aca="false">IF($F28="Spread",IF(AND(AF$10&gt;=$H28,AF$10&lt;$H28+MAX($I28,1)),$G28/MAX($I28,1),0),IF($F28="Annual",IF(AND(AF$10&gt;=$H28,AF$10&lt;$H28+IF($I28=0,MaxYears,$I28)),$G28,0),IF($F28="Periodic",IF(AND(AF$10&gt;=$H28,MOD(AF$10-$H28,MAX($I28,1))=0),$G28,0),0)))</f>
        <v>520000</v>
      </c>
      <c r="AG28" s="50" t="n">
        <f aca="false">IF($F28="Spread",IF(AND(AG$10&gt;=$H28,AG$10&lt;$H28+MAX($I28,1)),$G28/MAX($I28,1),0),IF($F28="Annual",IF(AND(AG$10&gt;=$H28,AG$10&lt;$H28+IF($I28=0,MaxYears,$I28)),$G28,0),IF($F28="Periodic",IF(AND(AG$10&gt;=$H28,MOD(AG$10-$H28,MAX($I28,1))=0),$G28,0),0)))</f>
        <v>520000</v>
      </c>
      <c r="AH28" s="50" t="n">
        <f aca="false">IF($F28="Spread",IF(AND(AH$10&gt;=$H28,AH$10&lt;$H28+MAX($I28,1)),$G28/MAX($I28,1),0),IF($F28="Annual",IF(AND(AH$10&gt;=$H28,AH$10&lt;$H28+IF($I28=0,MaxYears,$I28)),$G28,0),IF($F28="Periodic",IF(AND(AH$10&gt;=$H28,MOD(AH$10-$H28,MAX($I28,1))=0),$G28,0),0)))</f>
        <v>520000</v>
      </c>
      <c r="AI28" s="50" t="n">
        <f aca="false">IF($F28="Spread",IF(AND(AI$10&gt;=$H28,AI$10&lt;$H28+MAX($I28,1)),$G28/MAX($I28,1),0),IF($F28="Annual",IF(AND(AI$10&gt;=$H28,AI$10&lt;$H28+IF($I28=0,MaxYears,$I28)),$G28,0),IF($F28="Periodic",IF(AND(AI$10&gt;=$H28,MOD(AI$10-$H28,MAX($I28,1))=0),$G28,0),0)))</f>
        <v>520000</v>
      </c>
      <c r="AJ28" s="50" t="n">
        <f aca="false">IF($F28="Spread",IF(AND(AJ$10&gt;=$H28,AJ$10&lt;$H28+MAX($I28,1)),$G28/MAX($I28,1),0),IF($F28="Annual",IF(AND(AJ$10&gt;=$H28,AJ$10&lt;$H28+IF($I28=0,MaxYears,$I28)),$G28,0),IF($F28="Periodic",IF(AND(AJ$10&gt;=$H28,MOD(AJ$10-$H28,MAX($I28,1))=0),$G28,0),0)))</f>
        <v>520000</v>
      </c>
      <c r="AK28" s="50" t="n">
        <f aca="false">IF($F28="Spread",IF(AND(AK$10&gt;=$H28,AK$10&lt;$H28+MAX($I28,1)),$G28/MAX($I28,1),0),IF($F28="Annual",IF(AND(AK$10&gt;=$H28,AK$10&lt;$H28+IF($I28=0,MaxYears,$I28)),$G28,0),IF($F28="Periodic",IF(AND(AK$10&gt;=$H28,MOD(AK$10-$H28,MAX($I28,1))=0),$G28,0),0)))</f>
        <v>520000</v>
      </c>
      <c r="AL28" s="50" t="n">
        <f aca="false">IF($F28="Spread",IF(AND(AL$10&gt;=$H28,AL$10&lt;$H28+MAX($I28,1)),$G28/MAX($I28,1),0),IF($F28="Annual",IF(AND(AL$10&gt;=$H28,AL$10&lt;$H28+IF($I28=0,MaxYears,$I28)),$G28,0),IF($F28="Periodic",IF(AND(AL$10&gt;=$H28,MOD(AL$10-$H28,MAX($I28,1))=0),$G28,0),0)))</f>
        <v>520000</v>
      </c>
      <c r="AM28" s="50" t="n">
        <f aca="false">IF($F28="Spread",IF(AND(AM$10&gt;=$H28,AM$10&lt;$H28+MAX($I28,1)),$G28/MAX($I28,1),0),IF($F28="Annual",IF(AND(AM$10&gt;=$H28,AM$10&lt;$H28+IF($I28=0,MaxYears,$I28)),$G28,0),IF($F28="Periodic",IF(AND(AM$10&gt;=$H28,MOD(AM$10-$H28,MAX($I28,1))=0),$G28,0),0)))</f>
        <v>520000</v>
      </c>
      <c r="AN28" s="50" t="n">
        <f aca="false">IF($F28="Spread",IF(AND(AN$10&gt;=$H28,AN$10&lt;$H28+MAX($I28,1)),$G28/MAX($I28,1),0),IF($F28="Annual",IF(AND(AN$10&gt;=$H28,AN$10&lt;$H28+IF($I28=0,MaxYears,$I28)),$G28,0),IF($F28="Periodic",IF(AND(AN$10&gt;=$H28,MOD(AN$10-$H28,MAX($I28,1))=0),$G28,0),0)))</f>
        <v>520000</v>
      </c>
      <c r="AO28" s="50" t="n">
        <f aca="false">IF($F28="Spread",IF(AND(AO$10&gt;=$H28,AO$10&lt;$H28+MAX($I28,1)),$G28/MAX($I28,1),0),IF($F28="Annual",IF(AND(AO$10&gt;=$H28,AO$10&lt;$H28+IF($I28=0,MaxYears,$I28)),$G28,0),IF($F28="Periodic",IF(AND(AO$10&gt;=$H28,MOD(AO$10-$H28,MAX($I28,1))=0),$G28,0),0)))</f>
        <v>520000</v>
      </c>
      <c r="AP28" s="50" t="n">
        <f aca="false">IF($F28="Spread",IF(AND(AP$10&gt;=$H28,AP$10&lt;$H28+MAX($I28,1)),$G28/MAX($I28,1),0),IF($F28="Annual",IF(AND(AP$10&gt;=$H28,AP$10&lt;$H28+IF($I28=0,MaxYears,$I28)),$G28,0),IF($F28="Periodic",IF(AND(AP$10&gt;=$H28,MOD(AP$10-$H28,MAX($I28,1))=0),$G28,0),0)))</f>
        <v>520000</v>
      </c>
      <c r="AQ28" s="50" t="n">
        <f aca="false">IF($F28="Spread",IF(AND(AQ$10&gt;=$H28,AQ$10&lt;$H28+MAX($I28,1)),$G28/MAX($I28,1),0),IF($F28="Annual",IF(AND(AQ$10&gt;=$H28,AQ$10&lt;$H28+IF($I28=0,MaxYears,$I28)),$G28,0),IF($F28="Periodic",IF(AND(AQ$10&gt;=$H28,MOD(AQ$10-$H28,MAX($I28,1))=0),$G28,0),0)))</f>
        <v>520000</v>
      </c>
      <c r="AR28" s="50" t="n">
        <f aca="false">IF($F28="Spread",IF(AND(AR$10&gt;=$H28,AR$10&lt;$H28+MAX($I28,1)),$G28/MAX($I28,1),0),IF($F28="Annual",IF(AND(AR$10&gt;=$H28,AR$10&lt;$H28+IF($I28=0,MaxYears,$I28)),$G28,0),IF($F28="Periodic",IF(AND(AR$10&gt;=$H28,MOD(AR$10-$H28,MAX($I28,1))=0),$G28,0),0)))</f>
        <v>520000</v>
      </c>
      <c r="AS28" s="50" t="n">
        <f aca="false">IF($F28="Spread",IF(AND(AS$10&gt;=$H28,AS$10&lt;$H28+MAX($I28,1)),$G28/MAX($I28,1),0),IF($F28="Annual",IF(AND(AS$10&gt;=$H28,AS$10&lt;$H28+IF($I28=0,MaxYears,$I28)),$G28,0),IF($F28="Periodic",IF(AND(AS$10&gt;=$H28,MOD(AS$10-$H28,MAX($I28,1))=0),$G28,0),0)))</f>
        <v>520000</v>
      </c>
      <c r="AT28" s="50" t="n">
        <f aca="false">IF($F28="Spread",IF(AND(AT$10&gt;=$H28,AT$10&lt;$H28+MAX($I28,1)),$G28/MAX($I28,1),0),IF($F28="Annual",IF(AND(AT$10&gt;=$H28,AT$10&lt;$H28+IF($I28=0,MaxYears,$I28)),$G28,0),IF($F28="Periodic",IF(AND(AT$10&gt;=$H28,MOD(AT$10-$H28,MAX($I28,1))=0),$G28,0),0)))</f>
        <v>520000</v>
      </c>
      <c r="AU28" s="50" t="n">
        <f aca="false">IF($F28="Spread",IF(AND(AU$10&gt;=$H28,AU$10&lt;$H28+MAX($I28,1)),$G28/MAX($I28,1),0),IF($F28="Annual",IF(AND(AU$10&gt;=$H28,AU$10&lt;$H28+IF($I28=0,MaxYears,$I28)),$G28,0),IF($F28="Periodic",IF(AND(AU$10&gt;=$H28,MOD(AU$10-$H28,MAX($I28,1))=0),$G28,0),0)))</f>
        <v>520000</v>
      </c>
      <c r="AV28" s="50" t="n">
        <f aca="false">IF($F28="Spread",IF(AND(AV$10&gt;=$H28,AV$10&lt;$H28+MAX($I28,1)),$G28/MAX($I28,1),0),IF($F28="Annual",IF(AND(AV$10&gt;=$H28,AV$10&lt;$H28+IF($I28=0,MaxYears,$I28)),$G28,0),IF($F28="Periodic",IF(AND(AV$10&gt;=$H28,MOD(AV$10-$H28,MAX($I28,1))=0),$G28,0),0)))</f>
        <v>520000</v>
      </c>
      <c r="AW28" s="50" t="n">
        <f aca="false">IF($F28="Spread",IF(AND(AW$10&gt;=$H28,AW$10&lt;$H28+MAX($I28,1)),$G28/MAX($I28,1),0),IF($F28="Annual",IF(AND(AW$10&gt;=$H28,AW$10&lt;$H28+IF($I28=0,MaxYears,$I28)),$G28,0),IF($F28="Periodic",IF(AND(AW$10&gt;=$H28,MOD(AW$10-$H28,MAX($I28,1))=0),$G28,0),0)))</f>
        <v>520000</v>
      </c>
      <c r="AX28" s="50" t="n">
        <f aca="false">IF($F28="Spread",IF(AND(AX$10&gt;=$H28,AX$10&lt;$H28+MAX($I28,1)),$G28/MAX($I28,1),0),IF($F28="Annual",IF(AND(AX$10&gt;=$H28,AX$10&lt;$H28+IF($I28=0,MaxYears,$I28)),$G28,0),IF($F28="Periodic",IF(AND(AX$10&gt;=$H28,MOD(AX$10-$H28,MAX($I28,1))=0),$G28,0),0)))</f>
        <v>520000</v>
      </c>
      <c r="AY28" s="50" t="n">
        <f aca="false">IF($F28="Spread",IF(AND(AY$10&gt;=$H28,AY$10&lt;$H28+MAX($I28,1)),$G28/MAX($I28,1),0),IF($F28="Annual",IF(AND(AY$10&gt;=$H28,AY$10&lt;$H28+IF($I28=0,MaxYears,$I28)),$G28,0),IF($F28="Periodic",IF(AND(AY$10&gt;=$H28,MOD(AY$10-$H28,MAX($I28,1))=0),$G28,0),0)))</f>
        <v>520000</v>
      </c>
      <c r="AZ28" s="50" t="n">
        <f aca="false">IF($F28="Spread",IF(AND(AZ$10&gt;=$H28,AZ$10&lt;$H28+MAX($I28,1)),$G28/MAX($I28,1),0),IF($F28="Annual",IF(AND(AZ$10&gt;=$H28,AZ$10&lt;$H28+IF($I28=0,MaxYears,$I28)),$G28,0),IF($F28="Periodic",IF(AND(AZ$10&gt;=$H28,MOD(AZ$10-$H28,MAX($I28,1))=0),$G28,0),0)))</f>
        <v>520000</v>
      </c>
    </row>
    <row r="29" customFormat="false" ht="27.75" hidden="false" customHeight="true" outlineLevel="0" collapsed="false">
      <c r="B29" s="25" t="s">
        <v>321</v>
      </c>
      <c r="C29" s="45" t="s">
        <v>322</v>
      </c>
      <c r="D29" s="45" t="s">
        <v>323</v>
      </c>
      <c r="E29" s="46" t="s">
        <v>310</v>
      </c>
      <c r="F29" s="46" t="s">
        <v>311</v>
      </c>
      <c r="G29" s="47" t="n">
        <v>430000</v>
      </c>
      <c r="H29" s="51" t="n">
        <f aca="false">ConstrYears</f>
        <v>3</v>
      </c>
      <c r="I29" s="48" t="n">
        <v>0</v>
      </c>
      <c r="J29" s="45" t="s">
        <v>324</v>
      </c>
      <c r="K29" s="46" t="s">
        <v>260</v>
      </c>
      <c r="L29" s="49" t="n">
        <f aca="false">SUM(M29:AZ29)</f>
        <v>15910000</v>
      </c>
      <c r="M29" s="50" t="n">
        <f aca="false">IF($F29="Spread",IF(AND(M$10&gt;=$H29,M$10&lt;$H29+MAX($I29,1)),$G29/MAX($I29,1),0),IF($F29="Annual",IF(AND(M$10&gt;=$H29,M$10&lt;$H29+IF($I29=0,MaxYears,$I29)),$G29,0),IF($F29="Periodic",IF(AND(M$10&gt;=$H29,MOD(M$10-$H29,MAX($I29,1))=0),$G29,0),0)))</f>
        <v>0</v>
      </c>
      <c r="N29" s="50" t="n">
        <f aca="false">IF($F29="Spread",IF(AND(N$10&gt;=$H29,N$10&lt;$H29+MAX($I29,1)),$G29/MAX($I29,1),0),IF($F29="Annual",IF(AND(N$10&gt;=$H29,N$10&lt;$H29+IF($I29=0,MaxYears,$I29)),$G29,0),IF($F29="Periodic",IF(AND(N$10&gt;=$H29,MOD(N$10-$H29,MAX($I29,1))=0),$G29,0),0)))</f>
        <v>0</v>
      </c>
      <c r="O29" s="50" t="n">
        <f aca="false">IF($F29="Spread",IF(AND(O$10&gt;=$H29,O$10&lt;$H29+MAX($I29,1)),$G29/MAX($I29,1),0),IF($F29="Annual",IF(AND(O$10&gt;=$H29,O$10&lt;$H29+IF($I29=0,MaxYears,$I29)),$G29,0),IF($F29="Periodic",IF(AND(O$10&gt;=$H29,MOD(O$10-$H29,MAX($I29,1))=0),$G29,0),0)))</f>
        <v>0</v>
      </c>
      <c r="P29" s="50" t="n">
        <f aca="false">IF($F29="Spread",IF(AND(P$10&gt;=$H29,P$10&lt;$H29+MAX($I29,1)),$G29/MAX($I29,1),0),IF($F29="Annual",IF(AND(P$10&gt;=$H29,P$10&lt;$H29+IF($I29=0,MaxYears,$I29)),$G29,0),IF($F29="Periodic",IF(AND(P$10&gt;=$H29,MOD(P$10-$H29,MAX($I29,1))=0),$G29,0),0)))</f>
        <v>430000</v>
      </c>
      <c r="Q29" s="50" t="n">
        <f aca="false">IF($F29="Spread",IF(AND(Q$10&gt;=$H29,Q$10&lt;$H29+MAX($I29,1)),$G29/MAX($I29,1),0),IF($F29="Annual",IF(AND(Q$10&gt;=$H29,Q$10&lt;$H29+IF($I29=0,MaxYears,$I29)),$G29,0),IF($F29="Periodic",IF(AND(Q$10&gt;=$H29,MOD(Q$10-$H29,MAX($I29,1))=0),$G29,0),0)))</f>
        <v>430000</v>
      </c>
      <c r="R29" s="50" t="n">
        <f aca="false">IF($F29="Spread",IF(AND(R$10&gt;=$H29,R$10&lt;$H29+MAX($I29,1)),$G29/MAX($I29,1),0),IF($F29="Annual",IF(AND(R$10&gt;=$H29,R$10&lt;$H29+IF($I29=0,MaxYears,$I29)),$G29,0),IF($F29="Periodic",IF(AND(R$10&gt;=$H29,MOD(R$10-$H29,MAX($I29,1))=0),$G29,0),0)))</f>
        <v>430000</v>
      </c>
      <c r="S29" s="50" t="n">
        <f aca="false">IF($F29="Spread",IF(AND(S$10&gt;=$H29,S$10&lt;$H29+MAX($I29,1)),$G29/MAX($I29,1),0),IF($F29="Annual",IF(AND(S$10&gt;=$H29,S$10&lt;$H29+IF($I29=0,MaxYears,$I29)),$G29,0),IF($F29="Periodic",IF(AND(S$10&gt;=$H29,MOD(S$10-$H29,MAX($I29,1))=0),$G29,0),0)))</f>
        <v>430000</v>
      </c>
      <c r="T29" s="50" t="n">
        <f aca="false">IF($F29="Spread",IF(AND(T$10&gt;=$H29,T$10&lt;$H29+MAX($I29,1)),$G29/MAX($I29,1),0),IF($F29="Annual",IF(AND(T$10&gt;=$H29,T$10&lt;$H29+IF($I29=0,MaxYears,$I29)),$G29,0),IF($F29="Periodic",IF(AND(T$10&gt;=$H29,MOD(T$10-$H29,MAX($I29,1))=0),$G29,0),0)))</f>
        <v>430000</v>
      </c>
      <c r="U29" s="50" t="n">
        <f aca="false">IF($F29="Spread",IF(AND(U$10&gt;=$H29,U$10&lt;$H29+MAX($I29,1)),$G29/MAX($I29,1),0),IF($F29="Annual",IF(AND(U$10&gt;=$H29,U$10&lt;$H29+IF($I29=0,MaxYears,$I29)),$G29,0),IF($F29="Periodic",IF(AND(U$10&gt;=$H29,MOD(U$10-$H29,MAX($I29,1))=0),$G29,0),0)))</f>
        <v>430000</v>
      </c>
      <c r="V29" s="50" t="n">
        <f aca="false">IF($F29="Spread",IF(AND(V$10&gt;=$H29,V$10&lt;$H29+MAX($I29,1)),$G29/MAX($I29,1),0),IF($F29="Annual",IF(AND(V$10&gt;=$H29,V$10&lt;$H29+IF($I29=0,MaxYears,$I29)),$G29,0),IF($F29="Periodic",IF(AND(V$10&gt;=$H29,MOD(V$10-$H29,MAX($I29,1))=0),$G29,0),0)))</f>
        <v>430000</v>
      </c>
      <c r="W29" s="50" t="n">
        <f aca="false">IF($F29="Spread",IF(AND(W$10&gt;=$H29,W$10&lt;$H29+MAX($I29,1)),$G29/MAX($I29,1),0),IF($F29="Annual",IF(AND(W$10&gt;=$H29,W$10&lt;$H29+IF($I29=0,MaxYears,$I29)),$G29,0),IF($F29="Periodic",IF(AND(W$10&gt;=$H29,MOD(W$10-$H29,MAX($I29,1))=0),$G29,0),0)))</f>
        <v>430000</v>
      </c>
      <c r="X29" s="50" t="n">
        <f aca="false">IF($F29="Spread",IF(AND(X$10&gt;=$H29,X$10&lt;$H29+MAX($I29,1)),$G29/MAX($I29,1),0),IF($F29="Annual",IF(AND(X$10&gt;=$H29,X$10&lt;$H29+IF($I29=0,MaxYears,$I29)),$G29,0),IF($F29="Periodic",IF(AND(X$10&gt;=$H29,MOD(X$10-$H29,MAX($I29,1))=0),$G29,0),0)))</f>
        <v>430000</v>
      </c>
      <c r="Y29" s="50" t="n">
        <f aca="false">IF($F29="Spread",IF(AND(Y$10&gt;=$H29,Y$10&lt;$H29+MAX($I29,1)),$G29/MAX($I29,1),0),IF($F29="Annual",IF(AND(Y$10&gt;=$H29,Y$10&lt;$H29+IF($I29=0,MaxYears,$I29)),$G29,0),IF($F29="Periodic",IF(AND(Y$10&gt;=$H29,MOD(Y$10-$H29,MAX($I29,1))=0),$G29,0),0)))</f>
        <v>430000</v>
      </c>
      <c r="Z29" s="50" t="n">
        <f aca="false">IF($F29="Spread",IF(AND(Z$10&gt;=$H29,Z$10&lt;$H29+MAX($I29,1)),$G29/MAX($I29,1),0),IF($F29="Annual",IF(AND(Z$10&gt;=$H29,Z$10&lt;$H29+IF($I29=0,MaxYears,$I29)),$G29,0),IF($F29="Periodic",IF(AND(Z$10&gt;=$H29,MOD(Z$10-$H29,MAX($I29,1))=0),$G29,0),0)))</f>
        <v>430000</v>
      </c>
      <c r="AA29" s="50" t="n">
        <f aca="false">IF($F29="Spread",IF(AND(AA$10&gt;=$H29,AA$10&lt;$H29+MAX($I29,1)),$G29/MAX($I29,1),0),IF($F29="Annual",IF(AND(AA$10&gt;=$H29,AA$10&lt;$H29+IF($I29=0,MaxYears,$I29)),$G29,0),IF($F29="Periodic",IF(AND(AA$10&gt;=$H29,MOD(AA$10-$H29,MAX($I29,1))=0),$G29,0),0)))</f>
        <v>430000</v>
      </c>
      <c r="AB29" s="50" t="n">
        <f aca="false">IF($F29="Spread",IF(AND(AB$10&gt;=$H29,AB$10&lt;$H29+MAX($I29,1)),$G29/MAX($I29,1),0),IF($F29="Annual",IF(AND(AB$10&gt;=$H29,AB$10&lt;$H29+IF($I29=0,MaxYears,$I29)),$G29,0),IF($F29="Periodic",IF(AND(AB$10&gt;=$H29,MOD(AB$10-$H29,MAX($I29,1))=0),$G29,0),0)))</f>
        <v>430000</v>
      </c>
      <c r="AC29" s="50" t="n">
        <f aca="false">IF($F29="Spread",IF(AND(AC$10&gt;=$H29,AC$10&lt;$H29+MAX($I29,1)),$G29/MAX($I29,1),0),IF($F29="Annual",IF(AND(AC$10&gt;=$H29,AC$10&lt;$H29+IF($I29=0,MaxYears,$I29)),$G29,0),IF($F29="Periodic",IF(AND(AC$10&gt;=$H29,MOD(AC$10-$H29,MAX($I29,1))=0),$G29,0),0)))</f>
        <v>430000</v>
      </c>
      <c r="AD29" s="50" t="n">
        <f aca="false">IF($F29="Spread",IF(AND(AD$10&gt;=$H29,AD$10&lt;$H29+MAX($I29,1)),$G29/MAX($I29,1),0),IF($F29="Annual",IF(AND(AD$10&gt;=$H29,AD$10&lt;$H29+IF($I29=0,MaxYears,$I29)),$G29,0),IF($F29="Periodic",IF(AND(AD$10&gt;=$H29,MOD(AD$10-$H29,MAX($I29,1))=0),$G29,0),0)))</f>
        <v>430000</v>
      </c>
      <c r="AE29" s="50" t="n">
        <f aca="false">IF($F29="Spread",IF(AND(AE$10&gt;=$H29,AE$10&lt;$H29+MAX($I29,1)),$G29/MAX($I29,1),0),IF($F29="Annual",IF(AND(AE$10&gt;=$H29,AE$10&lt;$H29+IF($I29=0,MaxYears,$I29)),$G29,0),IF($F29="Periodic",IF(AND(AE$10&gt;=$H29,MOD(AE$10-$H29,MAX($I29,1))=0),$G29,0),0)))</f>
        <v>430000</v>
      </c>
      <c r="AF29" s="50" t="n">
        <f aca="false">IF($F29="Spread",IF(AND(AF$10&gt;=$H29,AF$10&lt;$H29+MAX($I29,1)),$G29/MAX($I29,1),0),IF($F29="Annual",IF(AND(AF$10&gt;=$H29,AF$10&lt;$H29+IF($I29=0,MaxYears,$I29)),$G29,0),IF($F29="Periodic",IF(AND(AF$10&gt;=$H29,MOD(AF$10-$H29,MAX($I29,1))=0),$G29,0),0)))</f>
        <v>430000</v>
      </c>
      <c r="AG29" s="50" t="n">
        <f aca="false">IF($F29="Spread",IF(AND(AG$10&gt;=$H29,AG$10&lt;$H29+MAX($I29,1)),$G29/MAX($I29,1),0),IF($F29="Annual",IF(AND(AG$10&gt;=$H29,AG$10&lt;$H29+IF($I29=0,MaxYears,$I29)),$G29,0),IF($F29="Periodic",IF(AND(AG$10&gt;=$H29,MOD(AG$10-$H29,MAX($I29,1))=0),$G29,0),0)))</f>
        <v>430000</v>
      </c>
      <c r="AH29" s="50" t="n">
        <f aca="false">IF($F29="Spread",IF(AND(AH$10&gt;=$H29,AH$10&lt;$H29+MAX($I29,1)),$G29/MAX($I29,1),0),IF($F29="Annual",IF(AND(AH$10&gt;=$H29,AH$10&lt;$H29+IF($I29=0,MaxYears,$I29)),$G29,0),IF($F29="Periodic",IF(AND(AH$10&gt;=$H29,MOD(AH$10-$H29,MAX($I29,1))=0),$G29,0),0)))</f>
        <v>430000</v>
      </c>
      <c r="AI29" s="50" t="n">
        <f aca="false">IF($F29="Spread",IF(AND(AI$10&gt;=$H29,AI$10&lt;$H29+MAX($I29,1)),$G29/MAX($I29,1),0),IF($F29="Annual",IF(AND(AI$10&gt;=$H29,AI$10&lt;$H29+IF($I29=0,MaxYears,$I29)),$G29,0),IF($F29="Periodic",IF(AND(AI$10&gt;=$H29,MOD(AI$10-$H29,MAX($I29,1))=0),$G29,0),0)))</f>
        <v>430000</v>
      </c>
      <c r="AJ29" s="50" t="n">
        <f aca="false">IF($F29="Spread",IF(AND(AJ$10&gt;=$H29,AJ$10&lt;$H29+MAX($I29,1)),$G29/MAX($I29,1),0),IF($F29="Annual",IF(AND(AJ$10&gt;=$H29,AJ$10&lt;$H29+IF($I29=0,MaxYears,$I29)),$G29,0),IF($F29="Periodic",IF(AND(AJ$10&gt;=$H29,MOD(AJ$10-$H29,MAX($I29,1))=0),$G29,0),0)))</f>
        <v>430000</v>
      </c>
      <c r="AK29" s="50" t="n">
        <f aca="false">IF($F29="Spread",IF(AND(AK$10&gt;=$H29,AK$10&lt;$H29+MAX($I29,1)),$G29/MAX($I29,1),0),IF($F29="Annual",IF(AND(AK$10&gt;=$H29,AK$10&lt;$H29+IF($I29=0,MaxYears,$I29)),$G29,0),IF($F29="Periodic",IF(AND(AK$10&gt;=$H29,MOD(AK$10-$H29,MAX($I29,1))=0),$G29,0),0)))</f>
        <v>430000</v>
      </c>
      <c r="AL29" s="50" t="n">
        <f aca="false">IF($F29="Spread",IF(AND(AL$10&gt;=$H29,AL$10&lt;$H29+MAX($I29,1)),$G29/MAX($I29,1),0),IF($F29="Annual",IF(AND(AL$10&gt;=$H29,AL$10&lt;$H29+IF($I29=0,MaxYears,$I29)),$G29,0),IF($F29="Periodic",IF(AND(AL$10&gt;=$H29,MOD(AL$10-$H29,MAX($I29,1))=0),$G29,0),0)))</f>
        <v>430000</v>
      </c>
      <c r="AM29" s="50" t="n">
        <f aca="false">IF($F29="Spread",IF(AND(AM$10&gt;=$H29,AM$10&lt;$H29+MAX($I29,1)),$G29/MAX($I29,1),0),IF($F29="Annual",IF(AND(AM$10&gt;=$H29,AM$10&lt;$H29+IF($I29=0,MaxYears,$I29)),$G29,0),IF($F29="Periodic",IF(AND(AM$10&gt;=$H29,MOD(AM$10-$H29,MAX($I29,1))=0),$G29,0),0)))</f>
        <v>430000</v>
      </c>
      <c r="AN29" s="50" t="n">
        <f aca="false">IF($F29="Spread",IF(AND(AN$10&gt;=$H29,AN$10&lt;$H29+MAX($I29,1)),$G29/MAX($I29,1),0),IF($F29="Annual",IF(AND(AN$10&gt;=$H29,AN$10&lt;$H29+IF($I29=0,MaxYears,$I29)),$G29,0),IF($F29="Periodic",IF(AND(AN$10&gt;=$H29,MOD(AN$10-$H29,MAX($I29,1))=0),$G29,0),0)))</f>
        <v>430000</v>
      </c>
      <c r="AO29" s="50" t="n">
        <f aca="false">IF($F29="Spread",IF(AND(AO$10&gt;=$H29,AO$10&lt;$H29+MAX($I29,1)),$G29/MAX($I29,1),0),IF($F29="Annual",IF(AND(AO$10&gt;=$H29,AO$10&lt;$H29+IF($I29=0,MaxYears,$I29)),$G29,0),IF($F29="Periodic",IF(AND(AO$10&gt;=$H29,MOD(AO$10-$H29,MAX($I29,1))=0),$G29,0),0)))</f>
        <v>430000</v>
      </c>
      <c r="AP29" s="50" t="n">
        <f aca="false">IF($F29="Spread",IF(AND(AP$10&gt;=$H29,AP$10&lt;$H29+MAX($I29,1)),$G29/MAX($I29,1),0),IF($F29="Annual",IF(AND(AP$10&gt;=$H29,AP$10&lt;$H29+IF($I29=0,MaxYears,$I29)),$G29,0),IF($F29="Periodic",IF(AND(AP$10&gt;=$H29,MOD(AP$10-$H29,MAX($I29,1))=0),$G29,0),0)))</f>
        <v>430000</v>
      </c>
      <c r="AQ29" s="50" t="n">
        <f aca="false">IF($F29="Spread",IF(AND(AQ$10&gt;=$H29,AQ$10&lt;$H29+MAX($I29,1)),$G29/MAX($I29,1),0),IF($F29="Annual",IF(AND(AQ$10&gt;=$H29,AQ$10&lt;$H29+IF($I29=0,MaxYears,$I29)),$G29,0),IF($F29="Periodic",IF(AND(AQ$10&gt;=$H29,MOD(AQ$10-$H29,MAX($I29,1))=0),$G29,0),0)))</f>
        <v>430000</v>
      </c>
      <c r="AR29" s="50" t="n">
        <f aca="false">IF($F29="Spread",IF(AND(AR$10&gt;=$H29,AR$10&lt;$H29+MAX($I29,1)),$G29/MAX($I29,1),0),IF($F29="Annual",IF(AND(AR$10&gt;=$H29,AR$10&lt;$H29+IF($I29=0,MaxYears,$I29)),$G29,0),IF($F29="Periodic",IF(AND(AR$10&gt;=$H29,MOD(AR$10-$H29,MAX($I29,1))=0),$G29,0),0)))</f>
        <v>430000</v>
      </c>
      <c r="AS29" s="50" t="n">
        <f aca="false">IF($F29="Spread",IF(AND(AS$10&gt;=$H29,AS$10&lt;$H29+MAX($I29,1)),$G29/MAX($I29,1),0),IF($F29="Annual",IF(AND(AS$10&gt;=$H29,AS$10&lt;$H29+IF($I29=0,MaxYears,$I29)),$G29,0),IF($F29="Periodic",IF(AND(AS$10&gt;=$H29,MOD(AS$10-$H29,MAX($I29,1))=0),$G29,0),0)))</f>
        <v>430000</v>
      </c>
      <c r="AT29" s="50" t="n">
        <f aca="false">IF($F29="Spread",IF(AND(AT$10&gt;=$H29,AT$10&lt;$H29+MAX($I29,1)),$G29/MAX($I29,1),0),IF($F29="Annual",IF(AND(AT$10&gt;=$H29,AT$10&lt;$H29+IF($I29=0,MaxYears,$I29)),$G29,0),IF($F29="Periodic",IF(AND(AT$10&gt;=$H29,MOD(AT$10-$H29,MAX($I29,1))=0),$G29,0),0)))</f>
        <v>430000</v>
      </c>
      <c r="AU29" s="50" t="n">
        <f aca="false">IF($F29="Spread",IF(AND(AU$10&gt;=$H29,AU$10&lt;$H29+MAX($I29,1)),$G29/MAX($I29,1),0),IF($F29="Annual",IF(AND(AU$10&gt;=$H29,AU$10&lt;$H29+IF($I29=0,MaxYears,$I29)),$G29,0),IF($F29="Periodic",IF(AND(AU$10&gt;=$H29,MOD(AU$10-$H29,MAX($I29,1))=0),$G29,0),0)))</f>
        <v>430000</v>
      </c>
      <c r="AV29" s="50" t="n">
        <f aca="false">IF($F29="Spread",IF(AND(AV$10&gt;=$H29,AV$10&lt;$H29+MAX($I29,1)),$G29/MAX($I29,1),0),IF($F29="Annual",IF(AND(AV$10&gt;=$H29,AV$10&lt;$H29+IF($I29=0,MaxYears,$I29)),$G29,0),IF($F29="Periodic",IF(AND(AV$10&gt;=$H29,MOD(AV$10-$H29,MAX($I29,1))=0),$G29,0),0)))</f>
        <v>430000</v>
      </c>
      <c r="AW29" s="50" t="n">
        <f aca="false">IF($F29="Spread",IF(AND(AW$10&gt;=$H29,AW$10&lt;$H29+MAX($I29,1)),$G29/MAX($I29,1),0),IF($F29="Annual",IF(AND(AW$10&gt;=$H29,AW$10&lt;$H29+IF($I29=0,MaxYears,$I29)),$G29,0),IF($F29="Periodic",IF(AND(AW$10&gt;=$H29,MOD(AW$10-$H29,MAX($I29,1))=0),$G29,0),0)))</f>
        <v>430000</v>
      </c>
      <c r="AX29" s="50" t="n">
        <f aca="false">IF($F29="Spread",IF(AND(AX$10&gt;=$H29,AX$10&lt;$H29+MAX($I29,1)),$G29/MAX($I29,1),0),IF($F29="Annual",IF(AND(AX$10&gt;=$H29,AX$10&lt;$H29+IF($I29=0,MaxYears,$I29)),$G29,0),IF($F29="Periodic",IF(AND(AX$10&gt;=$H29,MOD(AX$10-$H29,MAX($I29,1))=0),$G29,0),0)))</f>
        <v>430000</v>
      </c>
      <c r="AY29" s="50" t="n">
        <f aca="false">IF($F29="Spread",IF(AND(AY$10&gt;=$H29,AY$10&lt;$H29+MAX($I29,1)),$G29/MAX($I29,1),0),IF($F29="Annual",IF(AND(AY$10&gt;=$H29,AY$10&lt;$H29+IF($I29=0,MaxYears,$I29)),$G29,0),IF($F29="Periodic",IF(AND(AY$10&gt;=$H29,MOD(AY$10-$H29,MAX($I29,1))=0),$G29,0),0)))</f>
        <v>430000</v>
      </c>
      <c r="AZ29" s="50" t="n">
        <f aca="false">IF($F29="Spread",IF(AND(AZ$10&gt;=$H29,AZ$10&lt;$H29+MAX($I29,1)),$G29/MAX($I29,1),0),IF($F29="Annual",IF(AND(AZ$10&gt;=$H29,AZ$10&lt;$H29+IF($I29=0,MaxYears,$I29)),$G29,0),IF($F29="Periodic",IF(AND(AZ$10&gt;=$H29,MOD(AZ$10-$H29,MAX($I29,1))=0),$G29,0),0)))</f>
        <v>430000</v>
      </c>
    </row>
    <row r="30" customFormat="false" ht="27.75" hidden="false" customHeight="true" outlineLevel="0" collapsed="false">
      <c r="B30" s="25" t="s">
        <v>325</v>
      </c>
      <c r="C30" s="45" t="s">
        <v>308</v>
      </c>
      <c r="D30" s="45" t="s">
        <v>326</v>
      </c>
      <c r="E30" s="46" t="s">
        <v>310</v>
      </c>
      <c r="F30" s="46" t="s">
        <v>311</v>
      </c>
      <c r="G30" s="47" t="n">
        <v>240000</v>
      </c>
      <c r="H30" s="51" t="n">
        <f aca="false">ConstrYears</f>
        <v>3</v>
      </c>
      <c r="I30" s="48" t="n">
        <v>0</v>
      </c>
      <c r="J30" s="45" t="s">
        <v>327</v>
      </c>
      <c r="K30" s="46" t="s">
        <v>272</v>
      </c>
      <c r="L30" s="49" t="n">
        <f aca="false">SUM(M30:AZ30)</f>
        <v>8880000</v>
      </c>
      <c r="M30" s="50" t="n">
        <f aca="false">IF($F30="Spread",IF(AND(M$10&gt;=$H30,M$10&lt;$H30+MAX($I30,1)),$G30/MAX($I30,1),0),IF($F30="Annual",IF(AND(M$10&gt;=$H30,M$10&lt;$H30+IF($I30=0,MaxYears,$I30)),$G30,0),IF($F30="Periodic",IF(AND(M$10&gt;=$H30,MOD(M$10-$H30,MAX($I30,1))=0),$G30,0),0)))</f>
        <v>0</v>
      </c>
      <c r="N30" s="50" t="n">
        <f aca="false">IF($F30="Spread",IF(AND(N$10&gt;=$H30,N$10&lt;$H30+MAX($I30,1)),$G30/MAX($I30,1),0),IF($F30="Annual",IF(AND(N$10&gt;=$H30,N$10&lt;$H30+IF($I30=0,MaxYears,$I30)),$G30,0),IF($F30="Periodic",IF(AND(N$10&gt;=$H30,MOD(N$10-$H30,MAX($I30,1))=0),$G30,0),0)))</f>
        <v>0</v>
      </c>
      <c r="O30" s="50" t="n">
        <f aca="false">IF($F30="Spread",IF(AND(O$10&gt;=$H30,O$10&lt;$H30+MAX($I30,1)),$G30/MAX($I30,1),0),IF($F30="Annual",IF(AND(O$10&gt;=$H30,O$10&lt;$H30+IF($I30=0,MaxYears,$I30)),$G30,0),IF($F30="Periodic",IF(AND(O$10&gt;=$H30,MOD(O$10-$H30,MAX($I30,1))=0),$G30,0),0)))</f>
        <v>0</v>
      </c>
      <c r="P30" s="50" t="n">
        <f aca="false">IF($F30="Spread",IF(AND(P$10&gt;=$H30,P$10&lt;$H30+MAX($I30,1)),$G30/MAX($I30,1),0),IF($F30="Annual",IF(AND(P$10&gt;=$H30,P$10&lt;$H30+IF($I30=0,MaxYears,$I30)),$G30,0),IF($F30="Periodic",IF(AND(P$10&gt;=$H30,MOD(P$10-$H30,MAX($I30,1))=0),$G30,0),0)))</f>
        <v>240000</v>
      </c>
      <c r="Q30" s="50" t="n">
        <f aca="false">IF($F30="Spread",IF(AND(Q$10&gt;=$H30,Q$10&lt;$H30+MAX($I30,1)),$G30/MAX($I30,1),0),IF($F30="Annual",IF(AND(Q$10&gt;=$H30,Q$10&lt;$H30+IF($I30=0,MaxYears,$I30)),$G30,0),IF($F30="Periodic",IF(AND(Q$10&gt;=$H30,MOD(Q$10-$H30,MAX($I30,1))=0),$G30,0),0)))</f>
        <v>240000</v>
      </c>
      <c r="R30" s="50" t="n">
        <f aca="false">IF($F30="Spread",IF(AND(R$10&gt;=$H30,R$10&lt;$H30+MAX($I30,1)),$G30/MAX($I30,1),0),IF($F30="Annual",IF(AND(R$10&gt;=$H30,R$10&lt;$H30+IF($I30=0,MaxYears,$I30)),$G30,0),IF($F30="Periodic",IF(AND(R$10&gt;=$H30,MOD(R$10-$H30,MAX($I30,1))=0),$G30,0),0)))</f>
        <v>240000</v>
      </c>
      <c r="S30" s="50" t="n">
        <f aca="false">IF($F30="Spread",IF(AND(S$10&gt;=$H30,S$10&lt;$H30+MAX($I30,1)),$G30/MAX($I30,1),0),IF($F30="Annual",IF(AND(S$10&gt;=$H30,S$10&lt;$H30+IF($I30=0,MaxYears,$I30)),$G30,0),IF($F30="Periodic",IF(AND(S$10&gt;=$H30,MOD(S$10-$H30,MAX($I30,1))=0),$G30,0),0)))</f>
        <v>240000</v>
      </c>
      <c r="T30" s="50" t="n">
        <f aca="false">IF($F30="Spread",IF(AND(T$10&gt;=$H30,T$10&lt;$H30+MAX($I30,1)),$G30/MAX($I30,1),0),IF($F30="Annual",IF(AND(T$10&gt;=$H30,T$10&lt;$H30+IF($I30=0,MaxYears,$I30)),$G30,0),IF($F30="Periodic",IF(AND(T$10&gt;=$H30,MOD(T$10-$H30,MAX($I30,1))=0),$G30,0),0)))</f>
        <v>240000</v>
      </c>
      <c r="U30" s="50" t="n">
        <f aca="false">IF($F30="Spread",IF(AND(U$10&gt;=$H30,U$10&lt;$H30+MAX($I30,1)),$G30/MAX($I30,1),0),IF($F30="Annual",IF(AND(U$10&gt;=$H30,U$10&lt;$H30+IF($I30=0,MaxYears,$I30)),$G30,0),IF($F30="Periodic",IF(AND(U$10&gt;=$H30,MOD(U$10-$H30,MAX($I30,1))=0),$G30,0),0)))</f>
        <v>240000</v>
      </c>
      <c r="V30" s="50" t="n">
        <f aca="false">IF($F30="Spread",IF(AND(V$10&gt;=$H30,V$10&lt;$H30+MAX($I30,1)),$G30/MAX($I30,1),0),IF($F30="Annual",IF(AND(V$10&gt;=$H30,V$10&lt;$H30+IF($I30=0,MaxYears,$I30)),$G30,0),IF($F30="Periodic",IF(AND(V$10&gt;=$H30,MOD(V$10-$H30,MAX($I30,1))=0),$G30,0),0)))</f>
        <v>240000</v>
      </c>
      <c r="W30" s="50" t="n">
        <f aca="false">IF($F30="Spread",IF(AND(W$10&gt;=$H30,W$10&lt;$H30+MAX($I30,1)),$G30/MAX($I30,1),0),IF($F30="Annual",IF(AND(W$10&gt;=$H30,W$10&lt;$H30+IF($I30=0,MaxYears,$I30)),$G30,0),IF($F30="Periodic",IF(AND(W$10&gt;=$H30,MOD(W$10-$H30,MAX($I30,1))=0),$G30,0),0)))</f>
        <v>240000</v>
      </c>
      <c r="X30" s="50" t="n">
        <f aca="false">IF($F30="Spread",IF(AND(X$10&gt;=$H30,X$10&lt;$H30+MAX($I30,1)),$G30/MAX($I30,1),0),IF($F30="Annual",IF(AND(X$10&gt;=$H30,X$10&lt;$H30+IF($I30=0,MaxYears,$I30)),$G30,0),IF($F30="Periodic",IF(AND(X$10&gt;=$H30,MOD(X$10-$H30,MAX($I30,1))=0),$G30,0),0)))</f>
        <v>240000</v>
      </c>
      <c r="Y30" s="50" t="n">
        <f aca="false">IF($F30="Spread",IF(AND(Y$10&gt;=$H30,Y$10&lt;$H30+MAX($I30,1)),$G30/MAX($I30,1),0),IF($F30="Annual",IF(AND(Y$10&gt;=$H30,Y$10&lt;$H30+IF($I30=0,MaxYears,$I30)),$G30,0),IF($F30="Periodic",IF(AND(Y$10&gt;=$H30,MOD(Y$10-$H30,MAX($I30,1))=0),$G30,0),0)))</f>
        <v>240000</v>
      </c>
      <c r="Z30" s="50" t="n">
        <f aca="false">IF($F30="Spread",IF(AND(Z$10&gt;=$H30,Z$10&lt;$H30+MAX($I30,1)),$G30/MAX($I30,1),0),IF($F30="Annual",IF(AND(Z$10&gt;=$H30,Z$10&lt;$H30+IF($I30=0,MaxYears,$I30)),$G30,0),IF($F30="Periodic",IF(AND(Z$10&gt;=$H30,MOD(Z$10-$H30,MAX($I30,1))=0),$G30,0),0)))</f>
        <v>240000</v>
      </c>
      <c r="AA30" s="50" t="n">
        <f aca="false">IF($F30="Spread",IF(AND(AA$10&gt;=$H30,AA$10&lt;$H30+MAX($I30,1)),$G30/MAX($I30,1),0),IF($F30="Annual",IF(AND(AA$10&gt;=$H30,AA$10&lt;$H30+IF($I30=0,MaxYears,$I30)),$G30,0),IF($F30="Periodic",IF(AND(AA$10&gt;=$H30,MOD(AA$10-$H30,MAX($I30,1))=0),$G30,0),0)))</f>
        <v>240000</v>
      </c>
      <c r="AB30" s="50" t="n">
        <f aca="false">IF($F30="Spread",IF(AND(AB$10&gt;=$H30,AB$10&lt;$H30+MAX($I30,1)),$G30/MAX($I30,1),0),IF($F30="Annual",IF(AND(AB$10&gt;=$H30,AB$10&lt;$H30+IF($I30=0,MaxYears,$I30)),$G30,0),IF($F30="Periodic",IF(AND(AB$10&gt;=$H30,MOD(AB$10-$H30,MAX($I30,1))=0),$G30,0),0)))</f>
        <v>240000</v>
      </c>
      <c r="AC30" s="50" t="n">
        <f aca="false">IF($F30="Spread",IF(AND(AC$10&gt;=$H30,AC$10&lt;$H30+MAX($I30,1)),$G30/MAX($I30,1),0),IF($F30="Annual",IF(AND(AC$10&gt;=$H30,AC$10&lt;$H30+IF($I30=0,MaxYears,$I30)),$G30,0),IF($F30="Periodic",IF(AND(AC$10&gt;=$H30,MOD(AC$10-$H30,MAX($I30,1))=0),$G30,0),0)))</f>
        <v>240000</v>
      </c>
      <c r="AD30" s="50" t="n">
        <f aca="false">IF($F30="Spread",IF(AND(AD$10&gt;=$H30,AD$10&lt;$H30+MAX($I30,1)),$G30/MAX($I30,1),0),IF($F30="Annual",IF(AND(AD$10&gt;=$H30,AD$10&lt;$H30+IF($I30=0,MaxYears,$I30)),$G30,0),IF($F30="Periodic",IF(AND(AD$10&gt;=$H30,MOD(AD$10-$H30,MAX($I30,1))=0),$G30,0),0)))</f>
        <v>240000</v>
      </c>
      <c r="AE30" s="50" t="n">
        <f aca="false">IF($F30="Spread",IF(AND(AE$10&gt;=$H30,AE$10&lt;$H30+MAX($I30,1)),$G30/MAX($I30,1),0),IF($F30="Annual",IF(AND(AE$10&gt;=$H30,AE$10&lt;$H30+IF($I30=0,MaxYears,$I30)),$G30,0),IF($F30="Periodic",IF(AND(AE$10&gt;=$H30,MOD(AE$10-$H30,MAX($I30,1))=0),$G30,0),0)))</f>
        <v>240000</v>
      </c>
      <c r="AF30" s="50" t="n">
        <f aca="false">IF($F30="Spread",IF(AND(AF$10&gt;=$H30,AF$10&lt;$H30+MAX($I30,1)),$G30/MAX($I30,1),0),IF($F30="Annual",IF(AND(AF$10&gt;=$H30,AF$10&lt;$H30+IF($I30=0,MaxYears,$I30)),$G30,0),IF($F30="Periodic",IF(AND(AF$10&gt;=$H30,MOD(AF$10-$H30,MAX($I30,1))=0),$G30,0),0)))</f>
        <v>240000</v>
      </c>
      <c r="AG30" s="50" t="n">
        <f aca="false">IF($F30="Spread",IF(AND(AG$10&gt;=$H30,AG$10&lt;$H30+MAX($I30,1)),$G30/MAX($I30,1),0),IF($F30="Annual",IF(AND(AG$10&gt;=$H30,AG$10&lt;$H30+IF($I30=0,MaxYears,$I30)),$G30,0),IF($F30="Periodic",IF(AND(AG$10&gt;=$H30,MOD(AG$10-$H30,MAX($I30,1))=0),$G30,0),0)))</f>
        <v>240000</v>
      </c>
      <c r="AH30" s="50" t="n">
        <f aca="false">IF($F30="Spread",IF(AND(AH$10&gt;=$H30,AH$10&lt;$H30+MAX($I30,1)),$G30/MAX($I30,1),0),IF($F30="Annual",IF(AND(AH$10&gt;=$H30,AH$10&lt;$H30+IF($I30=0,MaxYears,$I30)),$G30,0),IF($F30="Periodic",IF(AND(AH$10&gt;=$H30,MOD(AH$10-$H30,MAX($I30,1))=0),$G30,0),0)))</f>
        <v>240000</v>
      </c>
      <c r="AI30" s="50" t="n">
        <f aca="false">IF($F30="Spread",IF(AND(AI$10&gt;=$H30,AI$10&lt;$H30+MAX($I30,1)),$G30/MAX($I30,1),0),IF($F30="Annual",IF(AND(AI$10&gt;=$H30,AI$10&lt;$H30+IF($I30=0,MaxYears,$I30)),$G30,0),IF($F30="Periodic",IF(AND(AI$10&gt;=$H30,MOD(AI$10-$H30,MAX($I30,1))=0),$G30,0),0)))</f>
        <v>240000</v>
      </c>
      <c r="AJ30" s="50" t="n">
        <f aca="false">IF($F30="Spread",IF(AND(AJ$10&gt;=$H30,AJ$10&lt;$H30+MAX($I30,1)),$G30/MAX($I30,1),0),IF($F30="Annual",IF(AND(AJ$10&gt;=$H30,AJ$10&lt;$H30+IF($I30=0,MaxYears,$I30)),$G30,0),IF($F30="Periodic",IF(AND(AJ$10&gt;=$H30,MOD(AJ$10-$H30,MAX($I30,1))=0),$G30,0),0)))</f>
        <v>240000</v>
      </c>
      <c r="AK30" s="50" t="n">
        <f aca="false">IF($F30="Spread",IF(AND(AK$10&gt;=$H30,AK$10&lt;$H30+MAX($I30,1)),$G30/MAX($I30,1),0),IF($F30="Annual",IF(AND(AK$10&gt;=$H30,AK$10&lt;$H30+IF($I30=0,MaxYears,$I30)),$G30,0),IF($F30="Periodic",IF(AND(AK$10&gt;=$H30,MOD(AK$10-$H30,MAX($I30,1))=0),$G30,0),0)))</f>
        <v>240000</v>
      </c>
      <c r="AL30" s="50" t="n">
        <f aca="false">IF($F30="Spread",IF(AND(AL$10&gt;=$H30,AL$10&lt;$H30+MAX($I30,1)),$G30/MAX($I30,1),0),IF($F30="Annual",IF(AND(AL$10&gt;=$H30,AL$10&lt;$H30+IF($I30=0,MaxYears,$I30)),$G30,0),IF($F30="Periodic",IF(AND(AL$10&gt;=$H30,MOD(AL$10-$H30,MAX($I30,1))=0),$G30,0),0)))</f>
        <v>240000</v>
      </c>
      <c r="AM30" s="50" t="n">
        <f aca="false">IF($F30="Spread",IF(AND(AM$10&gt;=$H30,AM$10&lt;$H30+MAX($I30,1)),$G30/MAX($I30,1),0),IF($F30="Annual",IF(AND(AM$10&gt;=$H30,AM$10&lt;$H30+IF($I30=0,MaxYears,$I30)),$G30,0),IF($F30="Periodic",IF(AND(AM$10&gt;=$H30,MOD(AM$10-$H30,MAX($I30,1))=0),$G30,0),0)))</f>
        <v>240000</v>
      </c>
      <c r="AN30" s="50" t="n">
        <f aca="false">IF($F30="Spread",IF(AND(AN$10&gt;=$H30,AN$10&lt;$H30+MAX($I30,1)),$G30/MAX($I30,1),0),IF($F30="Annual",IF(AND(AN$10&gt;=$H30,AN$10&lt;$H30+IF($I30=0,MaxYears,$I30)),$G30,0),IF($F30="Periodic",IF(AND(AN$10&gt;=$H30,MOD(AN$10-$H30,MAX($I30,1))=0),$G30,0),0)))</f>
        <v>240000</v>
      </c>
      <c r="AO30" s="50" t="n">
        <f aca="false">IF($F30="Spread",IF(AND(AO$10&gt;=$H30,AO$10&lt;$H30+MAX($I30,1)),$G30/MAX($I30,1),0),IF($F30="Annual",IF(AND(AO$10&gt;=$H30,AO$10&lt;$H30+IF($I30=0,MaxYears,$I30)),$G30,0),IF($F30="Periodic",IF(AND(AO$10&gt;=$H30,MOD(AO$10-$H30,MAX($I30,1))=0),$G30,0),0)))</f>
        <v>240000</v>
      </c>
      <c r="AP30" s="50" t="n">
        <f aca="false">IF($F30="Spread",IF(AND(AP$10&gt;=$H30,AP$10&lt;$H30+MAX($I30,1)),$G30/MAX($I30,1),0),IF($F30="Annual",IF(AND(AP$10&gt;=$H30,AP$10&lt;$H30+IF($I30=0,MaxYears,$I30)),$G30,0),IF($F30="Periodic",IF(AND(AP$10&gt;=$H30,MOD(AP$10-$H30,MAX($I30,1))=0),$G30,0),0)))</f>
        <v>240000</v>
      </c>
      <c r="AQ30" s="50" t="n">
        <f aca="false">IF($F30="Spread",IF(AND(AQ$10&gt;=$H30,AQ$10&lt;$H30+MAX($I30,1)),$G30/MAX($I30,1),0),IF($F30="Annual",IF(AND(AQ$10&gt;=$H30,AQ$10&lt;$H30+IF($I30=0,MaxYears,$I30)),$G30,0),IF($F30="Periodic",IF(AND(AQ$10&gt;=$H30,MOD(AQ$10-$H30,MAX($I30,1))=0),$G30,0),0)))</f>
        <v>240000</v>
      </c>
      <c r="AR30" s="50" t="n">
        <f aca="false">IF($F30="Spread",IF(AND(AR$10&gt;=$H30,AR$10&lt;$H30+MAX($I30,1)),$G30/MAX($I30,1),0),IF($F30="Annual",IF(AND(AR$10&gt;=$H30,AR$10&lt;$H30+IF($I30=0,MaxYears,$I30)),$G30,0),IF($F30="Periodic",IF(AND(AR$10&gt;=$H30,MOD(AR$10-$H30,MAX($I30,1))=0),$G30,0),0)))</f>
        <v>240000</v>
      </c>
      <c r="AS30" s="50" t="n">
        <f aca="false">IF($F30="Spread",IF(AND(AS$10&gt;=$H30,AS$10&lt;$H30+MAX($I30,1)),$G30/MAX($I30,1),0),IF($F30="Annual",IF(AND(AS$10&gt;=$H30,AS$10&lt;$H30+IF($I30=0,MaxYears,$I30)),$G30,0),IF($F30="Periodic",IF(AND(AS$10&gt;=$H30,MOD(AS$10-$H30,MAX($I30,1))=0),$G30,0),0)))</f>
        <v>240000</v>
      </c>
      <c r="AT30" s="50" t="n">
        <f aca="false">IF($F30="Spread",IF(AND(AT$10&gt;=$H30,AT$10&lt;$H30+MAX($I30,1)),$G30/MAX($I30,1),0),IF($F30="Annual",IF(AND(AT$10&gt;=$H30,AT$10&lt;$H30+IF($I30=0,MaxYears,$I30)),$G30,0),IF($F30="Periodic",IF(AND(AT$10&gt;=$H30,MOD(AT$10-$H30,MAX($I30,1))=0),$G30,0),0)))</f>
        <v>240000</v>
      </c>
      <c r="AU30" s="50" t="n">
        <f aca="false">IF($F30="Spread",IF(AND(AU$10&gt;=$H30,AU$10&lt;$H30+MAX($I30,1)),$G30/MAX($I30,1),0),IF($F30="Annual",IF(AND(AU$10&gt;=$H30,AU$10&lt;$H30+IF($I30=0,MaxYears,$I30)),$G30,0),IF($F30="Periodic",IF(AND(AU$10&gt;=$H30,MOD(AU$10-$H30,MAX($I30,1))=0),$G30,0),0)))</f>
        <v>240000</v>
      </c>
      <c r="AV30" s="50" t="n">
        <f aca="false">IF($F30="Spread",IF(AND(AV$10&gt;=$H30,AV$10&lt;$H30+MAX($I30,1)),$G30/MAX($I30,1),0),IF($F30="Annual",IF(AND(AV$10&gt;=$H30,AV$10&lt;$H30+IF($I30=0,MaxYears,$I30)),$G30,0),IF($F30="Periodic",IF(AND(AV$10&gt;=$H30,MOD(AV$10-$H30,MAX($I30,1))=0),$G30,0),0)))</f>
        <v>240000</v>
      </c>
      <c r="AW30" s="50" t="n">
        <f aca="false">IF($F30="Spread",IF(AND(AW$10&gt;=$H30,AW$10&lt;$H30+MAX($I30,1)),$G30/MAX($I30,1),0),IF($F30="Annual",IF(AND(AW$10&gt;=$H30,AW$10&lt;$H30+IF($I30=0,MaxYears,$I30)),$G30,0),IF($F30="Periodic",IF(AND(AW$10&gt;=$H30,MOD(AW$10-$H30,MAX($I30,1))=0),$G30,0),0)))</f>
        <v>240000</v>
      </c>
      <c r="AX30" s="50" t="n">
        <f aca="false">IF($F30="Spread",IF(AND(AX$10&gt;=$H30,AX$10&lt;$H30+MAX($I30,1)),$G30/MAX($I30,1),0),IF($F30="Annual",IF(AND(AX$10&gt;=$H30,AX$10&lt;$H30+IF($I30=0,MaxYears,$I30)),$G30,0),IF($F30="Periodic",IF(AND(AX$10&gt;=$H30,MOD(AX$10-$H30,MAX($I30,1))=0),$G30,0),0)))</f>
        <v>240000</v>
      </c>
      <c r="AY30" s="50" t="n">
        <f aca="false">IF($F30="Spread",IF(AND(AY$10&gt;=$H30,AY$10&lt;$H30+MAX($I30,1)),$G30/MAX($I30,1),0),IF($F30="Annual",IF(AND(AY$10&gt;=$H30,AY$10&lt;$H30+IF($I30=0,MaxYears,$I30)),$G30,0),IF($F30="Periodic",IF(AND(AY$10&gt;=$H30,MOD(AY$10-$H30,MAX($I30,1))=0),$G30,0),0)))</f>
        <v>240000</v>
      </c>
      <c r="AZ30" s="50" t="n">
        <f aca="false">IF($F30="Spread",IF(AND(AZ$10&gt;=$H30,AZ$10&lt;$H30+MAX($I30,1)),$G30/MAX($I30,1),0),IF($F30="Annual",IF(AND(AZ$10&gt;=$H30,AZ$10&lt;$H30+IF($I30=0,MaxYears,$I30)),$G30,0),IF($F30="Periodic",IF(AND(AZ$10&gt;=$H30,MOD(AZ$10-$H30,MAX($I30,1))=0),$G30,0),0)))</f>
        <v>240000</v>
      </c>
    </row>
    <row r="31" customFormat="false" ht="27.75" hidden="false" customHeight="true" outlineLevel="0" collapsed="false">
      <c r="B31" s="25" t="s">
        <v>328</v>
      </c>
      <c r="C31" s="45" t="s">
        <v>329</v>
      </c>
      <c r="D31" s="45" t="s">
        <v>330</v>
      </c>
      <c r="E31" s="46" t="s">
        <v>331</v>
      </c>
      <c r="F31" s="46" t="s">
        <v>332</v>
      </c>
      <c r="G31" s="47" t="n">
        <v>1400000</v>
      </c>
      <c r="H31" s="51" t="n">
        <f aca="false">ConstrYears+7</f>
        <v>10</v>
      </c>
      <c r="I31" s="48" t="n">
        <v>10</v>
      </c>
      <c r="J31" s="45" t="s">
        <v>333</v>
      </c>
      <c r="K31" s="46" t="s">
        <v>260</v>
      </c>
      <c r="L31" s="49" t="n">
        <f aca="false">SUM(M31:AZ31)</f>
        <v>4200000</v>
      </c>
      <c r="M31" s="50" t="n">
        <f aca="false">IF($F31="Spread",IF(AND(M$10&gt;=$H31,M$10&lt;$H31+MAX($I31,1)),$G31/MAX($I31,1),0),IF($F31="Annual",IF(AND(M$10&gt;=$H31,M$10&lt;$H31+IF($I31=0,MaxYears,$I31)),$G31,0),IF($F31="Periodic",IF(AND(M$10&gt;=$H31,MOD(M$10-$H31,MAX($I31,1))=0),$G31,0),0)))</f>
        <v>0</v>
      </c>
      <c r="N31" s="50" t="n">
        <f aca="false">IF($F31="Spread",IF(AND(N$10&gt;=$H31,N$10&lt;$H31+MAX($I31,1)),$G31/MAX($I31,1),0),IF($F31="Annual",IF(AND(N$10&gt;=$H31,N$10&lt;$H31+IF($I31=0,MaxYears,$I31)),$G31,0),IF($F31="Periodic",IF(AND(N$10&gt;=$H31,MOD(N$10-$H31,MAX($I31,1))=0),$G31,0),0)))</f>
        <v>0</v>
      </c>
      <c r="O31" s="50" t="n">
        <f aca="false">IF($F31="Spread",IF(AND(O$10&gt;=$H31,O$10&lt;$H31+MAX($I31,1)),$G31/MAX($I31,1),0),IF($F31="Annual",IF(AND(O$10&gt;=$H31,O$10&lt;$H31+IF($I31=0,MaxYears,$I31)),$G31,0),IF($F31="Periodic",IF(AND(O$10&gt;=$H31,MOD(O$10-$H31,MAX($I31,1))=0),$G31,0),0)))</f>
        <v>0</v>
      </c>
      <c r="P31" s="50" t="n">
        <f aca="false">IF($F31="Spread",IF(AND(P$10&gt;=$H31,P$10&lt;$H31+MAX($I31,1)),$G31/MAX($I31,1),0),IF($F31="Annual",IF(AND(P$10&gt;=$H31,P$10&lt;$H31+IF($I31=0,MaxYears,$I31)),$G31,0),IF($F31="Periodic",IF(AND(P$10&gt;=$H31,MOD(P$10-$H31,MAX($I31,1))=0),$G31,0),0)))</f>
        <v>0</v>
      </c>
      <c r="Q31" s="50" t="n">
        <f aca="false">IF($F31="Spread",IF(AND(Q$10&gt;=$H31,Q$10&lt;$H31+MAX($I31,1)),$G31/MAX($I31,1),0),IF($F31="Annual",IF(AND(Q$10&gt;=$H31,Q$10&lt;$H31+IF($I31=0,MaxYears,$I31)),$G31,0),IF($F31="Periodic",IF(AND(Q$10&gt;=$H31,MOD(Q$10-$H31,MAX($I31,1))=0),$G31,0),0)))</f>
        <v>0</v>
      </c>
      <c r="R31" s="50" t="n">
        <f aca="false">IF($F31="Spread",IF(AND(R$10&gt;=$H31,R$10&lt;$H31+MAX($I31,1)),$G31/MAX($I31,1),0),IF($F31="Annual",IF(AND(R$10&gt;=$H31,R$10&lt;$H31+IF($I31=0,MaxYears,$I31)),$G31,0),IF($F31="Periodic",IF(AND(R$10&gt;=$H31,MOD(R$10-$H31,MAX($I31,1))=0),$G31,0),0)))</f>
        <v>0</v>
      </c>
      <c r="S31" s="50" t="n">
        <f aca="false">IF($F31="Spread",IF(AND(S$10&gt;=$H31,S$10&lt;$H31+MAX($I31,1)),$G31/MAX($I31,1),0),IF($F31="Annual",IF(AND(S$10&gt;=$H31,S$10&lt;$H31+IF($I31=0,MaxYears,$I31)),$G31,0),IF($F31="Periodic",IF(AND(S$10&gt;=$H31,MOD(S$10-$H31,MAX($I31,1))=0),$G31,0),0)))</f>
        <v>0</v>
      </c>
      <c r="T31" s="50" t="n">
        <f aca="false">IF($F31="Spread",IF(AND(T$10&gt;=$H31,T$10&lt;$H31+MAX($I31,1)),$G31/MAX($I31,1),0),IF($F31="Annual",IF(AND(T$10&gt;=$H31,T$10&lt;$H31+IF($I31=0,MaxYears,$I31)),$G31,0),IF($F31="Periodic",IF(AND(T$10&gt;=$H31,MOD(T$10-$H31,MAX($I31,1))=0),$G31,0),0)))</f>
        <v>0</v>
      </c>
      <c r="U31" s="50" t="n">
        <f aca="false">IF($F31="Spread",IF(AND(U$10&gt;=$H31,U$10&lt;$H31+MAX($I31,1)),$G31/MAX($I31,1),0),IF($F31="Annual",IF(AND(U$10&gt;=$H31,U$10&lt;$H31+IF($I31=0,MaxYears,$I31)),$G31,0),IF($F31="Periodic",IF(AND(U$10&gt;=$H31,MOD(U$10-$H31,MAX($I31,1))=0),$G31,0),0)))</f>
        <v>0</v>
      </c>
      <c r="V31" s="50" t="n">
        <f aca="false">IF($F31="Spread",IF(AND(V$10&gt;=$H31,V$10&lt;$H31+MAX($I31,1)),$G31/MAX($I31,1),0),IF($F31="Annual",IF(AND(V$10&gt;=$H31,V$10&lt;$H31+IF($I31=0,MaxYears,$I31)),$G31,0),IF($F31="Periodic",IF(AND(V$10&gt;=$H31,MOD(V$10-$H31,MAX($I31,1))=0),$G31,0),0)))</f>
        <v>0</v>
      </c>
      <c r="W31" s="50" t="n">
        <f aca="false">IF($F31="Spread",IF(AND(W$10&gt;=$H31,W$10&lt;$H31+MAX($I31,1)),$G31/MAX($I31,1),0),IF($F31="Annual",IF(AND(W$10&gt;=$H31,W$10&lt;$H31+IF($I31=0,MaxYears,$I31)),$G31,0),IF($F31="Periodic",IF(AND(W$10&gt;=$H31,MOD(W$10-$H31,MAX($I31,1))=0),$G31,0),0)))</f>
        <v>1400000</v>
      </c>
      <c r="X31" s="50" t="n">
        <f aca="false">IF($F31="Spread",IF(AND(X$10&gt;=$H31,X$10&lt;$H31+MAX($I31,1)),$G31/MAX($I31,1),0),IF($F31="Annual",IF(AND(X$10&gt;=$H31,X$10&lt;$H31+IF($I31=0,MaxYears,$I31)),$G31,0),IF($F31="Periodic",IF(AND(X$10&gt;=$H31,MOD(X$10-$H31,MAX($I31,1))=0),$G31,0),0)))</f>
        <v>0</v>
      </c>
      <c r="Y31" s="50" t="n">
        <f aca="false">IF($F31="Spread",IF(AND(Y$10&gt;=$H31,Y$10&lt;$H31+MAX($I31,1)),$G31/MAX($I31,1),0),IF($F31="Annual",IF(AND(Y$10&gt;=$H31,Y$10&lt;$H31+IF($I31=0,MaxYears,$I31)),$G31,0),IF($F31="Periodic",IF(AND(Y$10&gt;=$H31,MOD(Y$10-$H31,MAX($I31,1))=0),$G31,0),0)))</f>
        <v>0</v>
      </c>
      <c r="Z31" s="50" t="n">
        <f aca="false">IF($F31="Spread",IF(AND(Z$10&gt;=$H31,Z$10&lt;$H31+MAX($I31,1)),$G31/MAX($I31,1),0),IF($F31="Annual",IF(AND(Z$10&gt;=$H31,Z$10&lt;$H31+IF($I31=0,MaxYears,$I31)),$G31,0),IF($F31="Periodic",IF(AND(Z$10&gt;=$H31,MOD(Z$10-$H31,MAX($I31,1))=0),$G31,0),0)))</f>
        <v>0</v>
      </c>
      <c r="AA31" s="50" t="n">
        <f aca="false">IF($F31="Spread",IF(AND(AA$10&gt;=$H31,AA$10&lt;$H31+MAX($I31,1)),$G31/MAX($I31,1),0),IF($F31="Annual",IF(AND(AA$10&gt;=$H31,AA$10&lt;$H31+IF($I31=0,MaxYears,$I31)),$G31,0),IF($F31="Periodic",IF(AND(AA$10&gt;=$H31,MOD(AA$10-$H31,MAX($I31,1))=0),$G31,0),0)))</f>
        <v>0</v>
      </c>
      <c r="AB31" s="50" t="n">
        <f aca="false">IF($F31="Spread",IF(AND(AB$10&gt;=$H31,AB$10&lt;$H31+MAX($I31,1)),$G31/MAX($I31,1),0),IF($F31="Annual",IF(AND(AB$10&gt;=$H31,AB$10&lt;$H31+IF($I31=0,MaxYears,$I31)),$G31,0),IF($F31="Periodic",IF(AND(AB$10&gt;=$H31,MOD(AB$10-$H31,MAX($I31,1))=0),$G31,0),0)))</f>
        <v>0</v>
      </c>
      <c r="AC31" s="50" t="n">
        <f aca="false">IF($F31="Spread",IF(AND(AC$10&gt;=$H31,AC$10&lt;$H31+MAX($I31,1)),$G31/MAX($I31,1),0),IF($F31="Annual",IF(AND(AC$10&gt;=$H31,AC$10&lt;$H31+IF($I31=0,MaxYears,$I31)),$G31,0),IF($F31="Periodic",IF(AND(AC$10&gt;=$H31,MOD(AC$10-$H31,MAX($I31,1))=0),$G31,0),0)))</f>
        <v>0</v>
      </c>
      <c r="AD31" s="50" t="n">
        <f aca="false">IF($F31="Spread",IF(AND(AD$10&gt;=$H31,AD$10&lt;$H31+MAX($I31,1)),$G31/MAX($I31,1),0),IF($F31="Annual",IF(AND(AD$10&gt;=$H31,AD$10&lt;$H31+IF($I31=0,MaxYears,$I31)),$G31,0),IF($F31="Periodic",IF(AND(AD$10&gt;=$H31,MOD(AD$10-$H31,MAX($I31,1))=0),$G31,0),0)))</f>
        <v>0</v>
      </c>
      <c r="AE31" s="50" t="n">
        <f aca="false">IF($F31="Spread",IF(AND(AE$10&gt;=$H31,AE$10&lt;$H31+MAX($I31,1)),$G31/MAX($I31,1),0),IF($F31="Annual",IF(AND(AE$10&gt;=$H31,AE$10&lt;$H31+IF($I31=0,MaxYears,$I31)),$G31,0),IF($F31="Periodic",IF(AND(AE$10&gt;=$H31,MOD(AE$10-$H31,MAX($I31,1))=0),$G31,0),0)))</f>
        <v>0</v>
      </c>
      <c r="AF31" s="50" t="n">
        <f aca="false">IF($F31="Spread",IF(AND(AF$10&gt;=$H31,AF$10&lt;$H31+MAX($I31,1)),$G31/MAX($I31,1),0),IF($F31="Annual",IF(AND(AF$10&gt;=$H31,AF$10&lt;$H31+IF($I31=0,MaxYears,$I31)),$G31,0),IF($F31="Periodic",IF(AND(AF$10&gt;=$H31,MOD(AF$10-$H31,MAX($I31,1))=0),$G31,0),0)))</f>
        <v>0</v>
      </c>
      <c r="AG31" s="50" t="n">
        <f aca="false">IF($F31="Spread",IF(AND(AG$10&gt;=$H31,AG$10&lt;$H31+MAX($I31,1)),$G31/MAX($I31,1),0),IF($F31="Annual",IF(AND(AG$10&gt;=$H31,AG$10&lt;$H31+IF($I31=0,MaxYears,$I31)),$G31,0),IF($F31="Periodic",IF(AND(AG$10&gt;=$H31,MOD(AG$10-$H31,MAX($I31,1))=0),$G31,0),0)))</f>
        <v>1400000</v>
      </c>
      <c r="AH31" s="50" t="n">
        <f aca="false">IF($F31="Spread",IF(AND(AH$10&gt;=$H31,AH$10&lt;$H31+MAX($I31,1)),$G31/MAX($I31,1),0),IF($F31="Annual",IF(AND(AH$10&gt;=$H31,AH$10&lt;$H31+IF($I31=0,MaxYears,$I31)),$G31,0),IF($F31="Periodic",IF(AND(AH$10&gt;=$H31,MOD(AH$10-$H31,MAX($I31,1))=0),$G31,0),0)))</f>
        <v>0</v>
      </c>
      <c r="AI31" s="50" t="n">
        <f aca="false">IF($F31="Spread",IF(AND(AI$10&gt;=$H31,AI$10&lt;$H31+MAX($I31,1)),$G31/MAX($I31,1),0),IF($F31="Annual",IF(AND(AI$10&gt;=$H31,AI$10&lt;$H31+IF($I31=0,MaxYears,$I31)),$G31,0),IF($F31="Periodic",IF(AND(AI$10&gt;=$H31,MOD(AI$10-$H31,MAX($I31,1))=0),$G31,0),0)))</f>
        <v>0</v>
      </c>
      <c r="AJ31" s="50" t="n">
        <f aca="false">IF($F31="Spread",IF(AND(AJ$10&gt;=$H31,AJ$10&lt;$H31+MAX($I31,1)),$G31/MAX($I31,1),0),IF($F31="Annual",IF(AND(AJ$10&gt;=$H31,AJ$10&lt;$H31+IF($I31=0,MaxYears,$I31)),$G31,0),IF($F31="Periodic",IF(AND(AJ$10&gt;=$H31,MOD(AJ$10-$H31,MAX($I31,1))=0),$G31,0),0)))</f>
        <v>0</v>
      </c>
      <c r="AK31" s="50" t="n">
        <f aca="false">IF($F31="Spread",IF(AND(AK$10&gt;=$H31,AK$10&lt;$H31+MAX($I31,1)),$G31/MAX($I31,1),0),IF($F31="Annual",IF(AND(AK$10&gt;=$H31,AK$10&lt;$H31+IF($I31=0,MaxYears,$I31)),$G31,0),IF($F31="Periodic",IF(AND(AK$10&gt;=$H31,MOD(AK$10-$H31,MAX($I31,1))=0),$G31,0),0)))</f>
        <v>0</v>
      </c>
      <c r="AL31" s="50" t="n">
        <f aca="false">IF($F31="Spread",IF(AND(AL$10&gt;=$H31,AL$10&lt;$H31+MAX($I31,1)),$G31/MAX($I31,1),0),IF($F31="Annual",IF(AND(AL$10&gt;=$H31,AL$10&lt;$H31+IF($I31=0,MaxYears,$I31)),$G31,0),IF($F31="Periodic",IF(AND(AL$10&gt;=$H31,MOD(AL$10-$H31,MAX($I31,1))=0),$G31,0),0)))</f>
        <v>0</v>
      </c>
      <c r="AM31" s="50" t="n">
        <f aca="false">IF($F31="Spread",IF(AND(AM$10&gt;=$H31,AM$10&lt;$H31+MAX($I31,1)),$G31/MAX($I31,1),0),IF($F31="Annual",IF(AND(AM$10&gt;=$H31,AM$10&lt;$H31+IF($I31=0,MaxYears,$I31)),$G31,0),IF($F31="Periodic",IF(AND(AM$10&gt;=$H31,MOD(AM$10-$H31,MAX($I31,1))=0),$G31,0),0)))</f>
        <v>0</v>
      </c>
      <c r="AN31" s="50" t="n">
        <f aca="false">IF($F31="Spread",IF(AND(AN$10&gt;=$H31,AN$10&lt;$H31+MAX($I31,1)),$G31/MAX($I31,1),0),IF($F31="Annual",IF(AND(AN$10&gt;=$H31,AN$10&lt;$H31+IF($I31=0,MaxYears,$I31)),$G31,0),IF($F31="Periodic",IF(AND(AN$10&gt;=$H31,MOD(AN$10-$H31,MAX($I31,1))=0),$G31,0),0)))</f>
        <v>0</v>
      </c>
      <c r="AO31" s="50" t="n">
        <f aca="false">IF($F31="Spread",IF(AND(AO$10&gt;=$H31,AO$10&lt;$H31+MAX($I31,1)),$G31/MAX($I31,1),0),IF($F31="Annual",IF(AND(AO$10&gt;=$H31,AO$10&lt;$H31+IF($I31=0,MaxYears,$I31)),$G31,0),IF($F31="Periodic",IF(AND(AO$10&gt;=$H31,MOD(AO$10-$H31,MAX($I31,1))=0),$G31,0),0)))</f>
        <v>0</v>
      </c>
      <c r="AP31" s="50" t="n">
        <f aca="false">IF($F31="Spread",IF(AND(AP$10&gt;=$H31,AP$10&lt;$H31+MAX($I31,1)),$G31/MAX($I31,1),0),IF($F31="Annual",IF(AND(AP$10&gt;=$H31,AP$10&lt;$H31+IF($I31=0,MaxYears,$I31)),$G31,0),IF($F31="Periodic",IF(AND(AP$10&gt;=$H31,MOD(AP$10-$H31,MAX($I31,1))=0),$G31,0),0)))</f>
        <v>0</v>
      </c>
      <c r="AQ31" s="50" t="n">
        <f aca="false">IF($F31="Spread",IF(AND(AQ$10&gt;=$H31,AQ$10&lt;$H31+MAX($I31,1)),$G31/MAX($I31,1),0),IF($F31="Annual",IF(AND(AQ$10&gt;=$H31,AQ$10&lt;$H31+IF($I31=0,MaxYears,$I31)),$G31,0),IF($F31="Periodic",IF(AND(AQ$10&gt;=$H31,MOD(AQ$10-$H31,MAX($I31,1))=0),$G31,0),0)))</f>
        <v>1400000</v>
      </c>
      <c r="AR31" s="50" t="n">
        <f aca="false">IF($F31="Spread",IF(AND(AR$10&gt;=$H31,AR$10&lt;$H31+MAX($I31,1)),$G31/MAX($I31,1),0),IF($F31="Annual",IF(AND(AR$10&gt;=$H31,AR$10&lt;$H31+IF($I31=0,MaxYears,$I31)),$G31,0),IF($F31="Periodic",IF(AND(AR$10&gt;=$H31,MOD(AR$10-$H31,MAX($I31,1))=0),$G31,0),0)))</f>
        <v>0</v>
      </c>
      <c r="AS31" s="50" t="n">
        <f aca="false">IF($F31="Spread",IF(AND(AS$10&gt;=$H31,AS$10&lt;$H31+MAX($I31,1)),$G31/MAX($I31,1),0),IF($F31="Annual",IF(AND(AS$10&gt;=$H31,AS$10&lt;$H31+IF($I31=0,MaxYears,$I31)),$G31,0),IF($F31="Periodic",IF(AND(AS$10&gt;=$H31,MOD(AS$10-$H31,MAX($I31,1))=0),$G31,0),0)))</f>
        <v>0</v>
      </c>
      <c r="AT31" s="50" t="n">
        <f aca="false">IF($F31="Spread",IF(AND(AT$10&gt;=$H31,AT$10&lt;$H31+MAX($I31,1)),$G31/MAX($I31,1),0),IF($F31="Annual",IF(AND(AT$10&gt;=$H31,AT$10&lt;$H31+IF($I31=0,MaxYears,$I31)),$G31,0),IF($F31="Periodic",IF(AND(AT$10&gt;=$H31,MOD(AT$10-$H31,MAX($I31,1))=0),$G31,0),0)))</f>
        <v>0</v>
      </c>
      <c r="AU31" s="50" t="n">
        <f aca="false">IF($F31="Spread",IF(AND(AU$10&gt;=$H31,AU$10&lt;$H31+MAX($I31,1)),$G31/MAX($I31,1),0),IF($F31="Annual",IF(AND(AU$10&gt;=$H31,AU$10&lt;$H31+IF($I31=0,MaxYears,$I31)),$G31,0),IF($F31="Periodic",IF(AND(AU$10&gt;=$H31,MOD(AU$10-$H31,MAX($I31,1))=0),$G31,0),0)))</f>
        <v>0</v>
      </c>
      <c r="AV31" s="50" t="n">
        <f aca="false">IF($F31="Spread",IF(AND(AV$10&gt;=$H31,AV$10&lt;$H31+MAX($I31,1)),$G31/MAX($I31,1),0),IF($F31="Annual",IF(AND(AV$10&gt;=$H31,AV$10&lt;$H31+IF($I31=0,MaxYears,$I31)),$G31,0),IF($F31="Periodic",IF(AND(AV$10&gt;=$H31,MOD(AV$10-$H31,MAX($I31,1))=0),$G31,0),0)))</f>
        <v>0</v>
      </c>
      <c r="AW31" s="50" t="n">
        <f aca="false">IF($F31="Spread",IF(AND(AW$10&gt;=$H31,AW$10&lt;$H31+MAX($I31,1)),$G31/MAX($I31,1),0),IF($F31="Annual",IF(AND(AW$10&gt;=$H31,AW$10&lt;$H31+IF($I31=0,MaxYears,$I31)),$G31,0),IF($F31="Periodic",IF(AND(AW$10&gt;=$H31,MOD(AW$10-$H31,MAX($I31,1))=0),$G31,0),0)))</f>
        <v>0</v>
      </c>
      <c r="AX31" s="50" t="n">
        <f aca="false">IF($F31="Spread",IF(AND(AX$10&gt;=$H31,AX$10&lt;$H31+MAX($I31,1)),$G31/MAX($I31,1),0),IF($F31="Annual",IF(AND(AX$10&gt;=$H31,AX$10&lt;$H31+IF($I31=0,MaxYears,$I31)),$G31,0),IF($F31="Periodic",IF(AND(AX$10&gt;=$H31,MOD(AX$10-$H31,MAX($I31,1))=0),$G31,0),0)))</f>
        <v>0</v>
      </c>
      <c r="AY31" s="50" t="n">
        <f aca="false">IF($F31="Spread",IF(AND(AY$10&gt;=$H31,AY$10&lt;$H31+MAX($I31,1)),$G31/MAX($I31,1),0),IF($F31="Annual",IF(AND(AY$10&gt;=$H31,AY$10&lt;$H31+IF($I31=0,MaxYears,$I31)),$G31,0),IF($F31="Periodic",IF(AND(AY$10&gt;=$H31,MOD(AY$10-$H31,MAX($I31,1))=0),$G31,0),0)))</f>
        <v>0</v>
      </c>
      <c r="AZ31" s="50" t="n">
        <f aca="false">IF($F31="Spread",IF(AND(AZ$10&gt;=$H31,AZ$10&lt;$H31+MAX($I31,1)),$G31/MAX($I31,1),0),IF($F31="Annual",IF(AND(AZ$10&gt;=$H31,AZ$10&lt;$H31+IF($I31=0,MaxYears,$I31)),$G31,0),IF($F31="Periodic",IF(AND(AZ$10&gt;=$H31,MOD(AZ$10-$H31,MAX($I31,1))=0),$G31,0),0)))</f>
        <v>0</v>
      </c>
    </row>
    <row r="32" customFormat="false" ht="27.75" hidden="false" customHeight="true" outlineLevel="0" collapsed="false">
      <c r="B32" s="25" t="s">
        <v>334</v>
      </c>
      <c r="C32" s="45" t="s">
        <v>329</v>
      </c>
      <c r="D32" s="45" t="s">
        <v>335</v>
      </c>
      <c r="E32" s="46" t="s">
        <v>331</v>
      </c>
      <c r="F32" s="46" t="s">
        <v>332</v>
      </c>
      <c r="G32" s="47" t="n">
        <v>950000</v>
      </c>
      <c r="H32" s="51" t="n">
        <f aca="false">ConstrYears+12</f>
        <v>15</v>
      </c>
      <c r="I32" s="48" t="n">
        <v>15</v>
      </c>
      <c r="J32" s="45" t="s">
        <v>336</v>
      </c>
      <c r="K32" s="46" t="s">
        <v>264</v>
      </c>
      <c r="L32" s="49" t="n">
        <f aca="false">SUM(M32:AZ32)</f>
        <v>1900000</v>
      </c>
      <c r="M32" s="50" t="n">
        <f aca="false">IF($F32="Spread",IF(AND(M$10&gt;=$H32,M$10&lt;$H32+MAX($I32,1)),$G32/MAX($I32,1),0),IF($F32="Annual",IF(AND(M$10&gt;=$H32,M$10&lt;$H32+IF($I32=0,MaxYears,$I32)),$G32,0),IF($F32="Periodic",IF(AND(M$10&gt;=$H32,MOD(M$10-$H32,MAX($I32,1))=0),$G32,0),0)))</f>
        <v>0</v>
      </c>
      <c r="N32" s="50" t="n">
        <f aca="false">IF($F32="Spread",IF(AND(N$10&gt;=$H32,N$10&lt;$H32+MAX($I32,1)),$G32/MAX($I32,1),0),IF($F32="Annual",IF(AND(N$10&gt;=$H32,N$10&lt;$H32+IF($I32=0,MaxYears,$I32)),$G32,0),IF($F32="Periodic",IF(AND(N$10&gt;=$H32,MOD(N$10-$H32,MAX($I32,1))=0),$G32,0),0)))</f>
        <v>0</v>
      </c>
      <c r="O32" s="50" t="n">
        <f aca="false">IF($F32="Spread",IF(AND(O$10&gt;=$H32,O$10&lt;$H32+MAX($I32,1)),$G32/MAX($I32,1),0),IF($F32="Annual",IF(AND(O$10&gt;=$H32,O$10&lt;$H32+IF($I32=0,MaxYears,$I32)),$G32,0),IF($F32="Periodic",IF(AND(O$10&gt;=$H32,MOD(O$10-$H32,MAX($I32,1))=0),$G32,0),0)))</f>
        <v>0</v>
      </c>
      <c r="P32" s="50" t="n">
        <f aca="false">IF($F32="Spread",IF(AND(P$10&gt;=$H32,P$10&lt;$H32+MAX($I32,1)),$G32/MAX($I32,1),0),IF($F32="Annual",IF(AND(P$10&gt;=$H32,P$10&lt;$H32+IF($I32=0,MaxYears,$I32)),$G32,0),IF($F32="Periodic",IF(AND(P$10&gt;=$H32,MOD(P$10-$H32,MAX($I32,1))=0),$G32,0),0)))</f>
        <v>0</v>
      </c>
      <c r="Q32" s="50" t="n">
        <f aca="false">IF($F32="Spread",IF(AND(Q$10&gt;=$H32,Q$10&lt;$H32+MAX($I32,1)),$G32/MAX($I32,1),0),IF($F32="Annual",IF(AND(Q$10&gt;=$H32,Q$10&lt;$H32+IF($I32=0,MaxYears,$I32)),$G32,0),IF($F32="Periodic",IF(AND(Q$10&gt;=$H32,MOD(Q$10-$H32,MAX($I32,1))=0),$G32,0),0)))</f>
        <v>0</v>
      </c>
      <c r="R32" s="50" t="n">
        <f aca="false">IF($F32="Spread",IF(AND(R$10&gt;=$H32,R$10&lt;$H32+MAX($I32,1)),$G32/MAX($I32,1),0),IF($F32="Annual",IF(AND(R$10&gt;=$H32,R$10&lt;$H32+IF($I32=0,MaxYears,$I32)),$G32,0),IF($F32="Periodic",IF(AND(R$10&gt;=$H32,MOD(R$10-$H32,MAX($I32,1))=0),$G32,0),0)))</f>
        <v>0</v>
      </c>
      <c r="S32" s="50" t="n">
        <f aca="false">IF($F32="Spread",IF(AND(S$10&gt;=$H32,S$10&lt;$H32+MAX($I32,1)),$G32/MAX($I32,1),0),IF($F32="Annual",IF(AND(S$10&gt;=$H32,S$10&lt;$H32+IF($I32=0,MaxYears,$I32)),$G32,0),IF($F32="Periodic",IF(AND(S$10&gt;=$H32,MOD(S$10-$H32,MAX($I32,1))=0),$G32,0),0)))</f>
        <v>0</v>
      </c>
      <c r="T32" s="50" t="n">
        <f aca="false">IF($F32="Spread",IF(AND(T$10&gt;=$H32,T$10&lt;$H32+MAX($I32,1)),$G32/MAX($I32,1),0),IF($F32="Annual",IF(AND(T$10&gt;=$H32,T$10&lt;$H32+IF($I32=0,MaxYears,$I32)),$G32,0),IF($F32="Periodic",IF(AND(T$10&gt;=$H32,MOD(T$10-$H32,MAX($I32,1))=0),$G32,0),0)))</f>
        <v>0</v>
      </c>
      <c r="U32" s="50" t="n">
        <f aca="false">IF($F32="Spread",IF(AND(U$10&gt;=$H32,U$10&lt;$H32+MAX($I32,1)),$G32/MAX($I32,1),0),IF($F32="Annual",IF(AND(U$10&gt;=$H32,U$10&lt;$H32+IF($I32=0,MaxYears,$I32)),$G32,0),IF($F32="Periodic",IF(AND(U$10&gt;=$H32,MOD(U$10-$H32,MAX($I32,1))=0),$G32,0),0)))</f>
        <v>0</v>
      </c>
      <c r="V32" s="50" t="n">
        <f aca="false">IF($F32="Spread",IF(AND(V$10&gt;=$H32,V$10&lt;$H32+MAX($I32,1)),$G32/MAX($I32,1),0),IF($F32="Annual",IF(AND(V$10&gt;=$H32,V$10&lt;$H32+IF($I32=0,MaxYears,$I32)),$G32,0),IF($F32="Periodic",IF(AND(V$10&gt;=$H32,MOD(V$10-$H32,MAX($I32,1))=0),$G32,0),0)))</f>
        <v>0</v>
      </c>
      <c r="W32" s="50" t="n">
        <f aca="false">IF($F32="Spread",IF(AND(W$10&gt;=$H32,W$10&lt;$H32+MAX($I32,1)),$G32/MAX($I32,1),0),IF($F32="Annual",IF(AND(W$10&gt;=$H32,W$10&lt;$H32+IF($I32=0,MaxYears,$I32)),$G32,0),IF($F32="Periodic",IF(AND(W$10&gt;=$H32,MOD(W$10-$H32,MAX($I32,1))=0),$G32,0),0)))</f>
        <v>0</v>
      </c>
      <c r="X32" s="50" t="n">
        <f aca="false">IF($F32="Spread",IF(AND(X$10&gt;=$H32,X$10&lt;$H32+MAX($I32,1)),$G32/MAX($I32,1),0),IF($F32="Annual",IF(AND(X$10&gt;=$H32,X$10&lt;$H32+IF($I32=0,MaxYears,$I32)),$G32,0),IF($F32="Periodic",IF(AND(X$10&gt;=$H32,MOD(X$10-$H32,MAX($I32,1))=0),$G32,0),0)))</f>
        <v>0</v>
      </c>
      <c r="Y32" s="50" t="n">
        <f aca="false">IF($F32="Spread",IF(AND(Y$10&gt;=$H32,Y$10&lt;$H32+MAX($I32,1)),$G32/MAX($I32,1),0),IF($F32="Annual",IF(AND(Y$10&gt;=$H32,Y$10&lt;$H32+IF($I32=0,MaxYears,$I32)),$G32,0),IF($F32="Periodic",IF(AND(Y$10&gt;=$H32,MOD(Y$10-$H32,MAX($I32,1))=0),$G32,0),0)))</f>
        <v>0</v>
      </c>
      <c r="Z32" s="50" t="n">
        <f aca="false">IF($F32="Spread",IF(AND(Z$10&gt;=$H32,Z$10&lt;$H32+MAX($I32,1)),$G32/MAX($I32,1),0),IF($F32="Annual",IF(AND(Z$10&gt;=$H32,Z$10&lt;$H32+IF($I32=0,MaxYears,$I32)),$G32,0),IF($F32="Periodic",IF(AND(Z$10&gt;=$H32,MOD(Z$10-$H32,MAX($I32,1))=0),$G32,0),0)))</f>
        <v>0</v>
      </c>
      <c r="AA32" s="50" t="n">
        <f aca="false">IF($F32="Spread",IF(AND(AA$10&gt;=$H32,AA$10&lt;$H32+MAX($I32,1)),$G32/MAX($I32,1),0),IF($F32="Annual",IF(AND(AA$10&gt;=$H32,AA$10&lt;$H32+IF($I32=0,MaxYears,$I32)),$G32,0),IF($F32="Periodic",IF(AND(AA$10&gt;=$H32,MOD(AA$10-$H32,MAX($I32,1))=0),$G32,0),0)))</f>
        <v>0</v>
      </c>
      <c r="AB32" s="50" t="n">
        <f aca="false">IF($F32="Spread",IF(AND(AB$10&gt;=$H32,AB$10&lt;$H32+MAX($I32,1)),$G32/MAX($I32,1),0),IF($F32="Annual",IF(AND(AB$10&gt;=$H32,AB$10&lt;$H32+IF($I32=0,MaxYears,$I32)),$G32,0),IF($F32="Periodic",IF(AND(AB$10&gt;=$H32,MOD(AB$10-$H32,MAX($I32,1))=0),$G32,0),0)))</f>
        <v>950000</v>
      </c>
      <c r="AC32" s="50" t="n">
        <f aca="false">IF($F32="Spread",IF(AND(AC$10&gt;=$H32,AC$10&lt;$H32+MAX($I32,1)),$G32/MAX($I32,1),0),IF($F32="Annual",IF(AND(AC$10&gt;=$H32,AC$10&lt;$H32+IF($I32=0,MaxYears,$I32)),$G32,0),IF($F32="Periodic",IF(AND(AC$10&gt;=$H32,MOD(AC$10-$H32,MAX($I32,1))=0),$G32,0),0)))</f>
        <v>0</v>
      </c>
      <c r="AD32" s="50" t="n">
        <f aca="false">IF($F32="Spread",IF(AND(AD$10&gt;=$H32,AD$10&lt;$H32+MAX($I32,1)),$G32/MAX($I32,1),0),IF($F32="Annual",IF(AND(AD$10&gt;=$H32,AD$10&lt;$H32+IF($I32=0,MaxYears,$I32)),$G32,0),IF($F32="Periodic",IF(AND(AD$10&gt;=$H32,MOD(AD$10-$H32,MAX($I32,1))=0),$G32,0),0)))</f>
        <v>0</v>
      </c>
      <c r="AE32" s="50" t="n">
        <f aca="false">IF($F32="Spread",IF(AND(AE$10&gt;=$H32,AE$10&lt;$H32+MAX($I32,1)),$G32/MAX($I32,1),0),IF($F32="Annual",IF(AND(AE$10&gt;=$H32,AE$10&lt;$H32+IF($I32=0,MaxYears,$I32)),$G32,0),IF($F32="Periodic",IF(AND(AE$10&gt;=$H32,MOD(AE$10-$H32,MAX($I32,1))=0),$G32,0),0)))</f>
        <v>0</v>
      </c>
      <c r="AF32" s="50" t="n">
        <f aca="false">IF($F32="Spread",IF(AND(AF$10&gt;=$H32,AF$10&lt;$H32+MAX($I32,1)),$G32/MAX($I32,1),0),IF($F32="Annual",IF(AND(AF$10&gt;=$H32,AF$10&lt;$H32+IF($I32=0,MaxYears,$I32)),$G32,0),IF($F32="Periodic",IF(AND(AF$10&gt;=$H32,MOD(AF$10-$H32,MAX($I32,1))=0),$G32,0),0)))</f>
        <v>0</v>
      </c>
      <c r="AG32" s="50" t="n">
        <f aca="false">IF($F32="Spread",IF(AND(AG$10&gt;=$H32,AG$10&lt;$H32+MAX($I32,1)),$G32/MAX($I32,1),0),IF($F32="Annual",IF(AND(AG$10&gt;=$H32,AG$10&lt;$H32+IF($I32=0,MaxYears,$I32)),$G32,0),IF($F32="Periodic",IF(AND(AG$10&gt;=$H32,MOD(AG$10-$H32,MAX($I32,1))=0),$G32,0),0)))</f>
        <v>0</v>
      </c>
      <c r="AH32" s="50" t="n">
        <f aca="false">IF($F32="Spread",IF(AND(AH$10&gt;=$H32,AH$10&lt;$H32+MAX($I32,1)),$G32/MAX($I32,1),0),IF($F32="Annual",IF(AND(AH$10&gt;=$H32,AH$10&lt;$H32+IF($I32=0,MaxYears,$I32)),$G32,0),IF($F32="Periodic",IF(AND(AH$10&gt;=$H32,MOD(AH$10-$H32,MAX($I32,1))=0),$G32,0),0)))</f>
        <v>0</v>
      </c>
      <c r="AI32" s="50" t="n">
        <f aca="false">IF($F32="Spread",IF(AND(AI$10&gt;=$H32,AI$10&lt;$H32+MAX($I32,1)),$G32/MAX($I32,1),0),IF($F32="Annual",IF(AND(AI$10&gt;=$H32,AI$10&lt;$H32+IF($I32=0,MaxYears,$I32)),$G32,0),IF($F32="Periodic",IF(AND(AI$10&gt;=$H32,MOD(AI$10-$H32,MAX($I32,1))=0),$G32,0),0)))</f>
        <v>0</v>
      </c>
      <c r="AJ32" s="50" t="n">
        <f aca="false">IF($F32="Spread",IF(AND(AJ$10&gt;=$H32,AJ$10&lt;$H32+MAX($I32,1)),$G32/MAX($I32,1),0),IF($F32="Annual",IF(AND(AJ$10&gt;=$H32,AJ$10&lt;$H32+IF($I32=0,MaxYears,$I32)),$G32,0),IF($F32="Periodic",IF(AND(AJ$10&gt;=$H32,MOD(AJ$10-$H32,MAX($I32,1))=0),$G32,0),0)))</f>
        <v>0</v>
      </c>
      <c r="AK32" s="50" t="n">
        <f aca="false">IF($F32="Spread",IF(AND(AK$10&gt;=$H32,AK$10&lt;$H32+MAX($I32,1)),$G32/MAX($I32,1),0),IF($F32="Annual",IF(AND(AK$10&gt;=$H32,AK$10&lt;$H32+IF($I32=0,MaxYears,$I32)),$G32,0),IF($F32="Periodic",IF(AND(AK$10&gt;=$H32,MOD(AK$10-$H32,MAX($I32,1))=0),$G32,0),0)))</f>
        <v>0</v>
      </c>
      <c r="AL32" s="50" t="n">
        <f aca="false">IF($F32="Spread",IF(AND(AL$10&gt;=$H32,AL$10&lt;$H32+MAX($I32,1)),$G32/MAX($I32,1),0),IF($F32="Annual",IF(AND(AL$10&gt;=$H32,AL$10&lt;$H32+IF($I32=0,MaxYears,$I32)),$G32,0),IF($F32="Periodic",IF(AND(AL$10&gt;=$H32,MOD(AL$10-$H32,MAX($I32,1))=0),$G32,0),0)))</f>
        <v>0</v>
      </c>
      <c r="AM32" s="50" t="n">
        <f aca="false">IF($F32="Spread",IF(AND(AM$10&gt;=$H32,AM$10&lt;$H32+MAX($I32,1)),$G32/MAX($I32,1),0),IF($F32="Annual",IF(AND(AM$10&gt;=$H32,AM$10&lt;$H32+IF($I32=0,MaxYears,$I32)),$G32,0),IF($F32="Periodic",IF(AND(AM$10&gt;=$H32,MOD(AM$10-$H32,MAX($I32,1))=0),$G32,0),0)))</f>
        <v>0</v>
      </c>
      <c r="AN32" s="50" t="n">
        <f aca="false">IF($F32="Spread",IF(AND(AN$10&gt;=$H32,AN$10&lt;$H32+MAX($I32,1)),$G32/MAX($I32,1),0),IF($F32="Annual",IF(AND(AN$10&gt;=$H32,AN$10&lt;$H32+IF($I32=0,MaxYears,$I32)),$G32,0),IF($F32="Periodic",IF(AND(AN$10&gt;=$H32,MOD(AN$10-$H32,MAX($I32,1))=0),$G32,0),0)))</f>
        <v>0</v>
      </c>
      <c r="AO32" s="50" t="n">
        <f aca="false">IF($F32="Spread",IF(AND(AO$10&gt;=$H32,AO$10&lt;$H32+MAX($I32,1)),$G32/MAX($I32,1),0),IF($F32="Annual",IF(AND(AO$10&gt;=$H32,AO$10&lt;$H32+IF($I32=0,MaxYears,$I32)),$G32,0),IF($F32="Periodic",IF(AND(AO$10&gt;=$H32,MOD(AO$10-$H32,MAX($I32,1))=0),$G32,0),0)))</f>
        <v>0</v>
      </c>
      <c r="AP32" s="50" t="n">
        <f aca="false">IF($F32="Spread",IF(AND(AP$10&gt;=$H32,AP$10&lt;$H32+MAX($I32,1)),$G32/MAX($I32,1),0),IF($F32="Annual",IF(AND(AP$10&gt;=$H32,AP$10&lt;$H32+IF($I32=0,MaxYears,$I32)),$G32,0),IF($F32="Periodic",IF(AND(AP$10&gt;=$H32,MOD(AP$10-$H32,MAX($I32,1))=0),$G32,0),0)))</f>
        <v>0</v>
      </c>
      <c r="AQ32" s="50" t="n">
        <f aca="false">IF($F32="Spread",IF(AND(AQ$10&gt;=$H32,AQ$10&lt;$H32+MAX($I32,1)),$G32/MAX($I32,1),0),IF($F32="Annual",IF(AND(AQ$10&gt;=$H32,AQ$10&lt;$H32+IF($I32=0,MaxYears,$I32)),$G32,0),IF($F32="Periodic",IF(AND(AQ$10&gt;=$H32,MOD(AQ$10-$H32,MAX($I32,1))=0),$G32,0),0)))</f>
        <v>950000</v>
      </c>
      <c r="AR32" s="50" t="n">
        <f aca="false">IF($F32="Spread",IF(AND(AR$10&gt;=$H32,AR$10&lt;$H32+MAX($I32,1)),$G32/MAX($I32,1),0),IF($F32="Annual",IF(AND(AR$10&gt;=$H32,AR$10&lt;$H32+IF($I32=0,MaxYears,$I32)),$G32,0),IF($F32="Periodic",IF(AND(AR$10&gt;=$H32,MOD(AR$10-$H32,MAX($I32,1))=0),$G32,0),0)))</f>
        <v>0</v>
      </c>
      <c r="AS32" s="50" t="n">
        <f aca="false">IF($F32="Spread",IF(AND(AS$10&gt;=$H32,AS$10&lt;$H32+MAX($I32,1)),$G32/MAX($I32,1),0),IF($F32="Annual",IF(AND(AS$10&gt;=$H32,AS$10&lt;$H32+IF($I32=0,MaxYears,$I32)),$G32,0),IF($F32="Periodic",IF(AND(AS$10&gt;=$H32,MOD(AS$10-$H32,MAX($I32,1))=0),$G32,0),0)))</f>
        <v>0</v>
      </c>
      <c r="AT32" s="50" t="n">
        <f aca="false">IF($F32="Spread",IF(AND(AT$10&gt;=$H32,AT$10&lt;$H32+MAX($I32,1)),$G32/MAX($I32,1),0),IF($F32="Annual",IF(AND(AT$10&gt;=$H32,AT$10&lt;$H32+IF($I32=0,MaxYears,$I32)),$G32,0),IF($F32="Periodic",IF(AND(AT$10&gt;=$H32,MOD(AT$10-$H32,MAX($I32,1))=0),$G32,0),0)))</f>
        <v>0</v>
      </c>
      <c r="AU32" s="50" t="n">
        <f aca="false">IF($F32="Spread",IF(AND(AU$10&gt;=$H32,AU$10&lt;$H32+MAX($I32,1)),$G32/MAX($I32,1),0),IF($F32="Annual",IF(AND(AU$10&gt;=$H32,AU$10&lt;$H32+IF($I32=0,MaxYears,$I32)),$G32,0),IF($F32="Periodic",IF(AND(AU$10&gt;=$H32,MOD(AU$10-$H32,MAX($I32,1))=0),$G32,0),0)))</f>
        <v>0</v>
      </c>
      <c r="AV32" s="50" t="n">
        <f aca="false">IF($F32="Spread",IF(AND(AV$10&gt;=$H32,AV$10&lt;$H32+MAX($I32,1)),$G32/MAX($I32,1),0),IF($F32="Annual",IF(AND(AV$10&gt;=$H32,AV$10&lt;$H32+IF($I32=0,MaxYears,$I32)),$G32,0),IF($F32="Periodic",IF(AND(AV$10&gt;=$H32,MOD(AV$10-$H32,MAX($I32,1))=0),$G32,0),0)))</f>
        <v>0</v>
      </c>
      <c r="AW32" s="50" t="n">
        <f aca="false">IF($F32="Spread",IF(AND(AW$10&gt;=$H32,AW$10&lt;$H32+MAX($I32,1)),$G32/MAX($I32,1),0),IF($F32="Annual",IF(AND(AW$10&gt;=$H32,AW$10&lt;$H32+IF($I32=0,MaxYears,$I32)),$G32,0),IF($F32="Periodic",IF(AND(AW$10&gt;=$H32,MOD(AW$10-$H32,MAX($I32,1))=0),$G32,0),0)))</f>
        <v>0</v>
      </c>
      <c r="AX32" s="50" t="n">
        <f aca="false">IF($F32="Spread",IF(AND(AX$10&gt;=$H32,AX$10&lt;$H32+MAX($I32,1)),$G32/MAX($I32,1),0),IF($F32="Annual",IF(AND(AX$10&gt;=$H32,AX$10&lt;$H32+IF($I32=0,MaxYears,$I32)),$G32,0),IF($F32="Periodic",IF(AND(AX$10&gt;=$H32,MOD(AX$10-$H32,MAX($I32,1))=0),$G32,0),0)))</f>
        <v>0</v>
      </c>
      <c r="AY32" s="50" t="n">
        <f aca="false">IF($F32="Spread",IF(AND(AY$10&gt;=$H32,AY$10&lt;$H32+MAX($I32,1)),$G32/MAX($I32,1),0),IF($F32="Annual",IF(AND(AY$10&gt;=$H32,AY$10&lt;$H32+IF($I32=0,MaxYears,$I32)),$G32,0),IF($F32="Periodic",IF(AND(AY$10&gt;=$H32,MOD(AY$10-$H32,MAX($I32,1))=0),$G32,0),0)))</f>
        <v>0</v>
      </c>
      <c r="AZ32" s="50" t="n">
        <f aca="false">IF($F32="Spread",IF(AND(AZ$10&gt;=$H32,AZ$10&lt;$H32+MAX($I32,1)),$G32/MAX($I32,1),0),IF($F32="Annual",IF(AND(AZ$10&gt;=$H32,AZ$10&lt;$H32+IF($I32=0,MaxYears,$I32)),$G32,0),IF($F32="Periodic",IF(AND(AZ$10&gt;=$H32,MOD(AZ$10-$H32,MAX($I32,1))=0),$G32,0),0)))</f>
        <v>0</v>
      </c>
    </row>
    <row r="33" customFormat="false" ht="27.75" hidden="false" customHeight="true" outlineLevel="0" collapsed="false">
      <c r="B33" s="25" t="s">
        <v>337</v>
      </c>
      <c r="C33" s="45" t="s">
        <v>290</v>
      </c>
      <c r="D33" s="45" t="s">
        <v>338</v>
      </c>
      <c r="E33" s="46" t="s">
        <v>331</v>
      </c>
      <c r="F33" s="46" t="s">
        <v>332</v>
      </c>
      <c r="G33" s="47" t="n">
        <v>820000</v>
      </c>
      <c r="H33" s="51" t="n">
        <f aca="false">ConstrYears+4</f>
        <v>7</v>
      </c>
      <c r="I33" s="48" t="n">
        <v>7</v>
      </c>
      <c r="J33" s="45" t="s">
        <v>339</v>
      </c>
      <c r="K33" s="46" t="s">
        <v>260</v>
      </c>
      <c r="L33" s="49" t="n">
        <f aca="false">SUM(M33:AZ33)</f>
        <v>4100000</v>
      </c>
      <c r="M33" s="50" t="n">
        <f aca="false">IF($F33="Spread",IF(AND(M$10&gt;=$H33,M$10&lt;$H33+MAX($I33,1)),$G33/MAX($I33,1),0),IF($F33="Annual",IF(AND(M$10&gt;=$H33,M$10&lt;$H33+IF($I33=0,MaxYears,$I33)),$G33,0),IF($F33="Periodic",IF(AND(M$10&gt;=$H33,MOD(M$10-$H33,MAX($I33,1))=0),$G33,0),0)))</f>
        <v>0</v>
      </c>
      <c r="N33" s="50" t="n">
        <f aca="false">IF($F33="Spread",IF(AND(N$10&gt;=$H33,N$10&lt;$H33+MAX($I33,1)),$G33/MAX($I33,1),0),IF($F33="Annual",IF(AND(N$10&gt;=$H33,N$10&lt;$H33+IF($I33=0,MaxYears,$I33)),$G33,0),IF($F33="Periodic",IF(AND(N$10&gt;=$H33,MOD(N$10-$H33,MAX($I33,1))=0),$G33,0),0)))</f>
        <v>0</v>
      </c>
      <c r="O33" s="50" t="n">
        <f aca="false">IF($F33="Spread",IF(AND(O$10&gt;=$H33,O$10&lt;$H33+MAX($I33,1)),$G33/MAX($I33,1),0),IF($F33="Annual",IF(AND(O$10&gt;=$H33,O$10&lt;$H33+IF($I33=0,MaxYears,$I33)),$G33,0),IF($F33="Periodic",IF(AND(O$10&gt;=$H33,MOD(O$10-$H33,MAX($I33,1))=0),$G33,0),0)))</f>
        <v>0</v>
      </c>
      <c r="P33" s="50" t="n">
        <f aca="false">IF($F33="Spread",IF(AND(P$10&gt;=$H33,P$10&lt;$H33+MAX($I33,1)),$G33/MAX($I33,1),0),IF($F33="Annual",IF(AND(P$10&gt;=$H33,P$10&lt;$H33+IF($I33=0,MaxYears,$I33)),$G33,0),IF($F33="Periodic",IF(AND(P$10&gt;=$H33,MOD(P$10-$H33,MAX($I33,1))=0),$G33,0),0)))</f>
        <v>0</v>
      </c>
      <c r="Q33" s="50" t="n">
        <f aca="false">IF($F33="Spread",IF(AND(Q$10&gt;=$H33,Q$10&lt;$H33+MAX($I33,1)),$G33/MAX($I33,1),0),IF($F33="Annual",IF(AND(Q$10&gt;=$H33,Q$10&lt;$H33+IF($I33=0,MaxYears,$I33)),$G33,0),IF($F33="Periodic",IF(AND(Q$10&gt;=$H33,MOD(Q$10-$H33,MAX($I33,1))=0),$G33,0),0)))</f>
        <v>0</v>
      </c>
      <c r="R33" s="50" t="n">
        <f aca="false">IF($F33="Spread",IF(AND(R$10&gt;=$H33,R$10&lt;$H33+MAX($I33,1)),$G33/MAX($I33,1),0),IF($F33="Annual",IF(AND(R$10&gt;=$H33,R$10&lt;$H33+IF($I33=0,MaxYears,$I33)),$G33,0),IF($F33="Periodic",IF(AND(R$10&gt;=$H33,MOD(R$10-$H33,MAX($I33,1))=0),$G33,0),0)))</f>
        <v>0</v>
      </c>
      <c r="S33" s="50" t="n">
        <f aca="false">IF($F33="Spread",IF(AND(S$10&gt;=$H33,S$10&lt;$H33+MAX($I33,1)),$G33/MAX($I33,1),0),IF($F33="Annual",IF(AND(S$10&gt;=$H33,S$10&lt;$H33+IF($I33=0,MaxYears,$I33)),$G33,0),IF($F33="Periodic",IF(AND(S$10&gt;=$H33,MOD(S$10-$H33,MAX($I33,1))=0),$G33,0),0)))</f>
        <v>0</v>
      </c>
      <c r="T33" s="50" t="n">
        <f aca="false">IF($F33="Spread",IF(AND(T$10&gt;=$H33,T$10&lt;$H33+MAX($I33,1)),$G33/MAX($I33,1),0),IF($F33="Annual",IF(AND(T$10&gt;=$H33,T$10&lt;$H33+IF($I33=0,MaxYears,$I33)),$G33,0),IF($F33="Periodic",IF(AND(T$10&gt;=$H33,MOD(T$10-$H33,MAX($I33,1))=0),$G33,0),0)))</f>
        <v>820000</v>
      </c>
      <c r="U33" s="50" t="n">
        <f aca="false">IF($F33="Spread",IF(AND(U$10&gt;=$H33,U$10&lt;$H33+MAX($I33,1)),$G33/MAX($I33,1),0),IF($F33="Annual",IF(AND(U$10&gt;=$H33,U$10&lt;$H33+IF($I33=0,MaxYears,$I33)),$G33,0),IF($F33="Periodic",IF(AND(U$10&gt;=$H33,MOD(U$10-$H33,MAX($I33,1))=0),$G33,0),0)))</f>
        <v>0</v>
      </c>
      <c r="V33" s="50" t="n">
        <f aca="false">IF($F33="Spread",IF(AND(V$10&gt;=$H33,V$10&lt;$H33+MAX($I33,1)),$G33/MAX($I33,1),0),IF($F33="Annual",IF(AND(V$10&gt;=$H33,V$10&lt;$H33+IF($I33=0,MaxYears,$I33)),$G33,0),IF($F33="Periodic",IF(AND(V$10&gt;=$H33,MOD(V$10-$H33,MAX($I33,1))=0),$G33,0),0)))</f>
        <v>0</v>
      </c>
      <c r="W33" s="50" t="n">
        <f aca="false">IF($F33="Spread",IF(AND(W$10&gt;=$H33,W$10&lt;$H33+MAX($I33,1)),$G33/MAX($I33,1),0),IF($F33="Annual",IF(AND(W$10&gt;=$H33,W$10&lt;$H33+IF($I33=0,MaxYears,$I33)),$G33,0),IF($F33="Periodic",IF(AND(W$10&gt;=$H33,MOD(W$10-$H33,MAX($I33,1))=0),$G33,0),0)))</f>
        <v>0</v>
      </c>
      <c r="X33" s="50" t="n">
        <f aca="false">IF($F33="Spread",IF(AND(X$10&gt;=$H33,X$10&lt;$H33+MAX($I33,1)),$G33/MAX($I33,1),0),IF($F33="Annual",IF(AND(X$10&gt;=$H33,X$10&lt;$H33+IF($I33=0,MaxYears,$I33)),$G33,0),IF($F33="Periodic",IF(AND(X$10&gt;=$H33,MOD(X$10-$H33,MAX($I33,1))=0),$G33,0),0)))</f>
        <v>0</v>
      </c>
      <c r="Y33" s="50" t="n">
        <f aca="false">IF($F33="Spread",IF(AND(Y$10&gt;=$H33,Y$10&lt;$H33+MAX($I33,1)),$G33/MAX($I33,1),0),IF($F33="Annual",IF(AND(Y$10&gt;=$H33,Y$10&lt;$H33+IF($I33=0,MaxYears,$I33)),$G33,0),IF($F33="Periodic",IF(AND(Y$10&gt;=$H33,MOD(Y$10-$H33,MAX($I33,1))=0),$G33,0),0)))</f>
        <v>0</v>
      </c>
      <c r="Z33" s="50" t="n">
        <f aca="false">IF($F33="Spread",IF(AND(Z$10&gt;=$H33,Z$10&lt;$H33+MAX($I33,1)),$G33/MAX($I33,1),0),IF($F33="Annual",IF(AND(Z$10&gt;=$H33,Z$10&lt;$H33+IF($I33=0,MaxYears,$I33)),$G33,0),IF($F33="Periodic",IF(AND(Z$10&gt;=$H33,MOD(Z$10-$H33,MAX($I33,1))=0),$G33,0),0)))</f>
        <v>0</v>
      </c>
      <c r="AA33" s="50" t="n">
        <f aca="false">IF($F33="Spread",IF(AND(AA$10&gt;=$H33,AA$10&lt;$H33+MAX($I33,1)),$G33/MAX($I33,1),0),IF($F33="Annual",IF(AND(AA$10&gt;=$H33,AA$10&lt;$H33+IF($I33=0,MaxYears,$I33)),$G33,0),IF($F33="Periodic",IF(AND(AA$10&gt;=$H33,MOD(AA$10-$H33,MAX($I33,1))=0),$G33,0),0)))</f>
        <v>820000</v>
      </c>
      <c r="AB33" s="50" t="n">
        <f aca="false">IF($F33="Spread",IF(AND(AB$10&gt;=$H33,AB$10&lt;$H33+MAX($I33,1)),$G33/MAX($I33,1),0),IF($F33="Annual",IF(AND(AB$10&gt;=$H33,AB$10&lt;$H33+IF($I33=0,MaxYears,$I33)),$G33,0),IF($F33="Periodic",IF(AND(AB$10&gt;=$H33,MOD(AB$10-$H33,MAX($I33,1))=0),$G33,0),0)))</f>
        <v>0</v>
      </c>
      <c r="AC33" s="50" t="n">
        <f aca="false">IF($F33="Spread",IF(AND(AC$10&gt;=$H33,AC$10&lt;$H33+MAX($I33,1)),$G33/MAX($I33,1),0),IF($F33="Annual",IF(AND(AC$10&gt;=$H33,AC$10&lt;$H33+IF($I33=0,MaxYears,$I33)),$G33,0),IF($F33="Periodic",IF(AND(AC$10&gt;=$H33,MOD(AC$10-$H33,MAX($I33,1))=0),$G33,0),0)))</f>
        <v>0</v>
      </c>
      <c r="AD33" s="50" t="n">
        <f aca="false">IF($F33="Spread",IF(AND(AD$10&gt;=$H33,AD$10&lt;$H33+MAX($I33,1)),$G33/MAX($I33,1),0),IF($F33="Annual",IF(AND(AD$10&gt;=$H33,AD$10&lt;$H33+IF($I33=0,MaxYears,$I33)),$G33,0),IF($F33="Periodic",IF(AND(AD$10&gt;=$H33,MOD(AD$10-$H33,MAX($I33,1))=0),$G33,0),0)))</f>
        <v>0</v>
      </c>
      <c r="AE33" s="50" t="n">
        <f aca="false">IF($F33="Spread",IF(AND(AE$10&gt;=$H33,AE$10&lt;$H33+MAX($I33,1)),$G33/MAX($I33,1),0),IF($F33="Annual",IF(AND(AE$10&gt;=$H33,AE$10&lt;$H33+IF($I33=0,MaxYears,$I33)),$G33,0),IF($F33="Periodic",IF(AND(AE$10&gt;=$H33,MOD(AE$10-$H33,MAX($I33,1))=0),$G33,0),0)))</f>
        <v>0</v>
      </c>
      <c r="AF33" s="50" t="n">
        <f aca="false">IF($F33="Spread",IF(AND(AF$10&gt;=$H33,AF$10&lt;$H33+MAX($I33,1)),$G33/MAX($I33,1),0),IF($F33="Annual",IF(AND(AF$10&gt;=$H33,AF$10&lt;$H33+IF($I33=0,MaxYears,$I33)),$G33,0),IF($F33="Periodic",IF(AND(AF$10&gt;=$H33,MOD(AF$10-$H33,MAX($I33,1))=0),$G33,0),0)))</f>
        <v>0</v>
      </c>
      <c r="AG33" s="50" t="n">
        <f aca="false">IF($F33="Spread",IF(AND(AG$10&gt;=$H33,AG$10&lt;$H33+MAX($I33,1)),$G33/MAX($I33,1),0),IF($F33="Annual",IF(AND(AG$10&gt;=$H33,AG$10&lt;$H33+IF($I33=0,MaxYears,$I33)),$G33,0),IF($F33="Periodic",IF(AND(AG$10&gt;=$H33,MOD(AG$10-$H33,MAX($I33,1))=0),$G33,0),0)))</f>
        <v>0</v>
      </c>
      <c r="AH33" s="50" t="n">
        <f aca="false">IF($F33="Spread",IF(AND(AH$10&gt;=$H33,AH$10&lt;$H33+MAX($I33,1)),$G33/MAX($I33,1),0),IF($F33="Annual",IF(AND(AH$10&gt;=$H33,AH$10&lt;$H33+IF($I33=0,MaxYears,$I33)),$G33,0),IF($F33="Periodic",IF(AND(AH$10&gt;=$H33,MOD(AH$10-$H33,MAX($I33,1))=0),$G33,0),0)))</f>
        <v>820000</v>
      </c>
      <c r="AI33" s="50" t="n">
        <f aca="false">IF($F33="Spread",IF(AND(AI$10&gt;=$H33,AI$10&lt;$H33+MAX($I33,1)),$G33/MAX($I33,1),0),IF($F33="Annual",IF(AND(AI$10&gt;=$H33,AI$10&lt;$H33+IF($I33=0,MaxYears,$I33)),$G33,0),IF($F33="Periodic",IF(AND(AI$10&gt;=$H33,MOD(AI$10-$H33,MAX($I33,1))=0),$G33,0),0)))</f>
        <v>0</v>
      </c>
      <c r="AJ33" s="50" t="n">
        <f aca="false">IF($F33="Spread",IF(AND(AJ$10&gt;=$H33,AJ$10&lt;$H33+MAX($I33,1)),$G33/MAX($I33,1),0),IF($F33="Annual",IF(AND(AJ$10&gt;=$H33,AJ$10&lt;$H33+IF($I33=0,MaxYears,$I33)),$G33,0),IF($F33="Periodic",IF(AND(AJ$10&gt;=$H33,MOD(AJ$10-$H33,MAX($I33,1))=0),$G33,0),0)))</f>
        <v>0</v>
      </c>
      <c r="AK33" s="50" t="n">
        <f aca="false">IF($F33="Spread",IF(AND(AK$10&gt;=$H33,AK$10&lt;$H33+MAX($I33,1)),$G33/MAX($I33,1),0),IF($F33="Annual",IF(AND(AK$10&gt;=$H33,AK$10&lt;$H33+IF($I33=0,MaxYears,$I33)),$G33,0),IF($F33="Periodic",IF(AND(AK$10&gt;=$H33,MOD(AK$10-$H33,MAX($I33,1))=0),$G33,0),0)))</f>
        <v>0</v>
      </c>
      <c r="AL33" s="50" t="n">
        <f aca="false">IF($F33="Spread",IF(AND(AL$10&gt;=$H33,AL$10&lt;$H33+MAX($I33,1)),$G33/MAX($I33,1),0),IF($F33="Annual",IF(AND(AL$10&gt;=$H33,AL$10&lt;$H33+IF($I33=0,MaxYears,$I33)),$G33,0),IF($F33="Periodic",IF(AND(AL$10&gt;=$H33,MOD(AL$10-$H33,MAX($I33,1))=0),$G33,0),0)))</f>
        <v>0</v>
      </c>
      <c r="AM33" s="50" t="n">
        <f aca="false">IF($F33="Spread",IF(AND(AM$10&gt;=$H33,AM$10&lt;$H33+MAX($I33,1)),$G33/MAX($I33,1),0),IF($F33="Annual",IF(AND(AM$10&gt;=$H33,AM$10&lt;$H33+IF($I33=0,MaxYears,$I33)),$G33,0),IF($F33="Periodic",IF(AND(AM$10&gt;=$H33,MOD(AM$10-$H33,MAX($I33,1))=0),$G33,0),0)))</f>
        <v>0</v>
      </c>
      <c r="AN33" s="50" t="n">
        <f aca="false">IF($F33="Spread",IF(AND(AN$10&gt;=$H33,AN$10&lt;$H33+MAX($I33,1)),$G33/MAX($I33,1),0),IF($F33="Annual",IF(AND(AN$10&gt;=$H33,AN$10&lt;$H33+IF($I33=0,MaxYears,$I33)),$G33,0),IF($F33="Periodic",IF(AND(AN$10&gt;=$H33,MOD(AN$10-$H33,MAX($I33,1))=0),$G33,0),0)))</f>
        <v>0</v>
      </c>
      <c r="AO33" s="50" t="n">
        <f aca="false">IF($F33="Spread",IF(AND(AO$10&gt;=$H33,AO$10&lt;$H33+MAX($I33,1)),$G33/MAX($I33,1),0),IF($F33="Annual",IF(AND(AO$10&gt;=$H33,AO$10&lt;$H33+IF($I33=0,MaxYears,$I33)),$G33,0),IF($F33="Periodic",IF(AND(AO$10&gt;=$H33,MOD(AO$10-$H33,MAX($I33,1))=0),$G33,0),0)))</f>
        <v>820000</v>
      </c>
      <c r="AP33" s="50" t="n">
        <f aca="false">IF($F33="Spread",IF(AND(AP$10&gt;=$H33,AP$10&lt;$H33+MAX($I33,1)),$G33/MAX($I33,1),0),IF($F33="Annual",IF(AND(AP$10&gt;=$H33,AP$10&lt;$H33+IF($I33=0,MaxYears,$I33)),$G33,0),IF($F33="Periodic",IF(AND(AP$10&gt;=$H33,MOD(AP$10-$H33,MAX($I33,1))=0),$G33,0),0)))</f>
        <v>0</v>
      </c>
      <c r="AQ33" s="50" t="n">
        <f aca="false">IF($F33="Spread",IF(AND(AQ$10&gt;=$H33,AQ$10&lt;$H33+MAX($I33,1)),$G33/MAX($I33,1),0),IF($F33="Annual",IF(AND(AQ$10&gt;=$H33,AQ$10&lt;$H33+IF($I33=0,MaxYears,$I33)),$G33,0),IF($F33="Periodic",IF(AND(AQ$10&gt;=$H33,MOD(AQ$10-$H33,MAX($I33,1))=0),$G33,0),0)))</f>
        <v>0</v>
      </c>
      <c r="AR33" s="50" t="n">
        <f aca="false">IF($F33="Spread",IF(AND(AR$10&gt;=$H33,AR$10&lt;$H33+MAX($I33,1)),$G33/MAX($I33,1),0),IF($F33="Annual",IF(AND(AR$10&gt;=$H33,AR$10&lt;$H33+IF($I33=0,MaxYears,$I33)),$G33,0),IF($F33="Periodic",IF(AND(AR$10&gt;=$H33,MOD(AR$10-$H33,MAX($I33,1))=0),$G33,0),0)))</f>
        <v>0</v>
      </c>
      <c r="AS33" s="50" t="n">
        <f aca="false">IF($F33="Spread",IF(AND(AS$10&gt;=$H33,AS$10&lt;$H33+MAX($I33,1)),$G33/MAX($I33,1),0),IF($F33="Annual",IF(AND(AS$10&gt;=$H33,AS$10&lt;$H33+IF($I33=0,MaxYears,$I33)),$G33,0),IF($F33="Periodic",IF(AND(AS$10&gt;=$H33,MOD(AS$10-$H33,MAX($I33,1))=0),$G33,0),0)))</f>
        <v>0</v>
      </c>
      <c r="AT33" s="50" t="n">
        <f aca="false">IF($F33="Spread",IF(AND(AT$10&gt;=$H33,AT$10&lt;$H33+MAX($I33,1)),$G33/MAX($I33,1),0),IF($F33="Annual",IF(AND(AT$10&gt;=$H33,AT$10&lt;$H33+IF($I33=0,MaxYears,$I33)),$G33,0),IF($F33="Periodic",IF(AND(AT$10&gt;=$H33,MOD(AT$10-$H33,MAX($I33,1))=0),$G33,0),0)))</f>
        <v>0</v>
      </c>
      <c r="AU33" s="50" t="n">
        <f aca="false">IF($F33="Spread",IF(AND(AU$10&gt;=$H33,AU$10&lt;$H33+MAX($I33,1)),$G33/MAX($I33,1),0),IF($F33="Annual",IF(AND(AU$10&gt;=$H33,AU$10&lt;$H33+IF($I33=0,MaxYears,$I33)),$G33,0),IF($F33="Periodic",IF(AND(AU$10&gt;=$H33,MOD(AU$10-$H33,MAX($I33,1))=0),$G33,0),0)))</f>
        <v>0</v>
      </c>
      <c r="AV33" s="50" t="n">
        <f aca="false">IF($F33="Spread",IF(AND(AV$10&gt;=$H33,AV$10&lt;$H33+MAX($I33,1)),$G33/MAX($I33,1),0),IF($F33="Annual",IF(AND(AV$10&gt;=$H33,AV$10&lt;$H33+IF($I33=0,MaxYears,$I33)),$G33,0),IF($F33="Periodic",IF(AND(AV$10&gt;=$H33,MOD(AV$10-$H33,MAX($I33,1))=0),$G33,0),0)))</f>
        <v>820000</v>
      </c>
      <c r="AW33" s="50" t="n">
        <f aca="false">IF($F33="Spread",IF(AND(AW$10&gt;=$H33,AW$10&lt;$H33+MAX($I33,1)),$G33/MAX($I33,1),0),IF($F33="Annual",IF(AND(AW$10&gt;=$H33,AW$10&lt;$H33+IF($I33=0,MaxYears,$I33)),$G33,0),IF($F33="Periodic",IF(AND(AW$10&gt;=$H33,MOD(AW$10-$H33,MAX($I33,1))=0),$G33,0),0)))</f>
        <v>0</v>
      </c>
      <c r="AX33" s="50" t="n">
        <f aca="false">IF($F33="Spread",IF(AND(AX$10&gt;=$H33,AX$10&lt;$H33+MAX($I33,1)),$G33/MAX($I33,1),0),IF($F33="Annual",IF(AND(AX$10&gt;=$H33,AX$10&lt;$H33+IF($I33=0,MaxYears,$I33)),$G33,0),IF($F33="Periodic",IF(AND(AX$10&gt;=$H33,MOD(AX$10-$H33,MAX($I33,1))=0),$G33,0),0)))</f>
        <v>0</v>
      </c>
      <c r="AY33" s="50" t="n">
        <f aca="false">IF($F33="Spread",IF(AND(AY$10&gt;=$H33,AY$10&lt;$H33+MAX($I33,1)),$G33/MAX($I33,1),0),IF($F33="Annual",IF(AND(AY$10&gt;=$H33,AY$10&lt;$H33+IF($I33=0,MaxYears,$I33)),$G33,0),IF($F33="Periodic",IF(AND(AY$10&gt;=$H33,MOD(AY$10-$H33,MAX($I33,1))=0),$G33,0),0)))</f>
        <v>0</v>
      </c>
      <c r="AZ33" s="50" t="n">
        <f aca="false">IF($F33="Spread",IF(AND(AZ$10&gt;=$H33,AZ$10&lt;$H33+MAX($I33,1)),$G33/MAX($I33,1),0),IF($F33="Annual",IF(AND(AZ$10&gt;=$H33,AZ$10&lt;$H33+IF($I33=0,MaxYears,$I33)),$G33,0),IF($F33="Periodic",IF(AND(AZ$10&gt;=$H33,MOD(AZ$10-$H33,MAX($I33,1))=0),$G33,0),0)))</f>
        <v>0</v>
      </c>
    </row>
    <row r="34" customFormat="false" ht="27.75" hidden="false" customHeight="true" outlineLevel="0" collapsed="false">
      <c r="B34" s="25" t="s">
        <v>340</v>
      </c>
      <c r="C34" s="45" t="s">
        <v>341</v>
      </c>
      <c r="D34" s="45" t="s">
        <v>342</v>
      </c>
      <c r="E34" s="46" t="s">
        <v>331</v>
      </c>
      <c r="F34" s="46" t="s">
        <v>258</v>
      </c>
      <c r="G34" s="47" t="n">
        <v>1200000</v>
      </c>
      <c r="H34" s="51" t="n">
        <f aca="false">MAX(ApprYears-1,0)</f>
        <v>29</v>
      </c>
      <c r="I34" s="48" t="n">
        <v>1</v>
      </c>
      <c r="J34" s="45" t="s">
        <v>343</v>
      </c>
      <c r="K34" s="46" t="s">
        <v>264</v>
      </c>
      <c r="L34" s="49" t="n">
        <f aca="false">SUM(M34:AZ34)</f>
        <v>1200000</v>
      </c>
      <c r="M34" s="50" t="n">
        <f aca="false">IF($F34="Spread",IF(AND(M$10&gt;=$H34,M$10&lt;$H34+MAX($I34,1)),$G34/MAX($I34,1),0),IF($F34="Annual",IF(AND(M$10&gt;=$H34,M$10&lt;$H34+IF($I34=0,MaxYears,$I34)),$G34,0),IF($F34="Periodic",IF(AND(M$10&gt;=$H34,MOD(M$10-$H34,MAX($I34,1))=0),$G34,0),0)))</f>
        <v>0</v>
      </c>
      <c r="N34" s="50" t="n">
        <f aca="false">IF($F34="Spread",IF(AND(N$10&gt;=$H34,N$10&lt;$H34+MAX($I34,1)),$G34/MAX($I34,1),0),IF($F34="Annual",IF(AND(N$10&gt;=$H34,N$10&lt;$H34+IF($I34=0,MaxYears,$I34)),$G34,0),IF($F34="Periodic",IF(AND(N$10&gt;=$H34,MOD(N$10-$H34,MAX($I34,1))=0),$G34,0),0)))</f>
        <v>0</v>
      </c>
      <c r="O34" s="50" t="n">
        <f aca="false">IF($F34="Spread",IF(AND(O$10&gt;=$H34,O$10&lt;$H34+MAX($I34,1)),$G34/MAX($I34,1),0),IF($F34="Annual",IF(AND(O$10&gt;=$H34,O$10&lt;$H34+IF($I34=0,MaxYears,$I34)),$G34,0),IF($F34="Periodic",IF(AND(O$10&gt;=$H34,MOD(O$10-$H34,MAX($I34,1))=0),$G34,0),0)))</f>
        <v>0</v>
      </c>
      <c r="P34" s="50" t="n">
        <f aca="false">IF($F34="Spread",IF(AND(P$10&gt;=$H34,P$10&lt;$H34+MAX($I34,1)),$G34/MAX($I34,1),0),IF($F34="Annual",IF(AND(P$10&gt;=$H34,P$10&lt;$H34+IF($I34=0,MaxYears,$I34)),$G34,0),IF($F34="Periodic",IF(AND(P$10&gt;=$H34,MOD(P$10-$H34,MAX($I34,1))=0),$G34,0),0)))</f>
        <v>0</v>
      </c>
      <c r="Q34" s="50" t="n">
        <f aca="false">IF($F34="Spread",IF(AND(Q$10&gt;=$H34,Q$10&lt;$H34+MAX($I34,1)),$G34/MAX($I34,1),0),IF($F34="Annual",IF(AND(Q$10&gt;=$H34,Q$10&lt;$H34+IF($I34=0,MaxYears,$I34)),$G34,0),IF($F34="Periodic",IF(AND(Q$10&gt;=$H34,MOD(Q$10-$H34,MAX($I34,1))=0),$G34,0),0)))</f>
        <v>0</v>
      </c>
      <c r="R34" s="50" t="n">
        <f aca="false">IF($F34="Spread",IF(AND(R$10&gt;=$H34,R$10&lt;$H34+MAX($I34,1)),$G34/MAX($I34,1),0),IF($F34="Annual",IF(AND(R$10&gt;=$H34,R$10&lt;$H34+IF($I34=0,MaxYears,$I34)),$G34,0),IF($F34="Periodic",IF(AND(R$10&gt;=$H34,MOD(R$10-$H34,MAX($I34,1))=0),$G34,0),0)))</f>
        <v>0</v>
      </c>
      <c r="S34" s="50" t="n">
        <f aca="false">IF($F34="Spread",IF(AND(S$10&gt;=$H34,S$10&lt;$H34+MAX($I34,1)),$G34/MAX($I34,1),0),IF($F34="Annual",IF(AND(S$10&gt;=$H34,S$10&lt;$H34+IF($I34=0,MaxYears,$I34)),$G34,0),IF($F34="Periodic",IF(AND(S$10&gt;=$H34,MOD(S$10-$H34,MAX($I34,1))=0),$G34,0),0)))</f>
        <v>0</v>
      </c>
      <c r="T34" s="50" t="n">
        <f aca="false">IF($F34="Spread",IF(AND(T$10&gt;=$H34,T$10&lt;$H34+MAX($I34,1)),$G34/MAX($I34,1),0),IF($F34="Annual",IF(AND(T$10&gt;=$H34,T$10&lt;$H34+IF($I34=0,MaxYears,$I34)),$G34,0),IF($F34="Periodic",IF(AND(T$10&gt;=$H34,MOD(T$10-$H34,MAX($I34,1))=0),$G34,0),0)))</f>
        <v>0</v>
      </c>
      <c r="U34" s="50" t="n">
        <f aca="false">IF($F34="Spread",IF(AND(U$10&gt;=$H34,U$10&lt;$H34+MAX($I34,1)),$G34/MAX($I34,1),0),IF($F34="Annual",IF(AND(U$10&gt;=$H34,U$10&lt;$H34+IF($I34=0,MaxYears,$I34)),$G34,0),IF($F34="Periodic",IF(AND(U$10&gt;=$H34,MOD(U$10-$H34,MAX($I34,1))=0),$G34,0),0)))</f>
        <v>0</v>
      </c>
      <c r="V34" s="50" t="n">
        <f aca="false">IF($F34="Spread",IF(AND(V$10&gt;=$H34,V$10&lt;$H34+MAX($I34,1)),$G34/MAX($I34,1),0),IF($F34="Annual",IF(AND(V$10&gt;=$H34,V$10&lt;$H34+IF($I34=0,MaxYears,$I34)),$G34,0),IF($F34="Periodic",IF(AND(V$10&gt;=$H34,MOD(V$10-$H34,MAX($I34,1))=0),$G34,0),0)))</f>
        <v>0</v>
      </c>
      <c r="W34" s="50" t="n">
        <f aca="false">IF($F34="Spread",IF(AND(W$10&gt;=$H34,W$10&lt;$H34+MAX($I34,1)),$G34/MAX($I34,1),0),IF($F34="Annual",IF(AND(W$10&gt;=$H34,W$10&lt;$H34+IF($I34=0,MaxYears,$I34)),$G34,0),IF($F34="Periodic",IF(AND(W$10&gt;=$H34,MOD(W$10-$H34,MAX($I34,1))=0),$G34,0),0)))</f>
        <v>0</v>
      </c>
      <c r="X34" s="50" t="n">
        <f aca="false">IF($F34="Spread",IF(AND(X$10&gt;=$H34,X$10&lt;$H34+MAX($I34,1)),$G34/MAX($I34,1),0),IF($F34="Annual",IF(AND(X$10&gt;=$H34,X$10&lt;$H34+IF($I34=0,MaxYears,$I34)),$G34,0),IF($F34="Periodic",IF(AND(X$10&gt;=$H34,MOD(X$10-$H34,MAX($I34,1))=0),$G34,0),0)))</f>
        <v>0</v>
      </c>
      <c r="Y34" s="50" t="n">
        <f aca="false">IF($F34="Spread",IF(AND(Y$10&gt;=$H34,Y$10&lt;$H34+MAX($I34,1)),$G34/MAX($I34,1),0),IF($F34="Annual",IF(AND(Y$10&gt;=$H34,Y$10&lt;$H34+IF($I34=0,MaxYears,$I34)),$G34,0),IF($F34="Periodic",IF(AND(Y$10&gt;=$H34,MOD(Y$10-$H34,MAX($I34,1))=0),$G34,0),0)))</f>
        <v>0</v>
      </c>
      <c r="Z34" s="50" t="n">
        <f aca="false">IF($F34="Spread",IF(AND(Z$10&gt;=$H34,Z$10&lt;$H34+MAX($I34,1)),$G34/MAX($I34,1),0),IF($F34="Annual",IF(AND(Z$10&gt;=$H34,Z$10&lt;$H34+IF($I34=0,MaxYears,$I34)),$G34,0),IF($F34="Periodic",IF(AND(Z$10&gt;=$H34,MOD(Z$10-$H34,MAX($I34,1))=0),$G34,0),0)))</f>
        <v>0</v>
      </c>
      <c r="AA34" s="50" t="n">
        <f aca="false">IF($F34="Spread",IF(AND(AA$10&gt;=$H34,AA$10&lt;$H34+MAX($I34,1)),$G34/MAX($I34,1),0),IF($F34="Annual",IF(AND(AA$10&gt;=$H34,AA$10&lt;$H34+IF($I34=0,MaxYears,$I34)),$G34,0),IF($F34="Periodic",IF(AND(AA$10&gt;=$H34,MOD(AA$10-$H34,MAX($I34,1))=0),$G34,0),0)))</f>
        <v>0</v>
      </c>
      <c r="AB34" s="50" t="n">
        <f aca="false">IF($F34="Spread",IF(AND(AB$10&gt;=$H34,AB$10&lt;$H34+MAX($I34,1)),$G34/MAX($I34,1),0),IF($F34="Annual",IF(AND(AB$10&gt;=$H34,AB$10&lt;$H34+IF($I34=0,MaxYears,$I34)),$G34,0),IF($F34="Periodic",IF(AND(AB$10&gt;=$H34,MOD(AB$10-$H34,MAX($I34,1))=0),$G34,0),0)))</f>
        <v>0</v>
      </c>
      <c r="AC34" s="50" t="n">
        <f aca="false">IF($F34="Spread",IF(AND(AC$10&gt;=$H34,AC$10&lt;$H34+MAX($I34,1)),$G34/MAX($I34,1),0),IF($F34="Annual",IF(AND(AC$10&gt;=$H34,AC$10&lt;$H34+IF($I34=0,MaxYears,$I34)),$G34,0),IF($F34="Periodic",IF(AND(AC$10&gt;=$H34,MOD(AC$10-$H34,MAX($I34,1))=0),$G34,0),0)))</f>
        <v>0</v>
      </c>
      <c r="AD34" s="50" t="n">
        <f aca="false">IF($F34="Spread",IF(AND(AD$10&gt;=$H34,AD$10&lt;$H34+MAX($I34,1)),$G34/MAX($I34,1),0),IF($F34="Annual",IF(AND(AD$10&gt;=$H34,AD$10&lt;$H34+IF($I34=0,MaxYears,$I34)),$G34,0),IF($F34="Periodic",IF(AND(AD$10&gt;=$H34,MOD(AD$10-$H34,MAX($I34,1))=0),$G34,0),0)))</f>
        <v>0</v>
      </c>
      <c r="AE34" s="50" t="n">
        <f aca="false">IF($F34="Spread",IF(AND(AE$10&gt;=$H34,AE$10&lt;$H34+MAX($I34,1)),$G34/MAX($I34,1),0),IF($F34="Annual",IF(AND(AE$10&gt;=$H34,AE$10&lt;$H34+IF($I34=0,MaxYears,$I34)),$G34,0),IF($F34="Periodic",IF(AND(AE$10&gt;=$H34,MOD(AE$10-$H34,MAX($I34,1))=0),$G34,0),0)))</f>
        <v>0</v>
      </c>
      <c r="AF34" s="50" t="n">
        <f aca="false">IF($F34="Spread",IF(AND(AF$10&gt;=$H34,AF$10&lt;$H34+MAX($I34,1)),$G34/MAX($I34,1),0),IF($F34="Annual",IF(AND(AF$10&gt;=$H34,AF$10&lt;$H34+IF($I34=0,MaxYears,$I34)),$G34,0),IF($F34="Periodic",IF(AND(AF$10&gt;=$H34,MOD(AF$10-$H34,MAX($I34,1))=0),$G34,0),0)))</f>
        <v>0</v>
      </c>
      <c r="AG34" s="50" t="n">
        <f aca="false">IF($F34="Spread",IF(AND(AG$10&gt;=$H34,AG$10&lt;$H34+MAX($I34,1)),$G34/MAX($I34,1),0),IF($F34="Annual",IF(AND(AG$10&gt;=$H34,AG$10&lt;$H34+IF($I34=0,MaxYears,$I34)),$G34,0),IF($F34="Periodic",IF(AND(AG$10&gt;=$H34,MOD(AG$10-$H34,MAX($I34,1))=0),$G34,0),0)))</f>
        <v>0</v>
      </c>
      <c r="AH34" s="50" t="n">
        <f aca="false">IF($F34="Spread",IF(AND(AH$10&gt;=$H34,AH$10&lt;$H34+MAX($I34,1)),$G34/MAX($I34,1),0),IF($F34="Annual",IF(AND(AH$10&gt;=$H34,AH$10&lt;$H34+IF($I34=0,MaxYears,$I34)),$G34,0),IF($F34="Periodic",IF(AND(AH$10&gt;=$H34,MOD(AH$10-$H34,MAX($I34,1))=0),$G34,0),0)))</f>
        <v>0</v>
      </c>
      <c r="AI34" s="50" t="n">
        <f aca="false">IF($F34="Spread",IF(AND(AI$10&gt;=$H34,AI$10&lt;$H34+MAX($I34,1)),$G34/MAX($I34,1),0),IF($F34="Annual",IF(AND(AI$10&gt;=$H34,AI$10&lt;$H34+IF($I34=0,MaxYears,$I34)),$G34,0),IF($F34="Periodic",IF(AND(AI$10&gt;=$H34,MOD(AI$10-$H34,MAX($I34,1))=0),$G34,0),0)))</f>
        <v>0</v>
      </c>
      <c r="AJ34" s="50" t="n">
        <f aca="false">IF($F34="Spread",IF(AND(AJ$10&gt;=$H34,AJ$10&lt;$H34+MAX($I34,1)),$G34/MAX($I34,1),0),IF($F34="Annual",IF(AND(AJ$10&gt;=$H34,AJ$10&lt;$H34+IF($I34=0,MaxYears,$I34)),$G34,0),IF($F34="Periodic",IF(AND(AJ$10&gt;=$H34,MOD(AJ$10-$H34,MAX($I34,1))=0),$G34,0),0)))</f>
        <v>0</v>
      </c>
      <c r="AK34" s="50" t="n">
        <f aca="false">IF($F34="Spread",IF(AND(AK$10&gt;=$H34,AK$10&lt;$H34+MAX($I34,1)),$G34/MAX($I34,1),0),IF($F34="Annual",IF(AND(AK$10&gt;=$H34,AK$10&lt;$H34+IF($I34=0,MaxYears,$I34)),$G34,0),IF($F34="Periodic",IF(AND(AK$10&gt;=$H34,MOD(AK$10-$H34,MAX($I34,1))=0),$G34,0),0)))</f>
        <v>0</v>
      </c>
      <c r="AL34" s="50" t="n">
        <f aca="false">IF($F34="Spread",IF(AND(AL$10&gt;=$H34,AL$10&lt;$H34+MAX($I34,1)),$G34/MAX($I34,1),0),IF($F34="Annual",IF(AND(AL$10&gt;=$H34,AL$10&lt;$H34+IF($I34=0,MaxYears,$I34)),$G34,0),IF($F34="Periodic",IF(AND(AL$10&gt;=$H34,MOD(AL$10-$H34,MAX($I34,1))=0),$G34,0),0)))</f>
        <v>0</v>
      </c>
      <c r="AM34" s="50" t="n">
        <f aca="false">IF($F34="Spread",IF(AND(AM$10&gt;=$H34,AM$10&lt;$H34+MAX($I34,1)),$G34/MAX($I34,1),0),IF($F34="Annual",IF(AND(AM$10&gt;=$H34,AM$10&lt;$H34+IF($I34=0,MaxYears,$I34)),$G34,0),IF($F34="Periodic",IF(AND(AM$10&gt;=$H34,MOD(AM$10-$H34,MAX($I34,1))=0),$G34,0),0)))</f>
        <v>0</v>
      </c>
      <c r="AN34" s="50" t="n">
        <f aca="false">IF($F34="Spread",IF(AND(AN$10&gt;=$H34,AN$10&lt;$H34+MAX($I34,1)),$G34/MAX($I34,1),0),IF($F34="Annual",IF(AND(AN$10&gt;=$H34,AN$10&lt;$H34+IF($I34=0,MaxYears,$I34)),$G34,0),IF($F34="Periodic",IF(AND(AN$10&gt;=$H34,MOD(AN$10-$H34,MAX($I34,1))=0),$G34,0),0)))</f>
        <v>0</v>
      </c>
      <c r="AO34" s="50" t="n">
        <f aca="false">IF($F34="Spread",IF(AND(AO$10&gt;=$H34,AO$10&lt;$H34+MAX($I34,1)),$G34/MAX($I34,1),0),IF($F34="Annual",IF(AND(AO$10&gt;=$H34,AO$10&lt;$H34+IF($I34=0,MaxYears,$I34)),$G34,0),IF($F34="Periodic",IF(AND(AO$10&gt;=$H34,MOD(AO$10-$H34,MAX($I34,1))=0),$G34,0),0)))</f>
        <v>0</v>
      </c>
      <c r="AP34" s="50" t="n">
        <f aca="false">IF($F34="Spread",IF(AND(AP$10&gt;=$H34,AP$10&lt;$H34+MAX($I34,1)),$G34/MAX($I34,1),0),IF($F34="Annual",IF(AND(AP$10&gt;=$H34,AP$10&lt;$H34+IF($I34=0,MaxYears,$I34)),$G34,0),IF($F34="Periodic",IF(AND(AP$10&gt;=$H34,MOD(AP$10-$H34,MAX($I34,1))=0),$G34,0),0)))</f>
        <v>1200000</v>
      </c>
      <c r="AQ34" s="50" t="n">
        <f aca="false">IF($F34="Spread",IF(AND(AQ$10&gt;=$H34,AQ$10&lt;$H34+MAX($I34,1)),$G34/MAX($I34,1),0),IF($F34="Annual",IF(AND(AQ$10&gt;=$H34,AQ$10&lt;$H34+IF($I34=0,MaxYears,$I34)),$G34,0),IF($F34="Periodic",IF(AND(AQ$10&gt;=$H34,MOD(AQ$10-$H34,MAX($I34,1))=0),$G34,0),0)))</f>
        <v>0</v>
      </c>
      <c r="AR34" s="50" t="n">
        <f aca="false">IF($F34="Spread",IF(AND(AR$10&gt;=$H34,AR$10&lt;$H34+MAX($I34,1)),$G34/MAX($I34,1),0),IF($F34="Annual",IF(AND(AR$10&gt;=$H34,AR$10&lt;$H34+IF($I34=0,MaxYears,$I34)),$G34,0),IF($F34="Periodic",IF(AND(AR$10&gt;=$H34,MOD(AR$10-$H34,MAX($I34,1))=0),$G34,0),0)))</f>
        <v>0</v>
      </c>
      <c r="AS34" s="50" t="n">
        <f aca="false">IF($F34="Spread",IF(AND(AS$10&gt;=$H34,AS$10&lt;$H34+MAX($I34,1)),$G34/MAX($I34,1),0),IF($F34="Annual",IF(AND(AS$10&gt;=$H34,AS$10&lt;$H34+IF($I34=0,MaxYears,$I34)),$G34,0),IF($F34="Periodic",IF(AND(AS$10&gt;=$H34,MOD(AS$10-$H34,MAX($I34,1))=0),$G34,0),0)))</f>
        <v>0</v>
      </c>
      <c r="AT34" s="50" t="n">
        <f aca="false">IF($F34="Spread",IF(AND(AT$10&gt;=$H34,AT$10&lt;$H34+MAX($I34,1)),$G34/MAX($I34,1),0),IF($F34="Annual",IF(AND(AT$10&gt;=$H34,AT$10&lt;$H34+IF($I34=0,MaxYears,$I34)),$G34,0),IF($F34="Periodic",IF(AND(AT$10&gt;=$H34,MOD(AT$10-$H34,MAX($I34,1))=0),$G34,0),0)))</f>
        <v>0</v>
      </c>
      <c r="AU34" s="50" t="n">
        <f aca="false">IF($F34="Spread",IF(AND(AU$10&gt;=$H34,AU$10&lt;$H34+MAX($I34,1)),$G34/MAX($I34,1),0),IF($F34="Annual",IF(AND(AU$10&gt;=$H34,AU$10&lt;$H34+IF($I34=0,MaxYears,$I34)),$G34,0),IF($F34="Periodic",IF(AND(AU$10&gt;=$H34,MOD(AU$10-$H34,MAX($I34,1))=0),$G34,0),0)))</f>
        <v>0</v>
      </c>
      <c r="AV34" s="50" t="n">
        <f aca="false">IF($F34="Spread",IF(AND(AV$10&gt;=$H34,AV$10&lt;$H34+MAX($I34,1)),$G34/MAX($I34,1),0),IF($F34="Annual",IF(AND(AV$10&gt;=$H34,AV$10&lt;$H34+IF($I34=0,MaxYears,$I34)),$G34,0),IF($F34="Periodic",IF(AND(AV$10&gt;=$H34,MOD(AV$10-$H34,MAX($I34,1))=0),$G34,0),0)))</f>
        <v>0</v>
      </c>
      <c r="AW34" s="50" t="n">
        <f aca="false">IF($F34="Spread",IF(AND(AW$10&gt;=$H34,AW$10&lt;$H34+MAX($I34,1)),$G34/MAX($I34,1),0),IF($F34="Annual",IF(AND(AW$10&gt;=$H34,AW$10&lt;$H34+IF($I34=0,MaxYears,$I34)),$G34,0),IF($F34="Periodic",IF(AND(AW$10&gt;=$H34,MOD(AW$10-$H34,MAX($I34,1))=0),$G34,0),0)))</f>
        <v>0</v>
      </c>
      <c r="AX34" s="50" t="n">
        <f aca="false">IF($F34="Spread",IF(AND(AX$10&gt;=$H34,AX$10&lt;$H34+MAX($I34,1)),$G34/MAX($I34,1),0),IF($F34="Annual",IF(AND(AX$10&gt;=$H34,AX$10&lt;$H34+IF($I34=0,MaxYears,$I34)),$G34,0),IF($F34="Periodic",IF(AND(AX$10&gt;=$H34,MOD(AX$10-$H34,MAX($I34,1))=0),$G34,0),0)))</f>
        <v>0</v>
      </c>
      <c r="AY34" s="50" t="n">
        <f aca="false">IF($F34="Spread",IF(AND(AY$10&gt;=$H34,AY$10&lt;$H34+MAX($I34,1)),$G34/MAX($I34,1),0),IF($F34="Annual",IF(AND(AY$10&gt;=$H34,AY$10&lt;$H34+IF($I34=0,MaxYears,$I34)),$G34,0),IF($F34="Periodic",IF(AND(AY$10&gt;=$H34,MOD(AY$10-$H34,MAX($I34,1))=0),$G34,0),0)))</f>
        <v>0</v>
      </c>
      <c r="AZ34" s="50" t="n">
        <f aca="false">IF($F34="Spread",IF(AND(AZ$10&gt;=$H34,AZ$10&lt;$H34+MAX($I34,1)),$G34/MAX($I34,1),0),IF($F34="Annual",IF(AND(AZ$10&gt;=$H34,AZ$10&lt;$H34+IF($I34=0,MaxYears,$I34)),$G34,0),IF($F34="Periodic",IF(AND(AZ$10&gt;=$H34,MOD(AZ$10-$H34,MAX($I34,1))=0),$G34,0),0)))</f>
        <v>0</v>
      </c>
    </row>
    <row r="36" customFormat="false" ht="21.75" hidden="false" customHeight="true" outlineLevel="0" collapsed="false">
      <c r="B36" s="10" t="s">
        <v>344</v>
      </c>
      <c r="C36" s="38" t="s">
        <v>345</v>
      </c>
      <c r="D36" s="38"/>
      <c r="E36" s="38"/>
      <c r="F36" s="38"/>
      <c r="G36" s="38"/>
      <c r="H36" s="38"/>
      <c r="I36" s="38"/>
      <c r="J36" s="38"/>
      <c r="K36" s="38"/>
      <c r="L36" s="52" t="n">
        <f aca="false">SUM(M36:AZ36)</f>
        <v>50500800</v>
      </c>
      <c r="M36" s="53" t="n">
        <f aca="false">SUMIF($E$12:$E$34,"Capital",M$12:M$34)</f>
        <v>9045266.66666667</v>
      </c>
      <c r="N36" s="53" t="n">
        <f aca="false">SUMIF($E$12:$E$34,"Capital",N$12:N$34)</f>
        <v>18420266.6666667</v>
      </c>
      <c r="O36" s="53" t="n">
        <f aca="false">SUMIF($E$12:$E$34,"Capital",O$12:O$34)</f>
        <v>23035266.6666667</v>
      </c>
      <c r="P36" s="53" t="n">
        <f aca="false">SUMIF($E$12:$E$34,"Capital",P$12:P$34)</f>
        <v>0</v>
      </c>
      <c r="Q36" s="53" t="n">
        <f aca="false">SUMIF($E$12:$E$34,"Capital",Q$12:Q$34)</f>
        <v>0</v>
      </c>
      <c r="R36" s="53" t="n">
        <f aca="false">SUMIF($E$12:$E$34,"Capital",R$12:R$34)</f>
        <v>0</v>
      </c>
      <c r="S36" s="53" t="n">
        <f aca="false">SUMIF($E$12:$E$34,"Capital",S$12:S$34)</f>
        <v>0</v>
      </c>
      <c r="T36" s="53" t="n">
        <f aca="false">SUMIF($E$12:$E$34,"Capital",T$12:T$34)</f>
        <v>0</v>
      </c>
      <c r="U36" s="53" t="n">
        <f aca="false">SUMIF($E$12:$E$34,"Capital",U$12:U$34)</f>
        <v>0</v>
      </c>
      <c r="V36" s="53" t="n">
        <f aca="false">SUMIF($E$12:$E$34,"Capital",V$12:V$34)</f>
        <v>0</v>
      </c>
      <c r="W36" s="53" t="n">
        <f aca="false">SUMIF($E$12:$E$34,"Capital",W$12:W$34)</f>
        <v>0</v>
      </c>
      <c r="X36" s="53" t="n">
        <f aca="false">SUMIF($E$12:$E$34,"Capital",X$12:X$34)</f>
        <v>0</v>
      </c>
      <c r="Y36" s="53" t="n">
        <f aca="false">SUMIF($E$12:$E$34,"Capital",Y$12:Y$34)</f>
        <v>0</v>
      </c>
      <c r="Z36" s="53" t="n">
        <f aca="false">SUMIF($E$12:$E$34,"Capital",Z$12:Z$34)</f>
        <v>0</v>
      </c>
      <c r="AA36" s="53" t="n">
        <f aca="false">SUMIF($E$12:$E$34,"Capital",AA$12:AA$34)</f>
        <v>0</v>
      </c>
      <c r="AB36" s="53" t="n">
        <f aca="false">SUMIF($E$12:$E$34,"Capital",AB$12:AB$34)</f>
        <v>0</v>
      </c>
      <c r="AC36" s="53" t="n">
        <f aca="false">SUMIF($E$12:$E$34,"Capital",AC$12:AC$34)</f>
        <v>0</v>
      </c>
      <c r="AD36" s="53" t="n">
        <f aca="false">SUMIF($E$12:$E$34,"Capital",AD$12:AD$34)</f>
        <v>0</v>
      </c>
      <c r="AE36" s="53" t="n">
        <f aca="false">SUMIF($E$12:$E$34,"Capital",AE$12:AE$34)</f>
        <v>0</v>
      </c>
      <c r="AF36" s="53" t="n">
        <f aca="false">SUMIF($E$12:$E$34,"Capital",AF$12:AF$34)</f>
        <v>0</v>
      </c>
      <c r="AG36" s="53" t="n">
        <f aca="false">SUMIF($E$12:$E$34,"Capital",AG$12:AG$34)</f>
        <v>0</v>
      </c>
      <c r="AH36" s="53" t="n">
        <f aca="false">SUMIF($E$12:$E$34,"Capital",AH$12:AH$34)</f>
        <v>0</v>
      </c>
      <c r="AI36" s="53" t="n">
        <f aca="false">SUMIF($E$12:$E$34,"Capital",AI$12:AI$34)</f>
        <v>0</v>
      </c>
      <c r="AJ36" s="53" t="n">
        <f aca="false">SUMIF($E$12:$E$34,"Capital",AJ$12:AJ$34)</f>
        <v>0</v>
      </c>
      <c r="AK36" s="53" t="n">
        <f aca="false">SUMIF($E$12:$E$34,"Capital",AK$12:AK$34)</f>
        <v>0</v>
      </c>
      <c r="AL36" s="53" t="n">
        <f aca="false">SUMIF($E$12:$E$34,"Capital",AL$12:AL$34)</f>
        <v>0</v>
      </c>
      <c r="AM36" s="53" t="n">
        <f aca="false">SUMIF($E$12:$E$34,"Capital",AM$12:AM$34)</f>
        <v>0</v>
      </c>
      <c r="AN36" s="53" t="n">
        <f aca="false">SUMIF($E$12:$E$34,"Capital",AN$12:AN$34)</f>
        <v>0</v>
      </c>
      <c r="AO36" s="53" t="n">
        <f aca="false">SUMIF($E$12:$E$34,"Capital",AO$12:AO$34)</f>
        <v>0</v>
      </c>
      <c r="AP36" s="53" t="n">
        <f aca="false">SUMIF($E$12:$E$34,"Capital",AP$12:AP$34)</f>
        <v>0</v>
      </c>
      <c r="AQ36" s="53" t="n">
        <f aca="false">SUMIF($E$12:$E$34,"Capital",AQ$12:AQ$34)</f>
        <v>0</v>
      </c>
      <c r="AR36" s="53" t="n">
        <f aca="false">SUMIF($E$12:$E$34,"Capital",AR$12:AR$34)</f>
        <v>0</v>
      </c>
      <c r="AS36" s="53" t="n">
        <f aca="false">SUMIF($E$12:$E$34,"Capital",AS$12:AS$34)</f>
        <v>0</v>
      </c>
      <c r="AT36" s="53" t="n">
        <f aca="false">SUMIF($E$12:$E$34,"Capital",AT$12:AT$34)</f>
        <v>0</v>
      </c>
      <c r="AU36" s="53" t="n">
        <f aca="false">SUMIF($E$12:$E$34,"Capital",AU$12:AU$34)</f>
        <v>0</v>
      </c>
      <c r="AV36" s="53" t="n">
        <f aca="false">SUMIF($E$12:$E$34,"Capital",AV$12:AV$34)</f>
        <v>0</v>
      </c>
      <c r="AW36" s="53" t="n">
        <f aca="false">SUMIF($E$12:$E$34,"Capital",AW$12:AW$34)</f>
        <v>0</v>
      </c>
      <c r="AX36" s="53" t="n">
        <f aca="false">SUMIF($E$12:$E$34,"Capital",AX$12:AX$34)</f>
        <v>0</v>
      </c>
      <c r="AY36" s="53" t="n">
        <f aca="false">SUMIF($E$12:$E$34,"Capital",AY$12:AY$34)</f>
        <v>0</v>
      </c>
      <c r="AZ36" s="53" t="n">
        <f aca="false">SUMIF($E$12:$E$34,"Capital",AZ$12:AZ$34)</f>
        <v>0</v>
      </c>
    </row>
    <row r="37" customFormat="false" ht="21.75" hidden="false" customHeight="true" outlineLevel="0" collapsed="false">
      <c r="B37" s="10" t="s">
        <v>344</v>
      </c>
      <c r="C37" s="38" t="s">
        <v>346</v>
      </c>
      <c r="D37" s="38"/>
      <c r="E37" s="38"/>
      <c r="F37" s="38"/>
      <c r="G37" s="38"/>
      <c r="H37" s="38"/>
      <c r="I37" s="38"/>
      <c r="J37" s="38"/>
      <c r="K37" s="38"/>
      <c r="L37" s="52" t="n">
        <f aca="false">SUM(M37:AZ37)</f>
        <v>158730000</v>
      </c>
      <c r="M37" s="53" t="n">
        <f aca="false">SUMIF($E$12:$E$34,"Operating",M$12:M$34)</f>
        <v>0</v>
      </c>
      <c r="N37" s="53" t="n">
        <f aca="false">SUMIF($E$12:$E$34,"Operating",N$12:N$34)</f>
        <v>0</v>
      </c>
      <c r="O37" s="53" t="n">
        <f aca="false">SUMIF($E$12:$E$34,"Operating",O$12:O$34)</f>
        <v>0</v>
      </c>
      <c r="P37" s="53" t="n">
        <f aca="false">SUMIF($E$12:$E$34,"Operating",P$12:P$34)</f>
        <v>4290000</v>
      </c>
      <c r="Q37" s="53" t="n">
        <f aca="false">SUMIF($E$12:$E$34,"Operating",Q$12:Q$34)</f>
        <v>4290000</v>
      </c>
      <c r="R37" s="53" t="n">
        <f aca="false">SUMIF($E$12:$E$34,"Operating",R$12:R$34)</f>
        <v>4290000</v>
      </c>
      <c r="S37" s="53" t="n">
        <f aca="false">SUMIF($E$12:$E$34,"Operating",S$12:S$34)</f>
        <v>4290000</v>
      </c>
      <c r="T37" s="53" t="n">
        <f aca="false">SUMIF($E$12:$E$34,"Operating",T$12:T$34)</f>
        <v>4290000</v>
      </c>
      <c r="U37" s="53" t="n">
        <f aca="false">SUMIF($E$12:$E$34,"Operating",U$12:U$34)</f>
        <v>4290000</v>
      </c>
      <c r="V37" s="53" t="n">
        <f aca="false">SUMIF($E$12:$E$34,"Operating",V$12:V$34)</f>
        <v>4290000</v>
      </c>
      <c r="W37" s="53" t="n">
        <f aca="false">SUMIF($E$12:$E$34,"Operating",W$12:W$34)</f>
        <v>4290000</v>
      </c>
      <c r="X37" s="53" t="n">
        <f aca="false">SUMIF($E$12:$E$34,"Operating",X$12:X$34)</f>
        <v>4290000</v>
      </c>
      <c r="Y37" s="53" t="n">
        <f aca="false">SUMIF($E$12:$E$34,"Operating",Y$12:Y$34)</f>
        <v>4290000</v>
      </c>
      <c r="Z37" s="53" t="n">
        <f aca="false">SUMIF($E$12:$E$34,"Operating",Z$12:Z$34)</f>
        <v>4290000</v>
      </c>
      <c r="AA37" s="53" t="n">
        <f aca="false">SUMIF($E$12:$E$34,"Operating",AA$12:AA$34)</f>
        <v>4290000</v>
      </c>
      <c r="AB37" s="53" t="n">
        <f aca="false">SUMIF($E$12:$E$34,"Operating",AB$12:AB$34)</f>
        <v>4290000</v>
      </c>
      <c r="AC37" s="53" t="n">
        <f aca="false">SUMIF($E$12:$E$34,"Operating",AC$12:AC$34)</f>
        <v>4290000</v>
      </c>
      <c r="AD37" s="53" t="n">
        <f aca="false">SUMIF($E$12:$E$34,"Operating",AD$12:AD$34)</f>
        <v>4290000</v>
      </c>
      <c r="AE37" s="53" t="n">
        <f aca="false">SUMIF($E$12:$E$34,"Operating",AE$12:AE$34)</f>
        <v>4290000</v>
      </c>
      <c r="AF37" s="53" t="n">
        <f aca="false">SUMIF($E$12:$E$34,"Operating",AF$12:AF$34)</f>
        <v>4290000</v>
      </c>
      <c r="AG37" s="53" t="n">
        <f aca="false">SUMIF($E$12:$E$34,"Operating",AG$12:AG$34)</f>
        <v>4290000</v>
      </c>
      <c r="AH37" s="53" t="n">
        <f aca="false">SUMIF($E$12:$E$34,"Operating",AH$12:AH$34)</f>
        <v>4290000</v>
      </c>
      <c r="AI37" s="53" t="n">
        <f aca="false">SUMIF($E$12:$E$34,"Operating",AI$12:AI$34)</f>
        <v>4290000</v>
      </c>
      <c r="AJ37" s="53" t="n">
        <f aca="false">SUMIF($E$12:$E$34,"Operating",AJ$12:AJ$34)</f>
        <v>4290000</v>
      </c>
      <c r="AK37" s="53" t="n">
        <f aca="false">SUMIF($E$12:$E$34,"Operating",AK$12:AK$34)</f>
        <v>4290000</v>
      </c>
      <c r="AL37" s="53" t="n">
        <f aca="false">SUMIF($E$12:$E$34,"Operating",AL$12:AL$34)</f>
        <v>4290000</v>
      </c>
      <c r="AM37" s="53" t="n">
        <f aca="false">SUMIF($E$12:$E$34,"Operating",AM$12:AM$34)</f>
        <v>4290000</v>
      </c>
      <c r="AN37" s="53" t="n">
        <f aca="false">SUMIF($E$12:$E$34,"Operating",AN$12:AN$34)</f>
        <v>4290000</v>
      </c>
      <c r="AO37" s="53" t="n">
        <f aca="false">SUMIF($E$12:$E$34,"Operating",AO$12:AO$34)</f>
        <v>4290000</v>
      </c>
      <c r="AP37" s="53" t="n">
        <f aca="false">SUMIF($E$12:$E$34,"Operating",AP$12:AP$34)</f>
        <v>4290000</v>
      </c>
      <c r="AQ37" s="53" t="n">
        <f aca="false">SUMIF($E$12:$E$34,"Operating",AQ$12:AQ$34)</f>
        <v>4290000</v>
      </c>
      <c r="AR37" s="53" t="n">
        <f aca="false">SUMIF($E$12:$E$34,"Operating",AR$12:AR$34)</f>
        <v>4290000</v>
      </c>
      <c r="AS37" s="53" t="n">
        <f aca="false">SUMIF($E$12:$E$34,"Operating",AS$12:AS$34)</f>
        <v>4290000</v>
      </c>
      <c r="AT37" s="53" t="n">
        <f aca="false">SUMIF($E$12:$E$34,"Operating",AT$12:AT$34)</f>
        <v>4290000</v>
      </c>
      <c r="AU37" s="53" t="n">
        <f aca="false">SUMIF($E$12:$E$34,"Operating",AU$12:AU$34)</f>
        <v>4290000</v>
      </c>
      <c r="AV37" s="53" t="n">
        <f aca="false">SUMIF($E$12:$E$34,"Operating",AV$12:AV$34)</f>
        <v>4290000</v>
      </c>
      <c r="AW37" s="53" t="n">
        <f aca="false">SUMIF($E$12:$E$34,"Operating",AW$12:AW$34)</f>
        <v>4290000</v>
      </c>
      <c r="AX37" s="53" t="n">
        <f aca="false">SUMIF($E$12:$E$34,"Operating",AX$12:AX$34)</f>
        <v>4290000</v>
      </c>
      <c r="AY37" s="53" t="n">
        <f aca="false">SUMIF($E$12:$E$34,"Operating",AY$12:AY$34)</f>
        <v>4290000</v>
      </c>
      <c r="AZ37" s="53" t="n">
        <f aca="false">SUMIF($E$12:$E$34,"Operating",AZ$12:AZ$34)</f>
        <v>4290000</v>
      </c>
    </row>
    <row r="38" customFormat="false" ht="21.75" hidden="false" customHeight="true" outlineLevel="0" collapsed="false">
      <c r="B38" s="10" t="s">
        <v>344</v>
      </c>
      <c r="C38" s="38" t="s">
        <v>347</v>
      </c>
      <c r="D38" s="38"/>
      <c r="E38" s="38"/>
      <c r="F38" s="38"/>
      <c r="G38" s="38"/>
      <c r="H38" s="38"/>
      <c r="I38" s="38"/>
      <c r="J38" s="38"/>
      <c r="K38" s="38"/>
      <c r="L38" s="52" t="n">
        <f aca="false">SUM(M38:AZ38)</f>
        <v>11400000</v>
      </c>
      <c r="M38" s="53" t="n">
        <f aca="false">SUMIF($E$12:$E$34,"Lifecycle",M$12:M$34)</f>
        <v>0</v>
      </c>
      <c r="N38" s="53" t="n">
        <f aca="false">SUMIF($E$12:$E$34,"Lifecycle",N$12:N$34)</f>
        <v>0</v>
      </c>
      <c r="O38" s="53" t="n">
        <f aca="false">SUMIF($E$12:$E$34,"Lifecycle",O$12:O$34)</f>
        <v>0</v>
      </c>
      <c r="P38" s="53" t="n">
        <f aca="false">SUMIF($E$12:$E$34,"Lifecycle",P$12:P$34)</f>
        <v>0</v>
      </c>
      <c r="Q38" s="53" t="n">
        <f aca="false">SUMIF($E$12:$E$34,"Lifecycle",Q$12:Q$34)</f>
        <v>0</v>
      </c>
      <c r="R38" s="53" t="n">
        <f aca="false">SUMIF($E$12:$E$34,"Lifecycle",R$12:R$34)</f>
        <v>0</v>
      </c>
      <c r="S38" s="53" t="n">
        <f aca="false">SUMIF($E$12:$E$34,"Lifecycle",S$12:S$34)</f>
        <v>0</v>
      </c>
      <c r="T38" s="53" t="n">
        <f aca="false">SUMIF($E$12:$E$34,"Lifecycle",T$12:T$34)</f>
        <v>820000</v>
      </c>
      <c r="U38" s="53" t="n">
        <f aca="false">SUMIF($E$12:$E$34,"Lifecycle",U$12:U$34)</f>
        <v>0</v>
      </c>
      <c r="V38" s="53" t="n">
        <f aca="false">SUMIF($E$12:$E$34,"Lifecycle",V$12:V$34)</f>
        <v>0</v>
      </c>
      <c r="W38" s="53" t="n">
        <f aca="false">SUMIF($E$12:$E$34,"Lifecycle",W$12:W$34)</f>
        <v>1400000</v>
      </c>
      <c r="X38" s="53" t="n">
        <f aca="false">SUMIF($E$12:$E$34,"Lifecycle",X$12:X$34)</f>
        <v>0</v>
      </c>
      <c r="Y38" s="53" t="n">
        <f aca="false">SUMIF($E$12:$E$34,"Lifecycle",Y$12:Y$34)</f>
        <v>0</v>
      </c>
      <c r="Z38" s="53" t="n">
        <f aca="false">SUMIF($E$12:$E$34,"Lifecycle",Z$12:Z$34)</f>
        <v>0</v>
      </c>
      <c r="AA38" s="53" t="n">
        <f aca="false">SUMIF($E$12:$E$34,"Lifecycle",AA$12:AA$34)</f>
        <v>820000</v>
      </c>
      <c r="AB38" s="53" t="n">
        <f aca="false">SUMIF($E$12:$E$34,"Lifecycle",AB$12:AB$34)</f>
        <v>950000</v>
      </c>
      <c r="AC38" s="53" t="n">
        <f aca="false">SUMIF($E$12:$E$34,"Lifecycle",AC$12:AC$34)</f>
        <v>0</v>
      </c>
      <c r="AD38" s="53" t="n">
        <f aca="false">SUMIF($E$12:$E$34,"Lifecycle",AD$12:AD$34)</f>
        <v>0</v>
      </c>
      <c r="AE38" s="53" t="n">
        <f aca="false">SUMIF($E$12:$E$34,"Lifecycle",AE$12:AE$34)</f>
        <v>0</v>
      </c>
      <c r="AF38" s="53" t="n">
        <f aca="false">SUMIF($E$12:$E$34,"Lifecycle",AF$12:AF$34)</f>
        <v>0</v>
      </c>
      <c r="AG38" s="53" t="n">
        <f aca="false">SUMIF($E$12:$E$34,"Lifecycle",AG$12:AG$34)</f>
        <v>1400000</v>
      </c>
      <c r="AH38" s="53" t="n">
        <f aca="false">SUMIF($E$12:$E$34,"Lifecycle",AH$12:AH$34)</f>
        <v>820000</v>
      </c>
      <c r="AI38" s="53" t="n">
        <f aca="false">SUMIF($E$12:$E$34,"Lifecycle",AI$12:AI$34)</f>
        <v>0</v>
      </c>
      <c r="AJ38" s="53" t="n">
        <f aca="false">SUMIF($E$12:$E$34,"Lifecycle",AJ$12:AJ$34)</f>
        <v>0</v>
      </c>
      <c r="AK38" s="53" t="n">
        <f aca="false">SUMIF($E$12:$E$34,"Lifecycle",AK$12:AK$34)</f>
        <v>0</v>
      </c>
      <c r="AL38" s="53" t="n">
        <f aca="false">SUMIF($E$12:$E$34,"Lifecycle",AL$12:AL$34)</f>
        <v>0</v>
      </c>
      <c r="AM38" s="53" t="n">
        <f aca="false">SUMIF($E$12:$E$34,"Lifecycle",AM$12:AM$34)</f>
        <v>0</v>
      </c>
      <c r="AN38" s="53" t="n">
        <f aca="false">SUMIF($E$12:$E$34,"Lifecycle",AN$12:AN$34)</f>
        <v>0</v>
      </c>
      <c r="AO38" s="53" t="n">
        <f aca="false">SUMIF($E$12:$E$34,"Lifecycle",AO$12:AO$34)</f>
        <v>820000</v>
      </c>
      <c r="AP38" s="53" t="n">
        <f aca="false">SUMIF($E$12:$E$34,"Lifecycle",AP$12:AP$34)</f>
        <v>1200000</v>
      </c>
      <c r="AQ38" s="53" t="n">
        <f aca="false">SUMIF($E$12:$E$34,"Lifecycle",AQ$12:AQ$34)</f>
        <v>2350000</v>
      </c>
      <c r="AR38" s="53" t="n">
        <f aca="false">SUMIF($E$12:$E$34,"Lifecycle",AR$12:AR$34)</f>
        <v>0</v>
      </c>
      <c r="AS38" s="53" t="n">
        <f aca="false">SUMIF($E$12:$E$34,"Lifecycle",AS$12:AS$34)</f>
        <v>0</v>
      </c>
      <c r="AT38" s="53" t="n">
        <f aca="false">SUMIF($E$12:$E$34,"Lifecycle",AT$12:AT$34)</f>
        <v>0</v>
      </c>
      <c r="AU38" s="53" t="n">
        <f aca="false">SUMIF($E$12:$E$34,"Lifecycle",AU$12:AU$34)</f>
        <v>0</v>
      </c>
      <c r="AV38" s="53" t="n">
        <f aca="false">SUMIF($E$12:$E$34,"Lifecycle",AV$12:AV$34)</f>
        <v>820000</v>
      </c>
      <c r="AW38" s="53" t="n">
        <f aca="false">SUMIF($E$12:$E$34,"Lifecycle",AW$12:AW$34)</f>
        <v>0</v>
      </c>
      <c r="AX38" s="53" t="n">
        <f aca="false">SUMIF($E$12:$E$34,"Lifecycle",AX$12:AX$34)</f>
        <v>0</v>
      </c>
      <c r="AY38" s="53" t="n">
        <f aca="false">SUMIF($E$12:$E$34,"Lifecycle",AY$12:AY$34)</f>
        <v>0</v>
      </c>
      <c r="AZ38" s="53" t="n">
        <f aca="false">SUMIF($E$12:$E$34,"Lifecycle",AZ$12:AZ$34)</f>
        <v>0</v>
      </c>
    </row>
    <row r="39" customFormat="false" ht="24" hidden="false" customHeight="true" outlineLevel="0" collapsed="false">
      <c r="B39" s="10" t="s">
        <v>344</v>
      </c>
      <c r="C39" s="54" t="s">
        <v>348</v>
      </c>
      <c r="D39" s="54"/>
      <c r="E39" s="54"/>
      <c r="F39" s="54"/>
      <c r="G39" s="54"/>
      <c r="H39" s="54"/>
      <c r="I39" s="54"/>
      <c r="J39" s="54"/>
      <c r="K39" s="54"/>
      <c r="L39" s="55" t="n">
        <f aca="false">SUM(M39:AZ39)</f>
        <v>220630800</v>
      </c>
      <c r="M39" s="56" t="n">
        <f aca="false">SUM(M$12:M$34)</f>
        <v>9045266.66666667</v>
      </c>
      <c r="N39" s="56" t="n">
        <f aca="false">SUM(N$12:N$34)</f>
        <v>18420266.6666667</v>
      </c>
      <c r="O39" s="56" t="n">
        <f aca="false">SUM(O$12:O$34)</f>
        <v>23035266.6666667</v>
      </c>
      <c r="P39" s="56" t="n">
        <f aca="false">SUM(P$12:P$34)</f>
        <v>4290000</v>
      </c>
      <c r="Q39" s="56" t="n">
        <f aca="false">SUM(Q$12:Q$34)</f>
        <v>4290000</v>
      </c>
      <c r="R39" s="56" t="n">
        <f aca="false">SUM(R$12:R$34)</f>
        <v>4290000</v>
      </c>
      <c r="S39" s="56" t="n">
        <f aca="false">SUM(S$12:S$34)</f>
        <v>4290000</v>
      </c>
      <c r="T39" s="56" t="n">
        <f aca="false">SUM(T$12:T$34)</f>
        <v>5110000</v>
      </c>
      <c r="U39" s="56" t="n">
        <f aca="false">SUM(U$12:U$34)</f>
        <v>4290000</v>
      </c>
      <c r="V39" s="56" t="n">
        <f aca="false">SUM(V$12:V$34)</f>
        <v>4290000</v>
      </c>
      <c r="W39" s="56" t="n">
        <f aca="false">SUM(W$12:W$34)</f>
        <v>5690000</v>
      </c>
      <c r="X39" s="56" t="n">
        <f aca="false">SUM(X$12:X$34)</f>
        <v>4290000</v>
      </c>
      <c r="Y39" s="56" t="n">
        <f aca="false">SUM(Y$12:Y$34)</f>
        <v>4290000</v>
      </c>
      <c r="Z39" s="56" t="n">
        <f aca="false">SUM(Z$12:Z$34)</f>
        <v>4290000</v>
      </c>
      <c r="AA39" s="56" t="n">
        <f aca="false">SUM(AA$12:AA$34)</f>
        <v>5110000</v>
      </c>
      <c r="AB39" s="56" t="n">
        <f aca="false">SUM(AB$12:AB$34)</f>
        <v>5240000</v>
      </c>
      <c r="AC39" s="56" t="n">
        <f aca="false">SUM(AC$12:AC$34)</f>
        <v>4290000</v>
      </c>
      <c r="AD39" s="56" t="n">
        <f aca="false">SUM(AD$12:AD$34)</f>
        <v>4290000</v>
      </c>
      <c r="AE39" s="56" t="n">
        <f aca="false">SUM(AE$12:AE$34)</f>
        <v>4290000</v>
      </c>
      <c r="AF39" s="56" t="n">
        <f aca="false">SUM(AF$12:AF$34)</f>
        <v>4290000</v>
      </c>
      <c r="AG39" s="56" t="n">
        <f aca="false">SUM(AG$12:AG$34)</f>
        <v>5690000</v>
      </c>
      <c r="AH39" s="56" t="n">
        <f aca="false">SUM(AH$12:AH$34)</f>
        <v>5110000</v>
      </c>
      <c r="AI39" s="56" t="n">
        <f aca="false">SUM(AI$12:AI$34)</f>
        <v>4290000</v>
      </c>
      <c r="AJ39" s="56" t="n">
        <f aca="false">SUM(AJ$12:AJ$34)</f>
        <v>4290000</v>
      </c>
      <c r="AK39" s="56" t="n">
        <f aca="false">SUM(AK$12:AK$34)</f>
        <v>4290000</v>
      </c>
      <c r="AL39" s="56" t="n">
        <f aca="false">SUM(AL$12:AL$34)</f>
        <v>4290000</v>
      </c>
      <c r="AM39" s="56" t="n">
        <f aca="false">SUM(AM$12:AM$34)</f>
        <v>4290000</v>
      </c>
      <c r="AN39" s="56" t="n">
        <f aca="false">SUM(AN$12:AN$34)</f>
        <v>4290000</v>
      </c>
      <c r="AO39" s="56" t="n">
        <f aca="false">SUM(AO$12:AO$34)</f>
        <v>5110000</v>
      </c>
      <c r="AP39" s="56" t="n">
        <f aca="false">SUM(AP$12:AP$34)</f>
        <v>5490000</v>
      </c>
      <c r="AQ39" s="56" t="n">
        <f aca="false">SUM(AQ$12:AQ$34)</f>
        <v>6640000</v>
      </c>
      <c r="AR39" s="56" t="n">
        <f aca="false">SUM(AR$12:AR$34)</f>
        <v>4290000</v>
      </c>
      <c r="AS39" s="56" t="n">
        <f aca="false">SUM(AS$12:AS$34)</f>
        <v>4290000</v>
      </c>
      <c r="AT39" s="56" t="n">
        <f aca="false">SUM(AT$12:AT$34)</f>
        <v>4290000</v>
      </c>
      <c r="AU39" s="56" t="n">
        <f aca="false">SUM(AU$12:AU$34)</f>
        <v>4290000</v>
      </c>
      <c r="AV39" s="56" t="n">
        <f aca="false">SUM(AV$12:AV$34)</f>
        <v>5110000</v>
      </c>
      <c r="AW39" s="56" t="n">
        <f aca="false">SUM(AW$12:AW$34)</f>
        <v>4290000</v>
      </c>
      <c r="AX39" s="56" t="n">
        <f aca="false">SUM(AX$12:AX$34)</f>
        <v>4290000</v>
      </c>
      <c r="AY39" s="56" t="n">
        <f aca="false">SUM(AY$12:AY$34)</f>
        <v>4290000</v>
      </c>
      <c r="AZ39" s="56" t="n">
        <f aca="false">SUM(AZ$12:AZ$34)</f>
        <v>4290000</v>
      </c>
    </row>
    <row r="41" customFormat="false" ht="24" hidden="false" customHeight="true" outlineLevel="0" collapsed="false">
      <c r="B41" s="5" t="s">
        <v>349</v>
      </c>
      <c r="C41" s="6"/>
      <c r="D41" s="6"/>
      <c r="E41" s="6"/>
      <c r="F41" s="6"/>
      <c r="G41" s="6"/>
      <c r="H41" s="6"/>
      <c r="I41" s="6"/>
      <c r="J41" s="6"/>
      <c r="K41" s="6"/>
      <c r="L41" s="6"/>
    </row>
    <row r="42" customFormat="false" ht="30" hidden="false" customHeight="true" outlineLevel="0" collapsed="false">
      <c r="B42" s="9" t="s">
        <v>243</v>
      </c>
      <c r="C42" s="9" t="s">
        <v>244</v>
      </c>
      <c r="D42" s="9"/>
      <c r="E42" s="9"/>
      <c r="F42" s="9"/>
      <c r="G42" s="9"/>
      <c r="H42" s="9"/>
      <c r="I42" s="9"/>
      <c r="J42" s="9"/>
      <c r="K42" s="9"/>
      <c r="L42" s="9" t="s">
        <v>253</v>
      </c>
    </row>
    <row r="43" customFormat="false" ht="19.5" hidden="false" customHeight="true" outlineLevel="0" collapsed="false">
      <c r="B43" s="25" t="s">
        <v>350</v>
      </c>
      <c r="C43" s="57" t="s">
        <v>255</v>
      </c>
      <c r="D43" s="57"/>
      <c r="E43" s="57"/>
      <c r="F43" s="57"/>
      <c r="G43" s="57"/>
      <c r="H43" s="57"/>
      <c r="I43" s="57"/>
      <c r="J43" s="57"/>
      <c r="K43" s="57"/>
      <c r="L43" s="52" t="n">
        <f aca="false">SUMIF($C$12:$C$34,$C43,$L$12:$L$34)</f>
        <v>4350000</v>
      </c>
    </row>
    <row r="44" customFormat="false" ht="19.5" hidden="false" customHeight="true" outlineLevel="0" collapsed="false">
      <c r="B44" s="25" t="s">
        <v>351</v>
      </c>
      <c r="C44" s="57" t="s">
        <v>266</v>
      </c>
      <c r="D44" s="57"/>
      <c r="E44" s="57"/>
      <c r="F44" s="57"/>
      <c r="G44" s="57"/>
      <c r="H44" s="57"/>
      <c r="I44" s="57"/>
      <c r="J44" s="57"/>
      <c r="K44" s="57"/>
      <c r="L44" s="52" t="n">
        <f aca="false">SUMIF($C$12:$C$34,$C44,$L$12:$L$34)</f>
        <v>4240000</v>
      </c>
    </row>
    <row r="45" customFormat="false" ht="19.5" hidden="false" customHeight="true" outlineLevel="0" collapsed="false">
      <c r="B45" s="25" t="s">
        <v>352</v>
      </c>
      <c r="C45" s="57" t="s">
        <v>274</v>
      </c>
      <c r="D45" s="57"/>
      <c r="E45" s="57"/>
      <c r="F45" s="57"/>
      <c r="G45" s="57"/>
      <c r="H45" s="57"/>
      <c r="I45" s="57"/>
      <c r="J45" s="57"/>
      <c r="K45" s="57"/>
      <c r="L45" s="52" t="n">
        <f aca="false">SUMIF($C$12:$C$34,$C45,$L$12:$L$34)</f>
        <v>29850000</v>
      </c>
    </row>
    <row r="46" customFormat="false" ht="19.5" hidden="false" customHeight="true" outlineLevel="0" collapsed="false">
      <c r="B46" s="25" t="s">
        <v>353</v>
      </c>
      <c r="C46" s="57" t="s">
        <v>283</v>
      </c>
      <c r="D46" s="57"/>
      <c r="E46" s="57"/>
      <c r="F46" s="57"/>
      <c r="G46" s="57"/>
      <c r="H46" s="57"/>
      <c r="I46" s="57"/>
      <c r="J46" s="57"/>
      <c r="K46" s="57"/>
      <c r="L46" s="52" t="n">
        <f aca="false">SUMIF($C$12:$C$34,$C46,$L$12:$L$34)</f>
        <v>1970000</v>
      </c>
    </row>
    <row r="47" customFormat="false" ht="19.5" hidden="false" customHeight="true" outlineLevel="0" collapsed="false">
      <c r="B47" s="25" t="s">
        <v>354</v>
      </c>
      <c r="C47" s="57" t="s">
        <v>290</v>
      </c>
      <c r="D47" s="57"/>
      <c r="E47" s="57"/>
      <c r="F47" s="57"/>
      <c r="G47" s="57"/>
      <c r="H47" s="57"/>
      <c r="I47" s="57"/>
      <c r="J47" s="57"/>
      <c r="K47" s="57"/>
      <c r="L47" s="52" t="n">
        <f aca="false">SUMIF($C$12:$C$34,$C47,$L$12:$L$34)</f>
        <v>7100000</v>
      </c>
    </row>
    <row r="48" customFormat="false" ht="19.5" hidden="false" customHeight="true" outlineLevel="0" collapsed="false">
      <c r="B48" s="25" t="s">
        <v>355</v>
      </c>
      <c r="C48" s="57" t="s">
        <v>297</v>
      </c>
      <c r="D48" s="57"/>
      <c r="E48" s="57"/>
      <c r="F48" s="57"/>
      <c r="G48" s="57"/>
      <c r="H48" s="57"/>
      <c r="I48" s="57"/>
      <c r="J48" s="57"/>
      <c r="K48" s="57"/>
      <c r="L48" s="52" t="n">
        <f aca="false">SUMIF($C$12:$C$34,$C48,$L$12:$L$34)</f>
        <v>1680000</v>
      </c>
    </row>
    <row r="49" customFormat="false" ht="19.5" hidden="false" customHeight="true" outlineLevel="0" collapsed="false">
      <c r="B49" s="25" t="s">
        <v>356</v>
      </c>
      <c r="C49" s="57" t="s">
        <v>304</v>
      </c>
      <c r="D49" s="57"/>
      <c r="E49" s="57"/>
      <c r="F49" s="57"/>
      <c r="G49" s="57"/>
      <c r="H49" s="57"/>
      <c r="I49" s="57"/>
      <c r="J49" s="57"/>
      <c r="K49" s="57"/>
      <c r="L49" s="52" t="n">
        <f aca="false">SUMIF($C$12:$C$34,$C49,$L$12:$L$34)</f>
        <v>5410800</v>
      </c>
    </row>
    <row r="50" customFormat="false" ht="19.5" hidden="false" customHeight="true" outlineLevel="0" collapsed="false">
      <c r="B50" s="25" t="s">
        <v>357</v>
      </c>
      <c r="C50" s="57" t="s">
        <v>308</v>
      </c>
      <c r="D50" s="57"/>
      <c r="E50" s="57"/>
      <c r="F50" s="57"/>
      <c r="G50" s="57"/>
      <c r="H50" s="57"/>
      <c r="I50" s="57"/>
      <c r="J50" s="57"/>
      <c r="K50" s="57"/>
      <c r="L50" s="52" t="n">
        <f aca="false">SUMIF($C$12:$C$34,$C50,$L$12:$L$34)</f>
        <v>55130000</v>
      </c>
    </row>
    <row r="51" customFormat="false" ht="19.5" hidden="false" customHeight="true" outlineLevel="0" collapsed="false">
      <c r="B51" s="25" t="s">
        <v>358</v>
      </c>
      <c r="C51" s="57" t="s">
        <v>314</v>
      </c>
      <c r="D51" s="57"/>
      <c r="E51" s="57"/>
      <c r="F51" s="57"/>
      <c r="G51" s="57"/>
      <c r="H51" s="57"/>
      <c r="I51" s="57"/>
      <c r="J51" s="57"/>
      <c r="K51" s="57"/>
      <c r="L51" s="52" t="n">
        <f aca="false">SUMIF($C$12:$C$34,$C51,$L$12:$L$34)</f>
        <v>68450000</v>
      </c>
    </row>
    <row r="52" customFormat="false" ht="19.5" hidden="false" customHeight="true" outlineLevel="0" collapsed="false">
      <c r="B52" s="25" t="s">
        <v>359</v>
      </c>
      <c r="C52" s="57" t="s">
        <v>318</v>
      </c>
      <c r="D52" s="57"/>
      <c r="E52" s="57"/>
      <c r="F52" s="57"/>
      <c r="G52" s="57"/>
      <c r="H52" s="57"/>
      <c r="I52" s="57"/>
      <c r="J52" s="57"/>
      <c r="K52" s="57"/>
      <c r="L52" s="52" t="n">
        <f aca="false">SUMIF($C$12:$C$34,$C52,$L$12:$L$34)</f>
        <v>19240000</v>
      </c>
    </row>
    <row r="53" customFormat="false" ht="19.5" hidden="false" customHeight="true" outlineLevel="0" collapsed="false">
      <c r="B53" s="25" t="s">
        <v>360</v>
      </c>
      <c r="C53" s="57" t="s">
        <v>322</v>
      </c>
      <c r="D53" s="57"/>
      <c r="E53" s="57"/>
      <c r="F53" s="57"/>
      <c r="G53" s="57"/>
      <c r="H53" s="57"/>
      <c r="I53" s="57"/>
      <c r="J53" s="57"/>
      <c r="K53" s="57"/>
      <c r="L53" s="52" t="n">
        <f aca="false">SUMIF($C$12:$C$34,$C53,$L$12:$L$34)</f>
        <v>15910000</v>
      </c>
    </row>
    <row r="54" customFormat="false" ht="19.5" hidden="false" customHeight="true" outlineLevel="0" collapsed="false">
      <c r="B54" s="25" t="s">
        <v>361</v>
      </c>
      <c r="C54" s="57" t="s">
        <v>329</v>
      </c>
      <c r="D54" s="57"/>
      <c r="E54" s="57"/>
      <c r="F54" s="57"/>
      <c r="G54" s="57"/>
      <c r="H54" s="57"/>
      <c r="I54" s="57"/>
      <c r="J54" s="57"/>
      <c r="K54" s="57"/>
      <c r="L54" s="52" t="n">
        <f aca="false">SUMIF($C$12:$C$34,$C54,$L$12:$L$34)</f>
        <v>6100000</v>
      </c>
    </row>
    <row r="55" customFormat="false" ht="19.5" hidden="false" customHeight="true" outlineLevel="0" collapsed="false">
      <c r="B55" s="25" t="s">
        <v>362</v>
      </c>
      <c r="C55" s="57" t="s">
        <v>341</v>
      </c>
      <c r="D55" s="57"/>
      <c r="E55" s="57"/>
      <c r="F55" s="57"/>
      <c r="G55" s="57"/>
      <c r="H55" s="57"/>
      <c r="I55" s="57"/>
      <c r="J55" s="57"/>
      <c r="K55" s="57"/>
      <c r="L55" s="52" t="n">
        <f aca="false">SUMIF($C$12:$C$34,$C55,$L$12:$L$34)</f>
        <v>1200000</v>
      </c>
    </row>
    <row r="56" customFormat="false" ht="21.75" hidden="false" customHeight="true" outlineLevel="0" collapsed="false">
      <c r="B56" s="10" t="s">
        <v>344</v>
      </c>
      <c r="C56" s="38" t="s">
        <v>363</v>
      </c>
      <c r="D56" s="38"/>
      <c r="E56" s="38"/>
      <c r="F56" s="38"/>
      <c r="G56" s="38"/>
      <c r="H56" s="38"/>
      <c r="I56" s="38"/>
      <c r="J56" s="38"/>
      <c r="K56" s="38"/>
      <c r="L56" s="52" t="n">
        <f aca="false">SUM($L$43:$L$55)</f>
        <v>220630800</v>
      </c>
    </row>
    <row r="58" customFormat="false" ht="30" hidden="false" customHeight="true" outlineLevel="0" collapsed="false">
      <c r="B58" s="39" t="s">
        <v>364</v>
      </c>
      <c r="C58" s="39"/>
      <c r="D58" s="39"/>
      <c r="E58" s="39"/>
      <c r="F58" s="39"/>
      <c r="G58" s="39"/>
      <c r="H58" s="39"/>
      <c r="I58" s="39"/>
      <c r="J58" s="39"/>
      <c r="K58" s="39"/>
      <c r="L58" s="39"/>
    </row>
  </sheetData>
  <mergeCells count="21">
    <mergeCell ref="B7:L7"/>
    <mergeCell ref="H9:L9"/>
    <mergeCell ref="C36:K36"/>
    <mergeCell ref="C37:K37"/>
    <mergeCell ref="C38:K38"/>
    <mergeCell ref="C39:K39"/>
    <mergeCell ref="C43:K43"/>
    <mergeCell ref="C44:K44"/>
    <mergeCell ref="C45:K45"/>
    <mergeCell ref="C46:K46"/>
    <mergeCell ref="C47:K47"/>
    <mergeCell ref="C48:K48"/>
    <mergeCell ref="C49:K49"/>
    <mergeCell ref="C50:K50"/>
    <mergeCell ref="C51:K51"/>
    <mergeCell ref="C52:K52"/>
    <mergeCell ref="C53:K53"/>
    <mergeCell ref="C54:K54"/>
    <mergeCell ref="C55:K55"/>
    <mergeCell ref="C56:K56"/>
    <mergeCell ref="B58:L58"/>
  </mergeCells>
  <dataValidations count="3">
    <dataValidation allowBlank="true" errorStyle="stop" operator="between" showDropDown="false" showErrorMessage="false" showInputMessage="false" sqref="E12:E54" type="list">
      <formula1>Lists!$B$9:$B$11</formula1>
      <formula2>0</formula2>
    </dataValidation>
    <dataValidation allowBlank="true" errorStyle="stop" operator="between" showDropDown="false" showErrorMessage="false" showInputMessage="false" sqref="F12:F54" type="list">
      <formula1>Lists!$C$9:$C$11</formula1>
      <formula2>0</formula2>
    </dataValidation>
    <dataValidation allowBlank="true" errorStyle="stop" operator="between" showDropDown="false" showErrorMessage="false" showInputMessage="false" sqref="K12:K54" type="list">
      <formula1>Lists!$E$9:$E$11</formula1>
      <formula2>0</formula2>
    </dataValidation>
  </dataValidations>
  <printOptions headings="false" gridLines="false" gridLinesSet="true" horizontalCentered="true" verticalCentered="false"/>
  <pageMargins left="0.4" right="0.4" top="0.5" bottom="0.5" header="0.511811023622047" footer="0.5"/>
  <pageSetup paperSize="8" scale="100" fitToWidth="3" fitToHeight="0" pageOrder="downThenOver" orientation="landscape" blackAndWhite="false" draft="false" cellComments="none" horizontalDpi="300" verticalDpi="300" copies="1"/>
  <headerFooter differentFirst="false" differentOddEven="false">
    <oddHeader/>
    <oddFooter>&amp;L&amp;8 &amp;K8e98a2Template by Mastt  ·  mastt.com&amp;R&amp;8 &amp;K8e98a2Page &amp;P of &amp;N</oddFooter>
  </headerFooter>
  <drawing r:id="rId1"/>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tabColor rgb="FF0D3C61"/>
    <pageSetUpPr fitToPage="true"/>
  </sheetPr>
  <dimension ref="A1:AZ41"/>
  <sheetViews>
    <sheetView showFormulas="false" showGridLines="false" showRowColHeaders="true" showZeros="true" rightToLeft="false" tabSelected="false" showOutlineSymbols="true" defaultGridColor="true" view="normal" topLeftCell="A1" colorId="64" zoomScale="100" zoomScaleNormal="100" zoomScalePageLayoutView="100" workbookViewId="0">
      <pane xSplit="4" ySplit="14" topLeftCell="E15" activePane="bottomRight" state="frozen"/>
      <selection pane="topLeft" activeCell="A1" activeCellId="0" sqref="A1"/>
      <selection pane="topRight" activeCell="E1" activeCellId="0" sqref="E1"/>
      <selection pane="bottomLeft" activeCell="A15" activeCellId="0" sqref="A15"/>
      <selection pane="bottomRight" activeCell="A1" activeCellId="0" sqref="A1"/>
    </sheetView>
  </sheetViews>
  <sheetFormatPr defaultColWidth="8.6796875" defaultRowHeight="15" zeroHeight="false" outlineLevelRow="0" outlineLevelCol="0"/>
  <cols>
    <col collapsed="false" customWidth="true" hidden="false" outlineLevel="0" max="1" min="1" style="1" width="3"/>
    <col collapsed="false" customWidth="true" hidden="false" outlineLevel="0" max="2" min="2" style="1" width="8"/>
    <col collapsed="false" customWidth="true" hidden="false" outlineLevel="0" max="3" min="3" style="1" width="24"/>
    <col collapsed="false" customWidth="true" hidden="false" outlineLevel="0" max="4" min="4" style="1" width="40"/>
    <col collapsed="false" customWidth="true" hidden="false" outlineLevel="0" max="5" min="5" style="1" width="11"/>
    <col collapsed="false" customWidth="true" hidden="false" outlineLevel="0" max="6" min="6" style="1" width="15"/>
    <col collapsed="false" customWidth="true" hidden="false" outlineLevel="0" max="7" min="7" style="1" width="9"/>
    <col collapsed="false" customWidth="true" hidden="false" outlineLevel="0" max="8" min="8" style="1" width="10"/>
    <col collapsed="false" customWidth="true" hidden="false" outlineLevel="0" max="9" min="9" style="1" width="30"/>
    <col collapsed="false" customWidth="true" hidden="false" outlineLevel="0" max="10" min="10" style="1" width="28"/>
    <col collapsed="false" customWidth="true" hidden="false" outlineLevel="0" max="11" min="11" style="1" width="12"/>
    <col collapsed="false" customWidth="true" hidden="false" outlineLevel="0" max="12" min="12" style="1" width="16"/>
    <col collapsed="false" customWidth="true" hidden="false" outlineLevel="0" max="52" min="13" style="1" width="12"/>
  </cols>
  <sheetData>
    <row r="1" customFormat="false" ht="9.75" hidden="false" customHeight="true" outlineLevel="0" collapsed="false">
      <c r="A1" s="2"/>
      <c r="B1" s="2"/>
      <c r="C1" s="2"/>
      <c r="D1" s="2"/>
      <c r="E1" s="2"/>
      <c r="F1" s="2"/>
      <c r="G1" s="2"/>
      <c r="H1" s="2"/>
      <c r="I1" s="2"/>
      <c r="J1" s="2"/>
      <c r="K1" s="2"/>
      <c r="L1" s="2"/>
      <c r="M1" s="2"/>
      <c r="N1" s="2"/>
      <c r="O1" s="2"/>
      <c r="P1" s="2"/>
      <c r="Q1" s="2"/>
      <c r="R1" s="2"/>
      <c r="S1" s="2"/>
      <c r="T1" s="2"/>
      <c r="U1" s="2"/>
      <c r="V1" s="2"/>
      <c r="W1" s="2"/>
      <c r="X1" s="2"/>
      <c r="Y1" s="2"/>
      <c r="Z1" s="2"/>
      <c r="AA1" s="2"/>
      <c r="AB1" s="2"/>
      <c r="AC1" s="2"/>
      <c r="AD1" s="2"/>
      <c r="AE1" s="2"/>
      <c r="AF1" s="2"/>
      <c r="AG1" s="2"/>
      <c r="AH1" s="2"/>
      <c r="AI1" s="2"/>
      <c r="AJ1" s="2"/>
      <c r="AK1" s="2"/>
      <c r="AL1" s="2"/>
      <c r="AM1" s="2"/>
      <c r="AN1" s="2"/>
      <c r="AO1" s="2"/>
      <c r="AP1" s="2"/>
      <c r="AQ1" s="2"/>
      <c r="AR1" s="2"/>
      <c r="AS1" s="2"/>
      <c r="AT1" s="2"/>
      <c r="AU1" s="2"/>
      <c r="AV1" s="2"/>
      <c r="AW1" s="2"/>
      <c r="AX1" s="2"/>
      <c r="AY1" s="2"/>
      <c r="AZ1" s="2"/>
    </row>
    <row r="2" customFormat="false" ht="33.75" hidden="false" customHeight="true" outlineLevel="0" collapsed="false">
      <c r="A2" s="2"/>
      <c r="B2" s="2"/>
      <c r="C2" s="2"/>
      <c r="D2" s="2"/>
      <c r="E2" s="2"/>
      <c r="F2" s="2"/>
      <c r="G2" s="2"/>
      <c r="H2" s="2"/>
      <c r="I2" s="2"/>
      <c r="J2" s="2"/>
      <c r="K2" s="2"/>
      <c r="L2" s="2"/>
      <c r="M2" s="2"/>
      <c r="N2" s="2"/>
      <c r="O2" s="2"/>
      <c r="P2" s="2"/>
      <c r="Q2" s="2"/>
      <c r="R2" s="2"/>
      <c r="S2" s="2"/>
      <c r="T2" s="2"/>
      <c r="U2" s="2"/>
      <c r="V2" s="2"/>
      <c r="W2" s="2"/>
      <c r="X2" s="2"/>
      <c r="Y2" s="2"/>
      <c r="Z2" s="2"/>
      <c r="AA2" s="2"/>
      <c r="AB2" s="2"/>
      <c r="AC2" s="2"/>
      <c r="AD2" s="2"/>
      <c r="AE2" s="2"/>
      <c r="AF2" s="2"/>
      <c r="AG2" s="2"/>
      <c r="AH2" s="2"/>
      <c r="AI2" s="2"/>
      <c r="AJ2" s="2"/>
      <c r="AK2" s="2"/>
      <c r="AL2" s="2"/>
      <c r="AM2" s="2"/>
      <c r="AN2" s="2"/>
      <c r="AO2" s="2"/>
      <c r="AP2" s="2"/>
      <c r="AQ2" s="2"/>
      <c r="AR2" s="2"/>
      <c r="AS2" s="2"/>
      <c r="AT2" s="2"/>
      <c r="AU2" s="2"/>
      <c r="AV2" s="2"/>
      <c r="AW2" s="2"/>
      <c r="AX2" s="2"/>
      <c r="AY2" s="2"/>
      <c r="AZ2" s="2"/>
    </row>
    <row r="3" customFormat="false" ht="7.5" hidden="false" customHeight="true" outlineLevel="0" collapsed="false">
      <c r="A3" s="2"/>
      <c r="B3" s="2"/>
      <c r="C3" s="2"/>
      <c r="D3" s="2"/>
      <c r="E3" s="2"/>
      <c r="F3" s="2"/>
      <c r="G3" s="2"/>
      <c r="H3" s="2"/>
      <c r="I3" s="2"/>
      <c r="J3" s="2"/>
      <c r="K3" s="2"/>
      <c r="L3" s="2"/>
      <c r="M3" s="2"/>
      <c r="N3" s="2"/>
      <c r="O3" s="2"/>
      <c r="P3" s="2"/>
      <c r="Q3" s="2"/>
      <c r="R3" s="2"/>
      <c r="S3" s="2"/>
      <c r="T3" s="2"/>
      <c r="U3" s="2"/>
      <c r="V3" s="2"/>
      <c r="W3" s="2"/>
      <c r="X3" s="2"/>
      <c r="Y3" s="2"/>
      <c r="Z3" s="2"/>
      <c r="AA3" s="2"/>
      <c r="AB3" s="2"/>
      <c r="AC3" s="2"/>
      <c r="AD3" s="2"/>
      <c r="AE3" s="2"/>
      <c r="AF3" s="2"/>
      <c r="AG3" s="2"/>
      <c r="AH3" s="2"/>
      <c r="AI3" s="2"/>
      <c r="AJ3" s="2"/>
      <c r="AK3" s="2"/>
      <c r="AL3" s="2"/>
      <c r="AM3" s="2"/>
      <c r="AN3" s="2"/>
      <c r="AO3" s="2"/>
      <c r="AP3" s="2"/>
      <c r="AQ3" s="2"/>
      <c r="AR3" s="2"/>
      <c r="AS3" s="2"/>
      <c r="AT3" s="2"/>
      <c r="AU3" s="2"/>
      <c r="AV3" s="2"/>
      <c r="AW3" s="2"/>
      <c r="AX3" s="2"/>
      <c r="AY3" s="2"/>
      <c r="AZ3" s="2"/>
    </row>
    <row r="4" customFormat="false" ht="30" hidden="false" customHeight="true" outlineLevel="0" collapsed="false">
      <c r="A4" s="2"/>
      <c r="B4" s="3" t="s">
        <v>65</v>
      </c>
      <c r="C4" s="2"/>
      <c r="D4" s="2"/>
      <c r="E4" s="2"/>
      <c r="F4" s="2"/>
      <c r="G4" s="2"/>
      <c r="H4" s="2"/>
      <c r="I4" s="2"/>
      <c r="J4" s="2"/>
      <c r="K4" s="2"/>
      <c r="L4" s="2"/>
      <c r="M4" s="2"/>
      <c r="N4" s="2"/>
      <c r="O4" s="2"/>
      <c r="P4" s="2"/>
      <c r="Q4" s="2"/>
      <c r="R4" s="2"/>
      <c r="S4" s="2"/>
      <c r="T4" s="2"/>
      <c r="U4" s="2"/>
      <c r="V4" s="2"/>
      <c r="W4" s="2"/>
      <c r="X4" s="2"/>
      <c r="Y4" s="2"/>
      <c r="Z4" s="2"/>
      <c r="AA4" s="2"/>
      <c r="AB4" s="2"/>
      <c r="AC4" s="2"/>
      <c r="AD4" s="2"/>
      <c r="AE4" s="2"/>
      <c r="AF4" s="2"/>
      <c r="AG4" s="2"/>
      <c r="AH4" s="2"/>
      <c r="AI4" s="2"/>
      <c r="AJ4" s="2"/>
      <c r="AK4" s="2"/>
      <c r="AL4" s="2"/>
      <c r="AM4" s="2"/>
      <c r="AN4" s="2"/>
      <c r="AO4" s="2"/>
      <c r="AP4" s="2"/>
      <c r="AQ4" s="2"/>
      <c r="AR4" s="2"/>
      <c r="AS4" s="2"/>
      <c r="AT4" s="2"/>
      <c r="AU4" s="2"/>
      <c r="AV4" s="2"/>
      <c r="AW4" s="2"/>
      <c r="AX4" s="2"/>
      <c r="AY4" s="2"/>
      <c r="AZ4" s="2"/>
    </row>
    <row r="5" customFormat="false" ht="21.75" hidden="false" customHeight="true" outlineLevel="0" collapsed="false">
      <c r="A5" s="2"/>
      <c r="B5" s="4" t="s">
        <v>365</v>
      </c>
      <c r="C5" s="2"/>
      <c r="D5" s="2"/>
      <c r="E5" s="2"/>
      <c r="F5" s="2"/>
      <c r="G5" s="2"/>
      <c r="H5" s="2"/>
      <c r="I5" s="2"/>
      <c r="J5" s="2"/>
      <c r="K5" s="2"/>
      <c r="L5" s="2"/>
      <c r="M5" s="2"/>
      <c r="N5" s="2"/>
      <c r="O5" s="2"/>
      <c r="P5" s="2"/>
      <c r="Q5" s="2"/>
      <c r="R5" s="2"/>
      <c r="S5" s="2"/>
      <c r="T5" s="2"/>
      <c r="U5" s="2"/>
      <c r="V5" s="2"/>
      <c r="W5" s="2"/>
      <c r="X5" s="2"/>
      <c r="Y5" s="2"/>
      <c r="Z5" s="2"/>
      <c r="AA5" s="2"/>
      <c r="AB5" s="2"/>
      <c r="AC5" s="2"/>
      <c r="AD5" s="2"/>
      <c r="AE5" s="2"/>
      <c r="AF5" s="2"/>
      <c r="AG5" s="2"/>
      <c r="AH5" s="2"/>
      <c r="AI5" s="2"/>
      <c r="AJ5" s="2"/>
      <c r="AK5" s="2"/>
      <c r="AL5" s="2"/>
      <c r="AM5" s="2"/>
      <c r="AN5" s="2"/>
      <c r="AO5" s="2"/>
      <c r="AP5" s="2"/>
      <c r="AQ5" s="2"/>
      <c r="AR5" s="2"/>
      <c r="AS5" s="2"/>
      <c r="AT5" s="2"/>
      <c r="AU5" s="2"/>
      <c r="AV5" s="2"/>
      <c r="AW5" s="2"/>
      <c r="AX5" s="2"/>
      <c r="AY5" s="2"/>
      <c r="AZ5" s="2"/>
    </row>
    <row r="6" customFormat="false" ht="7.5" hidden="false" customHeight="true" outlineLevel="0" collapsed="false"/>
    <row r="7" customFormat="false" ht="30" hidden="false" customHeight="true" outlineLevel="0" collapsed="false">
      <c r="B7" s="23" t="s">
        <v>148</v>
      </c>
      <c r="C7" s="23"/>
      <c r="D7" s="23"/>
      <c r="E7" s="23"/>
      <c r="F7" s="23"/>
      <c r="G7" s="23"/>
      <c r="H7" s="23"/>
      <c r="I7" s="23"/>
      <c r="J7" s="23"/>
      <c r="K7" s="23"/>
      <c r="L7" s="23"/>
    </row>
    <row r="9" customFormat="false" ht="24" hidden="false" customHeight="true" outlineLevel="0" collapsed="false">
      <c r="B9" s="5" t="s">
        <v>366</v>
      </c>
      <c r="C9" s="6"/>
      <c r="D9" s="6"/>
      <c r="E9" s="6"/>
      <c r="F9" s="6"/>
      <c r="G9" s="6"/>
      <c r="H9" s="40" t="s">
        <v>367</v>
      </c>
      <c r="I9" s="40"/>
      <c r="J9" s="40"/>
      <c r="K9" s="40"/>
      <c r="L9" s="40"/>
    </row>
    <row r="10" customFormat="false" ht="18" hidden="false" customHeight="true" outlineLevel="0" collapsed="false">
      <c r="L10" s="41" t="s">
        <v>242</v>
      </c>
      <c r="M10" s="42" t="n">
        <v>0</v>
      </c>
      <c r="N10" s="42" t="n">
        <f aca="false">M10+1</f>
        <v>1</v>
      </c>
      <c r="O10" s="42" t="n">
        <f aca="false">N10+1</f>
        <v>2</v>
      </c>
      <c r="P10" s="42" t="n">
        <f aca="false">O10+1</f>
        <v>3</v>
      </c>
      <c r="Q10" s="42" t="n">
        <f aca="false">P10+1</f>
        <v>4</v>
      </c>
      <c r="R10" s="42" t="n">
        <f aca="false">Q10+1</f>
        <v>5</v>
      </c>
      <c r="S10" s="42" t="n">
        <f aca="false">R10+1</f>
        <v>6</v>
      </c>
      <c r="T10" s="42" t="n">
        <f aca="false">S10+1</f>
        <v>7</v>
      </c>
      <c r="U10" s="42" t="n">
        <f aca="false">T10+1</f>
        <v>8</v>
      </c>
      <c r="V10" s="42" t="n">
        <f aca="false">U10+1</f>
        <v>9</v>
      </c>
      <c r="W10" s="42" t="n">
        <f aca="false">V10+1</f>
        <v>10</v>
      </c>
      <c r="X10" s="42" t="n">
        <f aca="false">W10+1</f>
        <v>11</v>
      </c>
      <c r="Y10" s="42" t="n">
        <f aca="false">X10+1</f>
        <v>12</v>
      </c>
      <c r="Z10" s="42" t="n">
        <f aca="false">Y10+1</f>
        <v>13</v>
      </c>
      <c r="AA10" s="42" t="n">
        <f aca="false">Z10+1</f>
        <v>14</v>
      </c>
      <c r="AB10" s="42" t="n">
        <f aca="false">AA10+1</f>
        <v>15</v>
      </c>
      <c r="AC10" s="42" t="n">
        <f aca="false">AB10+1</f>
        <v>16</v>
      </c>
      <c r="AD10" s="42" t="n">
        <f aca="false">AC10+1</f>
        <v>17</v>
      </c>
      <c r="AE10" s="42" t="n">
        <f aca="false">AD10+1</f>
        <v>18</v>
      </c>
      <c r="AF10" s="42" t="n">
        <f aca="false">AE10+1</f>
        <v>19</v>
      </c>
      <c r="AG10" s="42" t="n">
        <f aca="false">AF10+1</f>
        <v>20</v>
      </c>
      <c r="AH10" s="42" t="n">
        <f aca="false">AG10+1</f>
        <v>21</v>
      </c>
      <c r="AI10" s="42" t="n">
        <f aca="false">AH10+1</f>
        <v>22</v>
      </c>
      <c r="AJ10" s="42" t="n">
        <f aca="false">AI10+1</f>
        <v>23</v>
      </c>
      <c r="AK10" s="42" t="n">
        <f aca="false">AJ10+1</f>
        <v>24</v>
      </c>
      <c r="AL10" s="42" t="n">
        <f aca="false">AK10+1</f>
        <v>25</v>
      </c>
      <c r="AM10" s="42" t="n">
        <f aca="false">AL10+1</f>
        <v>26</v>
      </c>
      <c r="AN10" s="42" t="n">
        <f aca="false">AM10+1</f>
        <v>27</v>
      </c>
      <c r="AO10" s="42" t="n">
        <f aca="false">AN10+1</f>
        <v>28</v>
      </c>
      <c r="AP10" s="42" t="n">
        <f aca="false">AO10+1</f>
        <v>29</v>
      </c>
      <c r="AQ10" s="42" t="n">
        <f aca="false">AP10+1</f>
        <v>30</v>
      </c>
      <c r="AR10" s="42" t="n">
        <f aca="false">AQ10+1</f>
        <v>31</v>
      </c>
      <c r="AS10" s="42" t="n">
        <f aca="false">AR10+1</f>
        <v>32</v>
      </c>
      <c r="AT10" s="42" t="n">
        <f aca="false">AS10+1</f>
        <v>33</v>
      </c>
      <c r="AU10" s="42" t="n">
        <f aca="false">AT10+1</f>
        <v>34</v>
      </c>
      <c r="AV10" s="42" t="n">
        <f aca="false">AU10+1</f>
        <v>35</v>
      </c>
      <c r="AW10" s="42" t="n">
        <f aca="false">AV10+1</f>
        <v>36</v>
      </c>
      <c r="AX10" s="42" t="n">
        <f aca="false">AW10+1</f>
        <v>37</v>
      </c>
      <c r="AY10" s="42" t="n">
        <f aca="false">AX10+1</f>
        <v>38</v>
      </c>
      <c r="AZ10" s="42" t="n">
        <f aca="false">AY10+1</f>
        <v>39</v>
      </c>
    </row>
    <row r="11" customFormat="false" ht="18" hidden="false" customHeight="true" outlineLevel="0" collapsed="false">
      <c r="L11" s="58" t="s">
        <v>368</v>
      </c>
      <c r="M11" s="59" t="n">
        <f aca="false">IF(M$10&lt;ConstrYears,0,MIN(1,(M$10-ConstrYears+1)/MAX(RampYears,1)))</f>
        <v>0</v>
      </c>
      <c r="N11" s="59" t="n">
        <f aca="false">IF(N$10&lt;ConstrYears,0,MIN(1,(N$10-ConstrYears+1)/MAX(RampYears,1)))</f>
        <v>0</v>
      </c>
      <c r="O11" s="59" t="n">
        <f aca="false">IF(O$10&lt;ConstrYears,0,MIN(1,(O$10-ConstrYears+1)/MAX(RampYears,1)))</f>
        <v>0</v>
      </c>
      <c r="P11" s="59" t="n">
        <f aca="false">IF(P$10&lt;ConstrYears,0,MIN(1,(P$10-ConstrYears+1)/MAX(RampYears,1)))</f>
        <v>0.333333333333333</v>
      </c>
      <c r="Q11" s="59" t="n">
        <f aca="false">IF(Q$10&lt;ConstrYears,0,MIN(1,(Q$10-ConstrYears+1)/MAX(RampYears,1)))</f>
        <v>0.666666666666667</v>
      </c>
      <c r="R11" s="59" t="n">
        <f aca="false">IF(R$10&lt;ConstrYears,0,MIN(1,(R$10-ConstrYears+1)/MAX(RampYears,1)))</f>
        <v>1</v>
      </c>
      <c r="S11" s="59" t="n">
        <f aca="false">IF(S$10&lt;ConstrYears,0,MIN(1,(S$10-ConstrYears+1)/MAX(RampYears,1)))</f>
        <v>1</v>
      </c>
      <c r="T11" s="59" t="n">
        <f aca="false">IF(T$10&lt;ConstrYears,0,MIN(1,(T$10-ConstrYears+1)/MAX(RampYears,1)))</f>
        <v>1</v>
      </c>
      <c r="U11" s="59" t="n">
        <f aca="false">IF(U$10&lt;ConstrYears,0,MIN(1,(U$10-ConstrYears+1)/MAX(RampYears,1)))</f>
        <v>1</v>
      </c>
      <c r="V11" s="59" t="n">
        <f aca="false">IF(V$10&lt;ConstrYears,0,MIN(1,(V$10-ConstrYears+1)/MAX(RampYears,1)))</f>
        <v>1</v>
      </c>
      <c r="W11" s="59" t="n">
        <f aca="false">IF(W$10&lt;ConstrYears,0,MIN(1,(W$10-ConstrYears+1)/MAX(RampYears,1)))</f>
        <v>1</v>
      </c>
      <c r="X11" s="59" t="n">
        <f aca="false">IF(X$10&lt;ConstrYears,0,MIN(1,(X$10-ConstrYears+1)/MAX(RampYears,1)))</f>
        <v>1</v>
      </c>
      <c r="Y11" s="59" t="n">
        <f aca="false">IF(Y$10&lt;ConstrYears,0,MIN(1,(Y$10-ConstrYears+1)/MAX(RampYears,1)))</f>
        <v>1</v>
      </c>
      <c r="Z11" s="59" t="n">
        <f aca="false">IF(Z$10&lt;ConstrYears,0,MIN(1,(Z$10-ConstrYears+1)/MAX(RampYears,1)))</f>
        <v>1</v>
      </c>
      <c r="AA11" s="59" t="n">
        <f aca="false">IF(AA$10&lt;ConstrYears,0,MIN(1,(AA$10-ConstrYears+1)/MAX(RampYears,1)))</f>
        <v>1</v>
      </c>
      <c r="AB11" s="59" t="n">
        <f aca="false">IF(AB$10&lt;ConstrYears,0,MIN(1,(AB$10-ConstrYears+1)/MAX(RampYears,1)))</f>
        <v>1</v>
      </c>
      <c r="AC11" s="59" t="n">
        <f aca="false">IF(AC$10&lt;ConstrYears,0,MIN(1,(AC$10-ConstrYears+1)/MAX(RampYears,1)))</f>
        <v>1</v>
      </c>
      <c r="AD11" s="59" t="n">
        <f aca="false">IF(AD$10&lt;ConstrYears,0,MIN(1,(AD$10-ConstrYears+1)/MAX(RampYears,1)))</f>
        <v>1</v>
      </c>
      <c r="AE11" s="59" t="n">
        <f aca="false">IF(AE$10&lt;ConstrYears,0,MIN(1,(AE$10-ConstrYears+1)/MAX(RampYears,1)))</f>
        <v>1</v>
      </c>
      <c r="AF11" s="59" t="n">
        <f aca="false">IF(AF$10&lt;ConstrYears,0,MIN(1,(AF$10-ConstrYears+1)/MAX(RampYears,1)))</f>
        <v>1</v>
      </c>
      <c r="AG11" s="59" t="n">
        <f aca="false">IF(AG$10&lt;ConstrYears,0,MIN(1,(AG$10-ConstrYears+1)/MAX(RampYears,1)))</f>
        <v>1</v>
      </c>
      <c r="AH11" s="59" t="n">
        <f aca="false">IF(AH$10&lt;ConstrYears,0,MIN(1,(AH$10-ConstrYears+1)/MAX(RampYears,1)))</f>
        <v>1</v>
      </c>
      <c r="AI11" s="59" t="n">
        <f aca="false">IF(AI$10&lt;ConstrYears,0,MIN(1,(AI$10-ConstrYears+1)/MAX(RampYears,1)))</f>
        <v>1</v>
      </c>
      <c r="AJ11" s="59" t="n">
        <f aca="false">IF(AJ$10&lt;ConstrYears,0,MIN(1,(AJ$10-ConstrYears+1)/MAX(RampYears,1)))</f>
        <v>1</v>
      </c>
      <c r="AK11" s="59" t="n">
        <f aca="false">IF(AK$10&lt;ConstrYears,0,MIN(1,(AK$10-ConstrYears+1)/MAX(RampYears,1)))</f>
        <v>1</v>
      </c>
      <c r="AL11" s="59" t="n">
        <f aca="false">IF(AL$10&lt;ConstrYears,0,MIN(1,(AL$10-ConstrYears+1)/MAX(RampYears,1)))</f>
        <v>1</v>
      </c>
      <c r="AM11" s="59" t="n">
        <f aca="false">IF(AM$10&lt;ConstrYears,0,MIN(1,(AM$10-ConstrYears+1)/MAX(RampYears,1)))</f>
        <v>1</v>
      </c>
      <c r="AN11" s="59" t="n">
        <f aca="false">IF(AN$10&lt;ConstrYears,0,MIN(1,(AN$10-ConstrYears+1)/MAX(RampYears,1)))</f>
        <v>1</v>
      </c>
      <c r="AO11" s="59" t="n">
        <f aca="false">IF(AO$10&lt;ConstrYears,0,MIN(1,(AO$10-ConstrYears+1)/MAX(RampYears,1)))</f>
        <v>1</v>
      </c>
      <c r="AP11" s="59" t="n">
        <f aca="false">IF(AP$10&lt;ConstrYears,0,MIN(1,(AP$10-ConstrYears+1)/MAX(RampYears,1)))</f>
        <v>1</v>
      </c>
      <c r="AQ11" s="59" t="n">
        <f aca="false">IF(AQ$10&lt;ConstrYears,0,MIN(1,(AQ$10-ConstrYears+1)/MAX(RampYears,1)))</f>
        <v>1</v>
      </c>
      <c r="AR11" s="59" t="n">
        <f aca="false">IF(AR$10&lt;ConstrYears,0,MIN(1,(AR$10-ConstrYears+1)/MAX(RampYears,1)))</f>
        <v>1</v>
      </c>
      <c r="AS11" s="59" t="n">
        <f aca="false">IF(AS$10&lt;ConstrYears,0,MIN(1,(AS$10-ConstrYears+1)/MAX(RampYears,1)))</f>
        <v>1</v>
      </c>
      <c r="AT11" s="59" t="n">
        <f aca="false">IF(AT$10&lt;ConstrYears,0,MIN(1,(AT$10-ConstrYears+1)/MAX(RampYears,1)))</f>
        <v>1</v>
      </c>
      <c r="AU11" s="59" t="n">
        <f aca="false">IF(AU$10&lt;ConstrYears,0,MIN(1,(AU$10-ConstrYears+1)/MAX(RampYears,1)))</f>
        <v>1</v>
      </c>
      <c r="AV11" s="59" t="n">
        <f aca="false">IF(AV$10&lt;ConstrYears,0,MIN(1,(AV$10-ConstrYears+1)/MAX(RampYears,1)))</f>
        <v>1</v>
      </c>
      <c r="AW11" s="59" t="n">
        <f aca="false">IF(AW$10&lt;ConstrYears,0,MIN(1,(AW$10-ConstrYears+1)/MAX(RampYears,1)))</f>
        <v>1</v>
      </c>
      <c r="AX11" s="59" t="n">
        <f aca="false">IF(AX$10&lt;ConstrYears,0,MIN(1,(AX$10-ConstrYears+1)/MAX(RampYears,1)))</f>
        <v>1</v>
      </c>
      <c r="AY11" s="59" t="n">
        <f aca="false">IF(AY$10&lt;ConstrYears,0,MIN(1,(AY$10-ConstrYears+1)/MAX(RampYears,1)))</f>
        <v>1</v>
      </c>
      <c r="AZ11" s="59" t="n">
        <f aca="false">IF(AZ$10&lt;ConstrYears,0,MIN(1,(AZ$10-ConstrYears+1)/MAX(RampYears,1)))</f>
        <v>1</v>
      </c>
    </row>
    <row r="12" customFormat="false" ht="43.5" hidden="false" customHeight="true" outlineLevel="0" collapsed="false">
      <c r="B12" s="43" t="s">
        <v>243</v>
      </c>
      <c r="C12" s="43" t="s">
        <v>244</v>
      </c>
      <c r="D12" s="43" t="s">
        <v>369</v>
      </c>
      <c r="E12" s="43" t="s">
        <v>247</v>
      </c>
      <c r="F12" s="43" t="s">
        <v>370</v>
      </c>
      <c r="G12" s="43" t="s">
        <v>249</v>
      </c>
      <c r="H12" s="43" t="s">
        <v>371</v>
      </c>
      <c r="I12" s="43" t="s">
        <v>372</v>
      </c>
      <c r="J12" s="43" t="s">
        <v>373</v>
      </c>
      <c r="K12" s="43" t="s">
        <v>252</v>
      </c>
      <c r="L12" s="43" t="s">
        <v>253</v>
      </c>
      <c r="M12" s="44" t="n">
        <f aca="false">StartYear+M$10</f>
        <v>2026</v>
      </c>
      <c r="N12" s="44" t="n">
        <f aca="false">StartYear+N$10</f>
        <v>2027</v>
      </c>
      <c r="O12" s="44" t="n">
        <f aca="false">StartYear+O$10</f>
        <v>2028</v>
      </c>
      <c r="P12" s="44" t="n">
        <f aca="false">StartYear+P$10</f>
        <v>2029</v>
      </c>
      <c r="Q12" s="44" t="n">
        <f aca="false">StartYear+Q$10</f>
        <v>2030</v>
      </c>
      <c r="R12" s="44" t="n">
        <f aca="false">StartYear+R$10</f>
        <v>2031</v>
      </c>
      <c r="S12" s="44" t="n">
        <f aca="false">StartYear+S$10</f>
        <v>2032</v>
      </c>
      <c r="T12" s="44" t="n">
        <f aca="false">StartYear+T$10</f>
        <v>2033</v>
      </c>
      <c r="U12" s="44" t="n">
        <f aca="false">StartYear+U$10</f>
        <v>2034</v>
      </c>
      <c r="V12" s="44" t="n">
        <f aca="false">StartYear+V$10</f>
        <v>2035</v>
      </c>
      <c r="W12" s="44" t="n">
        <f aca="false">StartYear+W$10</f>
        <v>2036</v>
      </c>
      <c r="X12" s="44" t="n">
        <f aca="false">StartYear+X$10</f>
        <v>2037</v>
      </c>
      <c r="Y12" s="44" t="n">
        <f aca="false">StartYear+Y$10</f>
        <v>2038</v>
      </c>
      <c r="Z12" s="44" t="n">
        <f aca="false">StartYear+Z$10</f>
        <v>2039</v>
      </c>
      <c r="AA12" s="44" t="n">
        <f aca="false">StartYear+AA$10</f>
        <v>2040</v>
      </c>
      <c r="AB12" s="44" t="n">
        <f aca="false">StartYear+AB$10</f>
        <v>2041</v>
      </c>
      <c r="AC12" s="44" t="n">
        <f aca="false">StartYear+AC$10</f>
        <v>2042</v>
      </c>
      <c r="AD12" s="44" t="n">
        <f aca="false">StartYear+AD$10</f>
        <v>2043</v>
      </c>
      <c r="AE12" s="44" t="n">
        <f aca="false">StartYear+AE$10</f>
        <v>2044</v>
      </c>
      <c r="AF12" s="44" t="n">
        <f aca="false">StartYear+AF$10</f>
        <v>2045</v>
      </c>
      <c r="AG12" s="44" t="n">
        <f aca="false">StartYear+AG$10</f>
        <v>2046</v>
      </c>
      <c r="AH12" s="44" t="n">
        <f aca="false">StartYear+AH$10</f>
        <v>2047</v>
      </c>
      <c r="AI12" s="44" t="n">
        <f aca="false">StartYear+AI$10</f>
        <v>2048</v>
      </c>
      <c r="AJ12" s="44" t="n">
        <f aca="false">StartYear+AJ$10</f>
        <v>2049</v>
      </c>
      <c r="AK12" s="44" t="n">
        <f aca="false">StartYear+AK$10</f>
        <v>2050</v>
      </c>
      <c r="AL12" s="44" t="n">
        <f aca="false">StartYear+AL$10</f>
        <v>2051</v>
      </c>
      <c r="AM12" s="44" t="n">
        <f aca="false">StartYear+AM$10</f>
        <v>2052</v>
      </c>
      <c r="AN12" s="44" t="n">
        <f aca="false">StartYear+AN$10</f>
        <v>2053</v>
      </c>
      <c r="AO12" s="44" t="n">
        <f aca="false">StartYear+AO$10</f>
        <v>2054</v>
      </c>
      <c r="AP12" s="44" t="n">
        <f aca="false">StartYear+AP$10</f>
        <v>2055</v>
      </c>
      <c r="AQ12" s="44" t="n">
        <f aca="false">StartYear+AQ$10</f>
        <v>2056</v>
      </c>
      <c r="AR12" s="44" t="n">
        <f aca="false">StartYear+AR$10</f>
        <v>2057</v>
      </c>
      <c r="AS12" s="44" t="n">
        <f aca="false">StartYear+AS$10</f>
        <v>2058</v>
      </c>
      <c r="AT12" s="44" t="n">
        <f aca="false">StartYear+AT$10</f>
        <v>2059</v>
      </c>
      <c r="AU12" s="44" t="n">
        <f aca="false">StartYear+AU$10</f>
        <v>2060</v>
      </c>
      <c r="AV12" s="44" t="n">
        <f aca="false">StartYear+AV$10</f>
        <v>2061</v>
      </c>
      <c r="AW12" s="44" t="n">
        <f aca="false">StartYear+AW$10</f>
        <v>2062</v>
      </c>
      <c r="AX12" s="44" t="n">
        <f aca="false">StartYear+AX$10</f>
        <v>2063</v>
      </c>
      <c r="AY12" s="44" t="n">
        <f aca="false">StartYear+AY$10</f>
        <v>2064</v>
      </c>
      <c r="AZ12" s="44" t="n">
        <f aca="false">StartYear+AZ$10</f>
        <v>2065</v>
      </c>
    </row>
    <row r="13" customFormat="false" ht="27.75" hidden="false" customHeight="true" outlineLevel="0" collapsed="false">
      <c r="B13" s="25" t="s">
        <v>374</v>
      </c>
      <c r="C13" s="45" t="s">
        <v>375</v>
      </c>
      <c r="D13" s="45" t="s">
        <v>376</v>
      </c>
      <c r="E13" s="46" t="s">
        <v>377</v>
      </c>
      <c r="F13" s="47" t="n">
        <v>2600000</v>
      </c>
      <c r="G13" s="51" t="n">
        <f aca="false">ConstrYears</f>
        <v>3</v>
      </c>
      <c r="H13" s="48" t="n">
        <v>0</v>
      </c>
      <c r="I13" s="45" t="s">
        <v>378</v>
      </c>
      <c r="J13" s="45" t="s">
        <v>379</v>
      </c>
      <c r="K13" s="46" t="s">
        <v>272</v>
      </c>
      <c r="L13" s="49" t="n">
        <f aca="false">SUM(M13:AZ13)</f>
        <v>93600000</v>
      </c>
      <c r="M13" s="50" t="n">
        <f aca="false">IF($E13="Ramped",IF(AND(M$10&gt;=$G13,M$10&lt;$G13+IF($H13=0,MaxYears,$H13)),$F13*M$11,0),IF($E13="One-off",IF(M$10=$G13,$F13,0),IF($E13="Periodic",IF(AND(M$10&gt;=$G13,MOD(M$10-$G13,MAX($H13,1))=0),$F13,0),0)))</f>
        <v>0</v>
      </c>
      <c r="N13" s="50" t="n">
        <f aca="false">IF($E13="Ramped",IF(AND(N$10&gt;=$G13,N$10&lt;$G13+IF($H13=0,MaxYears,$H13)),$F13*N$11,0),IF($E13="One-off",IF(N$10=$G13,$F13,0),IF($E13="Periodic",IF(AND(N$10&gt;=$G13,MOD(N$10-$G13,MAX($H13,1))=0),$F13,0),0)))</f>
        <v>0</v>
      </c>
      <c r="O13" s="50" t="n">
        <f aca="false">IF($E13="Ramped",IF(AND(O$10&gt;=$G13,O$10&lt;$G13+IF($H13=0,MaxYears,$H13)),$F13*O$11,0),IF($E13="One-off",IF(O$10=$G13,$F13,0),IF($E13="Periodic",IF(AND(O$10&gt;=$G13,MOD(O$10-$G13,MAX($H13,1))=0),$F13,0),0)))</f>
        <v>0</v>
      </c>
      <c r="P13" s="50" t="n">
        <f aca="false">IF($E13="Ramped",IF(AND(P$10&gt;=$G13,P$10&lt;$G13+IF($H13=0,MaxYears,$H13)),$F13*P$11,0),IF($E13="One-off",IF(P$10=$G13,$F13,0),IF($E13="Periodic",IF(AND(P$10&gt;=$G13,MOD(P$10-$G13,MAX($H13,1))=0),$F13,0),0)))</f>
        <v>866666.666666667</v>
      </c>
      <c r="Q13" s="50" t="n">
        <f aca="false">IF($E13="Ramped",IF(AND(Q$10&gt;=$G13,Q$10&lt;$G13+IF($H13=0,MaxYears,$H13)),$F13*Q$11,0),IF($E13="One-off",IF(Q$10=$G13,$F13,0),IF($E13="Periodic",IF(AND(Q$10&gt;=$G13,MOD(Q$10-$G13,MAX($H13,1))=0),$F13,0),0)))</f>
        <v>1733333.33333333</v>
      </c>
      <c r="R13" s="50" t="n">
        <f aca="false">IF($E13="Ramped",IF(AND(R$10&gt;=$G13,R$10&lt;$G13+IF($H13=0,MaxYears,$H13)),$F13*R$11,0),IF($E13="One-off",IF(R$10=$G13,$F13,0),IF($E13="Periodic",IF(AND(R$10&gt;=$G13,MOD(R$10-$G13,MAX($H13,1))=0),$F13,0),0)))</f>
        <v>2600000</v>
      </c>
      <c r="S13" s="50" t="n">
        <f aca="false">IF($E13="Ramped",IF(AND(S$10&gt;=$G13,S$10&lt;$G13+IF($H13=0,MaxYears,$H13)),$F13*S$11,0),IF($E13="One-off",IF(S$10=$G13,$F13,0),IF($E13="Periodic",IF(AND(S$10&gt;=$G13,MOD(S$10-$G13,MAX($H13,1))=0),$F13,0),0)))</f>
        <v>2600000</v>
      </c>
      <c r="T13" s="50" t="n">
        <f aca="false">IF($E13="Ramped",IF(AND(T$10&gt;=$G13,T$10&lt;$G13+IF($H13=0,MaxYears,$H13)),$F13*T$11,0),IF($E13="One-off",IF(T$10=$G13,$F13,0),IF($E13="Periodic",IF(AND(T$10&gt;=$G13,MOD(T$10-$G13,MAX($H13,1))=0),$F13,0),0)))</f>
        <v>2600000</v>
      </c>
      <c r="U13" s="50" t="n">
        <f aca="false">IF($E13="Ramped",IF(AND(U$10&gt;=$G13,U$10&lt;$G13+IF($H13=0,MaxYears,$H13)),$F13*U$11,0),IF($E13="One-off",IF(U$10=$G13,$F13,0),IF($E13="Periodic",IF(AND(U$10&gt;=$G13,MOD(U$10-$G13,MAX($H13,1))=0),$F13,0),0)))</f>
        <v>2600000</v>
      </c>
      <c r="V13" s="50" t="n">
        <f aca="false">IF($E13="Ramped",IF(AND(V$10&gt;=$G13,V$10&lt;$G13+IF($H13=0,MaxYears,$H13)),$F13*V$11,0),IF($E13="One-off",IF(V$10=$G13,$F13,0),IF($E13="Periodic",IF(AND(V$10&gt;=$G13,MOD(V$10-$G13,MAX($H13,1))=0),$F13,0),0)))</f>
        <v>2600000</v>
      </c>
      <c r="W13" s="50" t="n">
        <f aca="false">IF($E13="Ramped",IF(AND(W$10&gt;=$G13,W$10&lt;$G13+IF($H13=0,MaxYears,$H13)),$F13*W$11,0),IF($E13="One-off",IF(W$10=$G13,$F13,0),IF($E13="Periodic",IF(AND(W$10&gt;=$G13,MOD(W$10-$G13,MAX($H13,1))=0),$F13,0),0)))</f>
        <v>2600000</v>
      </c>
      <c r="X13" s="50" t="n">
        <f aca="false">IF($E13="Ramped",IF(AND(X$10&gt;=$G13,X$10&lt;$G13+IF($H13=0,MaxYears,$H13)),$F13*X$11,0),IF($E13="One-off",IF(X$10=$G13,$F13,0),IF($E13="Periodic",IF(AND(X$10&gt;=$G13,MOD(X$10-$G13,MAX($H13,1))=0),$F13,0),0)))</f>
        <v>2600000</v>
      </c>
      <c r="Y13" s="50" t="n">
        <f aca="false">IF($E13="Ramped",IF(AND(Y$10&gt;=$G13,Y$10&lt;$G13+IF($H13=0,MaxYears,$H13)),$F13*Y$11,0),IF($E13="One-off",IF(Y$10=$G13,$F13,0),IF($E13="Periodic",IF(AND(Y$10&gt;=$G13,MOD(Y$10-$G13,MAX($H13,1))=0),$F13,0),0)))</f>
        <v>2600000</v>
      </c>
      <c r="Z13" s="50" t="n">
        <f aca="false">IF($E13="Ramped",IF(AND(Z$10&gt;=$G13,Z$10&lt;$G13+IF($H13=0,MaxYears,$H13)),$F13*Z$11,0),IF($E13="One-off",IF(Z$10=$G13,$F13,0),IF($E13="Periodic",IF(AND(Z$10&gt;=$G13,MOD(Z$10-$G13,MAX($H13,1))=0),$F13,0),0)))</f>
        <v>2600000</v>
      </c>
      <c r="AA13" s="50" t="n">
        <f aca="false">IF($E13="Ramped",IF(AND(AA$10&gt;=$G13,AA$10&lt;$G13+IF($H13=0,MaxYears,$H13)),$F13*AA$11,0),IF($E13="One-off",IF(AA$10=$G13,$F13,0),IF($E13="Periodic",IF(AND(AA$10&gt;=$G13,MOD(AA$10-$G13,MAX($H13,1))=0),$F13,0),0)))</f>
        <v>2600000</v>
      </c>
      <c r="AB13" s="50" t="n">
        <f aca="false">IF($E13="Ramped",IF(AND(AB$10&gt;=$G13,AB$10&lt;$G13+IF($H13=0,MaxYears,$H13)),$F13*AB$11,0),IF($E13="One-off",IF(AB$10=$G13,$F13,0),IF($E13="Periodic",IF(AND(AB$10&gt;=$G13,MOD(AB$10-$G13,MAX($H13,1))=0),$F13,0),0)))</f>
        <v>2600000</v>
      </c>
      <c r="AC13" s="50" t="n">
        <f aca="false">IF($E13="Ramped",IF(AND(AC$10&gt;=$G13,AC$10&lt;$G13+IF($H13=0,MaxYears,$H13)),$F13*AC$11,0),IF($E13="One-off",IF(AC$10=$G13,$F13,0),IF($E13="Periodic",IF(AND(AC$10&gt;=$G13,MOD(AC$10-$G13,MAX($H13,1))=0),$F13,0),0)))</f>
        <v>2600000</v>
      </c>
      <c r="AD13" s="50" t="n">
        <f aca="false">IF($E13="Ramped",IF(AND(AD$10&gt;=$G13,AD$10&lt;$G13+IF($H13=0,MaxYears,$H13)),$F13*AD$11,0),IF($E13="One-off",IF(AD$10=$G13,$F13,0),IF($E13="Periodic",IF(AND(AD$10&gt;=$G13,MOD(AD$10-$G13,MAX($H13,1))=0),$F13,0),0)))</f>
        <v>2600000</v>
      </c>
      <c r="AE13" s="50" t="n">
        <f aca="false">IF($E13="Ramped",IF(AND(AE$10&gt;=$G13,AE$10&lt;$G13+IF($H13=0,MaxYears,$H13)),$F13*AE$11,0),IF($E13="One-off",IF(AE$10=$G13,$F13,0),IF($E13="Periodic",IF(AND(AE$10&gt;=$G13,MOD(AE$10-$G13,MAX($H13,1))=0),$F13,0),0)))</f>
        <v>2600000</v>
      </c>
      <c r="AF13" s="50" t="n">
        <f aca="false">IF($E13="Ramped",IF(AND(AF$10&gt;=$G13,AF$10&lt;$G13+IF($H13=0,MaxYears,$H13)),$F13*AF$11,0),IF($E13="One-off",IF(AF$10=$G13,$F13,0),IF($E13="Periodic",IF(AND(AF$10&gt;=$G13,MOD(AF$10-$G13,MAX($H13,1))=0),$F13,0),0)))</f>
        <v>2600000</v>
      </c>
      <c r="AG13" s="50" t="n">
        <f aca="false">IF($E13="Ramped",IF(AND(AG$10&gt;=$G13,AG$10&lt;$G13+IF($H13=0,MaxYears,$H13)),$F13*AG$11,0),IF($E13="One-off",IF(AG$10=$G13,$F13,0),IF($E13="Periodic",IF(AND(AG$10&gt;=$G13,MOD(AG$10-$G13,MAX($H13,1))=0),$F13,0),0)))</f>
        <v>2600000</v>
      </c>
      <c r="AH13" s="50" t="n">
        <f aca="false">IF($E13="Ramped",IF(AND(AH$10&gt;=$G13,AH$10&lt;$G13+IF($H13=0,MaxYears,$H13)),$F13*AH$11,0),IF($E13="One-off",IF(AH$10=$G13,$F13,0),IF($E13="Periodic",IF(AND(AH$10&gt;=$G13,MOD(AH$10-$G13,MAX($H13,1))=0),$F13,0),0)))</f>
        <v>2600000</v>
      </c>
      <c r="AI13" s="50" t="n">
        <f aca="false">IF($E13="Ramped",IF(AND(AI$10&gt;=$G13,AI$10&lt;$G13+IF($H13=0,MaxYears,$H13)),$F13*AI$11,0),IF($E13="One-off",IF(AI$10=$G13,$F13,0),IF($E13="Periodic",IF(AND(AI$10&gt;=$G13,MOD(AI$10-$G13,MAX($H13,1))=0),$F13,0),0)))</f>
        <v>2600000</v>
      </c>
      <c r="AJ13" s="50" t="n">
        <f aca="false">IF($E13="Ramped",IF(AND(AJ$10&gt;=$G13,AJ$10&lt;$G13+IF($H13=0,MaxYears,$H13)),$F13*AJ$11,0),IF($E13="One-off",IF(AJ$10=$G13,$F13,0),IF($E13="Periodic",IF(AND(AJ$10&gt;=$G13,MOD(AJ$10-$G13,MAX($H13,1))=0),$F13,0),0)))</f>
        <v>2600000</v>
      </c>
      <c r="AK13" s="50" t="n">
        <f aca="false">IF($E13="Ramped",IF(AND(AK$10&gt;=$G13,AK$10&lt;$G13+IF($H13=0,MaxYears,$H13)),$F13*AK$11,0),IF($E13="One-off",IF(AK$10=$G13,$F13,0),IF($E13="Periodic",IF(AND(AK$10&gt;=$G13,MOD(AK$10-$G13,MAX($H13,1))=0),$F13,0),0)))</f>
        <v>2600000</v>
      </c>
      <c r="AL13" s="50" t="n">
        <f aca="false">IF($E13="Ramped",IF(AND(AL$10&gt;=$G13,AL$10&lt;$G13+IF($H13=0,MaxYears,$H13)),$F13*AL$11,0),IF($E13="One-off",IF(AL$10=$G13,$F13,0),IF($E13="Periodic",IF(AND(AL$10&gt;=$G13,MOD(AL$10-$G13,MAX($H13,1))=0),$F13,0),0)))</f>
        <v>2600000</v>
      </c>
      <c r="AM13" s="50" t="n">
        <f aca="false">IF($E13="Ramped",IF(AND(AM$10&gt;=$G13,AM$10&lt;$G13+IF($H13=0,MaxYears,$H13)),$F13*AM$11,0),IF($E13="One-off",IF(AM$10=$G13,$F13,0),IF($E13="Periodic",IF(AND(AM$10&gt;=$G13,MOD(AM$10-$G13,MAX($H13,1))=0),$F13,0),0)))</f>
        <v>2600000</v>
      </c>
      <c r="AN13" s="50" t="n">
        <f aca="false">IF($E13="Ramped",IF(AND(AN$10&gt;=$G13,AN$10&lt;$G13+IF($H13=0,MaxYears,$H13)),$F13*AN$11,0),IF($E13="One-off",IF(AN$10=$G13,$F13,0),IF($E13="Periodic",IF(AND(AN$10&gt;=$G13,MOD(AN$10-$G13,MAX($H13,1))=0),$F13,0),0)))</f>
        <v>2600000</v>
      </c>
      <c r="AO13" s="50" t="n">
        <f aca="false">IF($E13="Ramped",IF(AND(AO$10&gt;=$G13,AO$10&lt;$G13+IF($H13=0,MaxYears,$H13)),$F13*AO$11,0),IF($E13="One-off",IF(AO$10=$G13,$F13,0),IF($E13="Periodic",IF(AND(AO$10&gt;=$G13,MOD(AO$10-$G13,MAX($H13,1))=0),$F13,0),0)))</f>
        <v>2600000</v>
      </c>
      <c r="AP13" s="50" t="n">
        <f aca="false">IF($E13="Ramped",IF(AND(AP$10&gt;=$G13,AP$10&lt;$G13+IF($H13=0,MaxYears,$H13)),$F13*AP$11,0),IF($E13="One-off",IF(AP$10=$G13,$F13,0),IF($E13="Periodic",IF(AND(AP$10&gt;=$G13,MOD(AP$10-$G13,MAX($H13,1))=0),$F13,0),0)))</f>
        <v>2600000</v>
      </c>
      <c r="AQ13" s="50" t="n">
        <f aca="false">IF($E13="Ramped",IF(AND(AQ$10&gt;=$G13,AQ$10&lt;$G13+IF($H13=0,MaxYears,$H13)),$F13*AQ$11,0),IF($E13="One-off",IF(AQ$10=$G13,$F13,0),IF($E13="Periodic",IF(AND(AQ$10&gt;=$G13,MOD(AQ$10-$G13,MAX($H13,1))=0),$F13,0),0)))</f>
        <v>2600000</v>
      </c>
      <c r="AR13" s="50" t="n">
        <f aca="false">IF($E13="Ramped",IF(AND(AR$10&gt;=$G13,AR$10&lt;$G13+IF($H13=0,MaxYears,$H13)),$F13*AR$11,0),IF($E13="One-off",IF(AR$10=$G13,$F13,0),IF($E13="Periodic",IF(AND(AR$10&gt;=$G13,MOD(AR$10-$G13,MAX($H13,1))=0),$F13,0),0)))</f>
        <v>2600000</v>
      </c>
      <c r="AS13" s="50" t="n">
        <f aca="false">IF($E13="Ramped",IF(AND(AS$10&gt;=$G13,AS$10&lt;$G13+IF($H13=0,MaxYears,$H13)),$F13*AS$11,0),IF($E13="One-off",IF(AS$10=$G13,$F13,0),IF($E13="Periodic",IF(AND(AS$10&gt;=$G13,MOD(AS$10-$G13,MAX($H13,1))=0),$F13,0),0)))</f>
        <v>2600000</v>
      </c>
      <c r="AT13" s="50" t="n">
        <f aca="false">IF($E13="Ramped",IF(AND(AT$10&gt;=$G13,AT$10&lt;$G13+IF($H13=0,MaxYears,$H13)),$F13*AT$11,0),IF($E13="One-off",IF(AT$10=$G13,$F13,0),IF($E13="Periodic",IF(AND(AT$10&gt;=$G13,MOD(AT$10-$G13,MAX($H13,1))=0),$F13,0),0)))</f>
        <v>2600000</v>
      </c>
      <c r="AU13" s="50" t="n">
        <f aca="false">IF($E13="Ramped",IF(AND(AU$10&gt;=$G13,AU$10&lt;$G13+IF($H13=0,MaxYears,$H13)),$F13*AU$11,0),IF($E13="One-off",IF(AU$10=$G13,$F13,0),IF($E13="Periodic",IF(AND(AU$10&gt;=$G13,MOD(AU$10-$G13,MAX($H13,1))=0),$F13,0),0)))</f>
        <v>2600000</v>
      </c>
      <c r="AV13" s="50" t="n">
        <f aca="false">IF($E13="Ramped",IF(AND(AV$10&gt;=$G13,AV$10&lt;$G13+IF($H13=0,MaxYears,$H13)),$F13*AV$11,0),IF($E13="One-off",IF(AV$10=$G13,$F13,0),IF($E13="Periodic",IF(AND(AV$10&gt;=$G13,MOD(AV$10-$G13,MAX($H13,1))=0),$F13,0),0)))</f>
        <v>2600000</v>
      </c>
      <c r="AW13" s="50" t="n">
        <f aca="false">IF($E13="Ramped",IF(AND(AW$10&gt;=$G13,AW$10&lt;$G13+IF($H13=0,MaxYears,$H13)),$F13*AW$11,0),IF($E13="One-off",IF(AW$10=$G13,$F13,0),IF($E13="Periodic",IF(AND(AW$10&gt;=$G13,MOD(AW$10-$G13,MAX($H13,1))=0),$F13,0),0)))</f>
        <v>2600000</v>
      </c>
      <c r="AX13" s="50" t="n">
        <f aca="false">IF($E13="Ramped",IF(AND(AX$10&gt;=$G13,AX$10&lt;$G13+IF($H13=0,MaxYears,$H13)),$F13*AX$11,0),IF($E13="One-off",IF(AX$10=$G13,$F13,0),IF($E13="Periodic",IF(AND(AX$10&gt;=$G13,MOD(AX$10-$G13,MAX($H13,1))=0),$F13,0),0)))</f>
        <v>2600000</v>
      </c>
      <c r="AY13" s="50" t="n">
        <f aca="false">IF($E13="Ramped",IF(AND(AY$10&gt;=$G13,AY$10&lt;$G13+IF($H13=0,MaxYears,$H13)),$F13*AY$11,0),IF($E13="One-off",IF(AY$10=$G13,$F13,0),IF($E13="Periodic",IF(AND(AY$10&gt;=$G13,MOD(AY$10-$G13,MAX($H13,1))=0),$F13,0),0)))</f>
        <v>2600000</v>
      </c>
      <c r="AZ13" s="50" t="n">
        <f aca="false">IF($E13="Ramped",IF(AND(AZ$10&gt;=$G13,AZ$10&lt;$G13+IF($H13=0,MaxYears,$H13)),$F13*AZ$11,0),IF($E13="One-off",IF(AZ$10=$G13,$F13,0),IF($E13="Periodic",IF(AND(AZ$10&gt;=$G13,MOD(AZ$10-$G13,MAX($H13,1))=0),$F13,0),0)))</f>
        <v>2600000</v>
      </c>
    </row>
    <row r="14" customFormat="false" ht="27.75" hidden="false" customHeight="true" outlineLevel="0" collapsed="false">
      <c r="B14" s="25" t="s">
        <v>380</v>
      </c>
      <c r="C14" s="45" t="s">
        <v>375</v>
      </c>
      <c r="D14" s="45" t="s">
        <v>381</v>
      </c>
      <c r="E14" s="46" t="s">
        <v>377</v>
      </c>
      <c r="F14" s="47" t="n">
        <v>1450000</v>
      </c>
      <c r="G14" s="51" t="n">
        <f aca="false">ConstrYears</f>
        <v>3</v>
      </c>
      <c r="H14" s="48" t="n">
        <v>0</v>
      </c>
      <c r="I14" s="45" t="s">
        <v>382</v>
      </c>
      <c r="J14" s="45" t="s">
        <v>383</v>
      </c>
      <c r="K14" s="46" t="s">
        <v>260</v>
      </c>
      <c r="L14" s="49" t="n">
        <f aca="false">SUM(M14:AZ14)</f>
        <v>52200000</v>
      </c>
      <c r="M14" s="50" t="n">
        <f aca="false">IF($E14="Ramped",IF(AND(M$10&gt;=$G14,M$10&lt;$G14+IF($H14=0,MaxYears,$H14)),$F14*M$11,0),IF($E14="One-off",IF(M$10=$G14,$F14,0),IF($E14="Periodic",IF(AND(M$10&gt;=$G14,MOD(M$10-$G14,MAX($H14,1))=0),$F14,0),0)))</f>
        <v>0</v>
      </c>
      <c r="N14" s="50" t="n">
        <f aca="false">IF($E14="Ramped",IF(AND(N$10&gt;=$G14,N$10&lt;$G14+IF($H14=0,MaxYears,$H14)),$F14*N$11,0),IF($E14="One-off",IF(N$10=$G14,$F14,0),IF($E14="Periodic",IF(AND(N$10&gt;=$G14,MOD(N$10-$G14,MAX($H14,1))=0),$F14,0),0)))</f>
        <v>0</v>
      </c>
      <c r="O14" s="50" t="n">
        <f aca="false">IF($E14="Ramped",IF(AND(O$10&gt;=$G14,O$10&lt;$G14+IF($H14=0,MaxYears,$H14)),$F14*O$11,0),IF($E14="One-off",IF(O$10=$G14,$F14,0),IF($E14="Periodic",IF(AND(O$10&gt;=$G14,MOD(O$10-$G14,MAX($H14,1))=0),$F14,0),0)))</f>
        <v>0</v>
      </c>
      <c r="P14" s="50" t="n">
        <f aca="false">IF($E14="Ramped",IF(AND(P$10&gt;=$G14,P$10&lt;$G14+IF($H14=0,MaxYears,$H14)),$F14*P$11,0),IF($E14="One-off",IF(P$10=$G14,$F14,0),IF($E14="Periodic",IF(AND(P$10&gt;=$G14,MOD(P$10-$G14,MAX($H14,1))=0),$F14,0),0)))</f>
        <v>483333.333333333</v>
      </c>
      <c r="Q14" s="50" t="n">
        <f aca="false">IF($E14="Ramped",IF(AND(Q$10&gt;=$G14,Q$10&lt;$G14+IF($H14=0,MaxYears,$H14)),$F14*Q$11,0),IF($E14="One-off",IF(Q$10=$G14,$F14,0),IF($E14="Periodic",IF(AND(Q$10&gt;=$G14,MOD(Q$10-$G14,MAX($H14,1))=0),$F14,0),0)))</f>
        <v>966666.666666667</v>
      </c>
      <c r="R14" s="50" t="n">
        <f aca="false">IF($E14="Ramped",IF(AND(R$10&gt;=$G14,R$10&lt;$G14+IF($H14=0,MaxYears,$H14)),$F14*R$11,0),IF($E14="One-off",IF(R$10=$G14,$F14,0),IF($E14="Periodic",IF(AND(R$10&gt;=$G14,MOD(R$10-$G14,MAX($H14,1))=0),$F14,0),0)))</f>
        <v>1450000</v>
      </c>
      <c r="S14" s="50" t="n">
        <f aca="false">IF($E14="Ramped",IF(AND(S$10&gt;=$G14,S$10&lt;$G14+IF($H14=0,MaxYears,$H14)),$F14*S$11,0),IF($E14="One-off",IF(S$10=$G14,$F14,0),IF($E14="Periodic",IF(AND(S$10&gt;=$G14,MOD(S$10-$G14,MAX($H14,1))=0),$F14,0),0)))</f>
        <v>1450000</v>
      </c>
      <c r="T14" s="50" t="n">
        <f aca="false">IF($E14="Ramped",IF(AND(T$10&gt;=$G14,T$10&lt;$G14+IF($H14=0,MaxYears,$H14)),$F14*T$11,0),IF($E14="One-off",IF(T$10=$G14,$F14,0),IF($E14="Periodic",IF(AND(T$10&gt;=$G14,MOD(T$10-$G14,MAX($H14,1))=0),$F14,0),0)))</f>
        <v>1450000</v>
      </c>
      <c r="U14" s="50" t="n">
        <f aca="false">IF($E14="Ramped",IF(AND(U$10&gt;=$G14,U$10&lt;$G14+IF($H14=0,MaxYears,$H14)),$F14*U$11,0),IF($E14="One-off",IF(U$10=$G14,$F14,0),IF($E14="Periodic",IF(AND(U$10&gt;=$G14,MOD(U$10-$G14,MAX($H14,1))=0),$F14,0),0)))</f>
        <v>1450000</v>
      </c>
      <c r="V14" s="50" t="n">
        <f aca="false">IF($E14="Ramped",IF(AND(V$10&gt;=$G14,V$10&lt;$G14+IF($H14=0,MaxYears,$H14)),$F14*V$11,0),IF($E14="One-off",IF(V$10=$G14,$F14,0),IF($E14="Periodic",IF(AND(V$10&gt;=$G14,MOD(V$10-$G14,MAX($H14,1))=0),$F14,0),0)))</f>
        <v>1450000</v>
      </c>
      <c r="W14" s="50" t="n">
        <f aca="false">IF($E14="Ramped",IF(AND(W$10&gt;=$G14,W$10&lt;$G14+IF($H14=0,MaxYears,$H14)),$F14*W$11,0),IF($E14="One-off",IF(W$10=$G14,$F14,0),IF($E14="Periodic",IF(AND(W$10&gt;=$G14,MOD(W$10-$G14,MAX($H14,1))=0),$F14,0),0)))</f>
        <v>1450000</v>
      </c>
      <c r="X14" s="50" t="n">
        <f aca="false">IF($E14="Ramped",IF(AND(X$10&gt;=$G14,X$10&lt;$G14+IF($H14=0,MaxYears,$H14)),$F14*X$11,0),IF($E14="One-off",IF(X$10=$G14,$F14,0),IF($E14="Periodic",IF(AND(X$10&gt;=$G14,MOD(X$10-$G14,MAX($H14,1))=0),$F14,0),0)))</f>
        <v>1450000</v>
      </c>
      <c r="Y14" s="50" t="n">
        <f aca="false">IF($E14="Ramped",IF(AND(Y$10&gt;=$G14,Y$10&lt;$G14+IF($H14=0,MaxYears,$H14)),$F14*Y$11,0),IF($E14="One-off",IF(Y$10=$G14,$F14,0),IF($E14="Periodic",IF(AND(Y$10&gt;=$G14,MOD(Y$10-$G14,MAX($H14,1))=0),$F14,0),0)))</f>
        <v>1450000</v>
      </c>
      <c r="Z14" s="50" t="n">
        <f aca="false">IF($E14="Ramped",IF(AND(Z$10&gt;=$G14,Z$10&lt;$G14+IF($H14=0,MaxYears,$H14)),$F14*Z$11,0),IF($E14="One-off",IF(Z$10=$G14,$F14,0),IF($E14="Periodic",IF(AND(Z$10&gt;=$G14,MOD(Z$10-$G14,MAX($H14,1))=0),$F14,0),0)))</f>
        <v>1450000</v>
      </c>
      <c r="AA14" s="50" t="n">
        <f aca="false">IF($E14="Ramped",IF(AND(AA$10&gt;=$G14,AA$10&lt;$G14+IF($H14=0,MaxYears,$H14)),$F14*AA$11,0),IF($E14="One-off",IF(AA$10=$G14,$F14,0),IF($E14="Periodic",IF(AND(AA$10&gt;=$G14,MOD(AA$10-$G14,MAX($H14,1))=0),$F14,0),0)))</f>
        <v>1450000</v>
      </c>
      <c r="AB14" s="50" t="n">
        <f aca="false">IF($E14="Ramped",IF(AND(AB$10&gt;=$G14,AB$10&lt;$G14+IF($H14=0,MaxYears,$H14)),$F14*AB$11,0),IF($E14="One-off",IF(AB$10=$G14,$F14,0),IF($E14="Periodic",IF(AND(AB$10&gt;=$G14,MOD(AB$10-$G14,MAX($H14,1))=0),$F14,0),0)))</f>
        <v>1450000</v>
      </c>
      <c r="AC14" s="50" t="n">
        <f aca="false">IF($E14="Ramped",IF(AND(AC$10&gt;=$G14,AC$10&lt;$G14+IF($H14=0,MaxYears,$H14)),$F14*AC$11,0),IF($E14="One-off",IF(AC$10=$G14,$F14,0),IF($E14="Periodic",IF(AND(AC$10&gt;=$G14,MOD(AC$10-$G14,MAX($H14,1))=0),$F14,0),0)))</f>
        <v>1450000</v>
      </c>
      <c r="AD14" s="50" t="n">
        <f aca="false">IF($E14="Ramped",IF(AND(AD$10&gt;=$G14,AD$10&lt;$G14+IF($H14=0,MaxYears,$H14)),$F14*AD$11,0),IF($E14="One-off",IF(AD$10=$G14,$F14,0),IF($E14="Periodic",IF(AND(AD$10&gt;=$G14,MOD(AD$10-$G14,MAX($H14,1))=0),$F14,0),0)))</f>
        <v>1450000</v>
      </c>
      <c r="AE14" s="50" t="n">
        <f aca="false">IF($E14="Ramped",IF(AND(AE$10&gt;=$G14,AE$10&lt;$G14+IF($H14=0,MaxYears,$H14)),$F14*AE$11,0),IF($E14="One-off",IF(AE$10=$G14,$F14,0),IF($E14="Periodic",IF(AND(AE$10&gt;=$G14,MOD(AE$10-$G14,MAX($H14,1))=0),$F14,0),0)))</f>
        <v>1450000</v>
      </c>
      <c r="AF14" s="50" t="n">
        <f aca="false">IF($E14="Ramped",IF(AND(AF$10&gt;=$G14,AF$10&lt;$G14+IF($H14=0,MaxYears,$H14)),$F14*AF$11,0),IF($E14="One-off",IF(AF$10=$G14,$F14,0),IF($E14="Periodic",IF(AND(AF$10&gt;=$G14,MOD(AF$10-$G14,MAX($H14,1))=0),$F14,0),0)))</f>
        <v>1450000</v>
      </c>
      <c r="AG14" s="50" t="n">
        <f aca="false">IF($E14="Ramped",IF(AND(AG$10&gt;=$G14,AG$10&lt;$G14+IF($H14=0,MaxYears,$H14)),$F14*AG$11,0),IF($E14="One-off",IF(AG$10=$G14,$F14,0),IF($E14="Periodic",IF(AND(AG$10&gt;=$G14,MOD(AG$10-$G14,MAX($H14,1))=0),$F14,0),0)))</f>
        <v>1450000</v>
      </c>
      <c r="AH14" s="50" t="n">
        <f aca="false">IF($E14="Ramped",IF(AND(AH$10&gt;=$G14,AH$10&lt;$G14+IF($H14=0,MaxYears,$H14)),$F14*AH$11,0),IF($E14="One-off",IF(AH$10=$G14,$F14,0),IF($E14="Periodic",IF(AND(AH$10&gt;=$G14,MOD(AH$10-$G14,MAX($H14,1))=0),$F14,0),0)))</f>
        <v>1450000</v>
      </c>
      <c r="AI14" s="50" t="n">
        <f aca="false">IF($E14="Ramped",IF(AND(AI$10&gt;=$G14,AI$10&lt;$G14+IF($H14=0,MaxYears,$H14)),$F14*AI$11,0),IF($E14="One-off",IF(AI$10=$G14,$F14,0),IF($E14="Periodic",IF(AND(AI$10&gt;=$G14,MOD(AI$10-$G14,MAX($H14,1))=0),$F14,0),0)))</f>
        <v>1450000</v>
      </c>
      <c r="AJ14" s="50" t="n">
        <f aca="false">IF($E14="Ramped",IF(AND(AJ$10&gt;=$G14,AJ$10&lt;$G14+IF($H14=0,MaxYears,$H14)),$F14*AJ$11,0),IF($E14="One-off",IF(AJ$10=$G14,$F14,0),IF($E14="Periodic",IF(AND(AJ$10&gt;=$G14,MOD(AJ$10-$G14,MAX($H14,1))=0),$F14,0),0)))</f>
        <v>1450000</v>
      </c>
      <c r="AK14" s="50" t="n">
        <f aca="false">IF($E14="Ramped",IF(AND(AK$10&gt;=$G14,AK$10&lt;$G14+IF($H14=0,MaxYears,$H14)),$F14*AK$11,0),IF($E14="One-off",IF(AK$10=$G14,$F14,0),IF($E14="Periodic",IF(AND(AK$10&gt;=$G14,MOD(AK$10-$G14,MAX($H14,1))=0),$F14,0),0)))</f>
        <v>1450000</v>
      </c>
      <c r="AL14" s="50" t="n">
        <f aca="false">IF($E14="Ramped",IF(AND(AL$10&gt;=$G14,AL$10&lt;$G14+IF($H14=0,MaxYears,$H14)),$F14*AL$11,0),IF($E14="One-off",IF(AL$10=$G14,$F14,0),IF($E14="Periodic",IF(AND(AL$10&gt;=$G14,MOD(AL$10-$G14,MAX($H14,1))=0),$F14,0),0)))</f>
        <v>1450000</v>
      </c>
      <c r="AM14" s="50" t="n">
        <f aca="false">IF($E14="Ramped",IF(AND(AM$10&gt;=$G14,AM$10&lt;$G14+IF($H14=0,MaxYears,$H14)),$F14*AM$11,0),IF($E14="One-off",IF(AM$10=$G14,$F14,0),IF($E14="Periodic",IF(AND(AM$10&gt;=$G14,MOD(AM$10-$G14,MAX($H14,1))=0),$F14,0),0)))</f>
        <v>1450000</v>
      </c>
      <c r="AN14" s="50" t="n">
        <f aca="false">IF($E14="Ramped",IF(AND(AN$10&gt;=$G14,AN$10&lt;$G14+IF($H14=0,MaxYears,$H14)),$F14*AN$11,0),IF($E14="One-off",IF(AN$10=$G14,$F14,0),IF($E14="Periodic",IF(AND(AN$10&gt;=$G14,MOD(AN$10-$G14,MAX($H14,1))=0),$F14,0),0)))</f>
        <v>1450000</v>
      </c>
      <c r="AO14" s="50" t="n">
        <f aca="false">IF($E14="Ramped",IF(AND(AO$10&gt;=$G14,AO$10&lt;$G14+IF($H14=0,MaxYears,$H14)),$F14*AO$11,0),IF($E14="One-off",IF(AO$10=$G14,$F14,0),IF($E14="Periodic",IF(AND(AO$10&gt;=$G14,MOD(AO$10-$G14,MAX($H14,1))=0),$F14,0),0)))</f>
        <v>1450000</v>
      </c>
      <c r="AP14" s="50" t="n">
        <f aca="false">IF($E14="Ramped",IF(AND(AP$10&gt;=$G14,AP$10&lt;$G14+IF($H14=0,MaxYears,$H14)),$F14*AP$11,0),IF($E14="One-off",IF(AP$10=$G14,$F14,0),IF($E14="Periodic",IF(AND(AP$10&gt;=$G14,MOD(AP$10-$G14,MAX($H14,1))=0),$F14,0),0)))</f>
        <v>1450000</v>
      </c>
      <c r="AQ14" s="50" t="n">
        <f aca="false">IF($E14="Ramped",IF(AND(AQ$10&gt;=$G14,AQ$10&lt;$G14+IF($H14=0,MaxYears,$H14)),$F14*AQ$11,0),IF($E14="One-off",IF(AQ$10=$G14,$F14,0),IF($E14="Periodic",IF(AND(AQ$10&gt;=$G14,MOD(AQ$10-$G14,MAX($H14,1))=0),$F14,0),0)))</f>
        <v>1450000</v>
      </c>
      <c r="AR14" s="50" t="n">
        <f aca="false">IF($E14="Ramped",IF(AND(AR$10&gt;=$G14,AR$10&lt;$G14+IF($H14=0,MaxYears,$H14)),$F14*AR$11,0),IF($E14="One-off",IF(AR$10=$G14,$F14,0),IF($E14="Periodic",IF(AND(AR$10&gt;=$G14,MOD(AR$10-$G14,MAX($H14,1))=0),$F14,0),0)))</f>
        <v>1450000</v>
      </c>
      <c r="AS14" s="50" t="n">
        <f aca="false">IF($E14="Ramped",IF(AND(AS$10&gt;=$G14,AS$10&lt;$G14+IF($H14=0,MaxYears,$H14)),$F14*AS$11,0),IF($E14="One-off",IF(AS$10=$G14,$F14,0),IF($E14="Periodic",IF(AND(AS$10&gt;=$G14,MOD(AS$10-$G14,MAX($H14,1))=0),$F14,0),0)))</f>
        <v>1450000</v>
      </c>
      <c r="AT14" s="50" t="n">
        <f aca="false">IF($E14="Ramped",IF(AND(AT$10&gt;=$G14,AT$10&lt;$G14+IF($H14=0,MaxYears,$H14)),$F14*AT$11,0),IF($E14="One-off",IF(AT$10=$G14,$F14,0),IF($E14="Periodic",IF(AND(AT$10&gt;=$G14,MOD(AT$10-$G14,MAX($H14,1))=0),$F14,0),0)))</f>
        <v>1450000</v>
      </c>
      <c r="AU14" s="50" t="n">
        <f aca="false">IF($E14="Ramped",IF(AND(AU$10&gt;=$G14,AU$10&lt;$G14+IF($H14=0,MaxYears,$H14)),$F14*AU$11,0),IF($E14="One-off",IF(AU$10=$G14,$F14,0),IF($E14="Periodic",IF(AND(AU$10&gt;=$G14,MOD(AU$10-$G14,MAX($H14,1))=0),$F14,0),0)))</f>
        <v>1450000</v>
      </c>
      <c r="AV14" s="50" t="n">
        <f aca="false">IF($E14="Ramped",IF(AND(AV$10&gt;=$G14,AV$10&lt;$G14+IF($H14=0,MaxYears,$H14)),$F14*AV$11,0),IF($E14="One-off",IF(AV$10=$G14,$F14,0),IF($E14="Periodic",IF(AND(AV$10&gt;=$G14,MOD(AV$10-$G14,MAX($H14,1))=0),$F14,0),0)))</f>
        <v>1450000</v>
      </c>
      <c r="AW14" s="50" t="n">
        <f aca="false">IF($E14="Ramped",IF(AND(AW$10&gt;=$G14,AW$10&lt;$G14+IF($H14=0,MaxYears,$H14)),$F14*AW$11,0),IF($E14="One-off",IF(AW$10=$G14,$F14,0),IF($E14="Periodic",IF(AND(AW$10&gt;=$G14,MOD(AW$10-$G14,MAX($H14,1))=0),$F14,0),0)))</f>
        <v>1450000</v>
      </c>
      <c r="AX14" s="50" t="n">
        <f aca="false">IF($E14="Ramped",IF(AND(AX$10&gt;=$G14,AX$10&lt;$G14+IF($H14=0,MaxYears,$H14)),$F14*AX$11,0),IF($E14="One-off",IF(AX$10=$G14,$F14,0),IF($E14="Periodic",IF(AND(AX$10&gt;=$G14,MOD(AX$10-$G14,MAX($H14,1))=0),$F14,0),0)))</f>
        <v>1450000</v>
      </c>
      <c r="AY14" s="50" t="n">
        <f aca="false">IF($E14="Ramped",IF(AND(AY$10&gt;=$G14,AY$10&lt;$G14+IF($H14=0,MaxYears,$H14)),$F14*AY$11,0),IF($E14="One-off",IF(AY$10=$G14,$F14,0),IF($E14="Periodic",IF(AND(AY$10&gt;=$G14,MOD(AY$10-$G14,MAX($H14,1))=0),$F14,0),0)))</f>
        <v>1450000</v>
      </c>
      <c r="AZ14" s="50" t="n">
        <f aca="false">IF($E14="Ramped",IF(AND(AZ$10&gt;=$G14,AZ$10&lt;$G14+IF($H14=0,MaxYears,$H14)),$F14*AZ$11,0),IF($E14="One-off",IF(AZ$10=$G14,$F14,0),IF($E14="Periodic",IF(AND(AZ$10&gt;=$G14,MOD(AZ$10-$G14,MAX($H14,1))=0),$F14,0),0)))</f>
        <v>1450000</v>
      </c>
    </row>
    <row r="15" customFormat="false" ht="27.75" hidden="false" customHeight="true" outlineLevel="0" collapsed="false">
      <c r="B15" s="25" t="s">
        <v>384</v>
      </c>
      <c r="C15" s="45" t="s">
        <v>385</v>
      </c>
      <c r="D15" s="45" t="s">
        <v>386</v>
      </c>
      <c r="E15" s="46" t="s">
        <v>377</v>
      </c>
      <c r="F15" s="47" t="n">
        <v>1150000</v>
      </c>
      <c r="G15" s="51" t="n">
        <f aca="false">ConstrYears</f>
        <v>3</v>
      </c>
      <c r="H15" s="48" t="n">
        <v>0</v>
      </c>
      <c r="I15" s="45" t="s">
        <v>387</v>
      </c>
      <c r="J15" s="45" t="s">
        <v>388</v>
      </c>
      <c r="K15" s="46" t="s">
        <v>260</v>
      </c>
      <c r="L15" s="49" t="n">
        <f aca="false">SUM(M15:AZ15)</f>
        <v>41400000</v>
      </c>
      <c r="M15" s="50" t="n">
        <f aca="false">IF($E15="Ramped",IF(AND(M$10&gt;=$G15,M$10&lt;$G15+IF($H15=0,MaxYears,$H15)),$F15*M$11,0),IF($E15="One-off",IF(M$10=$G15,$F15,0),IF($E15="Periodic",IF(AND(M$10&gt;=$G15,MOD(M$10-$G15,MAX($H15,1))=0),$F15,0),0)))</f>
        <v>0</v>
      </c>
      <c r="N15" s="50" t="n">
        <f aca="false">IF($E15="Ramped",IF(AND(N$10&gt;=$G15,N$10&lt;$G15+IF($H15=0,MaxYears,$H15)),$F15*N$11,0),IF($E15="One-off",IF(N$10=$G15,$F15,0),IF($E15="Periodic",IF(AND(N$10&gt;=$G15,MOD(N$10-$G15,MAX($H15,1))=0),$F15,0),0)))</f>
        <v>0</v>
      </c>
      <c r="O15" s="50" t="n">
        <f aca="false">IF($E15="Ramped",IF(AND(O$10&gt;=$G15,O$10&lt;$G15+IF($H15=0,MaxYears,$H15)),$F15*O$11,0),IF($E15="One-off",IF(O$10=$G15,$F15,0),IF($E15="Periodic",IF(AND(O$10&gt;=$G15,MOD(O$10-$G15,MAX($H15,1))=0),$F15,0),0)))</f>
        <v>0</v>
      </c>
      <c r="P15" s="50" t="n">
        <f aca="false">IF($E15="Ramped",IF(AND(P$10&gt;=$G15,P$10&lt;$G15+IF($H15=0,MaxYears,$H15)),$F15*P$11,0),IF($E15="One-off",IF(P$10=$G15,$F15,0),IF($E15="Periodic",IF(AND(P$10&gt;=$G15,MOD(P$10-$G15,MAX($H15,1))=0),$F15,0),0)))</f>
        <v>383333.333333333</v>
      </c>
      <c r="Q15" s="50" t="n">
        <f aca="false">IF($E15="Ramped",IF(AND(Q$10&gt;=$G15,Q$10&lt;$G15+IF($H15=0,MaxYears,$H15)),$F15*Q$11,0),IF($E15="One-off",IF(Q$10=$G15,$F15,0),IF($E15="Periodic",IF(AND(Q$10&gt;=$G15,MOD(Q$10-$G15,MAX($H15,1))=0),$F15,0),0)))</f>
        <v>766666.666666667</v>
      </c>
      <c r="R15" s="50" t="n">
        <f aca="false">IF($E15="Ramped",IF(AND(R$10&gt;=$G15,R$10&lt;$G15+IF($H15=0,MaxYears,$H15)),$F15*R$11,0),IF($E15="One-off",IF(R$10=$G15,$F15,0),IF($E15="Periodic",IF(AND(R$10&gt;=$G15,MOD(R$10-$G15,MAX($H15,1))=0),$F15,0),0)))</f>
        <v>1150000</v>
      </c>
      <c r="S15" s="50" t="n">
        <f aca="false">IF($E15="Ramped",IF(AND(S$10&gt;=$G15,S$10&lt;$G15+IF($H15=0,MaxYears,$H15)),$F15*S$11,0),IF($E15="One-off",IF(S$10=$G15,$F15,0),IF($E15="Periodic",IF(AND(S$10&gt;=$G15,MOD(S$10-$G15,MAX($H15,1))=0),$F15,0),0)))</f>
        <v>1150000</v>
      </c>
      <c r="T15" s="50" t="n">
        <f aca="false">IF($E15="Ramped",IF(AND(T$10&gt;=$G15,T$10&lt;$G15+IF($H15=0,MaxYears,$H15)),$F15*T$11,0),IF($E15="One-off",IF(T$10=$G15,$F15,0),IF($E15="Periodic",IF(AND(T$10&gt;=$G15,MOD(T$10-$G15,MAX($H15,1))=0),$F15,0),0)))</f>
        <v>1150000</v>
      </c>
      <c r="U15" s="50" t="n">
        <f aca="false">IF($E15="Ramped",IF(AND(U$10&gt;=$G15,U$10&lt;$G15+IF($H15=0,MaxYears,$H15)),$F15*U$11,0),IF($E15="One-off",IF(U$10=$G15,$F15,0),IF($E15="Periodic",IF(AND(U$10&gt;=$G15,MOD(U$10-$G15,MAX($H15,1))=0),$F15,0),0)))</f>
        <v>1150000</v>
      </c>
      <c r="V15" s="50" t="n">
        <f aca="false">IF($E15="Ramped",IF(AND(V$10&gt;=$G15,V$10&lt;$G15+IF($H15=0,MaxYears,$H15)),$F15*V$11,0),IF($E15="One-off",IF(V$10=$G15,$F15,0),IF($E15="Periodic",IF(AND(V$10&gt;=$G15,MOD(V$10-$G15,MAX($H15,1))=0),$F15,0),0)))</f>
        <v>1150000</v>
      </c>
      <c r="W15" s="50" t="n">
        <f aca="false">IF($E15="Ramped",IF(AND(W$10&gt;=$G15,W$10&lt;$G15+IF($H15=0,MaxYears,$H15)),$F15*W$11,0),IF($E15="One-off",IF(W$10=$G15,$F15,0),IF($E15="Periodic",IF(AND(W$10&gt;=$G15,MOD(W$10-$G15,MAX($H15,1))=0),$F15,0),0)))</f>
        <v>1150000</v>
      </c>
      <c r="X15" s="50" t="n">
        <f aca="false">IF($E15="Ramped",IF(AND(X$10&gt;=$G15,X$10&lt;$G15+IF($H15=0,MaxYears,$H15)),$F15*X$11,0),IF($E15="One-off",IF(X$10=$G15,$F15,0),IF($E15="Periodic",IF(AND(X$10&gt;=$G15,MOD(X$10-$G15,MAX($H15,1))=0),$F15,0),0)))</f>
        <v>1150000</v>
      </c>
      <c r="Y15" s="50" t="n">
        <f aca="false">IF($E15="Ramped",IF(AND(Y$10&gt;=$G15,Y$10&lt;$G15+IF($H15=0,MaxYears,$H15)),$F15*Y$11,0),IF($E15="One-off",IF(Y$10=$G15,$F15,0),IF($E15="Periodic",IF(AND(Y$10&gt;=$G15,MOD(Y$10-$G15,MAX($H15,1))=0),$F15,0),0)))</f>
        <v>1150000</v>
      </c>
      <c r="Z15" s="50" t="n">
        <f aca="false">IF($E15="Ramped",IF(AND(Z$10&gt;=$G15,Z$10&lt;$G15+IF($H15=0,MaxYears,$H15)),$F15*Z$11,0),IF($E15="One-off",IF(Z$10=$G15,$F15,0),IF($E15="Periodic",IF(AND(Z$10&gt;=$G15,MOD(Z$10-$G15,MAX($H15,1))=0),$F15,0),0)))</f>
        <v>1150000</v>
      </c>
      <c r="AA15" s="50" t="n">
        <f aca="false">IF($E15="Ramped",IF(AND(AA$10&gt;=$G15,AA$10&lt;$G15+IF($H15=0,MaxYears,$H15)),$F15*AA$11,0),IF($E15="One-off",IF(AA$10=$G15,$F15,0),IF($E15="Periodic",IF(AND(AA$10&gt;=$G15,MOD(AA$10-$G15,MAX($H15,1))=0),$F15,0),0)))</f>
        <v>1150000</v>
      </c>
      <c r="AB15" s="50" t="n">
        <f aca="false">IF($E15="Ramped",IF(AND(AB$10&gt;=$G15,AB$10&lt;$G15+IF($H15=0,MaxYears,$H15)),$F15*AB$11,0),IF($E15="One-off",IF(AB$10=$G15,$F15,0),IF($E15="Periodic",IF(AND(AB$10&gt;=$G15,MOD(AB$10-$G15,MAX($H15,1))=0),$F15,0),0)))</f>
        <v>1150000</v>
      </c>
      <c r="AC15" s="50" t="n">
        <f aca="false">IF($E15="Ramped",IF(AND(AC$10&gt;=$G15,AC$10&lt;$G15+IF($H15=0,MaxYears,$H15)),$F15*AC$11,0),IF($E15="One-off",IF(AC$10=$G15,$F15,0),IF($E15="Periodic",IF(AND(AC$10&gt;=$G15,MOD(AC$10-$G15,MAX($H15,1))=0),$F15,0),0)))</f>
        <v>1150000</v>
      </c>
      <c r="AD15" s="50" t="n">
        <f aca="false">IF($E15="Ramped",IF(AND(AD$10&gt;=$G15,AD$10&lt;$G15+IF($H15=0,MaxYears,$H15)),$F15*AD$11,0),IF($E15="One-off",IF(AD$10=$G15,$F15,0),IF($E15="Periodic",IF(AND(AD$10&gt;=$G15,MOD(AD$10-$G15,MAX($H15,1))=0),$F15,0),0)))</f>
        <v>1150000</v>
      </c>
      <c r="AE15" s="50" t="n">
        <f aca="false">IF($E15="Ramped",IF(AND(AE$10&gt;=$G15,AE$10&lt;$G15+IF($H15=0,MaxYears,$H15)),$F15*AE$11,0),IF($E15="One-off",IF(AE$10=$G15,$F15,0),IF($E15="Periodic",IF(AND(AE$10&gt;=$G15,MOD(AE$10-$G15,MAX($H15,1))=0),$F15,0),0)))</f>
        <v>1150000</v>
      </c>
      <c r="AF15" s="50" t="n">
        <f aca="false">IF($E15="Ramped",IF(AND(AF$10&gt;=$G15,AF$10&lt;$G15+IF($H15=0,MaxYears,$H15)),$F15*AF$11,0),IF($E15="One-off",IF(AF$10=$G15,$F15,0),IF($E15="Periodic",IF(AND(AF$10&gt;=$G15,MOD(AF$10-$G15,MAX($H15,1))=0),$F15,0),0)))</f>
        <v>1150000</v>
      </c>
      <c r="AG15" s="50" t="n">
        <f aca="false">IF($E15="Ramped",IF(AND(AG$10&gt;=$G15,AG$10&lt;$G15+IF($H15=0,MaxYears,$H15)),$F15*AG$11,0),IF($E15="One-off",IF(AG$10=$G15,$F15,0),IF($E15="Periodic",IF(AND(AG$10&gt;=$G15,MOD(AG$10-$G15,MAX($H15,1))=0),$F15,0),0)))</f>
        <v>1150000</v>
      </c>
      <c r="AH15" s="50" t="n">
        <f aca="false">IF($E15="Ramped",IF(AND(AH$10&gt;=$G15,AH$10&lt;$G15+IF($H15=0,MaxYears,$H15)),$F15*AH$11,0),IF($E15="One-off",IF(AH$10=$G15,$F15,0),IF($E15="Periodic",IF(AND(AH$10&gt;=$G15,MOD(AH$10-$G15,MAX($H15,1))=0),$F15,0),0)))</f>
        <v>1150000</v>
      </c>
      <c r="AI15" s="50" t="n">
        <f aca="false">IF($E15="Ramped",IF(AND(AI$10&gt;=$G15,AI$10&lt;$G15+IF($H15=0,MaxYears,$H15)),$F15*AI$11,0),IF($E15="One-off",IF(AI$10=$G15,$F15,0),IF($E15="Periodic",IF(AND(AI$10&gt;=$G15,MOD(AI$10-$G15,MAX($H15,1))=0),$F15,0),0)))</f>
        <v>1150000</v>
      </c>
      <c r="AJ15" s="50" t="n">
        <f aca="false">IF($E15="Ramped",IF(AND(AJ$10&gt;=$G15,AJ$10&lt;$G15+IF($H15=0,MaxYears,$H15)),$F15*AJ$11,0),IF($E15="One-off",IF(AJ$10=$G15,$F15,0),IF($E15="Periodic",IF(AND(AJ$10&gt;=$G15,MOD(AJ$10-$G15,MAX($H15,1))=0),$F15,0),0)))</f>
        <v>1150000</v>
      </c>
      <c r="AK15" s="50" t="n">
        <f aca="false">IF($E15="Ramped",IF(AND(AK$10&gt;=$G15,AK$10&lt;$G15+IF($H15=0,MaxYears,$H15)),$F15*AK$11,0),IF($E15="One-off",IF(AK$10=$G15,$F15,0),IF($E15="Periodic",IF(AND(AK$10&gt;=$G15,MOD(AK$10-$G15,MAX($H15,1))=0),$F15,0),0)))</f>
        <v>1150000</v>
      </c>
      <c r="AL15" s="50" t="n">
        <f aca="false">IF($E15="Ramped",IF(AND(AL$10&gt;=$G15,AL$10&lt;$G15+IF($H15=0,MaxYears,$H15)),$F15*AL$11,0),IF($E15="One-off",IF(AL$10=$G15,$F15,0),IF($E15="Periodic",IF(AND(AL$10&gt;=$G15,MOD(AL$10-$G15,MAX($H15,1))=0),$F15,0),0)))</f>
        <v>1150000</v>
      </c>
      <c r="AM15" s="50" t="n">
        <f aca="false">IF($E15="Ramped",IF(AND(AM$10&gt;=$G15,AM$10&lt;$G15+IF($H15=0,MaxYears,$H15)),$F15*AM$11,0),IF($E15="One-off",IF(AM$10=$G15,$F15,0),IF($E15="Periodic",IF(AND(AM$10&gt;=$G15,MOD(AM$10-$G15,MAX($H15,1))=0),$F15,0),0)))</f>
        <v>1150000</v>
      </c>
      <c r="AN15" s="50" t="n">
        <f aca="false">IF($E15="Ramped",IF(AND(AN$10&gt;=$G15,AN$10&lt;$G15+IF($H15=0,MaxYears,$H15)),$F15*AN$11,0),IF($E15="One-off",IF(AN$10=$G15,$F15,0),IF($E15="Periodic",IF(AND(AN$10&gt;=$G15,MOD(AN$10-$G15,MAX($H15,1))=0),$F15,0),0)))</f>
        <v>1150000</v>
      </c>
      <c r="AO15" s="50" t="n">
        <f aca="false">IF($E15="Ramped",IF(AND(AO$10&gt;=$G15,AO$10&lt;$G15+IF($H15=0,MaxYears,$H15)),$F15*AO$11,0),IF($E15="One-off",IF(AO$10=$G15,$F15,0),IF($E15="Periodic",IF(AND(AO$10&gt;=$G15,MOD(AO$10-$G15,MAX($H15,1))=0),$F15,0),0)))</f>
        <v>1150000</v>
      </c>
      <c r="AP15" s="50" t="n">
        <f aca="false">IF($E15="Ramped",IF(AND(AP$10&gt;=$G15,AP$10&lt;$G15+IF($H15=0,MaxYears,$H15)),$F15*AP$11,0),IF($E15="One-off",IF(AP$10=$G15,$F15,0),IF($E15="Periodic",IF(AND(AP$10&gt;=$G15,MOD(AP$10-$G15,MAX($H15,1))=0),$F15,0),0)))</f>
        <v>1150000</v>
      </c>
      <c r="AQ15" s="50" t="n">
        <f aca="false">IF($E15="Ramped",IF(AND(AQ$10&gt;=$G15,AQ$10&lt;$G15+IF($H15=0,MaxYears,$H15)),$F15*AQ$11,0),IF($E15="One-off",IF(AQ$10=$G15,$F15,0),IF($E15="Periodic",IF(AND(AQ$10&gt;=$G15,MOD(AQ$10-$G15,MAX($H15,1))=0),$F15,0),0)))</f>
        <v>1150000</v>
      </c>
      <c r="AR15" s="50" t="n">
        <f aca="false">IF($E15="Ramped",IF(AND(AR$10&gt;=$G15,AR$10&lt;$G15+IF($H15=0,MaxYears,$H15)),$F15*AR$11,0),IF($E15="One-off",IF(AR$10=$G15,$F15,0),IF($E15="Periodic",IF(AND(AR$10&gt;=$G15,MOD(AR$10-$G15,MAX($H15,1))=0),$F15,0),0)))</f>
        <v>1150000</v>
      </c>
      <c r="AS15" s="50" t="n">
        <f aca="false">IF($E15="Ramped",IF(AND(AS$10&gt;=$G15,AS$10&lt;$G15+IF($H15=0,MaxYears,$H15)),$F15*AS$11,0),IF($E15="One-off",IF(AS$10=$G15,$F15,0),IF($E15="Periodic",IF(AND(AS$10&gt;=$G15,MOD(AS$10-$G15,MAX($H15,1))=0),$F15,0),0)))</f>
        <v>1150000</v>
      </c>
      <c r="AT15" s="50" t="n">
        <f aca="false">IF($E15="Ramped",IF(AND(AT$10&gt;=$G15,AT$10&lt;$G15+IF($H15=0,MaxYears,$H15)),$F15*AT$11,0),IF($E15="One-off",IF(AT$10=$G15,$F15,0),IF($E15="Periodic",IF(AND(AT$10&gt;=$G15,MOD(AT$10-$G15,MAX($H15,1))=0),$F15,0),0)))</f>
        <v>1150000</v>
      </c>
      <c r="AU15" s="50" t="n">
        <f aca="false">IF($E15="Ramped",IF(AND(AU$10&gt;=$G15,AU$10&lt;$G15+IF($H15=0,MaxYears,$H15)),$F15*AU$11,0),IF($E15="One-off",IF(AU$10=$G15,$F15,0),IF($E15="Periodic",IF(AND(AU$10&gt;=$G15,MOD(AU$10-$G15,MAX($H15,1))=0),$F15,0),0)))</f>
        <v>1150000</v>
      </c>
      <c r="AV15" s="50" t="n">
        <f aca="false">IF($E15="Ramped",IF(AND(AV$10&gt;=$G15,AV$10&lt;$G15+IF($H15=0,MaxYears,$H15)),$F15*AV$11,0),IF($E15="One-off",IF(AV$10=$G15,$F15,0),IF($E15="Periodic",IF(AND(AV$10&gt;=$G15,MOD(AV$10-$G15,MAX($H15,1))=0),$F15,0),0)))</f>
        <v>1150000</v>
      </c>
      <c r="AW15" s="50" t="n">
        <f aca="false">IF($E15="Ramped",IF(AND(AW$10&gt;=$G15,AW$10&lt;$G15+IF($H15=0,MaxYears,$H15)),$F15*AW$11,0),IF($E15="One-off",IF(AW$10=$G15,$F15,0),IF($E15="Periodic",IF(AND(AW$10&gt;=$G15,MOD(AW$10-$G15,MAX($H15,1))=0),$F15,0),0)))</f>
        <v>1150000</v>
      </c>
      <c r="AX15" s="50" t="n">
        <f aca="false">IF($E15="Ramped",IF(AND(AX$10&gt;=$G15,AX$10&lt;$G15+IF($H15=0,MaxYears,$H15)),$F15*AX$11,0),IF($E15="One-off",IF(AX$10=$G15,$F15,0),IF($E15="Periodic",IF(AND(AX$10&gt;=$G15,MOD(AX$10-$G15,MAX($H15,1))=0),$F15,0),0)))</f>
        <v>1150000</v>
      </c>
      <c r="AY15" s="50" t="n">
        <f aca="false">IF($E15="Ramped",IF(AND(AY$10&gt;=$G15,AY$10&lt;$G15+IF($H15=0,MaxYears,$H15)),$F15*AY$11,0),IF($E15="One-off",IF(AY$10=$G15,$F15,0),IF($E15="Periodic",IF(AND(AY$10&gt;=$G15,MOD(AY$10-$G15,MAX($H15,1))=0),$F15,0),0)))</f>
        <v>1150000</v>
      </c>
      <c r="AZ15" s="50" t="n">
        <f aca="false">IF($E15="Ramped",IF(AND(AZ$10&gt;=$G15,AZ$10&lt;$G15+IF($H15=0,MaxYears,$H15)),$F15*AZ$11,0),IF($E15="One-off",IF(AZ$10=$G15,$F15,0),IF($E15="Periodic",IF(AND(AZ$10&gt;=$G15,MOD(AZ$10-$G15,MAX($H15,1))=0),$F15,0),0)))</f>
        <v>1150000</v>
      </c>
    </row>
    <row r="16" customFormat="false" ht="27.75" hidden="false" customHeight="true" outlineLevel="0" collapsed="false">
      <c r="B16" s="25" t="s">
        <v>389</v>
      </c>
      <c r="C16" s="45" t="s">
        <v>390</v>
      </c>
      <c r="D16" s="45" t="s">
        <v>391</v>
      </c>
      <c r="E16" s="46" t="s">
        <v>377</v>
      </c>
      <c r="F16" s="47" t="n">
        <v>2900000</v>
      </c>
      <c r="G16" s="51" t="n">
        <f aca="false">ConstrYears</f>
        <v>3</v>
      </c>
      <c r="H16" s="48" t="n">
        <v>0</v>
      </c>
      <c r="I16" s="45" t="s">
        <v>392</v>
      </c>
      <c r="J16" s="45" t="s">
        <v>393</v>
      </c>
      <c r="K16" s="46" t="s">
        <v>260</v>
      </c>
      <c r="L16" s="49" t="n">
        <f aca="false">SUM(M16:AZ16)</f>
        <v>104400000</v>
      </c>
      <c r="M16" s="50" t="n">
        <f aca="false">IF($E16="Ramped",IF(AND(M$10&gt;=$G16,M$10&lt;$G16+IF($H16=0,MaxYears,$H16)),$F16*M$11,0),IF($E16="One-off",IF(M$10=$G16,$F16,0),IF($E16="Periodic",IF(AND(M$10&gt;=$G16,MOD(M$10-$G16,MAX($H16,1))=0),$F16,0),0)))</f>
        <v>0</v>
      </c>
      <c r="N16" s="50" t="n">
        <f aca="false">IF($E16="Ramped",IF(AND(N$10&gt;=$G16,N$10&lt;$G16+IF($H16=0,MaxYears,$H16)),$F16*N$11,0),IF($E16="One-off",IF(N$10=$G16,$F16,0),IF($E16="Periodic",IF(AND(N$10&gt;=$G16,MOD(N$10-$G16,MAX($H16,1))=0),$F16,0),0)))</f>
        <v>0</v>
      </c>
      <c r="O16" s="50" t="n">
        <f aca="false">IF($E16="Ramped",IF(AND(O$10&gt;=$G16,O$10&lt;$G16+IF($H16=0,MaxYears,$H16)),$F16*O$11,0),IF($E16="One-off",IF(O$10=$G16,$F16,0),IF($E16="Periodic",IF(AND(O$10&gt;=$G16,MOD(O$10-$G16,MAX($H16,1))=0),$F16,0),0)))</f>
        <v>0</v>
      </c>
      <c r="P16" s="50" t="n">
        <f aca="false">IF($E16="Ramped",IF(AND(P$10&gt;=$G16,P$10&lt;$G16+IF($H16=0,MaxYears,$H16)),$F16*P$11,0),IF($E16="One-off",IF(P$10=$G16,$F16,0),IF($E16="Periodic",IF(AND(P$10&gt;=$G16,MOD(P$10-$G16,MAX($H16,1))=0),$F16,0),0)))</f>
        <v>966666.666666667</v>
      </c>
      <c r="Q16" s="50" t="n">
        <f aca="false">IF($E16="Ramped",IF(AND(Q$10&gt;=$G16,Q$10&lt;$G16+IF($H16=0,MaxYears,$H16)),$F16*Q$11,0),IF($E16="One-off",IF(Q$10=$G16,$F16,0),IF($E16="Periodic",IF(AND(Q$10&gt;=$G16,MOD(Q$10-$G16,MAX($H16,1))=0),$F16,0),0)))</f>
        <v>1933333.33333333</v>
      </c>
      <c r="R16" s="50" t="n">
        <f aca="false">IF($E16="Ramped",IF(AND(R$10&gt;=$G16,R$10&lt;$G16+IF($H16=0,MaxYears,$H16)),$F16*R$11,0),IF($E16="One-off",IF(R$10=$G16,$F16,0),IF($E16="Periodic",IF(AND(R$10&gt;=$G16,MOD(R$10-$G16,MAX($H16,1))=0),$F16,0),0)))</f>
        <v>2900000</v>
      </c>
      <c r="S16" s="50" t="n">
        <f aca="false">IF($E16="Ramped",IF(AND(S$10&gt;=$G16,S$10&lt;$G16+IF($H16=0,MaxYears,$H16)),$F16*S$11,0),IF($E16="One-off",IF(S$10=$G16,$F16,0),IF($E16="Periodic",IF(AND(S$10&gt;=$G16,MOD(S$10-$G16,MAX($H16,1))=0),$F16,0),0)))</f>
        <v>2900000</v>
      </c>
      <c r="T16" s="50" t="n">
        <f aca="false">IF($E16="Ramped",IF(AND(T$10&gt;=$G16,T$10&lt;$G16+IF($H16=0,MaxYears,$H16)),$F16*T$11,0),IF($E16="One-off",IF(T$10=$G16,$F16,0),IF($E16="Periodic",IF(AND(T$10&gt;=$G16,MOD(T$10-$G16,MAX($H16,1))=0),$F16,0),0)))</f>
        <v>2900000</v>
      </c>
      <c r="U16" s="50" t="n">
        <f aca="false">IF($E16="Ramped",IF(AND(U$10&gt;=$G16,U$10&lt;$G16+IF($H16=0,MaxYears,$H16)),$F16*U$11,0),IF($E16="One-off",IF(U$10=$G16,$F16,0),IF($E16="Periodic",IF(AND(U$10&gt;=$G16,MOD(U$10-$G16,MAX($H16,1))=0),$F16,0),0)))</f>
        <v>2900000</v>
      </c>
      <c r="V16" s="50" t="n">
        <f aca="false">IF($E16="Ramped",IF(AND(V$10&gt;=$G16,V$10&lt;$G16+IF($H16=0,MaxYears,$H16)),$F16*V$11,0),IF($E16="One-off",IF(V$10=$G16,$F16,0),IF($E16="Periodic",IF(AND(V$10&gt;=$G16,MOD(V$10-$G16,MAX($H16,1))=0),$F16,0),0)))</f>
        <v>2900000</v>
      </c>
      <c r="W16" s="50" t="n">
        <f aca="false">IF($E16="Ramped",IF(AND(W$10&gt;=$G16,W$10&lt;$G16+IF($H16=0,MaxYears,$H16)),$F16*W$11,0),IF($E16="One-off",IF(W$10=$G16,$F16,0),IF($E16="Periodic",IF(AND(W$10&gt;=$G16,MOD(W$10-$G16,MAX($H16,1))=0),$F16,0),0)))</f>
        <v>2900000</v>
      </c>
      <c r="X16" s="50" t="n">
        <f aca="false">IF($E16="Ramped",IF(AND(X$10&gt;=$G16,X$10&lt;$G16+IF($H16=0,MaxYears,$H16)),$F16*X$11,0),IF($E16="One-off",IF(X$10=$G16,$F16,0),IF($E16="Periodic",IF(AND(X$10&gt;=$G16,MOD(X$10-$G16,MAX($H16,1))=0),$F16,0),0)))</f>
        <v>2900000</v>
      </c>
      <c r="Y16" s="50" t="n">
        <f aca="false">IF($E16="Ramped",IF(AND(Y$10&gt;=$G16,Y$10&lt;$G16+IF($H16=0,MaxYears,$H16)),$F16*Y$11,0),IF($E16="One-off",IF(Y$10=$G16,$F16,0),IF($E16="Periodic",IF(AND(Y$10&gt;=$G16,MOD(Y$10-$G16,MAX($H16,1))=0),$F16,0),0)))</f>
        <v>2900000</v>
      </c>
      <c r="Z16" s="50" t="n">
        <f aca="false">IF($E16="Ramped",IF(AND(Z$10&gt;=$G16,Z$10&lt;$G16+IF($H16=0,MaxYears,$H16)),$F16*Z$11,0),IF($E16="One-off",IF(Z$10=$G16,$F16,0),IF($E16="Periodic",IF(AND(Z$10&gt;=$G16,MOD(Z$10-$G16,MAX($H16,1))=0),$F16,0),0)))</f>
        <v>2900000</v>
      </c>
      <c r="AA16" s="50" t="n">
        <f aca="false">IF($E16="Ramped",IF(AND(AA$10&gt;=$G16,AA$10&lt;$G16+IF($H16=0,MaxYears,$H16)),$F16*AA$11,0),IF($E16="One-off",IF(AA$10=$G16,$F16,0),IF($E16="Periodic",IF(AND(AA$10&gt;=$G16,MOD(AA$10-$G16,MAX($H16,1))=0),$F16,0),0)))</f>
        <v>2900000</v>
      </c>
      <c r="AB16" s="50" t="n">
        <f aca="false">IF($E16="Ramped",IF(AND(AB$10&gt;=$G16,AB$10&lt;$G16+IF($H16=0,MaxYears,$H16)),$F16*AB$11,0),IF($E16="One-off",IF(AB$10=$G16,$F16,0),IF($E16="Periodic",IF(AND(AB$10&gt;=$G16,MOD(AB$10-$G16,MAX($H16,1))=0),$F16,0),0)))</f>
        <v>2900000</v>
      </c>
      <c r="AC16" s="50" t="n">
        <f aca="false">IF($E16="Ramped",IF(AND(AC$10&gt;=$G16,AC$10&lt;$G16+IF($H16=0,MaxYears,$H16)),$F16*AC$11,0),IF($E16="One-off",IF(AC$10=$G16,$F16,0),IF($E16="Periodic",IF(AND(AC$10&gt;=$G16,MOD(AC$10-$G16,MAX($H16,1))=0),$F16,0),0)))</f>
        <v>2900000</v>
      </c>
      <c r="AD16" s="50" t="n">
        <f aca="false">IF($E16="Ramped",IF(AND(AD$10&gt;=$G16,AD$10&lt;$G16+IF($H16=0,MaxYears,$H16)),$F16*AD$11,0),IF($E16="One-off",IF(AD$10=$G16,$F16,0),IF($E16="Periodic",IF(AND(AD$10&gt;=$G16,MOD(AD$10-$G16,MAX($H16,1))=0),$F16,0),0)))</f>
        <v>2900000</v>
      </c>
      <c r="AE16" s="50" t="n">
        <f aca="false">IF($E16="Ramped",IF(AND(AE$10&gt;=$G16,AE$10&lt;$G16+IF($H16=0,MaxYears,$H16)),$F16*AE$11,0),IF($E16="One-off",IF(AE$10=$G16,$F16,0),IF($E16="Periodic",IF(AND(AE$10&gt;=$G16,MOD(AE$10-$G16,MAX($H16,1))=0),$F16,0),0)))</f>
        <v>2900000</v>
      </c>
      <c r="AF16" s="50" t="n">
        <f aca="false">IF($E16="Ramped",IF(AND(AF$10&gt;=$G16,AF$10&lt;$G16+IF($H16=0,MaxYears,$H16)),$F16*AF$11,0),IF($E16="One-off",IF(AF$10=$G16,$F16,0),IF($E16="Periodic",IF(AND(AF$10&gt;=$G16,MOD(AF$10-$G16,MAX($H16,1))=0),$F16,0),0)))</f>
        <v>2900000</v>
      </c>
      <c r="AG16" s="50" t="n">
        <f aca="false">IF($E16="Ramped",IF(AND(AG$10&gt;=$G16,AG$10&lt;$G16+IF($H16=0,MaxYears,$H16)),$F16*AG$11,0),IF($E16="One-off",IF(AG$10=$G16,$F16,0),IF($E16="Periodic",IF(AND(AG$10&gt;=$G16,MOD(AG$10-$G16,MAX($H16,1))=0),$F16,0),0)))</f>
        <v>2900000</v>
      </c>
      <c r="AH16" s="50" t="n">
        <f aca="false">IF($E16="Ramped",IF(AND(AH$10&gt;=$G16,AH$10&lt;$G16+IF($H16=0,MaxYears,$H16)),$F16*AH$11,0),IF($E16="One-off",IF(AH$10=$G16,$F16,0),IF($E16="Periodic",IF(AND(AH$10&gt;=$G16,MOD(AH$10-$G16,MAX($H16,1))=0),$F16,0),0)))</f>
        <v>2900000</v>
      </c>
      <c r="AI16" s="50" t="n">
        <f aca="false">IF($E16="Ramped",IF(AND(AI$10&gt;=$G16,AI$10&lt;$G16+IF($H16=0,MaxYears,$H16)),$F16*AI$11,0),IF($E16="One-off",IF(AI$10=$G16,$F16,0),IF($E16="Periodic",IF(AND(AI$10&gt;=$G16,MOD(AI$10-$G16,MAX($H16,1))=0),$F16,0),0)))</f>
        <v>2900000</v>
      </c>
      <c r="AJ16" s="50" t="n">
        <f aca="false">IF($E16="Ramped",IF(AND(AJ$10&gt;=$G16,AJ$10&lt;$G16+IF($H16=0,MaxYears,$H16)),$F16*AJ$11,0),IF($E16="One-off",IF(AJ$10=$G16,$F16,0),IF($E16="Periodic",IF(AND(AJ$10&gt;=$G16,MOD(AJ$10-$G16,MAX($H16,1))=0),$F16,0),0)))</f>
        <v>2900000</v>
      </c>
      <c r="AK16" s="50" t="n">
        <f aca="false">IF($E16="Ramped",IF(AND(AK$10&gt;=$G16,AK$10&lt;$G16+IF($H16=0,MaxYears,$H16)),$F16*AK$11,0),IF($E16="One-off",IF(AK$10=$G16,$F16,0),IF($E16="Periodic",IF(AND(AK$10&gt;=$G16,MOD(AK$10-$G16,MAX($H16,1))=0),$F16,0),0)))</f>
        <v>2900000</v>
      </c>
      <c r="AL16" s="50" t="n">
        <f aca="false">IF($E16="Ramped",IF(AND(AL$10&gt;=$G16,AL$10&lt;$G16+IF($H16=0,MaxYears,$H16)),$F16*AL$11,0),IF($E16="One-off",IF(AL$10=$G16,$F16,0),IF($E16="Periodic",IF(AND(AL$10&gt;=$G16,MOD(AL$10-$G16,MAX($H16,1))=0),$F16,0),0)))</f>
        <v>2900000</v>
      </c>
      <c r="AM16" s="50" t="n">
        <f aca="false">IF($E16="Ramped",IF(AND(AM$10&gt;=$G16,AM$10&lt;$G16+IF($H16=0,MaxYears,$H16)),$F16*AM$11,0),IF($E16="One-off",IF(AM$10=$G16,$F16,0),IF($E16="Periodic",IF(AND(AM$10&gt;=$G16,MOD(AM$10-$G16,MAX($H16,1))=0),$F16,0),0)))</f>
        <v>2900000</v>
      </c>
      <c r="AN16" s="50" t="n">
        <f aca="false">IF($E16="Ramped",IF(AND(AN$10&gt;=$G16,AN$10&lt;$G16+IF($H16=0,MaxYears,$H16)),$F16*AN$11,0),IF($E16="One-off",IF(AN$10=$G16,$F16,0),IF($E16="Periodic",IF(AND(AN$10&gt;=$G16,MOD(AN$10-$G16,MAX($H16,1))=0),$F16,0),0)))</f>
        <v>2900000</v>
      </c>
      <c r="AO16" s="50" t="n">
        <f aca="false">IF($E16="Ramped",IF(AND(AO$10&gt;=$G16,AO$10&lt;$G16+IF($H16=0,MaxYears,$H16)),$F16*AO$11,0),IF($E16="One-off",IF(AO$10=$G16,$F16,0),IF($E16="Periodic",IF(AND(AO$10&gt;=$G16,MOD(AO$10-$G16,MAX($H16,1))=0),$F16,0),0)))</f>
        <v>2900000</v>
      </c>
      <c r="AP16" s="50" t="n">
        <f aca="false">IF($E16="Ramped",IF(AND(AP$10&gt;=$G16,AP$10&lt;$G16+IF($H16=0,MaxYears,$H16)),$F16*AP$11,0),IF($E16="One-off",IF(AP$10=$G16,$F16,0),IF($E16="Periodic",IF(AND(AP$10&gt;=$G16,MOD(AP$10-$G16,MAX($H16,1))=0),$F16,0),0)))</f>
        <v>2900000</v>
      </c>
      <c r="AQ16" s="50" t="n">
        <f aca="false">IF($E16="Ramped",IF(AND(AQ$10&gt;=$G16,AQ$10&lt;$G16+IF($H16=0,MaxYears,$H16)),$F16*AQ$11,0),IF($E16="One-off",IF(AQ$10=$G16,$F16,0),IF($E16="Periodic",IF(AND(AQ$10&gt;=$G16,MOD(AQ$10-$G16,MAX($H16,1))=0),$F16,0),0)))</f>
        <v>2900000</v>
      </c>
      <c r="AR16" s="50" t="n">
        <f aca="false">IF($E16="Ramped",IF(AND(AR$10&gt;=$G16,AR$10&lt;$G16+IF($H16=0,MaxYears,$H16)),$F16*AR$11,0),IF($E16="One-off",IF(AR$10=$G16,$F16,0),IF($E16="Periodic",IF(AND(AR$10&gt;=$G16,MOD(AR$10-$G16,MAX($H16,1))=0),$F16,0),0)))</f>
        <v>2900000</v>
      </c>
      <c r="AS16" s="50" t="n">
        <f aca="false">IF($E16="Ramped",IF(AND(AS$10&gt;=$G16,AS$10&lt;$G16+IF($H16=0,MaxYears,$H16)),$F16*AS$11,0),IF($E16="One-off",IF(AS$10=$G16,$F16,0),IF($E16="Periodic",IF(AND(AS$10&gt;=$G16,MOD(AS$10-$G16,MAX($H16,1))=0),$F16,0),0)))</f>
        <v>2900000</v>
      </c>
      <c r="AT16" s="50" t="n">
        <f aca="false">IF($E16="Ramped",IF(AND(AT$10&gt;=$G16,AT$10&lt;$G16+IF($H16=0,MaxYears,$H16)),$F16*AT$11,0),IF($E16="One-off",IF(AT$10=$G16,$F16,0),IF($E16="Periodic",IF(AND(AT$10&gt;=$G16,MOD(AT$10-$G16,MAX($H16,1))=0),$F16,0),0)))</f>
        <v>2900000</v>
      </c>
      <c r="AU16" s="50" t="n">
        <f aca="false">IF($E16="Ramped",IF(AND(AU$10&gt;=$G16,AU$10&lt;$G16+IF($H16=0,MaxYears,$H16)),$F16*AU$11,0),IF($E16="One-off",IF(AU$10=$G16,$F16,0),IF($E16="Periodic",IF(AND(AU$10&gt;=$G16,MOD(AU$10-$G16,MAX($H16,1))=0),$F16,0),0)))</f>
        <v>2900000</v>
      </c>
      <c r="AV16" s="50" t="n">
        <f aca="false">IF($E16="Ramped",IF(AND(AV$10&gt;=$G16,AV$10&lt;$G16+IF($H16=0,MaxYears,$H16)),$F16*AV$11,0),IF($E16="One-off",IF(AV$10=$G16,$F16,0),IF($E16="Periodic",IF(AND(AV$10&gt;=$G16,MOD(AV$10-$G16,MAX($H16,1))=0),$F16,0),0)))</f>
        <v>2900000</v>
      </c>
      <c r="AW16" s="50" t="n">
        <f aca="false">IF($E16="Ramped",IF(AND(AW$10&gt;=$G16,AW$10&lt;$G16+IF($H16=0,MaxYears,$H16)),$F16*AW$11,0),IF($E16="One-off",IF(AW$10=$G16,$F16,0),IF($E16="Periodic",IF(AND(AW$10&gt;=$G16,MOD(AW$10-$G16,MAX($H16,1))=0),$F16,0),0)))</f>
        <v>2900000</v>
      </c>
      <c r="AX16" s="50" t="n">
        <f aca="false">IF($E16="Ramped",IF(AND(AX$10&gt;=$G16,AX$10&lt;$G16+IF($H16=0,MaxYears,$H16)),$F16*AX$11,0),IF($E16="One-off",IF(AX$10=$G16,$F16,0),IF($E16="Periodic",IF(AND(AX$10&gt;=$G16,MOD(AX$10-$G16,MAX($H16,1))=0),$F16,0),0)))</f>
        <v>2900000</v>
      </c>
      <c r="AY16" s="50" t="n">
        <f aca="false">IF($E16="Ramped",IF(AND(AY$10&gt;=$G16,AY$10&lt;$G16+IF($H16=0,MaxYears,$H16)),$F16*AY$11,0),IF($E16="One-off",IF(AY$10=$G16,$F16,0),IF($E16="Periodic",IF(AND(AY$10&gt;=$G16,MOD(AY$10-$G16,MAX($H16,1))=0),$F16,0),0)))</f>
        <v>2900000</v>
      </c>
      <c r="AZ16" s="50" t="n">
        <f aca="false">IF($E16="Ramped",IF(AND(AZ$10&gt;=$G16,AZ$10&lt;$G16+IF($H16=0,MaxYears,$H16)),$F16*AZ$11,0),IF($E16="One-off",IF(AZ$10=$G16,$F16,0),IF($E16="Periodic",IF(AND(AZ$10&gt;=$G16,MOD(AZ$10-$G16,MAX($H16,1))=0),$F16,0),0)))</f>
        <v>2900000</v>
      </c>
    </row>
    <row r="17" customFormat="false" ht="27.75" hidden="false" customHeight="true" outlineLevel="0" collapsed="false">
      <c r="B17" s="25" t="s">
        <v>394</v>
      </c>
      <c r="C17" s="45" t="s">
        <v>395</v>
      </c>
      <c r="D17" s="45" t="s">
        <v>396</v>
      </c>
      <c r="E17" s="46" t="s">
        <v>377</v>
      </c>
      <c r="F17" s="47" t="n">
        <v>890000</v>
      </c>
      <c r="G17" s="51" t="n">
        <f aca="false">ConstrYears</f>
        <v>3</v>
      </c>
      <c r="H17" s="48" t="n">
        <v>0</v>
      </c>
      <c r="I17" s="45" t="s">
        <v>397</v>
      </c>
      <c r="J17" s="45" t="s">
        <v>398</v>
      </c>
      <c r="K17" s="46" t="s">
        <v>260</v>
      </c>
      <c r="L17" s="49" t="n">
        <f aca="false">SUM(M17:AZ17)</f>
        <v>32040000</v>
      </c>
      <c r="M17" s="50" t="n">
        <f aca="false">IF($E17="Ramped",IF(AND(M$10&gt;=$G17,M$10&lt;$G17+IF($H17=0,MaxYears,$H17)),$F17*M$11,0),IF($E17="One-off",IF(M$10=$G17,$F17,0),IF($E17="Periodic",IF(AND(M$10&gt;=$G17,MOD(M$10-$G17,MAX($H17,1))=0),$F17,0),0)))</f>
        <v>0</v>
      </c>
      <c r="N17" s="50" t="n">
        <f aca="false">IF($E17="Ramped",IF(AND(N$10&gt;=$G17,N$10&lt;$G17+IF($H17=0,MaxYears,$H17)),$F17*N$11,0),IF($E17="One-off",IF(N$10=$G17,$F17,0),IF($E17="Periodic",IF(AND(N$10&gt;=$G17,MOD(N$10-$G17,MAX($H17,1))=0),$F17,0),0)))</f>
        <v>0</v>
      </c>
      <c r="O17" s="50" t="n">
        <f aca="false">IF($E17="Ramped",IF(AND(O$10&gt;=$G17,O$10&lt;$G17+IF($H17=0,MaxYears,$H17)),$F17*O$11,0),IF($E17="One-off",IF(O$10=$G17,$F17,0),IF($E17="Periodic",IF(AND(O$10&gt;=$G17,MOD(O$10-$G17,MAX($H17,1))=0),$F17,0),0)))</f>
        <v>0</v>
      </c>
      <c r="P17" s="50" t="n">
        <f aca="false">IF($E17="Ramped",IF(AND(P$10&gt;=$G17,P$10&lt;$G17+IF($H17=0,MaxYears,$H17)),$F17*P$11,0),IF($E17="One-off",IF(P$10=$G17,$F17,0),IF($E17="Periodic",IF(AND(P$10&gt;=$G17,MOD(P$10-$G17,MAX($H17,1))=0),$F17,0),0)))</f>
        <v>296666.666666667</v>
      </c>
      <c r="Q17" s="50" t="n">
        <f aca="false">IF($E17="Ramped",IF(AND(Q$10&gt;=$G17,Q$10&lt;$G17+IF($H17=0,MaxYears,$H17)),$F17*Q$11,0),IF($E17="One-off",IF(Q$10=$G17,$F17,0),IF($E17="Periodic",IF(AND(Q$10&gt;=$G17,MOD(Q$10-$G17,MAX($H17,1))=0),$F17,0),0)))</f>
        <v>593333.333333333</v>
      </c>
      <c r="R17" s="50" t="n">
        <f aca="false">IF($E17="Ramped",IF(AND(R$10&gt;=$G17,R$10&lt;$G17+IF($H17=0,MaxYears,$H17)),$F17*R$11,0),IF($E17="One-off",IF(R$10=$G17,$F17,0),IF($E17="Periodic",IF(AND(R$10&gt;=$G17,MOD(R$10-$G17,MAX($H17,1))=0),$F17,0),0)))</f>
        <v>890000</v>
      </c>
      <c r="S17" s="50" t="n">
        <f aca="false">IF($E17="Ramped",IF(AND(S$10&gt;=$G17,S$10&lt;$G17+IF($H17=0,MaxYears,$H17)),$F17*S$11,0),IF($E17="One-off",IF(S$10=$G17,$F17,0),IF($E17="Periodic",IF(AND(S$10&gt;=$G17,MOD(S$10-$G17,MAX($H17,1))=0),$F17,0),0)))</f>
        <v>890000</v>
      </c>
      <c r="T17" s="50" t="n">
        <f aca="false">IF($E17="Ramped",IF(AND(T$10&gt;=$G17,T$10&lt;$G17+IF($H17=0,MaxYears,$H17)),$F17*T$11,0),IF($E17="One-off",IF(T$10=$G17,$F17,0),IF($E17="Periodic",IF(AND(T$10&gt;=$G17,MOD(T$10-$G17,MAX($H17,1))=0),$F17,0),0)))</f>
        <v>890000</v>
      </c>
      <c r="U17" s="50" t="n">
        <f aca="false">IF($E17="Ramped",IF(AND(U$10&gt;=$G17,U$10&lt;$G17+IF($H17=0,MaxYears,$H17)),$F17*U$11,0),IF($E17="One-off",IF(U$10=$G17,$F17,0),IF($E17="Periodic",IF(AND(U$10&gt;=$G17,MOD(U$10-$G17,MAX($H17,1))=0),$F17,0),0)))</f>
        <v>890000</v>
      </c>
      <c r="V17" s="50" t="n">
        <f aca="false">IF($E17="Ramped",IF(AND(V$10&gt;=$G17,V$10&lt;$G17+IF($H17=0,MaxYears,$H17)),$F17*V$11,0),IF($E17="One-off",IF(V$10=$G17,$F17,0),IF($E17="Periodic",IF(AND(V$10&gt;=$G17,MOD(V$10-$G17,MAX($H17,1))=0),$F17,0),0)))</f>
        <v>890000</v>
      </c>
      <c r="W17" s="50" t="n">
        <f aca="false">IF($E17="Ramped",IF(AND(W$10&gt;=$G17,W$10&lt;$G17+IF($H17=0,MaxYears,$H17)),$F17*W$11,0),IF($E17="One-off",IF(W$10=$G17,$F17,0),IF($E17="Periodic",IF(AND(W$10&gt;=$G17,MOD(W$10-$G17,MAX($H17,1))=0),$F17,0),0)))</f>
        <v>890000</v>
      </c>
      <c r="X17" s="50" t="n">
        <f aca="false">IF($E17="Ramped",IF(AND(X$10&gt;=$G17,X$10&lt;$G17+IF($H17=0,MaxYears,$H17)),$F17*X$11,0),IF($E17="One-off",IF(X$10=$G17,$F17,0),IF($E17="Periodic",IF(AND(X$10&gt;=$G17,MOD(X$10-$G17,MAX($H17,1))=0),$F17,0),0)))</f>
        <v>890000</v>
      </c>
      <c r="Y17" s="50" t="n">
        <f aca="false">IF($E17="Ramped",IF(AND(Y$10&gt;=$G17,Y$10&lt;$G17+IF($H17=0,MaxYears,$H17)),$F17*Y$11,0),IF($E17="One-off",IF(Y$10=$G17,$F17,0),IF($E17="Periodic",IF(AND(Y$10&gt;=$G17,MOD(Y$10-$G17,MAX($H17,1))=0),$F17,0),0)))</f>
        <v>890000</v>
      </c>
      <c r="Z17" s="50" t="n">
        <f aca="false">IF($E17="Ramped",IF(AND(Z$10&gt;=$G17,Z$10&lt;$G17+IF($H17=0,MaxYears,$H17)),$F17*Z$11,0),IF($E17="One-off",IF(Z$10=$G17,$F17,0),IF($E17="Periodic",IF(AND(Z$10&gt;=$G17,MOD(Z$10-$G17,MAX($H17,1))=0),$F17,0),0)))</f>
        <v>890000</v>
      </c>
      <c r="AA17" s="50" t="n">
        <f aca="false">IF($E17="Ramped",IF(AND(AA$10&gt;=$G17,AA$10&lt;$G17+IF($H17=0,MaxYears,$H17)),$F17*AA$11,0),IF($E17="One-off",IF(AA$10=$G17,$F17,0),IF($E17="Periodic",IF(AND(AA$10&gt;=$G17,MOD(AA$10-$G17,MAX($H17,1))=0),$F17,0),0)))</f>
        <v>890000</v>
      </c>
      <c r="AB17" s="50" t="n">
        <f aca="false">IF($E17="Ramped",IF(AND(AB$10&gt;=$G17,AB$10&lt;$G17+IF($H17=0,MaxYears,$H17)),$F17*AB$11,0),IF($E17="One-off",IF(AB$10=$G17,$F17,0),IF($E17="Periodic",IF(AND(AB$10&gt;=$G17,MOD(AB$10-$G17,MAX($H17,1))=0),$F17,0),0)))</f>
        <v>890000</v>
      </c>
      <c r="AC17" s="50" t="n">
        <f aca="false">IF($E17="Ramped",IF(AND(AC$10&gt;=$G17,AC$10&lt;$G17+IF($H17=0,MaxYears,$H17)),$F17*AC$11,0),IF($E17="One-off",IF(AC$10=$G17,$F17,0),IF($E17="Periodic",IF(AND(AC$10&gt;=$G17,MOD(AC$10-$G17,MAX($H17,1))=0),$F17,0),0)))</f>
        <v>890000</v>
      </c>
      <c r="AD17" s="50" t="n">
        <f aca="false">IF($E17="Ramped",IF(AND(AD$10&gt;=$G17,AD$10&lt;$G17+IF($H17=0,MaxYears,$H17)),$F17*AD$11,0),IF($E17="One-off",IF(AD$10=$G17,$F17,0),IF($E17="Periodic",IF(AND(AD$10&gt;=$G17,MOD(AD$10-$G17,MAX($H17,1))=0),$F17,0),0)))</f>
        <v>890000</v>
      </c>
      <c r="AE17" s="50" t="n">
        <f aca="false">IF($E17="Ramped",IF(AND(AE$10&gt;=$G17,AE$10&lt;$G17+IF($H17=0,MaxYears,$H17)),$F17*AE$11,0),IF($E17="One-off",IF(AE$10=$G17,$F17,0),IF($E17="Periodic",IF(AND(AE$10&gt;=$G17,MOD(AE$10-$G17,MAX($H17,1))=0),$F17,0),0)))</f>
        <v>890000</v>
      </c>
      <c r="AF17" s="50" t="n">
        <f aca="false">IF($E17="Ramped",IF(AND(AF$10&gt;=$G17,AF$10&lt;$G17+IF($H17=0,MaxYears,$H17)),$F17*AF$11,0),IF($E17="One-off",IF(AF$10=$G17,$F17,0),IF($E17="Periodic",IF(AND(AF$10&gt;=$G17,MOD(AF$10-$G17,MAX($H17,1))=0),$F17,0),0)))</f>
        <v>890000</v>
      </c>
      <c r="AG17" s="50" t="n">
        <f aca="false">IF($E17="Ramped",IF(AND(AG$10&gt;=$G17,AG$10&lt;$G17+IF($H17=0,MaxYears,$H17)),$F17*AG$11,0),IF($E17="One-off",IF(AG$10=$G17,$F17,0),IF($E17="Periodic",IF(AND(AG$10&gt;=$G17,MOD(AG$10-$G17,MAX($H17,1))=0),$F17,0),0)))</f>
        <v>890000</v>
      </c>
      <c r="AH17" s="50" t="n">
        <f aca="false">IF($E17="Ramped",IF(AND(AH$10&gt;=$G17,AH$10&lt;$G17+IF($H17=0,MaxYears,$H17)),$F17*AH$11,0),IF($E17="One-off",IF(AH$10=$G17,$F17,0),IF($E17="Periodic",IF(AND(AH$10&gt;=$G17,MOD(AH$10-$G17,MAX($H17,1))=0),$F17,0),0)))</f>
        <v>890000</v>
      </c>
      <c r="AI17" s="50" t="n">
        <f aca="false">IF($E17="Ramped",IF(AND(AI$10&gt;=$G17,AI$10&lt;$G17+IF($H17=0,MaxYears,$H17)),$F17*AI$11,0),IF($E17="One-off",IF(AI$10=$G17,$F17,0),IF($E17="Periodic",IF(AND(AI$10&gt;=$G17,MOD(AI$10-$G17,MAX($H17,1))=0),$F17,0),0)))</f>
        <v>890000</v>
      </c>
      <c r="AJ17" s="50" t="n">
        <f aca="false">IF($E17="Ramped",IF(AND(AJ$10&gt;=$G17,AJ$10&lt;$G17+IF($H17=0,MaxYears,$H17)),$F17*AJ$11,0),IF($E17="One-off",IF(AJ$10=$G17,$F17,0),IF($E17="Periodic",IF(AND(AJ$10&gt;=$G17,MOD(AJ$10-$G17,MAX($H17,1))=0),$F17,0),0)))</f>
        <v>890000</v>
      </c>
      <c r="AK17" s="50" t="n">
        <f aca="false">IF($E17="Ramped",IF(AND(AK$10&gt;=$G17,AK$10&lt;$G17+IF($H17=0,MaxYears,$H17)),$F17*AK$11,0),IF($E17="One-off",IF(AK$10=$G17,$F17,0),IF($E17="Periodic",IF(AND(AK$10&gt;=$G17,MOD(AK$10-$G17,MAX($H17,1))=0),$F17,0),0)))</f>
        <v>890000</v>
      </c>
      <c r="AL17" s="50" t="n">
        <f aca="false">IF($E17="Ramped",IF(AND(AL$10&gt;=$G17,AL$10&lt;$G17+IF($H17=0,MaxYears,$H17)),$F17*AL$11,0),IF($E17="One-off",IF(AL$10=$G17,$F17,0),IF($E17="Periodic",IF(AND(AL$10&gt;=$G17,MOD(AL$10-$G17,MAX($H17,1))=0),$F17,0),0)))</f>
        <v>890000</v>
      </c>
      <c r="AM17" s="50" t="n">
        <f aca="false">IF($E17="Ramped",IF(AND(AM$10&gt;=$G17,AM$10&lt;$G17+IF($H17=0,MaxYears,$H17)),$F17*AM$11,0),IF($E17="One-off",IF(AM$10=$G17,$F17,0),IF($E17="Periodic",IF(AND(AM$10&gt;=$G17,MOD(AM$10-$G17,MAX($H17,1))=0),$F17,0),0)))</f>
        <v>890000</v>
      </c>
      <c r="AN17" s="50" t="n">
        <f aca="false">IF($E17="Ramped",IF(AND(AN$10&gt;=$G17,AN$10&lt;$G17+IF($H17=0,MaxYears,$H17)),$F17*AN$11,0),IF($E17="One-off",IF(AN$10=$G17,$F17,0),IF($E17="Periodic",IF(AND(AN$10&gt;=$G17,MOD(AN$10-$G17,MAX($H17,1))=0),$F17,0),0)))</f>
        <v>890000</v>
      </c>
      <c r="AO17" s="50" t="n">
        <f aca="false">IF($E17="Ramped",IF(AND(AO$10&gt;=$G17,AO$10&lt;$G17+IF($H17=0,MaxYears,$H17)),$F17*AO$11,0),IF($E17="One-off",IF(AO$10=$G17,$F17,0),IF($E17="Periodic",IF(AND(AO$10&gt;=$G17,MOD(AO$10-$G17,MAX($H17,1))=0),$F17,0),0)))</f>
        <v>890000</v>
      </c>
      <c r="AP17" s="50" t="n">
        <f aca="false">IF($E17="Ramped",IF(AND(AP$10&gt;=$G17,AP$10&lt;$G17+IF($H17=0,MaxYears,$H17)),$F17*AP$11,0),IF($E17="One-off",IF(AP$10=$G17,$F17,0),IF($E17="Periodic",IF(AND(AP$10&gt;=$G17,MOD(AP$10-$G17,MAX($H17,1))=0),$F17,0),0)))</f>
        <v>890000</v>
      </c>
      <c r="AQ17" s="50" t="n">
        <f aca="false">IF($E17="Ramped",IF(AND(AQ$10&gt;=$G17,AQ$10&lt;$G17+IF($H17=0,MaxYears,$H17)),$F17*AQ$11,0),IF($E17="One-off",IF(AQ$10=$G17,$F17,0),IF($E17="Periodic",IF(AND(AQ$10&gt;=$G17,MOD(AQ$10-$G17,MAX($H17,1))=0),$F17,0),0)))</f>
        <v>890000</v>
      </c>
      <c r="AR17" s="50" t="n">
        <f aca="false">IF($E17="Ramped",IF(AND(AR$10&gt;=$G17,AR$10&lt;$G17+IF($H17=0,MaxYears,$H17)),$F17*AR$11,0),IF($E17="One-off",IF(AR$10=$G17,$F17,0),IF($E17="Periodic",IF(AND(AR$10&gt;=$G17,MOD(AR$10-$G17,MAX($H17,1))=0),$F17,0),0)))</f>
        <v>890000</v>
      </c>
      <c r="AS17" s="50" t="n">
        <f aca="false">IF($E17="Ramped",IF(AND(AS$10&gt;=$G17,AS$10&lt;$G17+IF($H17=0,MaxYears,$H17)),$F17*AS$11,0),IF($E17="One-off",IF(AS$10=$G17,$F17,0),IF($E17="Periodic",IF(AND(AS$10&gt;=$G17,MOD(AS$10-$G17,MAX($H17,1))=0),$F17,0),0)))</f>
        <v>890000</v>
      </c>
      <c r="AT17" s="50" t="n">
        <f aca="false">IF($E17="Ramped",IF(AND(AT$10&gt;=$G17,AT$10&lt;$G17+IF($H17=0,MaxYears,$H17)),$F17*AT$11,0),IF($E17="One-off",IF(AT$10=$G17,$F17,0),IF($E17="Periodic",IF(AND(AT$10&gt;=$G17,MOD(AT$10-$G17,MAX($H17,1))=0),$F17,0),0)))</f>
        <v>890000</v>
      </c>
      <c r="AU17" s="50" t="n">
        <f aca="false">IF($E17="Ramped",IF(AND(AU$10&gt;=$G17,AU$10&lt;$G17+IF($H17=0,MaxYears,$H17)),$F17*AU$11,0),IF($E17="One-off",IF(AU$10=$G17,$F17,0),IF($E17="Periodic",IF(AND(AU$10&gt;=$G17,MOD(AU$10-$G17,MAX($H17,1))=0),$F17,0),0)))</f>
        <v>890000</v>
      </c>
      <c r="AV17" s="50" t="n">
        <f aca="false">IF($E17="Ramped",IF(AND(AV$10&gt;=$G17,AV$10&lt;$G17+IF($H17=0,MaxYears,$H17)),$F17*AV$11,0),IF($E17="One-off",IF(AV$10=$G17,$F17,0),IF($E17="Periodic",IF(AND(AV$10&gt;=$G17,MOD(AV$10-$G17,MAX($H17,1))=0),$F17,0),0)))</f>
        <v>890000</v>
      </c>
      <c r="AW17" s="50" t="n">
        <f aca="false">IF($E17="Ramped",IF(AND(AW$10&gt;=$G17,AW$10&lt;$G17+IF($H17=0,MaxYears,$H17)),$F17*AW$11,0),IF($E17="One-off",IF(AW$10=$G17,$F17,0),IF($E17="Periodic",IF(AND(AW$10&gt;=$G17,MOD(AW$10-$G17,MAX($H17,1))=0),$F17,0),0)))</f>
        <v>890000</v>
      </c>
      <c r="AX17" s="50" t="n">
        <f aca="false">IF($E17="Ramped",IF(AND(AX$10&gt;=$G17,AX$10&lt;$G17+IF($H17=0,MaxYears,$H17)),$F17*AX$11,0),IF($E17="One-off",IF(AX$10=$G17,$F17,0),IF($E17="Periodic",IF(AND(AX$10&gt;=$G17,MOD(AX$10-$G17,MAX($H17,1))=0),$F17,0),0)))</f>
        <v>890000</v>
      </c>
      <c r="AY17" s="50" t="n">
        <f aca="false">IF($E17="Ramped",IF(AND(AY$10&gt;=$G17,AY$10&lt;$G17+IF($H17=0,MaxYears,$H17)),$F17*AY$11,0),IF($E17="One-off",IF(AY$10=$G17,$F17,0),IF($E17="Periodic",IF(AND(AY$10&gt;=$G17,MOD(AY$10-$G17,MAX($H17,1))=0),$F17,0),0)))</f>
        <v>890000</v>
      </c>
      <c r="AZ17" s="50" t="n">
        <f aca="false">IF($E17="Ramped",IF(AND(AZ$10&gt;=$G17,AZ$10&lt;$G17+IF($H17=0,MaxYears,$H17)),$F17*AZ$11,0),IF($E17="One-off",IF(AZ$10=$G17,$F17,0),IF($E17="Periodic",IF(AND(AZ$10&gt;=$G17,MOD(AZ$10-$G17,MAX($H17,1))=0),$F17,0),0)))</f>
        <v>890000</v>
      </c>
    </row>
    <row r="18" customFormat="false" ht="27.75" hidden="false" customHeight="true" outlineLevel="0" collapsed="false">
      <c r="B18" s="25" t="s">
        <v>399</v>
      </c>
      <c r="C18" s="45" t="s">
        <v>400</v>
      </c>
      <c r="D18" s="45" t="s">
        <v>401</v>
      </c>
      <c r="E18" s="46" t="s">
        <v>377</v>
      </c>
      <c r="F18" s="49" t="n">
        <f aca="false">CarbonPrice*CarbonTonnes</f>
        <v>315000</v>
      </c>
      <c r="G18" s="51" t="n">
        <f aca="false">ConstrYears</f>
        <v>3</v>
      </c>
      <c r="H18" s="48" t="n">
        <v>0</v>
      </c>
      <c r="I18" s="45" t="s">
        <v>402</v>
      </c>
      <c r="J18" s="45" t="s">
        <v>403</v>
      </c>
      <c r="K18" s="46" t="s">
        <v>260</v>
      </c>
      <c r="L18" s="49" t="n">
        <f aca="false">SUM(M18:AZ18)</f>
        <v>11340000</v>
      </c>
      <c r="M18" s="50" t="n">
        <f aca="false">IF($E18="Ramped",IF(AND(M$10&gt;=$G18,M$10&lt;$G18+IF($H18=0,MaxYears,$H18)),$F18*M$11,0),IF($E18="One-off",IF(M$10=$G18,$F18,0),IF($E18="Periodic",IF(AND(M$10&gt;=$G18,MOD(M$10-$G18,MAX($H18,1))=0),$F18,0),0)))</f>
        <v>0</v>
      </c>
      <c r="N18" s="50" t="n">
        <f aca="false">IF($E18="Ramped",IF(AND(N$10&gt;=$G18,N$10&lt;$G18+IF($H18=0,MaxYears,$H18)),$F18*N$11,0),IF($E18="One-off",IF(N$10=$G18,$F18,0),IF($E18="Periodic",IF(AND(N$10&gt;=$G18,MOD(N$10-$G18,MAX($H18,1))=0),$F18,0),0)))</f>
        <v>0</v>
      </c>
      <c r="O18" s="50" t="n">
        <f aca="false">IF($E18="Ramped",IF(AND(O$10&gt;=$G18,O$10&lt;$G18+IF($H18=0,MaxYears,$H18)),$F18*O$11,0),IF($E18="One-off",IF(O$10=$G18,$F18,0),IF($E18="Periodic",IF(AND(O$10&gt;=$G18,MOD(O$10-$G18,MAX($H18,1))=0),$F18,0),0)))</f>
        <v>0</v>
      </c>
      <c r="P18" s="50" t="n">
        <f aca="false">IF($E18="Ramped",IF(AND(P$10&gt;=$G18,P$10&lt;$G18+IF($H18=0,MaxYears,$H18)),$F18*P$11,0),IF($E18="One-off",IF(P$10=$G18,$F18,0),IF($E18="Periodic",IF(AND(P$10&gt;=$G18,MOD(P$10-$G18,MAX($H18,1))=0),$F18,0),0)))</f>
        <v>105000</v>
      </c>
      <c r="Q18" s="50" t="n">
        <f aca="false">IF($E18="Ramped",IF(AND(Q$10&gt;=$G18,Q$10&lt;$G18+IF($H18=0,MaxYears,$H18)),$F18*Q$11,0),IF($E18="One-off",IF(Q$10=$G18,$F18,0),IF($E18="Periodic",IF(AND(Q$10&gt;=$G18,MOD(Q$10-$G18,MAX($H18,1))=0),$F18,0),0)))</f>
        <v>210000</v>
      </c>
      <c r="R18" s="50" t="n">
        <f aca="false">IF($E18="Ramped",IF(AND(R$10&gt;=$G18,R$10&lt;$G18+IF($H18=0,MaxYears,$H18)),$F18*R$11,0),IF($E18="One-off",IF(R$10=$G18,$F18,0),IF($E18="Periodic",IF(AND(R$10&gt;=$G18,MOD(R$10-$G18,MAX($H18,1))=0),$F18,0),0)))</f>
        <v>315000</v>
      </c>
      <c r="S18" s="50" t="n">
        <f aca="false">IF($E18="Ramped",IF(AND(S$10&gt;=$G18,S$10&lt;$G18+IF($H18=0,MaxYears,$H18)),$F18*S$11,0),IF($E18="One-off",IF(S$10=$G18,$F18,0),IF($E18="Periodic",IF(AND(S$10&gt;=$G18,MOD(S$10-$G18,MAX($H18,1))=0),$F18,0),0)))</f>
        <v>315000</v>
      </c>
      <c r="T18" s="50" t="n">
        <f aca="false">IF($E18="Ramped",IF(AND(T$10&gt;=$G18,T$10&lt;$G18+IF($H18=0,MaxYears,$H18)),$F18*T$11,0),IF($E18="One-off",IF(T$10=$G18,$F18,0),IF($E18="Periodic",IF(AND(T$10&gt;=$G18,MOD(T$10-$G18,MAX($H18,1))=0),$F18,0),0)))</f>
        <v>315000</v>
      </c>
      <c r="U18" s="50" t="n">
        <f aca="false">IF($E18="Ramped",IF(AND(U$10&gt;=$G18,U$10&lt;$G18+IF($H18=0,MaxYears,$H18)),$F18*U$11,0),IF($E18="One-off",IF(U$10=$G18,$F18,0),IF($E18="Periodic",IF(AND(U$10&gt;=$G18,MOD(U$10-$G18,MAX($H18,1))=0),$F18,0),0)))</f>
        <v>315000</v>
      </c>
      <c r="V18" s="50" t="n">
        <f aca="false">IF($E18="Ramped",IF(AND(V$10&gt;=$G18,V$10&lt;$G18+IF($H18=0,MaxYears,$H18)),$F18*V$11,0),IF($E18="One-off",IF(V$10=$G18,$F18,0),IF($E18="Periodic",IF(AND(V$10&gt;=$G18,MOD(V$10-$G18,MAX($H18,1))=0),$F18,0),0)))</f>
        <v>315000</v>
      </c>
      <c r="W18" s="50" t="n">
        <f aca="false">IF($E18="Ramped",IF(AND(W$10&gt;=$G18,W$10&lt;$G18+IF($H18=0,MaxYears,$H18)),$F18*W$11,0),IF($E18="One-off",IF(W$10=$G18,$F18,0),IF($E18="Periodic",IF(AND(W$10&gt;=$G18,MOD(W$10-$G18,MAX($H18,1))=0),$F18,0),0)))</f>
        <v>315000</v>
      </c>
      <c r="X18" s="50" t="n">
        <f aca="false">IF($E18="Ramped",IF(AND(X$10&gt;=$G18,X$10&lt;$G18+IF($H18=0,MaxYears,$H18)),$F18*X$11,0),IF($E18="One-off",IF(X$10=$G18,$F18,0),IF($E18="Periodic",IF(AND(X$10&gt;=$G18,MOD(X$10-$G18,MAX($H18,1))=0),$F18,0),0)))</f>
        <v>315000</v>
      </c>
      <c r="Y18" s="50" t="n">
        <f aca="false">IF($E18="Ramped",IF(AND(Y$10&gt;=$G18,Y$10&lt;$G18+IF($H18=0,MaxYears,$H18)),$F18*Y$11,0),IF($E18="One-off",IF(Y$10=$G18,$F18,0),IF($E18="Periodic",IF(AND(Y$10&gt;=$G18,MOD(Y$10-$G18,MAX($H18,1))=0),$F18,0),0)))</f>
        <v>315000</v>
      </c>
      <c r="Z18" s="50" t="n">
        <f aca="false">IF($E18="Ramped",IF(AND(Z$10&gt;=$G18,Z$10&lt;$G18+IF($H18=0,MaxYears,$H18)),$F18*Z$11,0),IF($E18="One-off",IF(Z$10=$G18,$F18,0),IF($E18="Periodic",IF(AND(Z$10&gt;=$G18,MOD(Z$10-$G18,MAX($H18,1))=0),$F18,0),0)))</f>
        <v>315000</v>
      </c>
      <c r="AA18" s="50" t="n">
        <f aca="false">IF($E18="Ramped",IF(AND(AA$10&gt;=$G18,AA$10&lt;$G18+IF($H18=0,MaxYears,$H18)),$F18*AA$11,0),IF($E18="One-off",IF(AA$10=$G18,$F18,0),IF($E18="Periodic",IF(AND(AA$10&gt;=$G18,MOD(AA$10-$G18,MAX($H18,1))=0),$F18,0),0)))</f>
        <v>315000</v>
      </c>
      <c r="AB18" s="50" t="n">
        <f aca="false">IF($E18="Ramped",IF(AND(AB$10&gt;=$G18,AB$10&lt;$G18+IF($H18=0,MaxYears,$H18)),$F18*AB$11,0),IF($E18="One-off",IF(AB$10=$G18,$F18,0),IF($E18="Periodic",IF(AND(AB$10&gt;=$G18,MOD(AB$10-$G18,MAX($H18,1))=0),$F18,0),0)))</f>
        <v>315000</v>
      </c>
      <c r="AC18" s="50" t="n">
        <f aca="false">IF($E18="Ramped",IF(AND(AC$10&gt;=$G18,AC$10&lt;$G18+IF($H18=0,MaxYears,$H18)),$F18*AC$11,0),IF($E18="One-off",IF(AC$10=$G18,$F18,0),IF($E18="Periodic",IF(AND(AC$10&gt;=$G18,MOD(AC$10-$G18,MAX($H18,1))=0),$F18,0),0)))</f>
        <v>315000</v>
      </c>
      <c r="AD18" s="50" t="n">
        <f aca="false">IF($E18="Ramped",IF(AND(AD$10&gt;=$G18,AD$10&lt;$G18+IF($H18=0,MaxYears,$H18)),$F18*AD$11,0),IF($E18="One-off",IF(AD$10=$G18,$F18,0),IF($E18="Periodic",IF(AND(AD$10&gt;=$G18,MOD(AD$10-$G18,MAX($H18,1))=0),$F18,0),0)))</f>
        <v>315000</v>
      </c>
      <c r="AE18" s="50" t="n">
        <f aca="false">IF($E18="Ramped",IF(AND(AE$10&gt;=$G18,AE$10&lt;$G18+IF($H18=0,MaxYears,$H18)),$F18*AE$11,0),IF($E18="One-off",IF(AE$10=$G18,$F18,0),IF($E18="Periodic",IF(AND(AE$10&gt;=$G18,MOD(AE$10-$G18,MAX($H18,1))=0),$F18,0),0)))</f>
        <v>315000</v>
      </c>
      <c r="AF18" s="50" t="n">
        <f aca="false">IF($E18="Ramped",IF(AND(AF$10&gt;=$G18,AF$10&lt;$G18+IF($H18=0,MaxYears,$H18)),$F18*AF$11,0),IF($E18="One-off",IF(AF$10=$G18,$F18,0),IF($E18="Periodic",IF(AND(AF$10&gt;=$G18,MOD(AF$10-$G18,MAX($H18,1))=0),$F18,0),0)))</f>
        <v>315000</v>
      </c>
      <c r="AG18" s="50" t="n">
        <f aca="false">IF($E18="Ramped",IF(AND(AG$10&gt;=$G18,AG$10&lt;$G18+IF($H18=0,MaxYears,$H18)),$F18*AG$11,0),IF($E18="One-off",IF(AG$10=$G18,$F18,0),IF($E18="Periodic",IF(AND(AG$10&gt;=$G18,MOD(AG$10-$G18,MAX($H18,1))=0),$F18,0),0)))</f>
        <v>315000</v>
      </c>
      <c r="AH18" s="50" t="n">
        <f aca="false">IF($E18="Ramped",IF(AND(AH$10&gt;=$G18,AH$10&lt;$G18+IF($H18=0,MaxYears,$H18)),$F18*AH$11,0),IF($E18="One-off",IF(AH$10=$G18,$F18,0),IF($E18="Periodic",IF(AND(AH$10&gt;=$G18,MOD(AH$10-$G18,MAX($H18,1))=0),$F18,0),0)))</f>
        <v>315000</v>
      </c>
      <c r="AI18" s="50" t="n">
        <f aca="false">IF($E18="Ramped",IF(AND(AI$10&gt;=$G18,AI$10&lt;$G18+IF($H18=0,MaxYears,$H18)),$F18*AI$11,0),IF($E18="One-off",IF(AI$10=$G18,$F18,0),IF($E18="Periodic",IF(AND(AI$10&gt;=$G18,MOD(AI$10-$G18,MAX($H18,1))=0),$F18,0),0)))</f>
        <v>315000</v>
      </c>
      <c r="AJ18" s="50" t="n">
        <f aca="false">IF($E18="Ramped",IF(AND(AJ$10&gt;=$G18,AJ$10&lt;$G18+IF($H18=0,MaxYears,$H18)),$F18*AJ$11,0),IF($E18="One-off",IF(AJ$10=$G18,$F18,0),IF($E18="Periodic",IF(AND(AJ$10&gt;=$G18,MOD(AJ$10-$G18,MAX($H18,1))=0),$F18,0),0)))</f>
        <v>315000</v>
      </c>
      <c r="AK18" s="50" t="n">
        <f aca="false">IF($E18="Ramped",IF(AND(AK$10&gt;=$G18,AK$10&lt;$G18+IF($H18=0,MaxYears,$H18)),$F18*AK$11,0),IF($E18="One-off",IF(AK$10=$G18,$F18,0),IF($E18="Periodic",IF(AND(AK$10&gt;=$G18,MOD(AK$10-$G18,MAX($H18,1))=0),$F18,0),0)))</f>
        <v>315000</v>
      </c>
      <c r="AL18" s="50" t="n">
        <f aca="false">IF($E18="Ramped",IF(AND(AL$10&gt;=$G18,AL$10&lt;$G18+IF($H18=0,MaxYears,$H18)),$F18*AL$11,0),IF($E18="One-off",IF(AL$10=$G18,$F18,0),IF($E18="Periodic",IF(AND(AL$10&gt;=$G18,MOD(AL$10-$G18,MAX($H18,1))=0),$F18,0),0)))</f>
        <v>315000</v>
      </c>
      <c r="AM18" s="50" t="n">
        <f aca="false">IF($E18="Ramped",IF(AND(AM$10&gt;=$G18,AM$10&lt;$G18+IF($H18=0,MaxYears,$H18)),$F18*AM$11,0),IF($E18="One-off",IF(AM$10=$G18,$F18,0),IF($E18="Periodic",IF(AND(AM$10&gt;=$G18,MOD(AM$10-$G18,MAX($H18,1))=0),$F18,0),0)))</f>
        <v>315000</v>
      </c>
      <c r="AN18" s="50" t="n">
        <f aca="false">IF($E18="Ramped",IF(AND(AN$10&gt;=$G18,AN$10&lt;$G18+IF($H18=0,MaxYears,$H18)),$F18*AN$11,0),IF($E18="One-off",IF(AN$10=$G18,$F18,0),IF($E18="Periodic",IF(AND(AN$10&gt;=$G18,MOD(AN$10-$G18,MAX($H18,1))=0),$F18,0),0)))</f>
        <v>315000</v>
      </c>
      <c r="AO18" s="50" t="n">
        <f aca="false">IF($E18="Ramped",IF(AND(AO$10&gt;=$G18,AO$10&lt;$G18+IF($H18=0,MaxYears,$H18)),$F18*AO$11,0),IF($E18="One-off",IF(AO$10=$G18,$F18,0),IF($E18="Periodic",IF(AND(AO$10&gt;=$G18,MOD(AO$10-$G18,MAX($H18,1))=0),$F18,0),0)))</f>
        <v>315000</v>
      </c>
      <c r="AP18" s="50" t="n">
        <f aca="false">IF($E18="Ramped",IF(AND(AP$10&gt;=$G18,AP$10&lt;$G18+IF($H18=0,MaxYears,$H18)),$F18*AP$11,0),IF($E18="One-off",IF(AP$10=$G18,$F18,0),IF($E18="Periodic",IF(AND(AP$10&gt;=$G18,MOD(AP$10-$G18,MAX($H18,1))=0),$F18,0),0)))</f>
        <v>315000</v>
      </c>
      <c r="AQ18" s="50" t="n">
        <f aca="false">IF($E18="Ramped",IF(AND(AQ$10&gt;=$G18,AQ$10&lt;$G18+IF($H18=0,MaxYears,$H18)),$F18*AQ$11,0),IF($E18="One-off",IF(AQ$10=$G18,$F18,0),IF($E18="Periodic",IF(AND(AQ$10&gt;=$G18,MOD(AQ$10-$G18,MAX($H18,1))=0),$F18,0),0)))</f>
        <v>315000</v>
      </c>
      <c r="AR18" s="50" t="n">
        <f aca="false">IF($E18="Ramped",IF(AND(AR$10&gt;=$G18,AR$10&lt;$G18+IF($H18=0,MaxYears,$H18)),$F18*AR$11,0),IF($E18="One-off",IF(AR$10=$G18,$F18,0),IF($E18="Periodic",IF(AND(AR$10&gt;=$G18,MOD(AR$10-$G18,MAX($H18,1))=0),$F18,0),0)))</f>
        <v>315000</v>
      </c>
      <c r="AS18" s="50" t="n">
        <f aca="false">IF($E18="Ramped",IF(AND(AS$10&gt;=$G18,AS$10&lt;$G18+IF($H18=0,MaxYears,$H18)),$F18*AS$11,0),IF($E18="One-off",IF(AS$10=$G18,$F18,0),IF($E18="Periodic",IF(AND(AS$10&gt;=$G18,MOD(AS$10-$G18,MAX($H18,1))=0),$F18,0),0)))</f>
        <v>315000</v>
      </c>
      <c r="AT18" s="50" t="n">
        <f aca="false">IF($E18="Ramped",IF(AND(AT$10&gt;=$G18,AT$10&lt;$G18+IF($H18=0,MaxYears,$H18)),$F18*AT$11,0),IF($E18="One-off",IF(AT$10=$G18,$F18,0),IF($E18="Periodic",IF(AND(AT$10&gt;=$G18,MOD(AT$10-$G18,MAX($H18,1))=0),$F18,0),0)))</f>
        <v>315000</v>
      </c>
      <c r="AU18" s="50" t="n">
        <f aca="false">IF($E18="Ramped",IF(AND(AU$10&gt;=$G18,AU$10&lt;$G18+IF($H18=0,MaxYears,$H18)),$F18*AU$11,0),IF($E18="One-off",IF(AU$10=$G18,$F18,0),IF($E18="Periodic",IF(AND(AU$10&gt;=$G18,MOD(AU$10-$G18,MAX($H18,1))=0),$F18,0),0)))</f>
        <v>315000</v>
      </c>
      <c r="AV18" s="50" t="n">
        <f aca="false">IF($E18="Ramped",IF(AND(AV$10&gt;=$G18,AV$10&lt;$G18+IF($H18=0,MaxYears,$H18)),$F18*AV$11,0),IF($E18="One-off",IF(AV$10=$G18,$F18,0),IF($E18="Periodic",IF(AND(AV$10&gt;=$G18,MOD(AV$10-$G18,MAX($H18,1))=0),$F18,0),0)))</f>
        <v>315000</v>
      </c>
      <c r="AW18" s="50" t="n">
        <f aca="false">IF($E18="Ramped",IF(AND(AW$10&gt;=$G18,AW$10&lt;$G18+IF($H18=0,MaxYears,$H18)),$F18*AW$11,0),IF($E18="One-off",IF(AW$10=$G18,$F18,0),IF($E18="Periodic",IF(AND(AW$10&gt;=$G18,MOD(AW$10-$G18,MAX($H18,1))=0),$F18,0),0)))</f>
        <v>315000</v>
      </c>
      <c r="AX18" s="50" t="n">
        <f aca="false">IF($E18="Ramped",IF(AND(AX$10&gt;=$G18,AX$10&lt;$G18+IF($H18=0,MaxYears,$H18)),$F18*AX$11,0),IF($E18="One-off",IF(AX$10=$G18,$F18,0),IF($E18="Periodic",IF(AND(AX$10&gt;=$G18,MOD(AX$10-$G18,MAX($H18,1))=0),$F18,0),0)))</f>
        <v>315000</v>
      </c>
      <c r="AY18" s="50" t="n">
        <f aca="false">IF($E18="Ramped",IF(AND(AY$10&gt;=$G18,AY$10&lt;$G18+IF($H18=0,MaxYears,$H18)),$F18*AY$11,0),IF($E18="One-off",IF(AY$10=$G18,$F18,0),IF($E18="Periodic",IF(AND(AY$10&gt;=$G18,MOD(AY$10-$G18,MAX($H18,1))=0),$F18,0),0)))</f>
        <v>315000</v>
      </c>
      <c r="AZ18" s="50" t="n">
        <f aca="false">IF($E18="Ramped",IF(AND(AZ$10&gt;=$G18,AZ$10&lt;$G18+IF($H18=0,MaxYears,$H18)),$F18*AZ$11,0),IF($E18="One-off",IF(AZ$10=$G18,$F18,0),IF($E18="Periodic",IF(AND(AZ$10&gt;=$G18,MOD(AZ$10-$G18,MAX($H18,1))=0),$F18,0),0)))</f>
        <v>315000</v>
      </c>
    </row>
    <row r="19" customFormat="false" ht="27.75" hidden="false" customHeight="true" outlineLevel="0" collapsed="false">
      <c r="B19" s="25" t="s">
        <v>404</v>
      </c>
      <c r="C19" s="45" t="s">
        <v>405</v>
      </c>
      <c r="D19" s="45" t="s">
        <v>406</v>
      </c>
      <c r="E19" s="46" t="s">
        <v>377</v>
      </c>
      <c r="F19" s="47" t="n">
        <v>620000</v>
      </c>
      <c r="G19" s="51" t="n">
        <f aca="false">ConstrYears</f>
        <v>3</v>
      </c>
      <c r="H19" s="48" t="n">
        <v>0</v>
      </c>
      <c r="I19" s="45" t="s">
        <v>407</v>
      </c>
      <c r="J19" s="45" t="s">
        <v>408</v>
      </c>
      <c r="K19" s="46" t="s">
        <v>264</v>
      </c>
      <c r="L19" s="49" t="n">
        <f aca="false">SUM(M19:AZ19)</f>
        <v>22320000</v>
      </c>
      <c r="M19" s="50" t="n">
        <f aca="false">IF($E19="Ramped",IF(AND(M$10&gt;=$G19,M$10&lt;$G19+IF($H19=0,MaxYears,$H19)),$F19*M$11,0),IF($E19="One-off",IF(M$10=$G19,$F19,0),IF($E19="Periodic",IF(AND(M$10&gt;=$G19,MOD(M$10-$G19,MAX($H19,1))=0),$F19,0),0)))</f>
        <v>0</v>
      </c>
      <c r="N19" s="50" t="n">
        <f aca="false">IF($E19="Ramped",IF(AND(N$10&gt;=$G19,N$10&lt;$G19+IF($H19=0,MaxYears,$H19)),$F19*N$11,0),IF($E19="One-off",IF(N$10=$G19,$F19,0),IF($E19="Periodic",IF(AND(N$10&gt;=$G19,MOD(N$10-$G19,MAX($H19,1))=0),$F19,0),0)))</f>
        <v>0</v>
      </c>
      <c r="O19" s="50" t="n">
        <f aca="false">IF($E19="Ramped",IF(AND(O$10&gt;=$G19,O$10&lt;$G19+IF($H19=0,MaxYears,$H19)),$F19*O$11,0),IF($E19="One-off",IF(O$10=$G19,$F19,0),IF($E19="Periodic",IF(AND(O$10&gt;=$G19,MOD(O$10-$G19,MAX($H19,1))=0),$F19,0),0)))</f>
        <v>0</v>
      </c>
      <c r="P19" s="50" t="n">
        <f aca="false">IF($E19="Ramped",IF(AND(P$10&gt;=$G19,P$10&lt;$G19+IF($H19=0,MaxYears,$H19)),$F19*P$11,0),IF($E19="One-off",IF(P$10=$G19,$F19,0),IF($E19="Periodic",IF(AND(P$10&gt;=$G19,MOD(P$10-$G19,MAX($H19,1))=0),$F19,0),0)))</f>
        <v>206666.666666667</v>
      </c>
      <c r="Q19" s="50" t="n">
        <f aca="false">IF($E19="Ramped",IF(AND(Q$10&gt;=$G19,Q$10&lt;$G19+IF($H19=0,MaxYears,$H19)),$F19*Q$11,0),IF($E19="One-off",IF(Q$10=$G19,$F19,0),IF($E19="Periodic",IF(AND(Q$10&gt;=$G19,MOD(Q$10-$G19,MAX($H19,1))=0),$F19,0),0)))</f>
        <v>413333.333333333</v>
      </c>
      <c r="R19" s="50" t="n">
        <f aca="false">IF($E19="Ramped",IF(AND(R$10&gt;=$G19,R$10&lt;$G19+IF($H19=0,MaxYears,$H19)),$F19*R$11,0),IF($E19="One-off",IF(R$10=$G19,$F19,0),IF($E19="Periodic",IF(AND(R$10&gt;=$G19,MOD(R$10-$G19,MAX($H19,1))=0),$F19,0),0)))</f>
        <v>620000</v>
      </c>
      <c r="S19" s="50" t="n">
        <f aca="false">IF($E19="Ramped",IF(AND(S$10&gt;=$G19,S$10&lt;$G19+IF($H19=0,MaxYears,$H19)),$F19*S$11,0),IF($E19="One-off",IF(S$10=$G19,$F19,0),IF($E19="Periodic",IF(AND(S$10&gt;=$G19,MOD(S$10-$G19,MAX($H19,1))=0),$F19,0),0)))</f>
        <v>620000</v>
      </c>
      <c r="T19" s="50" t="n">
        <f aca="false">IF($E19="Ramped",IF(AND(T$10&gt;=$G19,T$10&lt;$G19+IF($H19=0,MaxYears,$H19)),$F19*T$11,0),IF($E19="One-off",IF(T$10=$G19,$F19,0),IF($E19="Periodic",IF(AND(T$10&gt;=$G19,MOD(T$10-$G19,MAX($H19,1))=0),$F19,0),0)))</f>
        <v>620000</v>
      </c>
      <c r="U19" s="50" t="n">
        <f aca="false">IF($E19="Ramped",IF(AND(U$10&gt;=$G19,U$10&lt;$G19+IF($H19=0,MaxYears,$H19)),$F19*U$11,0),IF($E19="One-off",IF(U$10=$G19,$F19,0),IF($E19="Periodic",IF(AND(U$10&gt;=$G19,MOD(U$10-$G19,MAX($H19,1))=0),$F19,0),0)))</f>
        <v>620000</v>
      </c>
      <c r="V19" s="50" t="n">
        <f aca="false">IF($E19="Ramped",IF(AND(V$10&gt;=$G19,V$10&lt;$G19+IF($H19=0,MaxYears,$H19)),$F19*V$11,0),IF($E19="One-off",IF(V$10=$G19,$F19,0),IF($E19="Periodic",IF(AND(V$10&gt;=$G19,MOD(V$10-$G19,MAX($H19,1))=0),$F19,0),0)))</f>
        <v>620000</v>
      </c>
      <c r="W19" s="50" t="n">
        <f aca="false">IF($E19="Ramped",IF(AND(W$10&gt;=$G19,W$10&lt;$G19+IF($H19=0,MaxYears,$H19)),$F19*W$11,0),IF($E19="One-off",IF(W$10=$G19,$F19,0),IF($E19="Periodic",IF(AND(W$10&gt;=$G19,MOD(W$10-$G19,MAX($H19,1))=0),$F19,0),0)))</f>
        <v>620000</v>
      </c>
      <c r="X19" s="50" t="n">
        <f aca="false">IF($E19="Ramped",IF(AND(X$10&gt;=$G19,X$10&lt;$G19+IF($H19=0,MaxYears,$H19)),$F19*X$11,0),IF($E19="One-off",IF(X$10=$G19,$F19,0),IF($E19="Periodic",IF(AND(X$10&gt;=$G19,MOD(X$10-$G19,MAX($H19,1))=0),$F19,0),0)))</f>
        <v>620000</v>
      </c>
      <c r="Y19" s="50" t="n">
        <f aca="false">IF($E19="Ramped",IF(AND(Y$10&gt;=$G19,Y$10&lt;$G19+IF($H19=0,MaxYears,$H19)),$F19*Y$11,0),IF($E19="One-off",IF(Y$10=$G19,$F19,0),IF($E19="Periodic",IF(AND(Y$10&gt;=$G19,MOD(Y$10-$G19,MAX($H19,1))=0),$F19,0),0)))</f>
        <v>620000</v>
      </c>
      <c r="Z19" s="50" t="n">
        <f aca="false">IF($E19="Ramped",IF(AND(Z$10&gt;=$G19,Z$10&lt;$G19+IF($H19=0,MaxYears,$H19)),$F19*Z$11,0),IF($E19="One-off",IF(Z$10=$G19,$F19,0),IF($E19="Periodic",IF(AND(Z$10&gt;=$G19,MOD(Z$10-$G19,MAX($H19,1))=0),$F19,0),0)))</f>
        <v>620000</v>
      </c>
      <c r="AA19" s="50" t="n">
        <f aca="false">IF($E19="Ramped",IF(AND(AA$10&gt;=$G19,AA$10&lt;$G19+IF($H19=0,MaxYears,$H19)),$F19*AA$11,0),IF($E19="One-off",IF(AA$10=$G19,$F19,0),IF($E19="Periodic",IF(AND(AA$10&gt;=$G19,MOD(AA$10-$G19,MAX($H19,1))=0),$F19,0),0)))</f>
        <v>620000</v>
      </c>
      <c r="AB19" s="50" t="n">
        <f aca="false">IF($E19="Ramped",IF(AND(AB$10&gt;=$G19,AB$10&lt;$G19+IF($H19=0,MaxYears,$H19)),$F19*AB$11,0),IF($E19="One-off",IF(AB$10=$G19,$F19,0),IF($E19="Periodic",IF(AND(AB$10&gt;=$G19,MOD(AB$10-$G19,MAX($H19,1))=0),$F19,0),0)))</f>
        <v>620000</v>
      </c>
      <c r="AC19" s="50" t="n">
        <f aca="false">IF($E19="Ramped",IF(AND(AC$10&gt;=$G19,AC$10&lt;$G19+IF($H19=0,MaxYears,$H19)),$F19*AC$11,0),IF($E19="One-off",IF(AC$10=$G19,$F19,0),IF($E19="Periodic",IF(AND(AC$10&gt;=$G19,MOD(AC$10-$G19,MAX($H19,1))=0),$F19,0),0)))</f>
        <v>620000</v>
      </c>
      <c r="AD19" s="50" t="n">
        <f aca="false">IF($E19="Ramped",IF(AND(AD$10&gt;=$G19,AD$10&lt;$G19+IF($H19=0,MaxYears,$H19)),$F19*AD$11,0),IF($E19="One-off",IF(AD$10=$G19,$F19,0),IF($E19="Periodic",IF(AND(AD$10&gt;=$G19,MOD(AD$10-$G19,MAX($H19,1))=0),$F19,0),0)))</f>
        <v>620000</v>
      </c>
      <c r="AE19" s="50" t="n">
        <f aca="false">IF($E19="Ramped",IF(AND(AE$10&gt;=$G19,AE$10&lt;$G19+IF($H19=0,MaxYears,$H19)),$F19*AE$11,0),IF($E19="One-off",IF(AE$10=$G19,$F19,0),IF($E19="Periodic",IF(AND(AE$10&gt;=$G19,MOD(AE$10-$G19,MAX($H19,1))=0),$F19,0),0)))</f>
        <v>620000</v>
      </c>
      <c r="AF19" s="50" t="n">
        <f aca="false">IF($E19="Ramped",IF(AND(AF$10&gt;=$G19,AF$10&lt;$G19+IF($H19=0,MaxYears,$H19)),$F19*AF$11,0),IF($E19="One-off",IF(AF$10=$G19,$F19,0),IF($E19="Periodic",IF(AND(AF$10&gt;=$G19,MOD(AF$10-$G19,MAX($H19,1))=0),$F19,0),0)))</f>
        <v>620000</v>
      </c>
      <c r="AG19" s="50" t="n">
        <f aca="false">IF($E19="Ramped",IF(AND(AG$10&gt;=$G19,AG$10&lt;$G19+IF($H19=0,MaxYears,$H19)),$F19*AG$11,0),IF($E19="One-off",IF(AG$10=$G19,$F19,0),IF($E19="Periodic",IF(AND(AG$10&gt;=$G19,MOD(AG$10-$G19,MAX($H19,1))=0),$F19,0),0)))</f>
        <v>620000</v>
      </c>
      <c r="AH19" s="50" t="n">
        <f aca="false">IF($E19="Ramped",IF(AND(AH$10&gt;=$G19,AH$10&lt;$G19+IF($H19=0,MaxYears,$H19)),$F19*AH$11,0),IF($E19="One-off",IF(AH$10=$G19,$F19,0),IF($E19="Periodic",IF(AND(AH$10&gt;=$G19,MOD(AH$10-$G19,MAX($H19,1))=0),$F19,0),0)))</f>
        <v>620000</v>
      </c>
      <c r="AI19" s="50" t="n">
        <f aca="false">IF($E19="Ramped",IF(AND(AI$10&gt;=$G19,AI$10&lt;$G19+IF($H19=0,MaxYears,$H19)),$F19*AI$11,0),IF($E19="One-off",IF(AI$10=$G19,$F19,0),IF($E19="Periodic",IF(AND(AI$10&gt;=$G19,MOD(AI$10-$G19,MAX($H19,1))=0),$F19,0),0)))</f>
        <v>620000</v>
      </c>
      <c r="AJ19" s="50" t="n">
        <f aca="false">IF($E19="Ramped",IF(AND(AJ$10&gt;=$G19,AJ$10&lt;$G19+IF($H19=0,MaxYears,$H19)),$F19*AJ$11,0),IF($E19="One-off",IF(AJ$10=$G19,$F19,0),IF($E19="Periodic",IF(AND(AJ$10&gt;=$G19,MOD(AJ$10-$G19,MAX($H19,1))=0),$F19,0),0)))</f>
        <v>620000</v>
      </c>
      <c r="AK19" s="50" t="n">
        <f aca="false">IF($E19="Ramped",IF(AND(AK$10&gt;=$G19,AK$10&lt;$G19+IF($H19=0,MaxYears,$H19)),$F19*AK$11,0),IF($E19="One-off",IF(AK$10=$G19,$F19,0),IF($E19="Periodic",IF(AND(AK$10&gt;=$G19,MOD(AK$10-$G19,MAX($H19,1))=0),$F19,0),0)))</f>
        <v>620000</v>
      </c>
      <c r="AL19" s="50" t="n">
        <f aca="false">IF($E19="Ramped",IF(AND(AL$10&gt;=$G19,AL$10&lt;$G19+IF($H19=0,MaxYears,$H19)),$F19*AL$11,0),IF($E19="One-off",IF(AL$10=$G19,$F19,0),IF($E19="Periodic",IF(AND(AL$10&gt;=$G19,MOD(AL$10-$G19,MAX($H19,1))=0),$F19,0),0)))</f>
        <v>620000</v>
      </c>
      <c r="AM19" s="50" t="n">
        <f aca="false">IF($E19="Ramped",IF(AND(AM$10&gt;=$G19,AM$10&lt;$G19+IF($H19=0,MaxYears,$H19)),$F19*AM$11,0),IF($E19="One-off",IF(AM$10=$G19,$F19,0),IF($E19="Periodic",IF(AND(AM$10&gt;=$G19,MOD(AM$10-$G19,MAX($H19,1))=0),$F19,0),0)))</f>
        <v>620000</v>
      </c>
      <c r="AN19" s="50" t="n">
        <f aca="false">IF($E19="Ramped",IF(AND(AN$10&gt;=$G19,AN$10&lt;$G19+IF($H19=0,MaxYears,$H19)),$F19*AN$11,0),IF($E19="One-off",IF(AN$10=$G19,$F19,0),IF($E19="Periodic",IF(AND(AN$10&gt;=$G19,MOD(AN$10-$G19,MAX($H19,1))=0),$F19,0),0)))</f>
        <v>620000</v>
      </c>
      <c r="AO19" s="50" t="n">
        <f aca="false">IF($E19="Ramped",IF(AND(AO$10&gt;=$G19,AO$10&lt;$G19+IF($H19=0,MaxYears,$H19)),$F19*AO$11,0),IF($E19="One-off",IF(AO$10=$G19,$F19,0),IF($E19="Periodic",IF(AND(AO$10&gt;=$G19,MOD(AO$10-$G19,MAX($H19,1))=0),$F19,0),0)))</f>
        <v>620000</v>
      </c>
      <c r="AP19" s="50" t="n">
        <f aca="false">IF($E19="Ramped",IF(AND(AP$10&gt;=$G19,AP$10&lt;$G19+IF($H19=0,MaxYears,$H19)),$F19*AP$11,0),IF($E19="One-off",IF(AP$10=$G19,$F19,0),IF($E19="Periodic",IF(AND(AP$10&gt;=$G19,MOD(AP$10-$G19,MAX($H19,1))=0),$F19,0),0)))</f>
        <v>620000</v>
      </c>
      <c r="AQ19" s="50" t="n">
        <f aca="false">IF($E19="Ramped",IF(AND(AQ$10&gt;=$G19,AQ$10&lt;$G19+IF($H19=0,MaxYears,$H19)),$F19*AQ$11,0),IF($E19="One-off",IF(AQ$10=$G19,$F19,0),IF($E19="Periodic",IF(AND(AQ$10&gt;=$G19,MOD(AQ$10-$G19,MAX($H19,1))=0),$F19,0),0)))</f>
        <v>620000</v>
      </c>
      <c r="AR19" s="50" t="n">
        <f aca="false">IF($E19="Ramped",IF(AND(AR$10&gt;=$G19,AR$10&lt;$G19+IF($H19=0,MaxYears,$H19)),$F19*AR$11,0),IF($E19="One-off",IF(AR$10=$G19,$F19,0),IF($E19="Periodic",IF(AND(AR$10&gt;=$G19,MOD(AR$10-$G19,MAX($H19,1))=0),$F19,0),0)))</f>
        <v>620000</v>
      </c>
      <c r="AS19" s="50" t="n">
        <f aca="false">IF($E19="Ramped",IF(AND(AS$10&gt;=$G19,AS$10&lt;$G19+IF($H19=0,MaxYears,$H19)),$F19*AS$11,0),IF($E19="One-off",IF(AS$10=$G19,$F19,0),IF($E19="Periodic",IF(AND(AS$10&gt;=$G19,MOD(AS$10-$G19,MAX($H19,1))=0),$F19,0),0)))</f>
        <v>620000</v>
      </c>
      <c r="AT19" s="50" t="n">
        <f aca="false">IF($E19="Ramped",IF(AND(AT$10&gt;=$G19,AT$10&lt;$G19+IF($H19=0,MaxYears,$H19)),$F19*AT$11,0),IF($E19="One-off",IF(AT$10=$G19,$F19,0),IF($E19="Periodic",IF(AND(AT$10&gt;=$G19,MOD(AT$10-$G19,MAX($H19,1))=0),$F19,0),0)))</f>
        <v>620000</v>
      </c>
      <c r="AU19" s="50" t="n">
        <f aca="false">IF($E19="Ramped",IF(AND(AU$10&gt;=$G19,AU$10&lt;$G19+IF($H19=0,MaxYears,$H19)),$F19*AU$11,0),IF($E19="One-off",IF(AU$10=$G19,$F19,0),IF($E19="Periodic",IF(AND(AU$10&gt;=$G19,MOD(AU$10-$G19,MAX($H19,1))=0),$F19,0),0)))</f>
        <v>620000</v>
      </c>
      <c r="AV19" s="50" t="n">
        <f aca="false">IF($E19="Ramped",IF(AND(AV$10&gt;=$G19,AV$10&lt;$G19+IF($H19=0,MaxYears,$H19)),$F19*AV$11,0),IF($E19="One-off",IF(AV$10=$G19,$F19,0),IF($E19="Periodic",IF(AND(AV$10&gt;=$G19,MOD(AV$10-$G19,MAX($H19,1))=0),$F19,0),0)))</f>
        <v>620000</v>
      </c>
      <c r="AW19" s="50" t="n">
        <f aca="false">IF($E19="Ramped",IF(AND(AW$10&gt;=$G19,AW$10&lt;$G19+IF($H19=0,MaxYears,$H19)),$F19*AW$11,0),IF($E19="One-off",IF(AW$10=$G19,$F19,0),IF($E19="Periodic",IF(AND(AW$10&gt;=$G19,MOD(AW$10-$G19,MAX($H19,1))=0),$F19,0),0)))</f>
        <v>620000</v>
      </c>
      <c r="AX19" s="50" t="n">
        <f aca="false">IF($E19="Ramped",IF(AND(AX$10&gt;=$G19,AX$10&lt;$G19+IF($H19=0,MaxYears,$H19)),$F19*AX$11,0),IF($E19="One-off",IF(AX$10=$G19,$F19,0),IF($E19="Periodic",IF(AND(AX$10&gt;=$G19,MOD(AX$10-$G19,MAX($H19,1))=0),$F19,0),0)))</f>
        <v>620000</v>
      </c>
      <c r="AY19" s="50" t="n">
        <f aca="false">IF($E19="Ramped",IF(AND(AY$10&gt;=$G19,AY$10&lt;$G19+IF($H19=0,MaxYears,$H19)),$F19*AY$11,0),IF($E19="One-off",IF(AY$10=$G19,$F19,0),IF($E19="Periodic",IF(AND(AY$10&gt;=$G19,MOD(AY$10-$G19,MAX($H19,1))=0),$F19,0),0)))</f>
        <v>620000</v>
      </c>
      <c r="AZ19" s="50" t="n">
        <f aca="false">IF($E19="Ramped",IF(AND(AZ$10&gt;=$G19,AZ$10&lt;$G19+IF($H19=0,MaxYears,$H19)),$F19*AZ$11,0),IF($E19="One-off",IF(AZ$10=$G19,$F19,0),IF($E19="Periodic",IF(AND(AZ$10&gt;=$G19,MOD(AZ$10-$G19,MAX($H19,1))=0),$F19,0),0)))</f>
        <v>620000</v>
      </c>
    </row>
    <row r="20" customFormat="false" ht="27.75" hidden="false" customHeight="true" outlineLevel="0" collapsed="false">
      <c r="B20" s="25" t="s">
        <v>409</v>
      </c>
      <c r="C20" s="45" t="s">
        <v>410</v>
      </c>
      <c r="D20" s="45" t="s">
        <v>411</v>
      </c>
      <c r="E20" s="46" t="s">
        <v>377</v>
      </c>
      <c r="F20" s="47" t="n">
        <v>2300000</v>
      </c>
      <c r="G20" s="51" t="n">
        <f aca="false">ConstrYears</f>
        <v>3</v>
      </c>
      <c r="H20" s="48" t="n">
        <v>0</v>
      </c>
      <c r="I20" s="45" t="s">
        <v>412</v>
      </c>
      <c r="J20" s="45" t="s">
        <v>413</v>
      </c>
      <c r="K20" s="46" t="s">
        <v>260</v>
      </c>
      <c r="L20" s="49" t="n">
        <f aca="false">SUM(M20:AZ20)</f>
        <v>82800000</v>
      </c>
      <c r="M20" s="50" t="n">
        <f aca="false">IF($E20="Ramped",IF(AND(M$10&gt;=$G20,M$10&lt;$G20+IF($H20=0,MaxYears,$H20)),$F20*M$11,0),IF($E20="One-off",IF(M$10=$G20,$F20,0),IF($E20="Periodic",IF(AND(M$10&gt;=$G20,MOD(M$10-$G20,MAX($H20,1))=0),$F20,0),0)))</f>
        <v>0</v>
      </c>
      <c r="N20" s="50" t="n">
        <f aca="false">IF($E20="Ramped",IF(AND(N$10&gt;=$G20,N$10&lt;$G20+IF($H20=0,MaxYears,$H20)),$F20*N$11,0),IF($E20="One-off",IF(N$10=$G20,$F20,0),IF($E20="Periodic",IF(AND(N$10&gt;=$G20,MOD(N$10-$G20,MAX($H20,1))=0),$F20,0),0)))</f>
        <v>0</v>
      </c>
      <c r="O20" s="50" t="n">
        <f aca="false">IF($E20="Ramped",IF(AND(O$10&gt;=$G20,O$10&lt;$G20+IF($H20=0,MaxYears,$H20)),$F20*O$11,0),IF($E20="One-off",IF(O$10=$G20,$F20,0),IF($E20="Periodic",IF(AND(O$10&gt;=$G20,MOD(O$10-$G20,MAX($H20,1))=0),$F20,0),0)))</f>
        <v>0</v>
      </c>
      <c r="P20" s="50" t="n">
        <f aca="false">IF($E20="Ramped",IF(AND(P$10&gt;=$G20,P$10&lt;$G20+IF($H20=0,MaxYears,$H20)),$F20*P$11,0),IF($E20="One-off",IF(P$10=$G20,$F20,0),IF($E20="Periodic",IF(AND(P$10&gt;=$G20,MOD(P$10-$G20,MAX($H20,1))=0),$F20,0),0)))</f>
        <v>766666.666666667</v>
      </c>
      <c r="Q20" s="50" t="n">
        <f aca="false">IF($E20="Ramped",IF(AND(Q$10&gt;=$G20,Q$10&lt;$G20+IF($H20=0,MaxYears,$H20)),$F20*Q$11,0),IF($E20="One-off",IF(Q$10=$G20,$F20,0),IF($E20="Periodic",IF(AND(Q$10&gt;=$G20,MOD(Q$10-$G20,MAX($H20,1))=0),$F20,0),0)))</f>
        <v>1533333.33333333</v>
      </c>
      <c r="R20" s="50" t="n">
        <f aca="false">IF($E20="Ramped",IF(AND(R$10&gt;=$G20,R$10&lt;$G20+IF($H20=0,MaxYears,$H20)),$F20*R$11,0),IF($E20="One-off",IF(R$10=$G20,$F20,0),IF($E20="Periodic",IF(AND(R$10&gt;=$G20,MOD(R$10-$G20,MAX($H20,1))=0),$F20,0),0)))</f>
        <v>2300000</v>
      </c>
      <c r="S20" s="50" t="n">
        <f aca="false">IF($E20="Ramped",IF(AND(S$10&gt;=$G20,S$10&lt;$G20+IF($H20=0,MaxYears,$H20)),$F20*S$11,0),IF($E20="One-off",IF(S$10=$G20,$F20,0),IF($E20="Periodic",IF(AND(S$10&gt;=$G20,MOD(S$10-$G20,MAX($H20,1))=0),$F20,0),0)))</f>
        <v>2300000</v>
      </c>
      <c r="T20" s="50" t="n">
        <f aca="false">IF($E20="Ramped",IF(AND(T$10&gt;=$G20,T$10&lt;$G20+IF($H20=0,MaxYears,$H20)),$F20*T$11,0),IF($E20="One-off",IF(T$10=$G20,$F20,0),IF($E20="Periodic",IF(AND(T$10&gt;=$G20,MOD(T$10-$G20,MAX($H20,1))=0),$F20,0),0)))</f>
        <v>2300000</v>
      </c>
      <c r="U20" s="50" t="n">
        <f aca="false">IF($E20="Ramped",IF(AND(U$10&gt;=$G20,U$10&lt;$G20+IF($H20=0,MaxYears,$H20)),$F20*U$11,0),IF($E20="One-off",IF(U$10=$G20,$F20,0),IF($E20="Periodic",IF(AND(U$10&gt;=$G20,MOD(U$10-$G20,MAX($H20,1))=0),$F20,0),0)))</f>
        <v>2300000</v>
      </c>
      <c r="V20" s="50" t="n">
        <f aca="false">IF($E20="Ramped",IF(AND(V$10&gt;=$G20,V$10&lt;$G20+IF($H20=0,MaxYears,$H20)),$F20*V$11,0),IF($E20="One-off",IF(V$10=$G20,$F20,0),IF($E20="Periodic",IF(AND(V$10&gt;=$G20,MOD(V$10-$G20,MAX($H20,1))=0),$F20,0),0)))</f>
        <v>2300000</v>
      </c>
      <c r="W20" s="50" t="n">
        <f aca="false">IF($E20="Ramped",IF(AND(W$10&gt;=$G20,W$10&lt;$G20+IF($H20=0,MaxYears,$H20)),$F20*W$11,0),IF($E20="One-off",IF(W$10=$G20,$F20,0),IF($E20="Periodic",IF(AND(W$10&gt;=$G20,MOD(W$10-$G20,MAX($H20,1))=0),$F20,0),0)))</f>
        <v>2300000</v>
      </c>
      <c r="X20" s="50" t="n">
        <f aca="false">IF($E20="Ramped",IF(AND(X$10&gt;=$G20,X$10&lt;$G20+IF($H20=0,MaxYears,$H20)),$F20*X$11,0),IF($E20="One-off",IF(X$10=$G20,$F20,0),IF($E20="Periodic",IF(AND(X$10&gt;=$G20,MOD(X$10-$G20,MAX($H20,1))=0),$F20,0),0)))</f>
        <v>2300000</v>
      </c>
      <c r="Y20" s="50" t="n">
        <f aca="false">IF($E20="Ramped",IF(AND(Y$10&gt;=$G20,Y$10&lt;$G20+IF($H20=0,MaxYears,$H20)),$F20*Y$11,0),IF($E20="One-off",IF(Y$10=$G20,$F20,0),IF($E20="Periodic",IF(AND(Y$10&gt;=$G20,MOD(Y$10-$G20,MAX($H20,1))=0),$F20,0),0)))</f>
        <v>2300000</v>
      </c>
      <c r="Z20" s="50" t="n">
        <f aca="false">IF($E20="Ramped",IF(AND(Z$10&gt;=$G20,Z$10&lt;$G20+IF($H20=0,MaxYears,$H20)),$F20*Z$11,0),IF($E20="One-off",IF(Z$10=$G20,$F20,0),IF($E20="Periodic",IF(AND(Z$10&gt;=$G20,MOD(Z$10-$G20,MAX($H20,1))=0),$F20,0),0)))</f>
        <v>2300000</v>
      </c>
      <c r="AA20" s="50" t="n">
        <f aca="false">IF($E20="Ramped",IF(AND(AA$10&gt;=$G20,AA$10&lt;$G20+IF($H20=0,MaxYears,$H20)),$F20*AA$11,0),IF($E20="One-off",IF(AA$10=$G20,$F20,0),IF($E20="Periodic",IF(AND(AA$10&gt;=$G20,MOD(AA$10-$G20,MAX($H20,1))=0),$F20,0),0)))</f>
        <v>2300000</v>
      </c>
      <c r="AB20" s="50" t="n">
        <f aca="false">IF($E20="Ramped",IF(AND(AB$10&gt;=$G20,AB$10&lt;$G20+IF($H20=0,MaxYears,$H20)),$F20*AB$11,0),IF($E20="One-off",IF(AB$10=$G20,$F20,0),IF($E20="Periodic",IF(AND(AB$10&gt;=$G20,MOD(AB$10-$G20,MAX($H20,1))=0),$F20,0),0)))</f>
        <v>2300000</v>
      </c>
      <c r="AC20" s="50" t="n">
        <f aca="false">IF($E20="Ramped",IF(AND(AC$10&gt;=$G20,AC$10&lt;$G20+IF($H20=0,MaxYears,$H20)),$F20*AC$11,0),IF($E20="One-off",IF(AC$10=$G20,$F20,0),IF($E20="Periodic",IF(AND(AC$10&gt;=$G20,MOD(AC$10-$G20,MAX($H20,1))=0),$F20,0),0)))</f>
        <v>2300000</v>
      </c>
      <c r="AD20" s="50" t="n">
        <f aca="false">IF($E20="Ramped",IF(AND(AD$10&gt;=$G20,AD$10&lt;$G20+IF($H20=0,MaxYears,$H20)),$F20*AD$11,0),IF($E20="One-off",IF(AD$10=$G20,$F20,0),IF($E20="Periodic",IF(AND(AD$10&gt;=$G20,MOD(AD$10-$G20,MAX($H20,1))=0),$F20,0),0)))</f>
        <v>2300000</v>
      </c>
      <c r="AE20" s="50" t="n">
        <f aca="false">IF($E20="Ramped",IF(AND(AE$10&gt;=$G20,AE$10&lt;$G20+IF($H20=0,MaxYears,$H20)),$F20*AE$11,0),IF($E20="One-off",IF(AE$10=$G20,$F20,0),IF($E20="Periodic",IF(AND(AE$10&gt;=$G20,MOD(AE$10-$G20,MAX($H20,1))=0),$F20,0),0)))</f>
        <v>2300000</v>
      </c>
      <c r="AF20" s="50" t="n">
        <f aca="false">IF($E20="Ramped",IF(AND(AF$10&gt;=$G20,AF$10&lt;$G20+IF($H20=0,MaxYears,$H20)),$F20*AF$11,0),IF($E20="One-off",IF(AF$10=$G20,$F20,0),IF($E20="Periodic",IF(AND(AF$10&gt;=$G20,MOD(AF$10-$G20,MAX($H20,1))=0),$F20,0),0)))</f>
        <v>2300000</v>
      </c>
      <c r="AG20" s="50" t="n">
        <f aca="false">IF($E20="Ramped",IF(AND(AG$10&gt;=$G20,AG$10&lt;$G20+IF($H20=0,MaxYears,$H20)),$F20*AG$11,0),IF($E20="One-off",IF(AG$10=$G20,$F20,0),IF($E20="Periodic",IF(AND(AG$10&gt;=$G20,MOD(AG$10-$G20,MAX($H20,1))=0),$F20,0),0)))</f>
        <v>2300000</v>
      </c>
      <c r="AH20" s="50" t="n">
        <f aca="false">IF($E20="Ramped",IF(AND(AH$10&gt;=$G20,AH$10&lt;$G20+IF($H20=0,MaxYears,$H20)),$F20*AH$11,0),IF($E20="One-off",IF(AH$10=$G20,$F20,0),IF($E20="Periodic",IF(AND(AH$10&gt;=$G20,MOD(AH$10-$G20,MAX($H20,1))=0),$F20,0),0)))</f>
        <v>2300000</v>
      </c>
      <c r="AI20" s="50" t="n">
        <f aca="false">IF($E20="Ramped",IF(AND(AI$10&gt;=$G20,AI$10&lt;$G20+IF($H20=0,MaxYears,$H20)),$F20*AI$11,0),IF($E20="One-off",IF(AI$10=$G20,$F20,0),IF($E20="Periodic",IF(AND(AI$10&gt;=$G20,MOD(AI$10-$G20,MAX($H20,1))=0),$F20,0),0)))</f>
        <v>2300000</v>
      </c>
      <c r="AJ20" s="50" t="n">
        <f aca="false">IF($E20="Ramped",IF(AND(AJ$10&gt;=$G20,AJ$10&lt;$G20+IF($H20=0,MaxYears,$H20)),$F20*AJ$11,0),IF($E20="One-off",IF(AJ$10=$G20,$F20,0),IF($E20="Periodic",IF(AND(AJ$10&gt;=$G20,MOD(AJ$10-$G20,MAX($H20,1))=0),$F20,0),0)))</f>
        <v>2300000</v>
      </c>
      <c r="AK20" s="50" t="n">
        <f aca="false">IF($E20="Ramped",IF(AND(AK$10&gt;=$G20,AK$10&lt;$G20+IF($H20=0,MaxYears,$H20)),$F20*AK$11,0),IF($E20="One-off",IF(AK$10=$G20,$F20,0),IF($E20="Periodic",IF(AND(AK$10&gt;=$G20,MOD(AK$10-$G20,MAX($H20,1))=0),$F20,0),0)))</f>
        <v>2300000</v>
      </c>
      <c r="AL20" s="50" t="n">
        <f aca="false">IF($E20="Ramped",IF(AND(AL$10&gt;=$G20,AL$10&lt;$G20+IF($H20=0,MaxYears,$H20)),$F20*AL$11,0),IF($E20="One-off",IF(AL$10=$G20,$F20,0),IF($E20="Periodic",IF(AND(AL$10&gt;=$G20,MOD(AL$10-$G20,MAX($H20,1))=0),$F20,0),0)))</f>
        <v>2300000</v>
      </c>
      <c r="AM20" s="50" t="n">
        <f aca="false">IF($E20="Ramped",IF(AND(AM$10&gt;=$G20,AM$10&lt;$G20+IF($H20=0,MaxYears,$H20)),$F20*AM$11,0),IF($E20="One-off",IF(AM$10=$G20,$F20,0),IF($E20="Periodic",IF(AND(AM$10&gt;=$G20,MOD(AM$10-$G20,MAX($H20,1))=0),$F20,0),0)))</f>
        <v>2300000</v>
      </c>
      <c r="AN20" s="50" t="n">
        <f aca="false">IF($E20="Ramped",IF(AND(AN$10&gt;=$G20,AN$10&lt;$G20+IF($H20=0,MaxYears,$H20)),$F20*AN$11,0),IF($E20="One-off",IF(AN$10=$G20,$F20,0),IF($E20="Periodic",IF(AND(AN$10&gt;=$G20,MOD(AN$10-$G20,MAX($H20,1))=0),$F20,0),0)))</f>
        <v>2300000</v>
      </c>
      <c r="AO20" s="50" t="n">
        <f aca="false">IF($E20="Ramped",IF(AND(AO$10&gt;=$G20,AO$10&lt;$G20+IF($H20=0,MaxYears,$H20)),$F20*AO$11,0),IF($E20="One-off",IF(AO$10=$G20,$F20,0),IF($E20="Periodic",IF(AND(AO$10&gt;=$G20,MOD(AO$10-$G20,MAX($H20,1))=0),$F20,0),0)))</f>
        <v>2300000</v>
      </c>
      <c r="AP20" s="50" t="n">
        <f aca="false">IF($E20="Ramped",IF(AND(AP$10&gt;=$G20,AP$10&lt;$G20+IF($H20=0,MaxYears,$H20)),$F20*AP$11,0),IF($E20="One-off",IF(AP$10=$G20,$F20,0),IF($E20="Periodic",IF(AND(AP$10&gt;=$G20,MOD(AP$10-$G20,MAX($H20,1))=0),$F20,0),0)))</f>
        <v>2300000</v>
      </c>
      <c r="AQ20" s="50" t="n">
        <f aca="false">IF($E20="Ramped",IF(AND(AQ$10&gt;=$G20,AQ$10&lt;$G20+IF($H20=0,MaxYears,$H20)),$F20*AQ$11,0),IF($E20="One-off",IF(AQ$10=$G20,$F20,0),IF($E20="Periodic",IF(AND(AQ$10&gt;=$G20,MOD(AQ$10-$G20,MAX($H20,1))=0),$F20,0),0)))</f>
        <v>2300000</v>
      </c>
      <c r="AR20" s="50" t="n">
        <f aca="false">IF($E20="Ramped",IF(AND(AR$10&gt;=$G20,AR$10&lt;$G20+IF($H20=0,MaxYears,$H20)),$F20*AR$11,0),IF($E20="One-off",IF(AR$10=$G20,$F20,0),IF($E20="Periodic",IF(AND(AR$10&gt;=$G20,MOD(AR$10-$G20,MAX($H20,1))=0),$F20,0),0)))</f>
        <v>2300000</v>
      </c>
      <c r="AS20" s="50" t="n">
        <f aca="false">IF($E20="Ramped",IF(AND(AS$10&gt;=$G20,AS$10&lt;$G20+IF($H20=0,MaxYears,$H20)),$F20*AS$11,0),IF($E20="One-off",IF(AS$10=$G20,$F20,0),IF($E20="Periodic",IF(AND(AS$10&gt;=$G20,MOD(AS$10-$G20,MAX($H20,1))=0),$F20,0),0)))</f>
        <v>2300000</v>
      </c>
      <c r="AT20" s="50" t="n">
        <f aca="false">IF($E20="Ramped",IF(AND(AT$10&gt;=$G20,AT$10&lt;$G20+IF($H20=0,MaxYears,$H20)),$F20*AT$11,0),IF($E20="One-off",IF(AT$10=$G20,$F20,0),IF($E20="Periodic",IF(AND(AT$10&gt;=$G20,MOD(AT$10-$G20,MAX($H20,1))=0),$F20,0),0)))</f>
        <v>2300000</v>
      </c>
      <c r="AU20" s="50" t="n">
        <f aca="false">IF($E20="Ramped",IF(AND(AU$10&gt;=$G20,AU$10&lt;$G20+IF($H20=0,MaxYears,$H20)),$F20*AU$11,0),IF($E20="One-off",IF(AU$10=$G20,$F20,0),IF($E20="Periodic",IF(AND(AU$10&gt;=$G20,MOD(AU$10-$G20,MAX($H20,1))=0),$F20,0),0)))</f>
        <v>2300000</v>
      </c>
      <c r="AV20" s="50" t="n">
        <f aca="false">IF($E20="Ramped",IF(AND(AV$10&gt;=$G20,AV$10&lt;$G20+IF($H20=0,MaxYears,$H20)),$F20*AV$11,0),IF($E20="One-off",IF(AV$10=$G20,$F20,0),IF($E20="Periodic",IF(AND(AV$10&gt;=$G20,MOD(AV$10-$G20,MAX($H20,1))=0),$F20,0),0)))</f>
        <v>2300000</v>
      </c>
      <c r="AW20" s="50" t="n">
        <f aca="false">IF($E20="Ramped",IF(AND(AW$10&gt;=$G20,AW$10&lt;$G20+IF($H20=0,MaxYears,$H20)),$F20*AW$11,0),IF($E20="One-off",IF(AW$10=$G20,$F20,0),IF($E20="Periodic",IF(AND(AW$10&gt;=$G20,MOD(AW$10-$G20,MAX($H20,1))=0),$F20,0),0)))</f>
        <v>2300000</v>
      </c>
      <c r="AX20" s="50" t="n">
        <f aca="false">IF($E20="Ramped",IF(AND(AX$10&gt;=$G20,AX$10&lt;$G20+IF($H20=0,MaxYears,$H20)),$F20*AX$11,0),IF($E20="One-off",IF(AX$10=$G20,$F20,0),IF($E20="Periodic",IF(AND(AX$10&gt;=$G20,MOD(AX$10-$G20,MAX($H20,1))=0),$F20,0),0)))</f>
        <v>2300000</v>
      </c>
      <c r="AY20" s="50" t="n">
        <f aca="false">IF($E20="Ramped",IF(AND(AY$10&gt;=$G20,AY$10&lt;$G20+IF($H20=0,MaxYears,$H20)),$F20*AY$11,0),IF($E20="One-off",IF(AY$10=$G20,$F20,0),IF($E20="Periodic",IF(AND(AY$10&gt;=$G20,MOD(AY$10-$G20,MAX($H20,1))=0),$F20,0),0)))</f>
        <v>2300000</v>
      </c>
      <c r="AZ20" s="50" t="n">
        <f aca="false">IF($E20="Ramped",IF(AND(AZ$10&gt;=$G20,AZ$10&lt;$G20+IF($H20=0,MaxYears,$H20)),$F20*AZ$11,0),IF($E20="One-off",IF(AZ$10=$G20,$F20,0),IF($E20="Periodic",IF(AND(AZ$10&gt;=$G20,MOD(AZ$10-$G20,MAX($H20,1))=0),$F20,0),0)))</f>
        <v>2300000</v>
      </c>
    </row>
    <row r="21" customFormat="false" ht="27.75" hidden="false" customHeight="true" outlineLevel="0" collapsed="false">
      <c r="B21" s="25" t="s">
        <v>414</v>
      </c>
      <c r="C21" s="45" t="s">
        <v>415</v>
      </c>
      <c r="D21" s="45" t="s">
        <v>416</v>
      </c>
      <c r="E21" s="46" t="s">
        <v>377</v>
      </c>
      <c r="F21" s="47" t="n">
        <v>620000</v>
      </c>
      <c r="G21" s="51" t="n">
        <f aca="false">ConstrYears</f>
        <v>3</v>
      </c>
      <c r="H21" s="48" t="n">
        <v>0</v>
      </c>
      <c r="I21" s="45" t="s">
        <v>417</v>
      </c>
      <c r="J21" s="45" t="s">
        <v>418</v>
      </c>
      <c r="K21" s="46" t="s">
        <v>264</v>
      </c>
      <c r="L21" s="49" t="n">
        <f aca="false">SUM(M21:AZ21)</f>
        <v>22320000</v>
      </c>
      <c r="M21" s="50" t="n">
        <f aca="false">IF($E21="Ramped",IF(AND(M$10&gt;=$G21,M$10&lt;$G21+IF($H21=0,MaxYears,$H21)),$F21*M$11,0),IF($E21="One-off",IF(M$10=$G21,$F21,0),IF($E21="Periodic",IF(AND(M$10&gt;=$G21,MOD(M$10-$G21,MAX($H21,1))=0),$F21,0),0)))</f>
        <v>0</v>
      </c>
      <c r="N21" s="50" t="n">
        <f aca="false">IF($E21="Ramped",IF(AND(N$10&gt;=$G21,N$10&lt;$G21+IF($H21=0,MaxYears,$H21)),$F21*N$11,0),IF($E21="One-off",IF(N$10=$G21,$F21,0),IF($E21="Periodic",IF(AND(N$10&gt;=$G21,MOD(N$10-$G21,MAX($H21,1))=0),$F21,0),0)))</f>
        <v>0</v>
      </c>
      <c r="O21" s="50" t="n">
        <f aca="false">IF($E21="Ramped",IF(AND(O$10&gt;=$G21,O$10&lt;$G21+IF($H21=0,MaxYears,$H21)),$F21*O$11,0),IF($E21="One-off",IF(O$10=$G21,$F21,0),IF($E21="Periodic",IF(AND(O$10&gt;=$G21,MOD(O$10-$G21,MAX($H21,1))=0),$F21,0),0)))</f>
        <v>0</v>
      </c>
      <c r="P21" s="50" t="n">
        <f aca="false">IF($E21="Ramped",IF(AND(P$10&gt;=$G21,P$10&lt;$G21+IF($H21=0,MaxYears,$H21)),$F21*P$11,0),IF($E21="One-off",IF(P$10=$G21,$F21,0),IF($E21="Periodic",IF(AND(P$10&gt;=$G21,MOD(P$10-$G21,MAX($H21,1))=0),$F21,0),0)))</f>
        <v>206666.666666667</v>
      </c>
      <c r="Q21" s="50" t="n">
        <f aca="false">IF($E21="Ramped",IF(AND(Q$10&gt;=$G21,Q$10&lt;$G21+IF($H21=0,MaxYears,$H21)),$F21*Q$11,0),IF($E21="One-off",IF(Q$10=$G21,$F21,0),IF($E21="Periodic",IF(AND(Q$10&gt;=$G21,MOD(Q$10-$G21,MAX($H21,1))=0),$F21,0),0)))</f>
        <v>413333.333333333</v>
      </c>
      <c r="R21" s="50" t="n">
        <f aca="false">IF($E21="Ramped",IF(AND(R$10&gt;=$G21,R$10&lt;$G21+IF($H21=0,MaxYears,$H21)),$F21*R$11,0),IF($E21="One-off",IF(R$10=$G21,$F21,0),IF($E21="Periodic",IF(AND(R$10&gt;=$G21,MOD(R$10-$G21,MAX($H21,1))=0),$F21,0),0)))</f>
        <v>620000</v>
      </c>
      <c r="S21" s="50" t="n">
        <f aca="false">IF($E21="Ramped",IF(AND(S$10&gt;=$G21,S$10&lt;$G21+IF($H21=0,MaxYears,$H21)),$F21*S$11,0),IF($E21="One-off",IF(S$10=$G21,$F21,0),IF($E21="Periodic",IF(AND(S$10&gt;=$G21,MOD(S$10-$G21,MAX($H21,1))=0),$F21,0),0)))</f>
        <v>620000</v>
      </c>
      <c r="T21" s="50" t="n">
        <f aca="false">IF($E21="Ramped",IF(AND(T$10&gt;=$G21,T$10&lt;$G21+IF($H21=0,MaxYears,$H21)),$F21*T$11,0),IF($E21="One-off",IF(T$10=$G21,$F21,0),IF($E21="Periodic",IF(AND(T$10&gt;=$G21,MOD(T$10-$G21,MAX($H21,1))=0),$F21,0),0)))</f>
        <v>620000</v>
      </c>
      <c r="U21" s="50" t="n">
        <f aca="false">IF($E21="Ramped",IF(AND(U$10&gt;=$G21,U$10&lt;$G21+IF($H21=0,MaxYears,$H21)),$F21*U$11,0),IF($E21="One-off",IF(U$10=$G21,$F21,0),IF($E21="Periodic",IF(AND(U$10&gt;=$G21,MOD(U$10-$G21,MAX($H21,1))=0),$F21,0),0)))</f>
        <v>620000</v>
      </c>
      <c r="V21" s="50" t="n">
        <f aca="false">IF($E21="Ramped",IF(AND(V$10&gt;=$G21,V$10&lt;$G21+IF($H21=0,MaxYears,$H21)),$F21*V$11,0),IF($E21="One-off",IF(V$10=$G21,$F21,0),IF($E21="Periodic",IF(AND(V$10&gt;=$G21,MOD(V$10-$G21,MAX($H21,1))=0),$F21,0),0)))</f>
        <v>620000</v>
      </c>
      <c r="W21" s="50" t="n">
        <f aca="false">IF($E21="Ramped",IF(AND(W$10&gt;=$G21,W$10&lt;$G21+IF($H21=0,MaxYears,$H21)),$F21*W$11,0),IF($E21="One-off",IF(W$10=$G21,$F21,0),IF($E21="Periodic",IF(AND(W$10&gt;=$G21,MOD(W$10-$G21,MAX($H21,1))=0),$F21,0),0)))</f>
        <v>620000</v>
      </c>
      <c r="X21" s="50" t="n">
        <f aca="false">IF($E21="Ramped",IF(AND(X$10&gt;=$G21,X$10&lt;$G21+IF($H21=0,MaxYears,$H21)),$F21*X$11,0),IF($E21="One-off",IF(X$10=$G21,$F21,0),IF($E21="Periodic",IF(AND(X$10&gt;=$G21,MOD(X$10-$G21,MAX($H21,1))=0),$F21,0),0)))</f>
        <v>620000</v>
      </c>
      <c r="Y21" s="50" t="n">
        <f aca="false">IF($E21="Ramped",IF(AND(Y$10&gt;=$G21,Y$10&lt;$G21+IF($H21=0,MaxYears,$H21)),$F21*Y$11,0),IF($E21="One-off",IF(Y$10=$G21,$F21,0),IF($E21="Periodic",IF(AND(Y$10&gt;=$G21,MOD(Y$10-$G21,MAX($H21,1))=0),$F21,0),0)))</f>
        <v>620000</v>
      </c>
      <c r="Z21" s="50" t="n">
        <f aca="false">IF($E21="Ramped",IF(AND(Z$10&gt;=$G21,Z$10&lt;$G21+IF($H21=0,MaxYears,$H21)),$F21*Z$11,0),IF($E21="One-off",IF(Z$10=$G21,$F21,0),IF($E21="Periodic",IF(AND(Z$10&gt;=$G21,MOD(Z$10-$G21,MAX($H21,1))=0),$F21,0),0)))</f>
        <v>620000</v>
      </c>
      <c r="AA21" s="50" t="n">
        <f aca="false">IF($E21="Ramped",IF(AND(AA$10&gt;=$G21,AA$10&lt;$G21+IF($H21=0,MaxYears,$H21)),$F21*AA$11,0),IF($E21="One-off",IF(AA$10=$G21,$F21,0),IF($E21="Periodic",IF(AND(AA$10&gt;=$G21,MOD(AA$10-$G21,MAX($H21,1))=0),$F21,0),0)))</f>
        <v>620000</v>
      </c>
      <c r="AB21" s="50" t="n">
        <f aca="false">IF($E21="Ramped",IF(AND(AB$10&gt;=$G21,AB$10&lt;$G21+IF($H21=0,MaxYears,$H21)),$F21*AB$11,0),IF($E21="One-off",IF(AB$10=$G21,$F21,0),IF($E21="Periodic",IF(AND(AB$10&gt;=$G21,MOD(AB$10-$G21,MAX($H21,1))=0),$F21,0),0)))</f>
        <v>620000</v>
      </c>
      <c r="AC21" s="50" t="n">
        <f aca="false">IF($E21="Ramped",IF(AND(AC$10&gt;=$G21,AC$10&lt;$G21+IF($H21=0,MaxYears,$H21)),$F21*AC$11,0),IF($E21="One-off",IF(AC$10=$G21,$F21,0),IF($E21="Periodic",IF(AND(AC$10&gt;=$G21,MOD(AC$10-$G21,MAX($H21,1))=0),$F21,0),0)))</f>
        <v>620000</v>
      </c>
      <c r="AD21" s="50" t="n">
        <f aca="false">IF($E21="Ramped",IF(AND(AD$10&gt;=$G21,AD$10&lt;$G21+IF($H21=0,MaxYears,$H21)),$F21*AD$11,0),IF($E21="One-off",IF(AD$10=$G21,$F21,0),IF($E21="Periodic",IF(AND(AD$10&gt;=$G21,MOD(AD$10-$G21,MAX($H21,1))=0),$F21,0),0)))</f>
        <v>620000</v>
      </c>
      <c r="AE21" s="50" t="n">
        <f aca="false">IF($E21="Ramped",IF(AND(AE$10&gt;=$G21,AE$10&lt;$G21+IF($H21=0,MaxYears,$H21)),$F21*AE$11,0),IF($E21="One-off",IF(AE$10=$G21,$F21,0),IF($E21="Periodic",IF(AND(AE$10&gt;=$G21,MOD(AE$10-$G21,MAX($H21,1))=0),$F21,0),0)))</f>
        <v>620000</v>
      </c>
      <c r="AF21" s="50" t="n">
        <f aca="false">IF($E21="Ramped",IF(AND(AF$10&gt;=$G21,AF$10&lt;$G21+IF($H21=0,MaxYears,$H21)),$F21*AF$11,0),IF($E21="One-off",IF(AF$10=$G21,$F21,0),IF($E21="Periodic",IF(AND(AF$10&gt;=$G21,MOD(AF$10-$G21,MAX($H21,1))=0),$F21,0),0)))</f>
        <v>620000</v>
      </c>
      <c r="AG21" s="50" t="n">
        <f aca="false">IF($E21="Ramped",IF(AND(AG$10&gt;=$G21,AG$10&lt;$G21+IF($H21=0,MaxYears,$H21)),$F21*AG$11,0),IF($E21="One-off",IF(AG$10=$G21,$F21,0),IF($E21="Periodic",IF(AND(AG$10&gt;=$G21,MOD(AG$10-$G21,MAX($H21,1))=0),$F21,0),0)))</f>
        <v>620000</v>
      </c>
      <c r="AH21" s="50" t="n">
        <f aca="false">IF($E21="Ramped",IF(AND(AH$10&gt;=$G21,AH$10&lt;$G21+IF($H21=0,MaxYears,$H21)),$F21*AH$11,0),IF($E21="One-off",IF(AH$10=$G21,$F21,0),IF($E21="Periodic",IF(AND(AH$10&gt;=$G21,MOD(AH$10-$G21,MAX($H21,1))=0),$F21,0),0)))</f>
        <v>620000</v>
      </c>
      <c r="AI21" s="50" t="n">
        <f aca="false">IF($E21="Ramped",IF(AND(AI$10&gt;=$G21,AI$10&lt;$G21+IF($H21=0,MaxYears,$H21)),$F21*AI$11,0),IF($E21="One-off",IF(AI$10=$G21,$F21,0),IF($E21="Periodic",IF(AND(AI$10&gt;=$G21,MOD(AI$10-$G21,MAX($H21,1))=0),$F21,0),0)))</f>
        <v>620000</v>
      </c>
      <c r="AJ21" s="50" t="n">
        <f aca="false">IF($E21="Ramped",IF(AND(AJ$10&gt;=$G21,AJ$10&lt;$G21+IF($H21=0,MaxYears,$H21)),$F21*AJ$11,0),IF($E21="One-off",IF(AJ$10=$G21,$F21,0),IF($E21="Periodic",IF(AND(AJ$10&gt;=$G21,MOD(AJ$10-$G21,MAX($H21,1))=0),$F21,0),0)))</f>
        <v>620000</v>
      </c>
      <c r="AK21" s="50" t="n">
        <f aca="false">IF($E21="Ramped",IF(AND(AK$10&gt;=$G21,AK$10&lt;$G21+IF($H21=0,MaxYears,$H21)),$F21*AK$11,0),IF($E21="One-off",IF(AK$10=$G21,$F21,0),IF($E21="Periodic",IF(AND(AK$10&gt;=$G21,MOD(AK$10-$G21,MAX($H21,1))=0),$F21,0),0)))</f>
        <v>620000</v>
      </c>
      <c r="AL21" s="50" t="n">
        <f aca="false">IF($E21="Ramped",IF(AND(AL$10&gt;=$G21,AL$10&lt;$G21+IF($H21=0,MaxYears,$H21)),$F21*AL$11,0),IF($E21="One-off",IF(AL$10=$G21,$F21,0),IF($E21="Periodic",IF(AND(AL$10&gt;=$G21,MOD(AL$10-$G21,MAX($H21,1))=0),$F21,0),0)))</f>
        <v>620000</v>
      </c>
      <c r="AM21" s="50" t="n">
        <f aca="false">IF($E21="Ramped",IF(AND(AM$10&gt;=$G21,AM$10&lt;$G21+IF($H21=0,MaxYears,$H21)),$F21*AM$11,0),IF($E21="One-off",IF(AM$10=$G21,$F21,0),IF($E21="Periodic",IF(AND(AM$10&gt;=$G21,MOD(AM$10-$G21,MAX($H21,1))=0),$F21,0),0)))</f>
        <v>620000</v>
      </c>
      <c r="AN21" s="50" t="n">
        <f aca="false">IF($E21="Ramped",IF(AND(AN$10&gt;=$G21,AN$10&lt;$G21+IF($H21=0,MaxYears,$H21)),$F21*AN$11,0),IF($E21="One-off",IF(AN$10=$G21,$F21,0),IF($E21="Periodic",IF(AND(AN$10&gt;=$G21,MOD(AN$10-$G21,MAX($H21,1))=0),$F21,0),0)))</f>
        <v>620000</v>
      </c>
      <c r="AO21" s="50" t="n">
        <f aca="false">IF($E21="Ramped",IF(AND(AO$10&gt;=$G21,AO$10&lt;$G21+IF($H21=0,MaxYears,$H21)),$F21*AO$11,0),IF($E21="One-off",IF(AO$10=$G21,$F21,0),IF($E21="Periodic",IF(AND(AO$10&gt;=$G21,MOD(AO$10-$G21,MAX($H21,1))=0),$F21,0),0)))</f>
        <v>620000</v>
      </c>
      <c r="AP21" s="50" t="n">
        <f aca="false">IF($E21="Ramped",IF(AND(AP$10&gt;=$G21,AP$10&lt;$G21+IF($H21=0,MaxYears,$H21)),$F21*AP$11,0),IF($E21="One-off",IF(AP$10=$G21,$F21,0),IF($E21="Periodic",IF(AND(AP$10&gt;=$G21,MOD(AP$10-$G21,MAX($H21,1))=0),$F21,0),0)))</f>
        <v>620000</v>
      </c>
      <c r="AQ21" s="50" t="n">
        <f aca="false">IF($E21="Ramped",IF(AND(AQ$10&gt;=$G21,AQ$10&lt;$G21+IF($H21=0,MaxYears,$H21)),$F21*AQ$11,0),IF($E21="One-off",IF(AQ$10=$G21,$F21,0),IF($E21="Periodic",IF(AND(AQ$10&gt;=$G21,MOD(AQ$10-$G21,MAX($H21,1))=0),$F21,0),0)))</f>
        <v>620000</v>
      </c>
      <c r="AR21" s="50" t="n">
        <f aca="false">IF($E21="Ramped",IF(AND(AR$10&gt;=$G21,AR$10&lt;$G21+IF($H21=0,MaxYears,$H21)),$F21*AR$11,0),IF($E21="One-off",IF(AR$10=$G21,$F21,0),IF($E21="Periodic",IF(AND(AR$10&gt;=$G21,MOD(AR$10-$G21,MAX($H21,1))=0),$F21,0),0)))</f>
        <v>620000</v>
      </c>
      <c r="AS21" s="50" t="n">
        <f aca="false">IF($E21="Ramped",IF(AND(AS$10&gt;=$G21,AS$10&lt;$G21+IF($H21=0,MaxYears,$H21)),$F21*AS$11,0),IF($E21="One-off",IF(AS$10=$G21,$F21,0),IF($E21="Periodic",IF(AND(AS$10&gt;=$G21,MOD(AS$10-$G21,MAX($H21,1))=0),$F21,0),0)))</f>
        <v>620000</v>
      </c>
      <c r="AT21" s="50" t="n">
        <f aca="false">IF($E21="Ramped",IF(AND(AT$10&gt;=$G21,AT$10&lt;$G21+IF($H21=0,MaxYears,$H21)),$F21*AT$11,0),IF($E21="One-off",IF(AT$10=$G21,$F21,0),IF($E21="Periodic",IF(AND(AT$10&gt;=$G21,MOD(AT$10-$G21,MAX($H21,1))=0),$F21,0),0)))</f>
        <v>620000</v>
      </c>
      <c r="AU21" s="50" t="n">
        <f aca="false">IF($E21="Ramped",IF(AND(AU$10&gt;=$G21,AU$10&lt;$G21+IF($H21=0,MaxYears,$H21)),$F21*AU$11,0),IF($E21="One-off",IF(AU$10=$G21,$F21,0),IF($E21="Periodic",IF(AND(AU$10&gt;=$G21,MOD(AU$10-$G21,MAX($H21,1))=0),$F21,0),0)))</f>
        <v>620000</v>
      </c>
      <c r="AV21" s="50" t="n">
        <f aca="false">IF($E21="Ramped",IF(AND(AV$10&gt;=$G21,AV$10&lt;$G21+IF($H21=0,MaxYears,$H21)),$F21*AV$11,0),IF($E21="One-off",IF(AV$10=$G21,$F21,0),IF($E21="Periodic",IF(AND(AV$10&gt;=$G21,MOD(AV$10-$G21,MAX($H21,1))=0),$F21,0),0)))</f>
        <v>620000</v>
      </c>
      <c r="AW21" s="50" t="n">
        <f aca="false">IF($E21="Ramped",IF(AND(AW$10&gt;=$G21,AW$10&lt;$G21+IF($H21=0,MaxYears,$H21)),$F21*AW$11,0),IF($E21="One-off",IF(AW$10=$G21,$F21,0),IF($E21="Periodic",IF(AND(AW$10&gt;=$G21,MOD(AW$10-$G21,MAX($H21,1))=0),$F21,0),0)))</f>
        <v>620000</v>
      </c>
      <c r="AX21" s="50" t="n">
        <f aca="false">IF($E21="Ramped",IF(AND(AX$10&gt;=$G21,AX$10&lt;$G21+IF($H21=0,MaxYears,$H21)),$F21*AX$11,0),IF($E21="One-off",IF(AX$10=$G21,$F21,0),IF($E21="Periodic",IF(AND(AX$10&gt;=$G21,MOD(AX$10-$G21,MAX($H21,1))=0),$F21,0),0)))</f>
        <v>620000</v>
      </c>
      <c r="AY21" s="50" t="n">
        <f aca="false">IF($E21="Ramped",IF(AND(AY$10&gt;=$G21,AY$10&lt;$G21+IF($H21=0,MaxYears,$H21)),$F21*AY$11,0),IF($E21="One-off",IF(AY$10=$G21,$F21,0),IF($E21="Periodic",IF(AND(AY$10&gt;=$G21,MOD(AY$10-$G21,MAX($H21,1))=0),$F21,0),0)))</f>
        <v>620000</v>
      </c>
      <c r="AZ21" s="50" t="n">
        <f aca="false">IF($E21="Ramped",IF(AND(AZ$10&gt;=$G21,AZ$10&lt;$G21+IF($H21=0,MaxYears,$H21)),$F21*AZ$11,0),IF($E21="One-off",IF(AZ$10=$G21,$F21,0),IF($E21="Periodic",IF(AND(AZ$10&gt;=$G21,MOD(AZ$10-$G21,MAX($H21,1))=0),$F21,0),0)))</f>
        <v>620000</v>
      </c>
    </row>
    <row r="22" customFormat="false" ht="27.75" hidden="false" customHeight="true" outlineLevel="0" collapsed="false">
      <c r="B22" s="25" t="s">
        <v>419</v>
      </c>
      <c r="C22" s="45" t="s">
        <v>420</v>
      </c>
      <c r="D22" s="45" t="s">
        <v>421</v>
      </c>
      <c r="E22" s="46" t="s">
        <v>377</v>
      </c>
      <c r="F22" s="47" t="n">
        <v>340000</v>
      </c>
      <c r="G22" s="51" t="n">
        <f aca="false">ConstrYears</f>
        <v>3</v>
      </c>
      <c r="H22" s="48" t="n">
        <v>0</v>
      </c>
      <c r="I22" s="45" t="s">
        <v>422</v>
      </c>
      <c r="J22" s="45" t="s">
        <v>423</v>
      </c>
      <c r="K22" s="46" t="s">
        <v>264</v>
      </c>
      <c r="L22" s="49" t="n">
        <f aca="false">SUM(M22:AZ22)</f>
        <v>12240000</v>
      </c>
      <c r="M22" s="50" t="n">
        <f aca="false">IF($E22="Ramped",IF(AND(M$10&gt;=$G22,M$10&lt;$G22+IF($H22=0,MaxYears,$H22)),$F22*M$11,0),IF($E22="One-off",IF(M$10=$G22,$F22,0),IF($E22="Periodic",IF(AND(M$10&gt;=$G22,MOD(M$10-$G22,MAX($H22,1))=0),$F22,0),0)))</f>
        <v>0</v>
      </c>
      <c r="N22" s="50" t="n">
        <f aca="false">IF($E22="Ramped",IF(AND(N$10&gt;=$G22,N$10&lt;$G22+IF($H22=0,MaxYears,$H22)),$F22*N$11,0),IF($E22="One-off",IF(N$10=$G22,$F22,0),IF($E22="Periodic",IF(AND(N$10&gt;=$G22,MOD(N$10-$G22,MAX($H22,1))=0),$F22,0),0)))</f>
        <v>0</v>
      </c>
      <c r="O22" s="50" t="n">
        <f aca="false">IF($E22="Ramped",IF(AND(O$10&gt;=$G22,O$10&lt;$G22+IF($H22=0,MaxYears,$H22)),$F22*O$11,0),IF($E22="One-off",IF(O$10=$G22,$F22,0),IF($E22="Periodic",IF(AND(O$10&gt;=$G22,MOD(O$10-$G22,MAX($H22,1))=0),$F22,0),0)))</f>
        <v>0</v>
      </c>
      <c r="P22" s="50" t="n">
        <f aca="false">IF($E22="Ramped",IF(AND(P$10&gt;=$G22,P$10&lt;$G22+IF($H22=0,MaxYears,$H22)),$F22*P$11,0),IF($E22="One-off",IF(P$10=$G22,$F22,0),IF($E22="Periodic",IF(AND(P$10&gt;=$G22,MOD(P$10-$G22,MAX($H22,1))=0),$F22,0),0)))</f>
        <v>113333.333333333</v>
      </c>
      <c r="Q22" s="50" t="n">
        <f aca="false">IF($E22="Ramped",IF(AND(Q$10&gt;=$G22,Q$10&lt;$G22+IF($H22=0,MaxYears,$H22)),$F22*Q$11,0),IF($E22="One-off",IF(Q$10=$G22,$F22,0),IF($E22="Periodic",IF(AND(Q$10&gt;=$G22,MOD(Q$10-$G22,MAX($H22,1))=0),$F22,0),0)))</f>
        <v>226666.666666667</v>
      </c>
      <c r="R22" s="50" t="n">
        <f aca="false">IF($E22="Ramped",IF(AND(R$10&gt;=$G22,R$10&lt;$G22+IF($H22=0,MaxYears,$H22)),$F22*R$11,0),IF($E22="One-off",IF(R$10=$G22,$F22,0),IF($E22="Periodic",IF(AND(R$10&gt;=$G22,MOD(R$10-$G22,MAX($H22,1))=0),$F22,0),0)))</f>
        <v>340000</v>
      </c>
      <c r="S22" s="50" t="n">
        <f aca="false">IF($E22="Ramped",IF(AND(S$10&gt;=$G22,S$10&lt;$G22+IF($H22=0,MaxYears,$H22)),$F22*S$11,0),IF($E22="One-off",IF(S$10=$G22,$F22,0),IF($E22="Periodic",IF(AND(S$10&gt;=$G22,MOD(S$10-$G22,MAX($H22,1))=0),$F22,0),0)))</f>
        <v>340000</v>
      </c>
      <c r="T22" s="50" t="n">
        <f aca="false">IF($E22="Ramped",IF(AND(T$10&gt;=$G22,T$10&lt;$G22+IF($H22=0,MaxYears,$H22)),$F22*T$11,0),IF($E22="One-off",IF(T$10=$G22,$F22,0),IF($E22="Periodic",IF(AND(T$10&gt;=$G22,MOD(T$10-$G22,MAX($H22,1))=0),$F22,0),0)))</f>
        <v>340000</v>
      </c>
      <c r="U22" s="50" t="n">
        <f aca="false">IF($E22="Ramped",IF(AND(U$10&gt;=$G22,U$10&lt;$G22+IF($H22=0,MaxYears,$H22)),$F22*U$11,0),IF($E22="One-off",IF(U$10=$G22,$F22,0),IF($E22="Periodic",IF(AND(U$10&gt;=$G22,MOD(U$10-$G22,MAX($H22,1))=0),$F22,0),0)))</f>
        <v>340000</v>
      </c>
      <c r="V22" s="50" t="n">
        <f aca="false">IF($E22="Ramped",IF(AND(V$10&gt;=$G22,V$10&lt;$G22+IF($H22=0,MaxYears,$H22)),$F22*V$11,0),IF($E22="One-off",IF(V$10=$G22,$F22,0),IF($E22="Periodic",IF(AND(V$10&gt;=$G22,MOD(V$10-$G22,MAX($H22,1))=0),$F22,0),0)))</f>
        <v>340000</v>
      </c>
      <c r="W22" s="50" t="n">
        <f aca="false">IF($E22="Ramped",IF(AND(W$10&gt;=$G22,W$10&lt;$G22+IF($H22=0,MaxYears,$H22)),$F22*W$11,0),IF($E22="One-off",IF(W$10=$G22,$F22,0),IF($E22="Periodic",IF(AND(W$10&gt;=$G22,MOD(W$10-$G22,MAX($H22,1))=0),$F22,0),0)))</f>
        <v>340000</v>
      </c>
      <c r="X22" s="50" t="n">
        <f aca="false">IF($E22="Ramped",IF(AND(X$10&gt;=$G22,X$10&lt;$G22+IF($H22=0,MaxYears,$H22)),$F22*X$11,0),IF($E22="One-off",IF(X$10=$G22,$F22,0),IF($E22="Periodic",IF(AND(X$10&gt;=$G22,MOD(X$10-$G22,MAX($H22,1))=0),$F22,0),0)))</f>
        <v>340000</v>
      </c>
      <c r="Y22" s="50" t="n">
        <f aca="false">IF($E22="Ramped",IF(AND(Y$10&gt;=$G22,Y$10&lt;$G22+IF($H22=0,MaxYears,$H22)),$F22*Y$11,0),IF($E22="One-off",IF(Y$10=$G22,$F22,0),IF($E22="Periodic",IF(AND(Y$10&gt;=$G22,MOD(Y$10-$G22,MAX($H22,1))=0),$F22,0),0)))</f>
        <v>340000</v>
      </c>
      <c r="Z22" s="50" t="n">
        <f aca="false">IF($E22="Ramped",IF(AND(Z$10&gt;=$G22,Z$10&lt;$G22+IF($H22=0,MaxYears,$H22)),$F22*Z$11,0),IF($E22="One-off",IF(Z$10=$G22,$F22,0),IF($E22="Periodic",IF(AND(Z$10&gt;=$G22,MOD(Z$10-$G22,MAX($H22,1))=0),$F22,0),0)))</f>
        <v>340000</v>
      </c>
      <c r="AA22" s="50" t="n">
        <f aca="false">IF($E22="Ramped",IF(AND(AA$10&gt;=$G22,AA$10&lt;$G22+IF($H22=0,MaxYears,$H22)),$F22*AA$11,0),IF($E22="One-off",IF(AA$10=$G22,$F22,0),IF($E22="Periodic",IF(AND(AA$10&gt;=$G22,MOD(AA$10-$G22,MAX($H22,1))=0),$F22,0),0)))</f>
        <v>340000</v>
      </c>
      <c r="AB22" s="50" t="n">
        <f aca="false">IF($E22="Ramped",IF(AND(AB$10&gt;=$G22,AB$10&lt;$G22+IF($H22=0,MaxYears,$H22)),$F22*AB$11,0),IF($E22="One-off",IF(AB$10=$G22,$F22,0),IF($E22="Periodic",IF(AND(AB$10&gt;=$G22,MOD(AB$10-$G22,MAX($H22,1))=0),$F22,0),0)))</f>
        <v>340000</v>
      </c>
      <c r="AC22" s="50" t="n">
        <f aca="false">IF($E22="Ramped",IF(AND(AC$10&gt;=$G22,AC$10&lt;$G22+IF($H22=0,MaxYears,$H22)),$F22*AC$11,0),IF($E22="One-off",IF(AC$10=$G22,$F22,0),IF($E22="Periodic",IF(AND(AC$10&gt;=$G22,MOD(AC$10-$G22,MAX($H22,1))=0),$F22,0),0)))</f>
        <v>340000</v>
      </c>
      <c r="AD22" s="50" t="n">
        <f aca="false">IF($E22="Ramped",IF(AND(AD$10&gt;=$G22,AD$10&lt;$G22+IF($H22=0,MaxYears,$H22)),$F22*AD$11,0),IF($E22="One-off",IF(AD$10=$G22,$F22,0),IF($E22="Periodic",IF(AND(AD$10&gt;=$G22,MOD(AD$10-$G22,MAX($H22,1))=0),$F22,0),0)))</f>
        <v>340000</v>
      </c>
      <c r="AE22" s="50" t="n">
        <f aca="false">IF($E22="Ramped",IF(AND(AE$10&gt;=$G22,AE$10&lt;$G22+IF($H22=0,MaxYears,$H22)),$F22*AE$11,0),IF($E22="One-off",IF(AE$10=$G22,$F22,0),IF($E22="Periodic",IF(AND(AE$10&gt;=$G22,MOD(AE$10-$G22,MAX($H22,1))=0),$F22,0),0)))</f>
        <v>340000</v>
      </c>
      <c r="AF22" s="50" t="n">
        <f aca="false">IF($E22="Ramped",IF(AND(AF$10&gt;=$G22,AF$10&lt;$G22+IF($H22=0,MaxYears,$H22)),$F22*AF$11,0),IF($E22="One-off",IF(AF$10=$G22,$F22,0),IF($E22="Periodic",IF(AND(AF$10&gt;=$G22,MOD(AF$10-$G22,MAX($H22,1))=0),$F22,0),0)))</f>
        <v>340000</v>
      </c>
      <c r="AG22" s="50" t="n">
        <f aca="false">IF($E22="Ramped",IF(AND(AG$10&gt;=$G22,AG$10&lt;$G22+IF($H22=0,MaxYears,$H22)),$F22*AG$11,0),IF($E22="One-off",IF(AG$10=$G22,$F22,0),IF($E22="Periodic",IF(AND(AG$10&gt;=$G22,MOD(AG$10-$G22,MAX($H22,1))=0),$F22,0),0)))</f>
        <v>340000</v>
      </c>
      <c r="AH22" s="50" t="n">
        <f aca="false">IF($E22="Ramped",IF(AND(AH$10&gt;=$G22,AH$10&lt;$G22+IF($H22=0,MaxYears,$H22)),$F22*AH$11,0),IF($E22="One-off",IF(AH$10=$G22,$F22,0),IF($E22="Periodic",IF(AND(AH$10&gt;=$G22,MOD(AH$10-$G22,MAX($H22,1))=0),$F22,0),0)))</f>
        <v>340000</v>
      </c>
      <c r="AI22" s="50" t="n">
        <f aca="false">IF($E22="Ramped",IF(AND(AI$10&gt;=$G22,AI$10&lt;$G22+IF($H22=0,MaxYears,$H22)),$F22*AI$11,0),IF($E22="One-off",IF(AI$10=$G22,$F22,0),IF($E22="Periodic",IF(AND(AI$10&gt;=$G22,MOD(AI$10-$G22,MAX($H22,1))=0),$F22,0),0)))</f>
        <v>340000</v>
      </c>
      <c r="AJ22" s="50" t="n">
        <f aca="false">IF($E22="Ramped",IF(AND(AJ$10&gt;=$G22,AJ$10&lt;$G22+IF($H22=0,MaxYears,$H22)),$F22*AJ$11,0),IF($E22="One-off",IF(AJ$10=$G22,$F22,0),IF($E22="Periodic",IF(AND(AJ$10&gt;=$G22,MOD(AJ$10-$G22,MAX($H22,1))=0),$F22,0),0)))</f>
        <v>340000</v>
      </c>
      <c r="AK22" s="50" t="n">
        <f aca="false">IF($E22="Ramped",IF(AND(AK$10&gt;=$G22,AK$10&lt;$G22+IF($H22=0,MaxYears,$H22)),$F22*AK$11,0),IF($E22="One-off",IF(AK$10=$G22,$F22,0),IF($E22="Periodic",IF(AND(AK$10&gt;=$G22,MOD(AK$10-$G22,MAX($H22,1))=0),$F22,0),0)))</f>
        <v>340000</v>
      </c>
      <c r="AL22" s="50" t="n">
        <f aca="false">IF($E22="Ramped",IF(AND(AL$10&gt;=$G22,AL$10&lt;$G22+IF($H22=0,MaxYears,$H22)),$F22*AL$11,0),IF($E22="One-off",IF(AL$10=$G22,$F22,0),IF($E22="Periodic",IF(AND(AL$10&gt;=$G22,MOD(AL$10-$G22,MAX($H22,1))=0),$F22,0),0)))</f>
        <v>340000</v>
      </c>
      <c r="AM22" s="50" t="n">
        <f aca="false">IF($E22="Ramped",IF(AND(AM$10&gt;=$G22,AM$10&lt;$G22+IF($H22=0,MaxYears,$H22)),$F22*AM$11,0),IF($E22="One-off",IF(AM$10=$G22,$F22,0),IF($E22="Periodic",IF(AND(AM$10&gt;=$G22,MOD(AM$10-$G22,MAX($H22,1))=0),$F22,0),0)))</f>
        <v>340000</v>
      </c>
      <c r="AN22" s="50" t="n">
        <f aca="false">IF($E22="Ramped",IF(AND(AN$10&gt;=$G22,AN$10&lt;$G22+IF($H22=0,MaxYears,$H22)),$F22*AN$11,0),IF($E22="One-off",IF(AN$10=$G22,$F22,0),IF($E22="Periodic",IF(AND(AN$10&gt;=$G22,MOD(AN$10-$G22,MAX($H22,1))=0),$F22,0),0)))</f>
        <v>340000</v>
      </c>
      <c r="AO22" s="50" t="n">
        <f aca="false">IF($E22="Ramped",IF(AND(AO$10&gt;=$G22,AO$10&lt;$G22+IF($H22=0,MaxYears,$H22)),$F22*AO$11,0),IF($E22="One-off",IF(AO$10=$G22,$F22,0),IF($E22="Periodic",IF(AND(AO$10&gt;=$G22,MOD(AO$10-$G22,MAX($H22,1))=0),$F22,0),0)))</f>
        <v>340000</v>
      </c>
      <c r="AP22" s="50" t="n">
        <f aca="false">IF($E22="Ramped",IF(AND(AP$10&gt;=$G22,AP$10&lt;$G22+IF($H22=0,MaxYears,$H22)),$F22*AP$11,0),IF($E22="One-off",IF(AP$10=$G22,$F22,0),IF($E22="Periodic",IF(AND(AP$10&gt;=$G22,MOD(AP$10-$G22,MAX($H22,1))=0),$F22,0),0)))</f>
        <v>340000</v>
      </c>
      <c r="AQ22" s="50" t="n">
        <f aca="false">IF($E22="Ramped",IF(AND(AQ$10&gt;=$G22,AQ$10&lt;$G22+IF($H22=0,MaxYears,$H22)),$F22*AQ$11,0),IF($E22="One-off",IF(AQ$10=$G22,$F22,0),IF($E22="Periodic",IF(AND(AQ$10&gt;=$G22,MOD(AQ$10-$G22,MAX($H22,1))=0),$F22,0),0)))</f>
        <v>340000</v>
      </c>
      <c r="AR22" s="50" t="n">
        <f aca="false">IF($E22="Ramped",IF(AND(AR$10&gt;=$G22,AR$10&lt;$G22+IF($H22=0,MaxYears,$H22)),$F22*AR$11,0),IF($E22="One-off",IF(AR$10=$G22,$F22,0),IF($E22="Periodic",IF(AND(AR$10&gt;=$G22,MOD(AR$10-$G22,MAX($H22,1))=0),$F22,0),0)))</f>
        <v>340000</v>
      </c>
      <c r="AS22" s="50" t="n">
        <f aca="false">IF($E22="Ramped",IF(AND(AS$10&gt;=$G22,AS$10&lt;$G22+IF($H22=0,MaxYears,$H22)),$F22*AS$11,0),IF($E22="One-off",IF(AS$10=$G22,$F22,0),IF($E22="Periodic",IF(AND(AS$10&gt;=$G22,MOD(AS$10-$G22,MAX($H22,1))=0),$F22,0),0)))</f>
        <v>340000</v>
      </c>
      <c r="AT22" s="50" t="n">
        <f aca="false">IF($E22="Ramped",IF(AND(AT$10&gt;=$G22,AT$10&lt;$G22+IF($H22=0,MaxYears,$H22)),$F22*AT$11,0),IF($E22="One-off",IF(AT$10=$G22,$F22,0),IF($E22="Periodic",IF(AND(AT$10&gt;=$G22,MOD(AT$10-$G22,MAX($H22,1))=0),$F22,0),0)))</f>
        <v>340000</v>
      </c>
      <c r="AU22" s="50" t="n">
        <f aca="false">IF($E22="Ramped",IF(AND(AU$10&gt;=$G22,AU$10&lt;$G22+IF($H22=0,MaxYears,$H22)),$F22*AU$11,0),IF($E22="One-off",IF(AU$10=$G22,$F22,0),IF($E22="Periodic",IF(AND(AU$10&gt;=$G22,MOD(AU$10-$G22,MAX($H22,1))=0),$F22,0),0)))</f>
        <v>340000</v>
      </c>
      <c r="AV22" s="50" t="n">
        <f aca="false">IF($E22="Ramped",IF(AND(AV$10&gt;=$G22,AV$10&lt;$G22+IF($H22=0,MaxYears,$H22)),$F22*AV$11,0),IF($E22="One-off",IF(AV$10=$G22,$F22,0),IF($E22="Periodic",IF(AND(AV$10&gt;=$G22,MOD(AV$10-$G22,MAX($H22,1))=0),$F22,0),0)))</f>
        <v>340000</v>
      </c>
      <c r="AW22" s="50" t="n">
        <f aca="false">IF($E22="Ramped",IF(AND(AW$10&gt;=$G22,AW$10&lt;$G22+IF($H22=0,MaxYears,$H22)),$F22*AW$11,0),IF($E22="One-off",IF(AW$10=$G22,$F22,0),IF($E22="Periodic",IF(AND(AW$10&gt;=$G22,MOD(AW$10-$G22,MAX($H22,1))=0),$F22,0),0)))</f>
        <v>340000</v>
      </c>
      <c r="AX22" s="50" t="n">
        <f aca="false">IF($E22="Ramped",IF(AND(AX$10&gt;=$G22,AX$10&lt;$G22+IF($H22=0,MaxYears,$H22)),$F22*AX$11,0),IF($E22="One-off",IF(AX$10=$G22,$F22,0),IF($E22="Periodic",IF(AND(AX$10&gt;=$G22,MOD(AX$10-$G22,MAX($H22,1))=0),$F22,0),0)))</f>
        <v>340000</v>
      </c>
      <c r="AY22" s="50" t="n">
        <f aca="false">IF($E22="Ramped",IF(AND(AY$10&gt;=$G22,AY$10&lt;$G22+IF($H22=0,MaxYears,$H22)),$F22*AY$11,0),IF($E22="One-off",IF(AY$10=$G22,$F22,0),IF($E22="Periodic",IF(AND(AY$10&gt;=$G22,MOD(AY$10-$G22,MAX($H22,1))=0),$F22,0),0)))</f>
        <v>340000</v>
      </c>
      <c r="AZ22" s="50" t="n">
        <f aca="false">IF($E22="Ramped",IF(AND(AZ$10&gt;=$G22,AZ$10&lt;$G22+IF($H22=0,MaxYears,$H22)),$F22*AZ$11,0),IF($E22="One-off",IF(AZ$10=$G22,$F22,0),IF($E22="Periodic",IF(AND(AZ$10&gt;=$G22,MOD(AZ$10-$G22,MAX($H22,1))=0),$F22,0),0)))</f>
        <v>340000</v>
      </c>
    </row>
    <row r="23" customFormat="false" ht="27.75" hidden="false" customHeight="true" outlineLevel="0" collapsed="false">
      <c r="B23" s="25" t="s">
        <v>424</v>
      </c>
      <c r="C23" s="45" t="s">
        <v>425</v>
      </c>
      <c r="D23" s="45" t="s">
        <v>426</v>
      </c>
      <c r="E23" s="46" t="s">
        <v>427</v>
      </c>
      <c r="F23" s="47" t="n">
        <v>4500000</v>
      </c>
      <c r="G23" s="51" t="n">
        <f aca="false">ConstrYears</f>
        <v>3</v>
      </c>
      <c r="H23" s="48" t="n">
        <v>1</v>
      </c>
      <c r="I23" s="45" t="s">
        <v>428</v>
      </c>
      <c r="J23" s="45" t="s">
        <v>429</v>
      </c>
      <c r="K23" s="46" t="s">
        <v>260</v>
      </c>
      <c r="L23" s="49" t="n">
        <f aca="false">SUM(M23:AZ23)</f>
        <v>4500000</v>
      </c>
      <c r="M23" s="50" t="n">
        <f aca="false">IF($E23="Ramped",IF(AND(M$10&gt;=$G23,M$10&lt;$G23+IF($H23=0,MaxYears,$H23)),$F23*M$11,0),IF($E23="One-off",IF(M$10=$G23,$F23,0),IF($E23="Periodic",IF(AND(M$10&gt;=$G23,MOD(M$10-$G23,MAX($H23,1))=0),$F23,0),0)))</f>
        <v>0</v>
      </c>
      <c r="N23" s="50" t="n">
        <f aca="false">IF($E23="Ramped",IF(AND(N$10&gt;=$G23,N$10&lt;$G23+IF($H23=0,MaxYears,$H23)),$F23*N$11,0),IF($E23="One-off",IF(N$10=$G23,$F23,0),IF($E23="Periodic",IF(AND(N$10&gt;=$G23,MOD(N$10-$G23,MAX($H23,1))=0),$F23,0),0)))</f>
        <v>0</v>
      </c>
      <c r="O23" s="50" t="n">
        <f aca="false">IF($E23="Ramped",IF(AND(O$10&gt;=$G23,O$10&lt;$G23+IF($H23=0,MaxYears,$H23)),$F23*O$11,0),IF($E23="One-off",IF(O$10=$G23,$F23,0),IF($E23="Periodic",IF(AND(O$10&gt;=$G23,MOD(O$10-$G23,MAX($H23,1))=0),$F23,0),0)))</f>
        <v>0</v>
      </c>
      <c r="P23" s="50" t="n">
        <f aca="false">IF($E23="Ramped",IF(AND(P$10&gt;=$G23,P$10&lt;$G23+IF($H23=0,MaxYears,$H23)),$F23*P$11,0),IF($E23="One-off",IF(P$10=$G23,$F23,0),IF($E23="Periodic",IF(AND(P$10&gt;=$G23,MOD(P$10-$G23,MAX($H23,1))=0),$F23,0),0)))</f>
        <v>4500000</v>
      </c>
      <c r="Q23" s="50" t="n">
        <f aca="false">IF($E23="Ramped",IF(AND(Q$10&gt;=$G23,Q$10&lt;$G23+IF($H23=0,MaxYears,$H23)),$F23*Q$11,0),IF($E23="One-off",IF(Q$10=$G23,$F23,0),IF($E23="Periodic",IF(AND(Q$10&gt;=$G23,MOD(Q$10-$G23,MAX($H23,1))=0),$F23,0),0)))</f>
        <v>0</v>
      </c>
      <c r="R23" s="50" t="n">
        <f aca="false">IF($E23="Ramped",IF(AND(R$10&gt;=$G23,R$10&lt;$G23+IF($H23=0,MaxYears,$H23)),$F23*R$11,0),IF($E23="One-off",IF(R$10=$G23,$F23,0),IF($E23="Periodic",IF(AND(R$10&gt;=$G23,MOD(R$10-$G23,MAX($H23,1))=0),$F23,0),0)))</f>
        <v>0</v>
      </c>
      <c r="S23" s="50" t="n">
        <f aca="false">IF($E23="Ramped",IF(AND(S$10&gt;=$G23,S$10&lt;$G23+IF($H23=0,MaxYears,$H23)),$F23*S$11,0),IF($E23="One-off",IF(S$10=$G23,$F23,0),IF($E23="Periodic",IF(AND(S$10&gt;=$G23,MOD(S$10-$G23,MAX($H23,1))=0),$F23,0),0)))</f>
        <v>0</v>
      </c>
      <c r="T23" s="50" t="n">
        <f aca="false">IF($E23="Ramped",IF(AND(T$10&gt;=$G23,T$10&lt;$G23+IF($H23=0,MaxYears,$H23)),$F23*T$11,0),IF($E23="One-off",IF(T$10=$G23,$F23,0),IF($E23="Periodic",IF(AND(T$10&gt;=$G23,MOD(T$10-$G23,MAX($H23,1))=0),$F23,0),0)))</f>
        <v>0</v>
      </c>
      <c r="U23" s="50" t="n">
        <f aca="false">IF($E23="Ramped",IF(AND(U$10&gt;=$G23,U$10&lt;$G23+IF($H23=0,MaxYears,$H23)),$F23*U$11,0),IF($E23="One-off",IF(U$10=$G23,$F23,0),IF($E23="Periodic",IF(AND(U$10&gt;=$G23,MOD(U$10-$G23,MAX($H23,1))=0),$F23,0),0)))</f>
        <v>0</v>
      </c>
      <c r="V23" s="50" t="n">
        <f aca="false">IF($E23="Ramped",IF(AND(V$10&gt;=$G23,V$10&lt;$G23+IF($H23=0,MaxYears,$H23)),$F23*V$11,0),IF($E23="One-off",IF(V$10=$G23,$F23,0),IF($E23="Periodic",IF(AND(V$10&gt;=$G23,MOD(V$10-$G23,MAX($H23,1))=0),$F23,0),0)))</f>
        <v>0</v>
      </c>
      <c r="W23" s="50" t="n">
        <f aca="false">IF($E23="Ramped",IF(AND(W$10&gt;=$G23,W$10&lt;$G23+IF($H23=0,MaxYears,$H23)),$F23*W$11,0),IF($E23="One-off",IF(W$10=$G23,$F23,0),IF($E23="Periodic",IF(AND(W$10&gt;=$G23,MOD(W$10-$G23,MAX($H23,1))=0),$F23,0),0)))</f>
        <v>0</v>
      </c>
      <c r="X23" s="50" t="n">
        <f aca="false">IF($E23="Ramped",IF(AND(X$10&gt;=$G23,X$10&lt;$G23+IF($H23=0,MaxYears,$H23)),$F23*X$11,0),IF($E23="One-off",IF(X$10=$G23,$F23,0),IF($E23="Periodic",IF(AND(X$10&gt;=$G23,MOD(X$10-$G23,MAX($H23,1))=0),$F23,0),0)))</f>
        <v>0</v>
      </c>
      <c r="Y23" s="50" t="n">
        <f aca="false">IF($E23="Ramped",IF(AND(Y$10&gt;=$G23,Y$10&lt;$G23+IF($H23=0,MaxYears,$H23)),$F23*Y$11,0),IF($E23="One-off",IF(Y$10=$G23,$F23,0),IF($E23="Periodic",IF(AND(Y$10&gt;=$G23,MOD(Y$10-$G23,MAX($H23,1))=0),$F23,0),0)))</f>
        <v>0</v>
      </c>
      <c r="Z23" s="50" t="n">
        <f aca="false">IF($E23="Ramped",IF(AND(Z$10&gt;=$G23,Z$10&lt;$G23+IF($H23=0,MaxYears,$H23)),$F23*Z$11,0),IF($E23="One-off",IF(Z$10=$G23,$F23,0),IF($E23="Periodic",IF(AND(Z$10&gt;=$G23,MOD(Z$10-$G23,MAX($H23,1))=0),$F23,0),0)))</f>
        <v>0</v>
      </c>
      <c r="AA23" s="50" t="n">
        <f aca="false">IF($E23="Ramped",IF(AND(AA$10&gt;=$G23,AA$10&lt;$G23+IF($H23=0,MaxYears,$H23)),$F23*AA$11,0),IF($E23="One-off",IF(AA$10=$G23,$F23,0),IF($E23="Periodic",IF(AND(AA$10&gt;=$G23,MOD(AA$10-$G23,MAX($H23,1))=0),$F23,0),0)))</f>
        <v>0</v>
      </c>
      <c r="AB23" s="50" t="n">
        <f aca="false">IF($E23="Ramped",IF(AND(AB$10&gt;=$G23,AB$10&lt;$G23+IF($H23=0,MaxYears,$H23)),$F23*AB$11,0),IF($E23="One-off",IF(AB$10=$G23,$F23,0),IF($E23="Periodic",IF(AND(AB$10&gt;=$G23,MOD(AB$10-$G23,MAX($H23,1))=0),$F23,0),0)))</f>
        <v>0</v>
      </c>
      <c r="AC23" s="50" t="n">
        <f aca="false">IF($E23="Ramped",IF(AND(AC$10&gt;=$G23,AC$10&lt;$G23+IF($H23=0,MaxYears,$H23)),$F23*AC$11,0),IF($E23="One-off",IF(AC$10=$G23,$F23,0),IF($E23="Periodic",IF(AND(AC$10&gt;=$G23,MOD(AC$10-$G23,MAX($H23,1))=0),$F23,0),0)))</f>
        <v>0</v>
      </c>
      <c r="AD23" s="50" t="n">
        <f aca="false">IF($E23="Ramped",IF(AND(AD$10&gt;=$G23,AD$10&lt;$G23+IF($H23=0,MaxYears,$H23)),$F23*AD$11,0),IF($E23="One-off",IF(AD$10=$G23,$F23,0),IF($E23="Periodic",IF(AND(AD$10&gt;=$G23,MOD(AD$10-$G23,MAX($H23,1))=0),$F23,0),0)))</f>
        <v>0</v>
      </c>
      <c r="AE23" s="50" t="n">
        <f aca="false">IF($E23="Ramped",IF(AND(AE$10&gt;=$G23,AE$10&lt;$G23+IF($H23=0,MaxYears,$H23)),$F23*AE$11,0),IF($E23="One-off",IF(AE$10=$G23,$F23,0),IF($E23="Periodic",IF(AND(AE$10&gt;=$G23,MOD(AE$10-$G23,MAX($H23,1))=0),$F23,0),0)))</f>
        <v>0</v>
      </c>
      <c r="AF23" s="50" t="n">
        <f aca="false">IF($E23="Ramped",IF(AND(AF$10&gt;=$G23,AF$10&lt;$G23+IF($H23=0,MaxYears,$H23)),$F23*AF$11,0),IF($E23="One-off",IF(AF$10=$G23,$F23,0),IF($E23="Periodic",IF(AND(AF$10&gt;=$G23,MOD(AF$10-$G23,MAX($H23,1))=0),$F23,0),0)))</f>
        <v>0</v>
      </c>
      <c r="AG23" s="50" t="n">
        <f aca="false">IF($E23="Ramped",IF(AND(AG$10&gt;=$G23,AG$10&lt;$G23+IF($H23=0,MaxYears,$H23)),$F23*AG$11,0),IF($E23="One-off",IF(AG$10=$G23,$F23,0),IF($E23="Periodic",IF(AND(AG$10&gt;=$G23,MOD(AG$10-$G23,MAX($H23,1))=0),$F23,0),0)))</f>
        <v>0</v>
      </c>
      <c r="AH23" s="50" t="n">
        <f aca="false">IF($E23="Ramped",IF(AND(AH$10&gt;=$G23,AH$10&lt;$G23+IF($H23=0,MaxYears,$H23)),$F23*AH$11,0),IF($E23="One-off",IF(AH$10=$G23,$F23,0),IF($E23="Periodic",IF(AND(AH$10&gt;=$G23,MOD(AH$10-$G23,MAX($H23,1))=0),$F23,0),0)))</f>
        <v>0</v>
      </c>
      <c r="AI23" s="50" t="n">
        <f aca="false">IF($E23="Ramped",IF(AND(AI$10&gt;=$G23,AI$10&lt;$G23+IF($H23=0,MaxYears,$H23)),$F23*AI$11,0),IF($E23="One-off",IF(AI$10=$G23,$F23,0),IF($E23="Periodic",IF(AND(AI$10&gt;=$G23,MOD(AI$10-$G23,MAX($H23,1))=0),$F23,0),0)))</f>
        <v>0</v>
      </c>
      <c r="AJ23" s="50" t="n">
        <f aca="false">IF($E23="Ramped",IF(AND(AJ$10&gt;=$G23,AJ$10&lt;$G23+IF($H23=0,MaxYears,$H23)),$F23*AJ$11,0),IF($E23="One-off",IF(AJ$10=$G23,$F23,0),IF($E23="Periodic",IF(AND(AJ$10&gt;=$G23,MOD(AJ$10-$G23,MAX($H23,1))=0),$F23,0),0)))</f>
        <v>0</v>
      </c>
      <c r="AK23" s="50" t="n">
        <f aca="false">IF($E23="Ramped",IF(AND(AK$10&gt;=$G23,AK$10&lt;$G23+IF($H23=0,MaxYears,$H23)),$F23*AK$11,0),IF($E23="One-off",IF(AK$10=$G23,$F23,0),IF($E23="Periodic",IF(AND(AK$10&gt;=$G23,MOD(AK$10-$G23,MAX($H23,1))=0),$F23,0),0)))</f>
        <v>0</v>
      </c>
      <c r="AL23" s="50" t="n">
        <f aca="false">IF($E23="Ramped",IF(AND(AL$10&gt;=$G23,AL$10&lt;$G23+IF($H23=0,MaxYears,$H23)),$F23*AL$11,0),IF($E23="One-off",IF(AL$10=$G23,$F23,0),IF($E23="Periodic",IF(AND(AL$10&gt;=$G23,MOD(AL$10-$G23,MAX($H23,1))=0),$F23,0),0)))</f>
        <v>0</v>
      </c>
      <c r="AM23" s="50" t="n">
        <f aca="false">IF($E23="Ramped",IF(AND(AM$10&gt;=$G23,AM$10&lt;$G23+IF($H23=0,MaxYears,$H23)),$F23*AM$11,0),IF($E23="One-off",IF(AM$10=$G23,$F23,0),IF($E23="Periodic",IF(AND(AM$10&gt;=$G23,MOD(AM$10-$G23,MAX($H23,1))=0),$F23,0),0)))</f>
        <v>0</v>
      </c>
      <c r="AN23" s="50" t="n">
        <f aca="false">IF($E23="Ramped",IF(AND(AN$10&gt;=$G23,AN$10&lt;$G23+IF($H23=0,MaxYears,$H23)),$F23*AN$11,0),IF($E23="One-off",IF(AN$10=$G23,$F23,0),IF($E23="Periodic",IF(AND(AN$10&gt;=$G23,MOD(AN$10-$G23,MAX($H23,1))=0),$F23,0),0)))</f>
        <v>0</v>
      </c>
      <c r="AO23" s="50" t="n">
        <f aca="false">IF($E23="Ramped",IF(AND(AO$10&gt;=$G23,AO$10&lt;$G23+IF($H23=0,MaxYears,$H23)),$F23*AO$11,0),IF($E23="One-off",IF(AO$10=$G23,$F23,0),IF($E23="Periodic",IF(AND(AO$10&gt;=$G23,MOD(AO$10-$G23,MAX($H23,1))=0),$F23,0),0)))</f>
        <v>0</v>
      </c>
      <c r="AP23" s="50" t="n">
        <f aca="false">IF($E23="Ramped",IF(AND(AP$10&gt;=$G23,AP$10&lt;$G23+IF($H23=0,MaxYears,$H23)),$F23*AP$11,0),IF($E23="One-off",IF(AP$10=$G23,$F23,0),IF($E23="Periodic",IF(AND(AP$10&gt;=$G23,MOD(AP$10-$G23,MAX($H23,1))=0),$F23,0),0)))</f>
        <v>0</v>
      </c>
      <c r="AQ23" s="50" t="n">
        <f aca="false">IF($E23="Ramped",IF(AND(AQ$10&gt;=$G23,AQ$10&lt;$G23+IF($H23=0,MaxYears,$H23)),$F23*AQ$11,0),IF($E23="One-off",IF(AQ$10=$G23,$F23,0),IF($E23="Periodic",IF(AND(AQ$10&gt;=$G23,MOD(AQ$10-$G23,MAX($H23,1))=0),$F23,0),0)))</f>
        <v>0</v>
      </c>
      <c r="AR23" s="50" t="n">
        <f aca="false">IF($E23="Ramped",IF(AND(AR$10&gt;=$G23,AR$10&lt;$G23+IF($H23=0,MaxYears,$H23)),$F23*AR$11,0),IF($E23="One-off",IF(AR$10=$G23,$F23,0),IF($E23="Periodic",IF(AND(AR$10&gt;=$G23,MOD(AR$10-$G23,MAX($H23,1))=0),$F23,0),0)))</f>
        <v>0</v>
      </c>
      <c r="AS23" s="50" t="n">
        <f aca="false">IF($E23="Ramped",IF(AND(AS$10&gt;=$G23,AS$10&lt;$G23+IF($H23=0,MaxYears,$H23)),$F23*AS$11,0),IF($E23="One-off",IF(AS$10=$G23,$F23,0),IF($E23="Periodic",IF(AND(AS$10&gt;=$G23,MOD(AS$10-$G23,MAX($H23,1))=0),$F23,0),0)))</f>
        <v>0</v>
      </c>
      <c r="AT23" s="50" t="n">
        <f aca="false">IF($E23="Ramped",IF(AND(AT$10&gt;=$G23,AT$10&lt;$G23+IF($H23=0,MaxYears,$H23)),$F23*AT$11,0),IF($E23="One-off",IF(AT$10=$G23,$F23,0),IF($E23="Periodic",IF(AND(AT$10&gt;=$G23,MOD(AT$10-$G23,MAX($H23,1))=0),$F23,0),0)))</f>
        <v>0</v>
      </c>
      <c r="AU23" s="50" t="n">
        <f aca="false">IF($E23="Ramped",IF(AND(AU$10&gt;=$G23,AU$10&lt;$G23+IF($H23=0,MaxYears,$H23)),$F23*AU$11,0),IF($E23="One-off",IF(AU$10=$G23,$F23,0),IF($E23="Periodic",IF(AND(AU$10&gt;=$G23,MOD(AU$10-$G23,MAX($H23,1))=0),$F23,0),0)))</f>
        <v>0</v>
      </c>
      <c r="AV23" s="50" t="n">
        <f aca="false">IF($E23="Ramped",IF(AND(AV$10&gt;=$G23,AV$10&lt;$G23+IF($H23=0,MaxYears,$H23)),$F23*AV$11,0),IF($E23="One-off",IF(AV$10=$G23,$F23,0),IF($E23="Periodic",IF(AND(AV$10&gt;=$G23,MOD(AV$10-$G23,MAX($H23,1))=0),$F23,0),0)))</f>
        <v>0</v>
      </c>
      <c r="AW23" s="50" t="n">
        <f aca="false">IF($E23="Ramped",IF(AND(AW$10&gt;=$G23,AW$10&lt;$G23+IF($H23=0,MaxYears,$H23)),$F23*AW$11,0),IF($E23="One-off",IF(AW$10=$G23,$F23,0),IF($E23="Periodic",IF(AND(AW$10&gt;=$G23,MOD(AW$10-$G23,MAX($H23,1))=0),$F23,0),0)))</f>
        <v>0</v>
      </c>
      <c r="AX23" s="50" t="n">
        <f aca="false">IF($E23="Ramped",IF(AND(AX$10&gt;=$G23,AX$10&lt;$G23+IF($H23=0,MaxYears,$H23)),$F23*AX$11,0),IF($E23="One-off",IF(AX$10=$G23,$F23,0),IF($E23="Periodic",IF(AND(AX$10&gt;=$G23,MOD(AX$10-$G23,MAX($H23,1))=0),$F23,0),0)))</f>
        <v>0</v>
      </c>
      <c r="AY23" s="50" t="n">
        <f aca="false">IF($E23="Ramped",IF(AND(AY$10&gt;=$G23,AY$10&lt;$G23+IF($H23=0,MaxYears,$H23)),$F23*AY$11,0),IF($E23="One-off",IF(AY$10=$G23,$F23,0),IF($E23="Periodic",IF(AND(AY$10&gt;=$G23,MOD(AY$10-$G23,MAX($H23,1))=0),$F23,0),0)))</f>
        <v>0</v>
      </c>
      <c r="AZ23" s="50" t="n">
        <f aca="false">IF($E23="Ramped",IF(AND(AZ$10&gt;=$G23,AZ$10&lt;$G23+IF($H23=0,MaxYears,$H23)),$F23*AZ$11,0),IF($E23="One-off",IF(AZ$10=$G23,$F23,0),IF($E23="Periodic",IF(AND(AZ$10&gt;=$G23,MOD(AZ$10-$G23,MAX($H23,1))=0),$F23,0),0)))</f>
        <v>0</v>
      </c>
    </row>
    <row r="25" customFormat="false" ht="24" hidden="false" customHeight="true" outlineLevel="0" collapsed="false">
      <c r="B25" s="10" t="s">
        <v>344</v>
      </c>
      <c r="C25" s="54" t="s">
        <v>430</v>
      </c>
      <c r="D25" s="54"/>
      <c r="E25" s="54"/>
      <c r="F25" s="54"/>
      <c r="G25" s="54"/>
      <c r="H25" s="54"/>
      <c r="I25" s="54"/>
      <c r="J25" s="54"/>
      <c r="K25" s="54"/>
      <c r="L25" s="55" t="n">
        <f aca="false">SUM(M25:AZ25)</f>
        <v>479160000</v>
      </c>
      <c r="M25" s="56" t="n">
        <f aca="false">SUM(M$13:M$23)</f>
        <v>0</v>
      </c>
      <c r="N25" s="56" t="n">
        <f aca="false">SUM(N$13:N$23)</f>
        <v>0</v>
      </c>
      <c r="O25" s="56" t="n">
        <f aca="false">SUM(O$13:O$23)</f>
        <v>0</v>
      </c>
      <c r="P25" s="56" t="n">
        <f aca="false">SUM(P$13:P$23)</f>
        <v>8895000</v>
      </c>
      <c r="Q25" s="56" t="n">
        <f aca="false">SUM(Q$13:Q$23)</f>
        <v>8790000</v>
      </c>
      <c r="R25" s="56" t="n">
        <f aca="false">SUM(R$13:R$23)</f>
        <v>13185000</v>
      </c>
      <c r="S25" s="56" t="n">
        <f aca="false">SUM(S$13:S$23)</f>
        <v>13185000</v>
      </c>
      <c r="T25" s="56" t="n">
        <f aca="false">SUM(T$13:T$23)</f>
        <v>13185000</v>
      </c>
      <c r="U25" s="56" t="n">
        <f aca="false">SUM(U$13:U$23)</f>
        <v>13185000</v>
      </c>
      <c r="V25" s="56" t="n">
        <f aca="false">SUM(V$13:V$23)</f>
        <v>13185000</v>
      </c>
      <c r="W25" s="56" t="n">
        <f aca="false">SUM(W$13:W$23)</f>
        <v>13185000</v>
      </c>
      <c r="X25" s="56" t="n">
        <f aca="false">SUM(X$13:X$23)</f>
        <v>13185000</v>
      </c>
      <c r="Y25" s="56" t="n">
        <f aca="false">SUM(Y$13:Y$23)</f>
        <v>13185000</v>
      </c>
      <c r="Z25" s="56" t="n">
        <f aca="false">SUM(Z$13:Z$23)</f>
        <v>13185000</v>
      </c>
      <c r="AA25" s="56" t="n">
        <f aca="false">SUM(AA$13:AA$23)</f>
        <v>13185000</v>
      </c>
      <c r="AB25" s="56" t="n">
        <f aca="false">SUM(AB$13:AB$23)</f>
        <v>13185000</v>
      </c>
      <c r="AC25" s="56" t="n">
        <f aca="false">SUM(AC$13:AC$23)</f>
        <v>13185000</v>
      </c>
      <c r="AD25" s="56" t="n">
        <f aca="false">SUM(AD$13:AD$23)</f>
        <v>13185000</v>
      </c>
      <c r="AE25" s="56" t="n">
        <f aca="false">SUM(AE$13:AE$23)</f>
        <v>13185000</v>
      </c>
      <c r="AF25" s="56" t="n">
        <f aca="false">SUM(AF$13:AF$23)</f>
        <v>13185000</v>
      </c>
      <c r="AG25" s="56" t="n">
        <f aca="false">SUM(AG$13:AG$23)</f>
        <v>13185000</v>
      </c>
      <c r="AH25" s="56" t="n">
        <f aca="false">SUM(AH$13:AH$23)</f>
        <v>13185000</v>
      </c>
      <c r="AI25" s="56" t="n">
        <f aca="false">SUM(AI$13:AI$23)</f>
        <v>13185000</v>
      </c>
      <c r="AJ25" s="56" t="n">
        <f aca="false">SUM(AJ$13:AJ$23)</f>
        <v>13185000</v>
      </c>
      <c r="AK25" s="56" t="n">
        <f aca="false">SUM(AK$13:AK$23)</f>
        <v>13185000</v>
      </c>
      <c r="AL25" s="56" t="n">
        <f aca="false">SUM(AL$13:AL$23)</f>
        <v>13185000</v>
      </c>
      <c r="AM25" s="56" t="n">
        <f aca="false">SUM(AM$13:AM$23)</f>
        <v>13185000</v>
      </c>
      <c r="AN25" s="56" t="n">
        <f aca="false">SUM(AN$13:AN$23)</f>
        <v>13185000</v>
      </c>
      <c r="AO25" s="56" t="n">
        <f aca="false">SUM(AO$13:AO$23)</f>
        <v>13185000</v>
      </c>
      <c r="AP25" s="56" t="n">
        <f aca="false">SUM(AP$13:AP$23)</f>
        <v>13185000</v>
      </c>
      <c r="AQ25" s="56" t="n">
        <f aca="false">SUM(AQ$13:AQ$23)</f>
        <v>13185000</v>
      </c>
      <c r="AR25" s="56" t="n">
        <f aca="false">SUM(AR$13:AR$23)</f>
        <v>13185000</v>
      </c>
      <c r="AS25" s="56" t="n">
        <f aca="false">SUM(AS$13:AS$23)</f>
        <v>13185000</v>
      </c>
      <c r="AT25" s="56" t="n">
        <f aca="false">SUM(AT$13:AT$23)</f>
        <v>13185000</v>
      </c>
      <c r="AU25" s="56" t="n">
        <f aca="false">SUM(AU$13:AU$23)</f>
        <v>13185000</v>
      </c>
      <c r="AV25" s="56" t="n">
        <f aca="false">SUM(AV$13:AV$23)</f>
        <v>13185000</v>
      </c>
      <c r="AW25" s="56" t="n">
        <f aca="false">SUM(AW$13:AW$23)</f>
        <v>13185000</v>
      </c>
      <c r="AX25" s="56" t="n">
        <f aca="false">SUM(AX$13:AX$23)</f>
        <v>13185000</v>
      </c>
      <c r="AY25" s="56" t="n">
        <f aca="false">SUM(AY$13:AY$23)</f>
        <v>13185000</v>
      </c>
      <c r="AZ25" s="56" t="n">
        <f aca="false">SUM(AZ$13:AZ$23)</f>
        <v>13185000</v>
      </c>
    </row>
    <row r="27" customFormat="false" ht="24" hidden="false" customHeight="true" outlineLevel="0" collapsed="false">
      <c r="B27" s="5" t="s">
        <v>431</v>
      </c>
      <c r="C27" s="6"/>
      <c r="D27" s="6"/>
      <c r="E27" s="6"/>
      <c r="F27" s="6"/>
      <c r="G27" s="6"/>
      <c r="H27" s="6"/>
      <c r="I27" s="6"/>
      <c r="J27" s="6"/>
      <c r="K27" s="6"/>
      <c r="L27" s="6"/>
    </row>
    <row r="28" customFormat="false" ht="30" hidden="false" customHeight="true" outlineLevel="0" collapsed="false">
      <c r="B28" s="9" t="s">
        <v>243</v>
      </c>
      <c r="C28" s="9" t="s">
        <v>244</v>
      </c>
      <c r="D28" s="9"/>
      <c r="E28" s="9"/>
      <c r="F28" s="9"/>
      <c r="G28" s="9"/>
      <c r="H28" s="9"/>
      <c r="I28" s="9"/>
      <c r="J28" s="9"/>
      <c r="K28" s="9"/>
      <c r="L28" s="9" t="s">
        <v>253</v>
      </c>
    </row>
    <row r="29" customFormat="false" ht="19.5" hidden="false" customHeight="true" outlineLevel="0" collapsed="false">
      <c r="B29" s="25" t="s">
        <v>350</v>
      </c>
      <c r="C29" s="57" t="s">
        <v>375</v>
      </c>
      <c r="D29" s="57"/>
      <c r="E29" s="57"/>
      <c r="F29" s="57"/>
      <c r="G29" s="57"/>
      <c r="H29" s="57"/>
      <c r="I29" s="57"/>
      <c r="J29" s="57"/>
      <c r="K29" s="57"/>
      <c r="L29" s="52" t="n">
        <f aca="false">SUMIF($C$13:$C$23,$C29,$L$13:$L$23)</f>
        <v>145800000</v>
      </c>
    </row>
    <row r="30" customFormat="false" ht="19.5" hidden="false" customHeight="true" outlineLevel="0" collapsed="false">
      <c r="B30" s="25" t="s">
        <v>351</v>
      </c>
      <c r="C30" s="57" t="s">
        <v>385</v>
      </c>
      <c r="D30" s="57"/>
      <c r="E30" s="57"/>
      <c r="F30" s="57"/>
      <c r="G30" s="57"/>
      <c r="H30" s="57"/>
      <c r="I30" s="57"/>
      <c r="J30" s="57"/>
      <c r="K30" s="57"/>
      <c r="L30" s="52" t="n">
        <f aca="false">SUMIF($C$13:$C$23,$C30,$L$13:$L$23)</f>
        <v>41400000</v>
      </c>
    </row>
    <row r="31" customFormat="false" ht="19.5" hidden="false" customHeight="true" outlineLevel="0" collapsed="false">
      <c r="B31" s="25" t="s">
        <v>352</v>
      </c>
      <c r="C31" s="57" t="s">
        <v>390</v>
      </c>
      <c r="D31" s="57"/>
      <c r="E31" s="57"/>
      <c r="F31" s="57"/>
      <c r="G31" s="57"/>
      <c r="H31" s="57"/>
      <c r="I31" s="57"/>
      <c r="J31" s="57"/>
      <c r="K31" s="57"/>
      <c r="L31" s="52" t="n">
        <f aca="false">SUMIF($C$13:$C$23,$C31,$L$13:$L$23)</f>
        <v>104400000</v>
      </c>
    </row>
    <row r="32" customFormat="false" ht="19.5" hidden="false" customHeight="true" outlineLevel="0" collapsed="false">
      <c r="B32" s="25" t="s">
        <v>353</v>
      </c>
      <c r="C32" s="57" t="s">
        <v>395</v>
      </c>
      <c r="D32" s="57"/>
      <c r="E32" s="57"/>
      <c r="F32" s="57"/>
      <c r="G32" s="57"/>
      <c r="H32" s="57"/>
      <c r="I32" s="57"/>
      <c r="J32" s="57"/>
      <c r="K32" s="57"/>
      <c r="L32" s="52" t="n">
        <f aca="false">SUMIF($C$13:$C$23,$C32,$L$13:$L$23)</f>
        <v>32040000</v>
      </c>
    </row>
    <row r="33" customFormat="false" ht="19.5" hidden="false" customHeight="true" outlineLevel="0" collapsed="false">
      <c r="B33" s="25" t="s">
        <v>354</v>
      </c>
      <c r="C33" s="57" t="s">
        <v>400</v>
      </c>
      <c r="D33" s="57"/>
      <c r="E33" s="57"/>
      <c r="F33" s="57"/>
      <c r="G33" s="57"/>
      <c r="H33" s="57"/>
      <c r="I33" s="57"/>
      <c r="J33" s="57"/>
      <c r="K33" s="57"/>
      <c r="L33" s="52" t="n">
        <f aca="false">SUMIF($C$13:$C$23,$C33,$L$13:$L$23)</f>
        <v>11340000</v>
      </c>
    </row>
    <row r="34" customFormat="false" ht="19.5" hidden="false" customHeight="true" outlineLevel="0" collapsed="false">
      <c r="B34" s="25" t="s">
        <v>355</v>
      </c>
      <c r="C34" s="57" t="s">
        <v>405</v>
      </c>
      <c r="D34" s="57"/>
      <c r="E34" s="57"/>
      <c r="F34" s="57"/>
      <c r="G34" s="57"/>
      <c r="H34" s="57"/>
      <c r="I34" s="57"/>
      <c r="J34" s="57"/>
      <c r="K34" s="57"/>
      <c r="L34" s="52" t="n">
        <f aca="false">SUMIF($C$13:$C$23,$C34,$L$13:$L$23)</f>
        <v>22320000</v>
      </c>
    </row>
    <row r="35" customFormat="false" ht="19.5" hidden="false" customHeight="true" outlineLevel="0" collapsed="false">
      <c r="B35" s="25" t="s">
        <v>356</v>
      </c>
      <c r="C35" s="57" t="s">
        <v>410</v>
      </c>
      <c r="D35" s="57"/>
      <c r="E35" s="57"/>
      <c r="F35" s="57"/>
      <c r="G35" s="57"/>
      <c r="H35" s="57"/>
      <c r="I35" s="57"/>
      <c r="J35" s="57"/>
      <c r="K35" s="57"/>
      <c r="L35" s="52" t="n">
        <f aca="false">SUMIF($C$13:$C$23,$C35,$L$13:$L$23)</f>
        <v>82800000</v>
      </c>
    </row>
    <row r="36" customFormat="false" ht="19.5" hidden="false" customHeight="true" outlineLevel="0" collapsed="false">
      <c r="B36" s="25" t="s">
        <v>357</v>
      </c>
      <c r="C36" s="57" t="s">
        <v>415</v>
      </c>
      <c r="D36" s="57"/>
      <c r="E36" s="57"/>
      <c r="F36" s="57"/>
      <c r="G36" s="57"/>
      <c r="H36" s="57"/>
      <c r="I36" s="57"/>
      <c r="J36" s="57"/>
      <c r="K36" s="57"/>
      <c r="L36" s="52" t="n">
        <f aca="false">SUMIF($C$13:$C$23,$C36,$L$13:$L$23)</f>
        <v>22320000</v>
      </c>
    </row>
    <row r="37" customFormat="false" ht="19.5" hidden="false" customHeight="true" outlineLevel="0" collapsed="false">
      <c r="B37" s="25" t="s">
        <v>358</v>
      </c>
      <c r="C37" s="57" t="s">
        <v>420</v>
      </c>
      <c r="D37" s="57"/>
      <c r="E37" s="57"/>
      <c r="F37" s="57"/>
      <c r="G37" s="57"/>
      <c r="H37" s="57"/>
      <c r="I37" s="57"/>
      <c r="J37" s="57"/>
      <c r="K37" s="57"/>
      <c r="L37" s="52" t="n">
        <f aca="false">SUMIF($C$13:$C$23,$C37,$L$13:$L$23)</f>
        <v>12240000</v>
      </c>
    </row>
    <row r="38" customFormat="false" ht="19.5" hidden="false" customHeight="true" outlineLevel="0" collapsed="false">
      <c r="B38" s="25" t="s">
        <v>359</v>
      </c>
      <c r="C38" s="57" t="s">
        <v>425</v>
      </c>
      <c r="D38" s="57"/>
      <c r="E38" s="57"/>
      <c r="F38" s="57"/>
      <c r="G38" s="57"/>
      <c r="H38" s="57"/>
      <c r="I38" s="57"/>
      <c r="J38" s="57"/>
      <c r="K38" s="57"/>
      <c r="L38" s="52" t="n">
        <f aca="false">SUMIF($C$13:$C$23,$C38,$L$13:$L$23)</f>
        <v>4500000</v>
      </c>
    </row>
    <row r="39" customFormat="false" ht="21.75" hidden="false" customHeight="true" outlineLevel="0" collapsed="false">
      <c r="B39" s="10" t="s">
        <v>344</v>
      </c>
      <c r="C39" s="38" t="s">
        <v>363</v>
      </c>
      <c r="D39" s="38"/>
      <c r="E39" s="38"/>
      <c r="F39" s="38"/>
      <c r="G39" s="38"/>
      <c r="H39" s="38"/>
      <c r="I39" s="38"/>
      <c r="J39" s="38"/>
      <c r="K39" s="38"/>
      <c r="L39" s="52" t="n">
        <f aca="false">SUM($L$29:$L$38)</f>
        <v>479160000</v>
      </c>
    </row>
    <row r="41" customFormat="false" ht="31.5" hidden="false" customHeight="true" outlineLevel="0" collapsed="false">
      <c r="B41" s="39" t="s">
        <v>432</v>
      </c>
      <c r="C41" s="39"/>
      <c r="D41" s="39"/>
      <c r="E41" s="39"/>
      <c r="F41" s="39"/>
      <c r="G41" s="39"/>
      <c r="H41" s="39"/>
      <c r="I41" s="39"/>
      <c r="J41" s="39"/>
      <c r="K41" s="39"/>
      <c r="L41" s="39"/>
    </row>
  </sheetData>
  <mergeCells count="15">
    <mergeCell ref="B7:L7"/>
    <mergeCell ref="H9:L9"/>
    <mergeCell ref="C25:K25"/>
    <mergeCell ref="C29:K29"/>
    <mergeCell ref="C30:K30"/>
    <mergeCell ref="C31:K31"/>
    <mergeCell ref="C32:K32"/>
    <mergeCell ref="C33:K33"/>
    <mergeCell ref="C34:K34"/>
    <mergeCell ref="C35:K35"/>
    <mergeCell ref="C36:K36"/>
    <mergeCell ref="C37:K37"/>
    <mergeCell ref="C38:K38"/>
    <mergeCell ref="C39:K39"/>
    <mergeCell ref="B41:L41"/>
  </mergeCells>
  <dataValidations count="2">
    <dataValidation allowBlank="true" errorStyle="stop" operator="between" showDropDown="false" showErrorMessage="false" showInputMessage="false" sqref="E13:E43" type="list">
      <formula1>Lists!$D$9:$D$11</formula1>
      <formula2>0</formula2>
    </dataValidation>
    <dataValidation allowBlank="true" errorStyle="stop" operator="between" showDropDown="false" showErrorMessage="false" showInputMessage="false" sqref="K13:K43" type="list">
      <formula1>Lists!$E$9:$E$11</formula1>
      <formula2>0</formula2>
    </dataValidation>
  </dataValidations>
  <printOptions headings="false" gridLines="false" gridLinesSet="true" horizontalCentered="true" verticalCentered="false"/>
  <pageMargins left="0.4" right="0.4" top="0.5" bottom="0.5" header="0.511811023622047" footer="0.5"/>
  <pageSetup paperSize="8" scale="100" fitToWidth="3" fitToHeight="0" pageOrder="downThenOver" orientation="landscape" blackAndWhite="false" draft="false" cellComments="none" horizontalDpi="300" verticalDpi="300" copies="1"/>
  <headerFooter differentFirst="false" differentOddEven="false">
    <oddHeader/>
    <oddFooter>&amp;L&amp;8 &amp;K8e98a2Template by Mastt  ·  mastt.com&amp;R&amp;8 &amp;K8e98a2Page &amp;P of &amp;N</oddFooter>
  </headerFooter>
  <drawing r:id="rId1"/>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tabColor rgb="FF0D3C61"/>
    <pageSetUpPr fitToPage="true"/>
  </sheetPr>
  <dimension ref="A1:T51"/>
  <sheetViews>
    <sheetView showFormulas="false" showGridLines="false" showRowColHeaders="true" showZeros="true" rightToLeft="false" tabSelected="false" showOutlineSymbols="true" defaultGridColor="true" view="normal" topLeftCell="A1" colorId="64" zoomScale="100" zoomScaleNormal="100" zoomScalePageLayoutView="100" workbookViewId="0">
      <pane xSplit="3" ySplit="12" topLeftCell="D13" activePane="bottomRight" state="frozen"/>
      <selection pane="topLeft" activeCell="A1" activeCellId="0" sqref="A1"/>
      <selection pane="topRight" activeCell="D1" activeCellId="0" sqref="D1"/>
      <selection pane="bottomLeft" activeCell="A13" activeCellId="0" sqref="A13"/>
      <selection pane="bottomRight" activeCell="A1" activeCellId="0" sqref="A1"/>
    </sheetView>
  </sheetViews>
  <sheetFormatPr defaultColWidth="8.6796875" defaultRowHeight="15" zeroHeight="false" outlineLevelRow="0" outlineLevelCol="0"/>
  <cols>
    <col collapsed="false" customWidth="true" hidden="false" outlineLevel="0" max="1" min="1" style="1" width="3"/>
    <col collapsed="false" customWidth="true" hidden="false" outlineLevel="0" max="2" min="2" style="1" width="8"/>
    <col collapsed="false" customWidth="true" hidden="false" outlineLevel="0" max="3" min="3" style="1" width="10"/>
    <col collapsed="false" customWidth="true" hidden="false" outlineLevel="0" max="4" min="4" style="1" width="15"/>
    <col collapsed="false" customWidth="true" hidden="false" outlineLevel="0" max="6" min="5" style="1" width="14"/>
    <col collapsed="false" customWidth="true" hidden="false" outlineLevel="0" max="8" min="7" style="1" width="15"/>
    <col collapsed="false" customWidth="true" hidden="false" outlineLevel="0" max="9" min="9" style="1" width="16"/>
    <col collapsed="false" customWidth="true" hidden="false" outlineLevel="0" max="10" min="10" style="1" width="14"/>
    <col collapsed="false" customWidth="true" hidden="false" outlineLevel="0" max="12" min="11" style="1" width="15"/>
    <col collapsed="false" customWidth="true" hidden="false" outlineLevel="0" max="13" min="13" style="1" width="11"/>
    <col collapsed="false" customWidth="true" hidden="false" outlineLevel="0" max="16" min="14" style="1" width="15"/>
    <col collapsed="false" customWidth="true" hidden="false" outlineLevel="0" max="17" min="17" style="1" width="17"/>
    <col collapsed="false" customWidth="true" hidden="false" outlineLevel="0" max="18" min="18" style="1" width="12"/>
    <col collapsed="false" customWidth="true" hidden="false" outlineLevel="0" max="19" min="19" style="1" width="11"/>
    <col collapsed="false" customWidth="true" hidden="false" outlineLevel="0" max="20" min="20" style="1" width="18"/>
  </cols>
  <sheetData>
    <row r="1" customFormat="false" ht="9.75" hidden="false" customHeight="true" outlineLevel="0" collapsed="false">
      <c r="A1" s="2"/>
      <c r="B1" s="2"/>
      <c r="C1" s="2"/>
      <c r="D1" s="2"/>
      <c r="E1" s="2"/>
      <c r="F1" s="2"/>
      <c r="G1" s="2"/>
      <c r="H1" s="2"/>
      <c r="I1" s="2"/>
      <c r="J1" s="2"/>
      <c r="K1" s="2"/>
      <c r="L1" s="2"/>
      <c r="M1" s="2"/>
      <c r="N1" s="2"/>
      <c r="O1" s="2"/>
      <c r="P1" s="2"/>
      <c r="Q1" s="2"/>
      <c r="R1" s="2"/>
      <c r="S1" s="2"/>
      <c r="T1" s="2"/>
    </row>
    <row r="2" customFormat="false" ht="33.75" hidden="false" customHeight="true" outlineLevel="0" collapsed="false">
      <c r="A2" s="2"/>
      <c r="B2" s="2"/>
      <c r="C2" s="2"/>
      <c r="D2" s="2"/>
      <c r="E2" s="2"/>
      <c r="F2" s="2"/>
      <c r="G2" s="2"/>
      <c r="H2" s="2"/>
      <c r="I2" s="2"/>
      <c r="J2" s="2"/>
      <c r="K2" s="2"/>
      <c r="L2" s="2"/>
      <c r="M2" s="2"/>
      <c r="N2" s="2"/>
      <c r="O2" s="2"/>
      <c r="P2" s="2"/>
      <c r="Q2" s="2"/>
      <c r="R2" s="2"/>
      <c r="S2" s="2"/>
      <c r="T2" s="2"/>
    </row>
    <row r="3" customFormat="false" ht="7.5" hidden="false" customHeight="true" outlineLevel="0" collapsed="false">
      <c r="A3" s="2"/>
      <c r="B3" s="2"/>
      <c r="C3" s="2"/>
      <c r="D3" s="2"/>
      <c r="E3" s="2"/>
      <c r="F3" s="2"/>
      <c r="G3" s="2"/>
      <c r="H3" s="2"/>
      <c r="I3" s="2"/>
      <c r="J3" s="2"/>
      <c r="K3" s="2"/>
      <c r="L3" s="2"/>
      <c r="M3" s="2"/>
      <c r="N3" s="2"/>
      <c r="O3" s="2"/>
      <c r="P3" s="2"/>
      <c r="Q3" s="2"/>
      <c r="R3" s="2"/>
      <c r="S3" s="2"/>
      <c r="T3" s="2"/>
    </row>
    <row r="4" customFormat="false" ht="30" hidden="false" customHeight="true" outlineLevel="0" collapsed="false">
      <c r="A4" s="2"/>
      <c r="B4" s="3" t="s">
        <v>433</v>
      </c>
      <c r="C4" s="2"/>
      <c r="D4" s="2"/>
      <c r="E4" s="2"/>
      <c r="F4" s="2"/>
      <c r="G4" s="2"/>
      <c r="H4" s="2"/>
      <c r="I4" s="2"/>
      <c r="J4" s="2"/>
      <c r="K4" s="2"/>
      <c r="L4" s="2"/>
      <c r="M4" s="2"/>
      <c r="N4" s="2"/>
      <c r="O4" s="2"/>
      <c r="P4" s="2"/>
      <c r="Q4" s="2"/>
      <c r="R4" s="2"/>
      <c r="S4" s="2"/>
      <c r="T4" s="2"/>
    </row>
    <row r="5" customFormat="false" ht="21.75" hidden="false" customHeight="true" outlineLevel="0" collapsed="false">
      <c r="A5" s="2"/>
      <c r="B5" s="4" t="s">
        <v>434</v>
      </c>
      <c r="C5" s="2"/>
      <c r="D5" s="2"/>
      <c r="E5" s="2"/>
      <c r="F5" s="2"/>
      <c r="G5" s="2"/>
      <c r="H5" s="2"/>
      <c r="I5" s="2"/>
      <c r="J5" s="2"/>
      <c r="K5" s="2"/>
      <c r="L5" s="2"/>
      <c r="M5" s="2"/>
      <c r="N5" s="2"/>
      <c r="O5" s="2"/>
      <c r="P5" s="2"/>
      <c r="Q5" s="2"/>
      <c r="R5" s="2"/>
      <c r="S5" s="2"/>
      <c r="T5" s="2"/>
    </row>
    <row r="6" customFormat="false" ht="7.5" hidden="false" customHeight="true" outlineLevel="0" collapsed="false"/>
    <row r="7" customFormat="false" ht="27.75" hidden="false" customHeight="true" outlineLevel="0" collapsed="false">
      <c r="B7" s="23" t="s">
        <v>435</v>
      </c>
      <c r="C7" s="23"/>
      <c r="D7" s="23"/>
      <c r="E7" s="23"/>
      <c r="F7" s="23"/>
      <c r="G7" s="23"/>
      <c r="H7" s="23"/>
      <c r="I7" s="23"/>
      <c r="J7" s="23"/>
      <c r="K7" s="23"/>
      <c r="L7" s="23"/>
      <c r="M7" s="23"/>
      <c r="N7" s="23"/>
      <c r="O7" s="23"/>
      <c r="P7" s="23"/>
      <c r="Q7" s="23"/>
      <c r="R7" s="23"/>
      <c r="S7" s="23"/>
      <c r="T7" s="23"/>
    </row>
    <row r="9" customFormat="false" ht="24" hidden="false" customHeight="true" outlineLevel="0" collapsed="false">
      <c r="B9" s="5" t="s">
        <v>436</v>
      </c>
      <c r="C9" s="6"/>
      <c r="D9" s="6"/>
      <c r="E9" s="6"/>
      <c r="F9" s="6"/>
      <c r="G9" s="6"/>
      <c r="H9" s="6"/>
      <c r="I9" s="6"/>
      <c r="J9" s="6"/>
      <c r="K9" s="6"/>
      <c r="L9" s="40" t="s">
        <v>437</v>
      </c>
      <c r="M9" s="40"/>
      <c r="N9" s="40"/>
      <c r="O9" s="40"/>
      <c r="P9" s="40"/>
      <c r="Q9" s="40"/>
      <c r="R9" s="40"/>
      <c r="S9" s="40"/>
      <c r="T9" s="40"/>
    </row>
    <row r="10" customFormat="false" ht="51.75" hidden="false" customHeight="true" outlineLevel="0" collapsed="false">
      <c r="B10" s="43" t="s">
        <v>438</v>
      </c>
      <c r="C10" s="43" t="s">
        <v>439</v>
      </c>
      <c r="D10" s="43" t="s">
        <v>440</v>
      </c>
      <c r="E10" s="43" t="s">
        <v>308</v>
      </c>
      <c r="F10" s="43" t="s">
        <v>441</v>
      </c>
      <c r="G10" s="43" t="s">
        <v>442</v>
      </c>
      <c r="H10" s="43" t="s">
        <v>443</v>
      </c>
      <c r="I10" s="43" t="s">
        <v>444</v>
      </c>
      <c r="J10" s="43" t="s">
        <v>126</v>
      </c>
      <c r="K10" s="43" t="s">
        <v>445</v>
      </c>
      <c r="L10" s="43" t="s">
        <v>446</v>
      </c>
      <c r="M10" s="43" t="s">
        <v>447</v>
      </c>
      <c r="N10" s="43" t="s">
        <v>448</v>
      </c>
      <c r="O10" s="43" t="s">
        <v>449</v>
      </c>
      <c r="P10" s="43" t="s">
        <v>450</v>
      </c>
      <c r="Q10" s="43" t="s">
        <v>451</v>
      </c>
      <c r="R10" s="43" t="s">
        <v>452</v>
      </c>
      <c r="S10" s="43" t="s">
        <v>453</v>
      </c>
      <c r="T10" s="43" t="s">
        <v>454</v>
      </c>
    </row>
    <row r="11" customFormat="false" ht="16.5" hidden="false" customHeight="true" outlineLevel="0" collapsed="false">
      <c r="B11" s="51" t="n">
        <v>0</v>
      </c>
      <c r="C11" s="51" t="n">
        <f aca="false">StartYear+$B11</f>
        <v>2026</v>
      </c>
      <c r="D11" s="49" t="n">
        <f aca="false">INDEX('Cost Inputs'!$M$36:$AZ$36,1,$B11+1)*$R11</f>
        <v>9045266.66666667</v>
      </c>
      <c r="E11" s="49" t="n">
        <f aca="false">INDEX('Cost Inputs'!$M$37:$AZ$37,1,$B11+1)*$R11</f>
        <v>0</v>
      </c>
      <c r="F11" s="49" t="n">
        <f aca="false">INDEX('Cost Inputs'!$M$38:$AZ$38,1,$B11+1)*$R11</f>
        <v>0</v>
      </c>
      <c r="G11" s="49" t="n">
        <f aca="false">$D11*OptBias</f>
        <v>1356790</v>
      </c>
      <c r="H11" s="52" t="n">
        <f aca="false">SUM($D11:$G11)</f>
        <v>10402056.6666667</v>
      </c>
      <c r="I11" s="49" t="n">
        <f aca="false">INDEX('Benefit Inputs'!$M$25:$AZ$25,1,$B11+1)*$R11</f>
        <v>0</v>
      </c>
      <c r="J11" s="49" t="n">
        <f aca="false">IF($B11=ApprYears-1,ResidVal*$R11,0)</f>
        <v>0</v>
      </c>
      <c r="K11" s="52" t="n">
        <f aca="false">$I11+$J11</f>
        <v>0</v>
      </c>
      <c r="L11" s="52" t="n">
        <f aca="false">($K11-$H11)*$S11</f>
        <v>-10402056.6666667</v>
      </c>
      <c r="M11" s="60" t="n">
        <f aca="false">1/(1+IF(DeclineDR="Yes",IF($B11&lt;=30,EffDiscRate,IF($B11&lt;=75,EffDiscRate*0.857,EffDiscRate*0.714)),EffDiscRate))^$B11</f>
        <v>1</v>
      </c>
      <c r="N11" s="49" t="n">
        <f aca="false">$H11*$M11*$S11</f>
        <v>10402056.6666667</v>
      </c>
      <c r="O11" s="49" t="n">
        <f aca="false">$K11*$M11*$S11</f>
        <v>0</v>
      </c>
      <c r="P11" s="52" t="n">
        <f aca="false">$O11-$N11</f>
        <v>-10402056.6666667</v>
      </c>
      <c r="Q11" s="52" t="n">
        <f aca="false">$P11</f>
        <v>-10402056.6666667</v>
      </c>
      <c r="R11" s="61" t="n">
        <f aca="false">IF(PriceBasis="Nominal",(1+InflRate)^$B11,1)</f>
        <v>1</v>
      </c>
      <c r="S11" s="42" t="n">
        <f aca="false">IF($B11&lt;ApprYears,1,0)</f>
        <v>1</v>
      </c>
      <c r="T11" s="50" t="n">
        <f aca="false">$L11</f>
        <v>-10402056.6666667</v>
      </c>
    </row>
    <row r="12" customFormat="false" ht="16.5" hidden="false" customHeight="true" outlineLevel="0" collapsed="false">
      <c r="B12" s="51" t="n">
        <f aca="false">B11+1</f>
        <v>1</v>
      </c>
      <c r="C12" s="51" t="n">
        <f aca="false">StartYear+$B12</f>
        <v>2027</v>
      </c>
      <c r="D12" s="49" t="n">
        <f aca="false">INDEX('Cost Inputs'!$M$36:$AZ$36,1,$B12+1)*$R12</f>
        <v>18420266.6666667</v>
      </c>
      <c r="E12" s="49" t="n">
        <f aca="false">INDEX('Cost Inputs'!$M$37:$AZ$37,1,$B12+1)*$R12</f>
        <v>0</v>
      </c>
      <c r="F12" s="49" t="n">
        <f aca="false">INDEX('Cost Inputs'!$M$38:$AZ$38,1,$B12+1)*$R12</f>
        <v>0</v>
      </c>
      <c r="G12" s="49" t="n">
        <f aca="false">$D12*OptBias</f>
        <v>2763040</v>
      </c>
      <c r="H12" s="52" t="n">
        <f aca="false">SUM($D12:$G12)</f>
        <v>21183306.6666667</v>
      </c>
      <c r="I12" s="49" t="n">
        <f aca="false">INDEX('Benefit Inputs'!$M$25:$AZ$25,1,$B12+1)*$R12</f>
        <v>0</v>
      </c>
      <c r="J12" s="49" t="n">
        <f aca="false">IF($B12=ApprYears-1,ResidVal*$R12,0)</f>
        <v>0</v>
      </c>
      <c r="K12" s="52" t="n">
        <f aca="false">$I12+$J12</f>
        <v>0</v>
      </c>
      <c r="L12" s="52" t="n">
        <f aca="false">($K12-$H12)*$S12</f>
        <v>-21183306.6666667</v>
      </c>
      <c r="M12" s="60" t="n">
        <f aca="false">1/(1+IF(DeclineDR="Yes",IF($B12&lt;=30,EffDiscRate,IF($B12&lt;=75,EffDiscRate*0.857,EffDiscRate*0.714)),EffDiscRate))^$B12</f>
        <v>0.934579439252336</v>
      </c>
      <c r="N12" s="49" t="n">
        <f aca="false">$H12*$M12*$S12</f>
        <v>19797482.8660436</v>
      </c>
      <c r="O12" s="49" t="n">
        <f aca="false">$K12*$M12*$S12</f>
        <v>0</v>
      </c>
      <c r="P12" s="52" t="n">
        <f aca="false">$O12-$N12</f>
        <v>-19797482.8660436</v>
      </c>
      <c r="Q12" s="52" t="n">
        <f aca="false">$Q11+$P12</f>
        <v>-30199539.5327103</v>
      </c>
      <c r="R12" s="61" t="n">
        <f aca="false">IF(PriceBasis="Nominal",(1+InflRate)^$B12,1)</f>
        <v>1</v>
      </c>
      <c r="S12" s="42" t="n">
        <f aca="false">IF($B12&lt;ApprYears,1,0)</f>
        <v>1</v>
      </c>
      <c r="T12" s="50" t="n">
        <f aca="false">$T11+$L12</f>
        <v>-31585363.3333333</v>
      </c>
    </row>
    <row r="13" customFormat="false" ht="16.5" hidden="false" customHeight="true" outlineLevel="0" collapsed="false">
      <c r="B13" s="51" t="n">
        <f aca="false">B12+1</f>
        <v>2</v>
      </c>
      <c r="C13" s="51" t="n">
        <f aca="false">StartYear+$B13</f>
        <v>2028</v>
      </c>
      <c r="D13" s="49" t="n">
        <f aca="false">INDEX('Cost Inputs'!$M$36:$AZ$36,1,$B13+1)*$R13</f>
        <v>23035266.6666667</v>
      </c>
      <c r="E13" s="49" t="n">
        <f aca="false">INDEX('Cost Inputs'!$M$37:$AZ$37,1,$B13+1)*$R13</f>
        <v>0</v>
      </c>
      <c r="F13" s="49" t="n">
        <f aca="false">INDEX('Cost Inputs'!$M$38:$AZ$38,1,$B13+1)*$R13</f>
        <v>0</v>
      </c>
      <c r="G13" s="49" t="n">
        <f aca="false">$D13*OptBias</f>
        <v>3455290</v>
      </c>
      <c r="H13" s="52" t="n">
        <f aca="false">SUM($D13:$G13)</f>
        <v>26490556.6666667</v>
      </c>
      <c r="I13" s="49" t="n">
        <f aca="false">INDEX('Benefit Inputs'!$M$25:$AZ$25,1,$B13+1)*$R13</f>
        <v>0</v>
      </c>
      <c r="J13" s="49" t="n">
        <f aca="false">IF($B13=ApprYears-1,ResidVal*$R13,0)</f>
        <v>0</v>
      </c>
      <c r="K13" s="52" t="n">
        <f aca="false">$I13+$J13</f>
        <v>0</v>
      </c>
      <c r="L13" s="52" t="n">
        <f aca="false">($K13-$H13)*$S13</f>
        <v>-26490556.6666667</v>
      </c>
      <c r="M13" s="60" t="n">
        <f aca="false">1/(1+IF(DeclineDR="Yes",IF($B13&lt;=30,EffDiscRate,IF($B13&lt;=75,EffDiscRate*0.857,EffDiscRate*0.714)),EffDiscRate))^$B13</f>
        <v>0.873438728273212</v>
      </c>
      <c r="N13" s="49" t="n">
        <f aca="false">$H13*$M13*$S13</f>
        <v>23137878.1261828</v>
      </c>
      <c r="O13" s="49" t="n">
        <f aca="false">$K13*$M13*$S13</f>
        <v>0</v>
      </c>
      <c r="P13" s="52" t="n">
        <f aca="false">$O13-$N13</f>
        <v>-23137878.1261828</v>
      </c>
      <c r="Q13" s="52" t="n">
        <f aca="false">$Q12+$P13</f>
        <v>-53337417.6588931</v>
      </c>
      <c r="R13" s="61" t="n">
        <f aca="false">IF(PriceBasis="Nominal",(1+InflRate)^$B13,1)</f>
        <v>1</v>
      </c>
      <c r="S13" s="42" t="n">
        <f aca="false">IF($B13&lt;ApprYears,1,0)</f>
        <v>1</v>
      </c>
      <c r="T13" s="50" t="n">
        <f aca="false">$T12+$L13</f>
        <v>-58075920</v>
      </c>
    </row>
    <row r="14" customFormat="false" ht="16.5" hidden="false" customHeight="true" outlineLevel="0" collapsed="false">
      <c r="B14" s="51" t="n">
        <f aca="false">B13+1</f>
        <v>3</v>
      </c>
      <c r="C14" s="51" t="n">
        <f aca="false">StartYear+$B14</f>
        <v>2029</v>
      </c>
      <c r="D14" s="49" t="n">
        <f aca="false">INDEX('Cost Inputs'!$M$36:$AZ$36,1,$B14+1)*$R14</f>
        <v>0</v>
      </c>
      <c r="E14" s="49" t="n">
        <f aca="false">INDEX('Cost Inputs'!$M$37:$AZ$37,1,$B14+1)*$R14</f>
        <v>4290000</v>
      </c>
      <c r="F14" s="49" t="n">
        <f aca="false">INDEX('Cost Inputs'!$M$38:$AZ$38,1,$B14+1)*$R14</f>
        <v>0</v>
      </c>
      <c r="G14" s="49" t="n">
        <f aca="false">$D14*OptBias</f>
        <v>0</v>
      </c>
      <c r="H14" s="52" t="n">
        <f aca="false">SUM($D14:$G14)</f>
        <v>4290000</v>
      </c>
      <c r="I14" s="49" t="n">
        <f aca="false">INDEX('Benefit Inputs'!$M$25:$AZ$25,1,$B14+1)*$R14</f>
        <v>8895000</v>
      </c>
      <c r="J14" s="49" t="n">
        <f aca="false">IF($B14=ApprYears-1,ResidVal*$R14,0)</f>
        <v>0</v>
      </c>
      <c r="K14" s="52" t="n">
        <f aca="false">$I14+$J14</f>
        <v>8895000</v>
      </c>
      <c r="L14" s="52" t="n">
        <f aca="false">($K14-$H14)*$S14</f>
        <v>4605000</v>
      </c>
      <c r="M14" s="60" t="n">
        <f aca="false">1/(1+IF(DeclineDR="Yes",IF($B14&lt;=30,EffDiscRate,IF($B14&lt;=75,EffDiscRate*0.857,EffDiscRate*0.714)),EffDiscRate))^$B14</f>
        <v>0.816297876890852</v>
      </c>
      <c r="N14" s="49" t="n">
        <f aca="false">$H14*$M14*$S14</f>
        <v>3501917.89186175</v>
      </c>
      <c r="O14" s="49" t="n">
        <f aca="false">$K14*$M14*$S14</f>
        <v>7260969.61494413</v>
      </c>
      <c r="P14" s="52" t="n">
        <f aca="false">$O14-$N14</f>
        <v>3759051.72308237</v>
      </c>
      <c r="Q14" s="52" t="n">
        <f aca="false">$Q13+$P14</f>
        <v>-49578365.9358107</v>
      </c>
      <c r="R14" s="61" t="n">
        <f aca="false">IF(PriceBasis="Nominal",(1+InflRate)^$B14,1)</f>
        <v>1</v>
      </c>
      <c r="S14" s="42" t="n">
        <f aca="false">IF($B14&lt;ApprYears,1,0)</f>
        <v>1</v>
      </c>
      <c r="T14" s="50" t="n">
        <f aca="false">$T13+$L14</f>
        <v>-53470920</v>
      </c>
    </row>
    <row r="15" customFormat="false" ht="16.5" hidden="false" customHeight="true" outlineLevel="0" collapsed="false">
      <c r="B15" s="51" t="n">
        <f aca="false">B14+1</f>
        <v>4</v>
      </c>
      <c r="C15" s="51" t="n">
        <f aca="false">StartYear+$B15</f>
        <v>2030</v>
      </c>
      <c r="D15" s="49" t="n">
        <f aca="false">INDEX('Cost Inputs'!$M$36:$AZ$36,1,$B15+1)*$R15</f>
        <v>0</v>
      </c>
      <c r="E15" s="49" t="n">
        <f aca="false">INDEX('Cost Inputs'!$M$37:$AZ$37,1,$B15+1)*$R15</f>
        <v>4290000</v>
      </c>
      <c r="F15" s="49" t="n">
        <f aca="false">INDEX('Cost Inputs'!$M$38:$AZ$38,1,$B15+1)*$R15</f>
        <v>0</v>
      </c>
      <c r="G15" s="49" t="n">
        <f aca="false">$D15*OptBias</f>
        <v>0</v>
      </c>
      <c r="H15" s="52" t="n">
        <f aca="false">SUM($D15:$G15)</f>
        <v>4290000</v>
      </c>
      <c r="I15" s="49" t="n">
        <f aca="false">INDEX('Benefit Inputs'!$M$25:$AZ$25,1,$B15+1)*$R15</f>
        <v>8790000</v>
      </c>
      <c r="J15" s="49" t="n">
        <f aca="false">IF($B15=ApprYears-1,ResidVal*$R15,0)</f>
        <v>0</v>
      </c>
      <c r="K15" s="52" t="n">
        <f aca="false">$I15+$J15</f>
        <v>8790000</v>
      </c>
      <c r="L15" s="52" t="n">
        <f aca="false">($K15-$H15)*$S15</f>
        <v>4500000</v>
      </c>
      <c r="M15" s="60" t="n">
        <f aca="false">1/(1+IF(DeclineDR="Yes",IF($B15&lt;=30,EffDiscRate,IF($B15&lt;=75,EffDiscRate*0.857,EffDiscRate*0.714)),EffDiscRate))^$B15</f>
        <v>0.762895212047525</v>
      </c>
      <c r="N15" s="49" t="n">
        <f aca="false">$H15*$M15*$S15</f>
        <v>3272820.45968388</v>
      </c>
      <c r="O15" s="49" t="n">
        <f aca="false">$K15*$M15*$S15</f>
        <v>6705848.91389774</v>
      </c>
      <c r="P15" s="52" t="n">
        <f aca="false">$O15-$N15</f>
        <v>3433028.45421386</v>
      </c>
      <c r="Q15" s="52" t="n">
        <f aca="false">$Q14+$P15</f>
        <v>-46145337.4815968</v>
      </c>
      <c r="R15" s="61" t="n">
        <f aca="false">IF(PriceBasis="Nominal",(1+InflRate)^$B15,1)</f>
        <v>1</v>
      </c>
      <c r="S15" s="42" t="n">
        <f aca="false">IF($B15&lt;ApprYears,1,0)</f>
        <v>1</v>
      </c>
      <c r="T15" s="50" t="n">
        <f aca="false">$T14+$L15</f>
        <v>-48970920</v>
      </c>
    </row>
    <row r="16" customFormat="false" ht="16.5" hidden="false" customHeight="true" outlineLevel="0" collapsed="false">
      <c r="B16" s="51" t="n">
        <f aca="false">B15+1</f>
        <v>5</v>
      </c>
      <c r="C16" s="51" t="n">
        <f aca="false">StartYear+$B16</f>
        <v>2031</v>
      </c>
      <c r="D16" s="49" t="n">
        <f aca="false">INDEX('Cost Inputs'!$M$36:$AZ$36,1,$B16+1)*$R16</f>
        <v>0</v>
      </c>
      <c r="E16" s="49" t="n">
        <f aca="false">INDEX('Cost Inputs'!$M$37:$AZ$37,1,$B16+1)*$R16</f>
        <v>4290000</v>
      </c>
      <c r="F16" s="49" t="n">
        <f aca="false">INDEX('Cost Inputs'!$M$38:$AZ$38,1,$B16+1)*$R16</f>
        <v>0</v>
      </c>
      <c r="G16" s="49" t="n">
        <f aca="false">$D16*OptBias</f>
        <v>0</v>
      </c>
      <c r="H16" s="52" t="n">
        <f aca="false">SUM($D16:$G16)</f>
        <v>4290000</v>
      </c>
      <c r="I16" s="49" t="n">
        <f aca="false">INDEX('Benefit Inputs'!$M$25:$AZ$25,1,$B16+1)*$R16</f>
        <v>13185000</v>
      </c>
      <c r="J16" s="49" t="n">
        <f aca="false">IF($B16=ApprYears-1,ResidVal*$R16,0)</f>
        <v>0</v>
      </c>
      <c r="K16" s="52" t="n">
        <f aca="false">$I16+$J16</f>
        <v>13185000</v>
      </c>
      <c r="L16" s="52" t="n">
        <f aca="false">($K16-$H16)*$S16</f>
        <v>8895000</v>
      </c>
      <c r="M16" s="60" t="n">
        <f aca="false">1/(1+IF(DeclineDR="Yes",IF($B16&lt;=30,EffDiscRate,IF($B16&lt;=75,EffDiscRate*0.857,EffDiscRate*0.714)),EffDiscRate))^$B16</f>
        <v>0.712986179483668</v>
      </c>
      <c r="N16" s="49" t="n">
        <f aca="false">$H16*$M16*$S16</f>
        <v>3058710.70998494</v>
      </c>
      <c r="O16" s="49" t="n">
        <f aca="false">$K16*$M16*$S16</f>
        <v>9400722.77649217</v>
      </c>
      <c r="P16" s="52" t="n">
        <f aca="false">$O16-$N16</f>
        <v>6342012.06650723</v>
      </c>
      <c r="Q16" s="52" t="n">
        <f aca="false">$Q15+$P16</f>
        <v>-39803325.4150896</v>
      </c>
      <c r="R16" s="61" t="n">
        <f aca="false">IF(PriceBasis="Nominal",(1+InflRate)^$B16,1)</f>
        <v>1</v>
      </c>
      <c r="S16" s="42" t="n">
        <f aca="false">IF($B16&lt;ApprYears,1,0)</f>
        <v>1</v>
      </c>
      <c r="T16" s="50" t="n">
        <f aca="false">$T15+$L16</f>
        <v>-40075920</v>
      </c>
    </row>
    <row r="17" customFormat="false" ht="16.5" hidden="false" customHeight="true" outlineLevel="0" collapsed="false">
      <c r="B17" s="51" t="n">
        <f aca="false">B16+1</f>
        <v>6</v>
      </c>
      <c r="C17" s="51" t="n">
        <f aca="false">StartYear+$B17</f>
        <v>2032</v>
      </c>
      <c r="D17" s="49" t="n">
        <f aca="false">INDEX('Cost Inputs'!$M$36:$AZ$36,1,$B17+1)*$R17</f>
        <v>0</v>
      </c>
      <c r="E17" s="49" t="n">
        <f aca="false">INDEX('Cost Inputs'!$M$37:$AZ$37,1,$B17+1)*$R17</f>
        <v>4290000</v>
      </c>
      <c r="F17" s="49" t="n">
        <f aca="false">INDEX('Cost Inputs'!$M$38:$AZ$38,1,$B17+1)*$R17</f>
        <v>0</v>
      </c>
      <c r="G17" s="49" t="n">
        <f aca="false">$D17*OptBias</f>
        <v>0</v>
      </c>
      <c r="H17" s="52" t="n">
        <f aca="false">SUM($D17:$G17)</f>
        <v>4290000</v>
      </c>
      <c r="I17" s="49" t="n">
        <f aca="false">INDEX('Benefit Inputs'!$M$25:$AZ$25,1,$B17+1)*$R17</f>
        <v>13185000</v>
      </c>
      <c r="J17" s="49" t="n">
        <f aca="false">IF($B17=ApprYears-1,ResidVal*$R17,0)</f>
        <v>0</v>
      </c>
      <c r="K17" s="52" t="n">
        <f aca="false">$I17+$J17</f>
        <v>13185000</v>
      </c>
      <c r="L17" s="52" t="n">
        <f aca="false">($K17-$H17)*$S17</f>
        <v>8895000</v>
      </c>
      <c r="M17" s="60" t="n">
        <f aca="false">1/(1+IF(DeclineDR="Yes",IF($B17&lt;=30,EffDiscRate,IF($B17&lt;=75,EffDiscRate*0.857,EffDiscRate*0.714)),EffDiscRate))^$B17</f>
        <v>0.666342223816512</v>
      </c>
      <c r="N17" s="49" t="n">
        <f aca="false">$H17*$M17*$S17</f>
        <v>2858608.14017284</v>
      </c>
      <c r="O17" s="49" t="n">
        <f aca="false">$K17*$M17*$S17</f>
        <v>8785722.22102072</v>
      </c>
      <c r="P17" s="52" t="n">
        <f aca="false">$O17-$N17</f>
        <v>5927114.08084788</v>
      </c>
      <c r="Q17" s="52" t="n">
        <f aca="false">$Q16+$P17</f>
        <v>-33876211.3342417</v>
      </c>
      <c r="R17" s="61" t="n">
        <f aca="false">IF(PriceBasis="Nominal",(1+InflRate)^$B17,1)</f>
        <v>1</v>
      </c>
      <c r="S17" s="42" t="n">
        <f aca="false">IF($B17&lt;ApprYears,1,0)</f>
        <v>1</v>
      </c>
      <c r="T17" s="50" t="n">
        <f aca="false">$T16+$L17</f>
        <v>-31180920</v>
      </c>
    </row>
    <row r="18" customFormat="false" ht="16.5" hidden="false" customHeight="true" outlineLevel="0" collapsed="false">
      <c r="B18" s="51" t="n">
        <f aca="false">B17+1</f>
        <v>7</v>
      </c>
      <c r="C18" s="51" t="n">
        <f aca="false">StartYear+$B18</f>
        <v>2033</v>
      </c>
      <c r="D18" s="49" t="n">
        <f aca="false">INDEX('Cost Inputs'!$M$36:$AZ$36,1,$B18+1)*$R18</f>
        <v>0</v>
      </c>
      <c r="E18" s="49" t="n">
        <f aca="false">INDEX('Cost Inputs'!$M$37:$AZ$37,1,$B18+1)*$R18</f>
        <v>4290000</v>
      </c>
      <c r="F18" s="49" t="n">
        <f aca="false">INDEX('Cost Inputs'!$M$38:$AZ$38,1,$B18+1)*$R18</f>
        <v>820000</v>
      </c>
      <c r="G18" s="49" t="n">
        <f aca="false">$D18*OptBias</f>
        <v>0</v>
      </c>
      <c r="H18" s="52" t="n">
        <f aca="false">SUM($D18:$G18)</f>
        <v>5110000</v>
      </c>
      <c r="I18" s="49" t="n">
        <f aca="false">INDEX('Benefit Inputs'!$M$25:$AZ$25,1,$B18+1)*$R18</f>
        <v>13185000</v>
      </c>
      <c r="J18" s="49" t="n">
        <f aca="false">IF($B18=ApprYears-1,ResidVal*$R18,0)</f>
        <v>0</v>
      </c>
      <c r="K18" s="52" t="n">
        <f aca="false">$I18+$J18</f>
        <v>13185000</v>
      </c>
      <c r="L18" s="52" t="n">
        <f aca="false">($K18-$H18)*$S18</f>
        <v>8075000</v>
      </c>
      <c r="M18" s="60" t="n">
        <f aca="false">1/(1+IF(DeclineDR="Yes",IF($B18&lt;=30,EffDiscRate,IF($B18&lt;=75,EffDiscRate*0.857,EffDiscRate*0.714)),EffDiscRate))^$B18</f>
        <v>0.622749741884591</v>
      </c>
      <c r="N18" s="49" t="n">
        <f aca="false">$H18*$M18*$S18</f>
        <v>3182251.18103026</v>
      </c>
      <c r="O18" s="49" t="n">
        <f aca="false">$K18*$M18*$S18</f>
        <v>8210955.34674833</v>
      </c>
      <c r="P18" s="52" t="n">
        <f aca="false">$O18-$N18</f>
        <v>5028704.16571807</v>
      </c>
      <c r="Q18" s="52" t="n">
        <f aca="false">$Q17+$P18</f>
        <v>-28847507.1685236</v>
      </c>
      <c r="R18" s="61" t="n">
        <f aca="false">IF(PriceBasis="Nominal",(1+InflRate)^$B18,1)</f>
        <v>1</v>
      </c>
      <c r="S18" s="42" t="n">
        <f aca="false">IF($B18&lt;ApprYears,1,0)</f>
        <v>1</v>
      </c>
      <c r="T18" s="50" t="n">
        <f aca="false">$T17+$L18</f>
        <v>-23105920</v>
      </c>
    </row>
    <row r="19" customFormat="false" ht="16.5" hidden="false" customHeight="true" outlineLevel="0" collapsed="false">
      <c r="B19" s="51" t="n">
        <f aca="false">B18+1</f>
        <v>8</v>
      </c>
      <c r="C19" s="51" t="n">
        <f aca="false">StartYear+$B19</f>
        <v>2034</v>
      </c>
      <c r="D19" s="49" t="n">
        <f aca="false">INDEX('Cost Inputs'!$M$36:$AZ$36,1,$B19+1)*$R19</f>
        <v>0</v>
      </c>
      <c r="E19" s="49" t="n">
        <f aca="false">INDEX('Cost Inputs'!$M$37:$AZ$37,1,$B19+1)*$R19</f>
        <v>4290000</v>
      </c>
      <c r="F19" s="49" t="n">
        <f aca="false">INDEX('Cost Inputs'!$M$38:$AZ$38,1,$B19+1)*$R19</f>
        <v>0</v>
      </c>
      <c r="G19" s="49" t="n">
        <f aca="false">$D19*OptBias</f>
        <v>0</v>
      </c>
      <c r="H19" s="52" t="n">
        <f aca="false">SUM($D19:$G19)</f>
        <v>4290000</v>
      </c>
      <c r="I19" s="49" t="n">
        <f aca="false">INDEX('Benefit Inputs'!$M$25:$AZ$25,1,$B19+1)*$R19</f>
        <v>13185000</v>
      </c>
      <c r="J19" s="49" t="n">
        <f aca="false">IF($B19=ApprYears-1,ResidVal*$R19,0)</f>
        <v>0</v>
      </c>
      <c r="K19" s="52" t="n">
        <f aca="false">$I19+$J19</f>
        <v>13185000</v>
      </c>
      <c r="L19" s="52" t="n">
        <f aca="false">($K19-$H19)*$S19</f>
        <v>8895000</v>
      </c>
      <c r="M19" s="60" t="n">
        <f aca="false">1/(1+IF(DeclineDR="Yes",IF($B19&lt;=30,EffDiscRate,IF($B19&lt;=75,EffDiscRate*0.857,EffDiscRate*0.714)),EffDiscRate))^$B19</f>
        <v>0.582009104565038</v>
      </c>
      <c r="N19" s="49" t="n">
        <f aca="false">$H19*$M19*$S19</f>
        <v>2496819.05858401</v>
      </c>
      <c r="O19" s="49" t="n">
        <f aca="false">$K19*$M19*$S19</f>
        <v>7673790.04369003</v>
      </c>
      <c r="P19" s="52" t="n">
        <f aca="false">$O19-$N19</f>
        <v>5176970.98510602</v>
      </c>
      <c r="Q19" s="52" t="n">
        <f aca="false">$Q18+$P19</f>
        <v>-23670536.1834176</v>
      </c>
      <c r="R19" s="61" t="n">
        <f aca="false">IF(PriceBasis="Nominal",(1+InflRate)^$B19,1)</f>
        <v>1</v>
      </c>
      <c r="S19" s="42" t="n">
        <f aca="false">IF($B19&lt;ApprYears,1,0)</f>
        <v>1</v>
      </c>
      <c r="T19" s="50" t="n">
        <f aca="false">$T18+$L19</f>
        <v>-14210920</v>
      </c>
    </row>
    <row r="20" customFormat="false" ht="16.5" hidden="false" customHeight="true" outlineLevel="0" collapsed="false">
      <c r="B20" s="51" t="n">
        <f aca="false">B19+1</f>
        <v>9</v>
      </c>
      <c r="C20" s="51" t="n">
        <f aca="false">StartYear+$B20</f>
        <v>2035</v>
      </c>
      <c r="D20" s="49" t="n">
        <f aca="false">INDEX('Cost Inputs'!$M$36:$AZ$36,1,$B20+1)*$R20</f>
        <v>0</v>
      </c>
      <c r="E20" s="49" t="n">
        <f aca="false">INDEX('Cost Inputs'!$M$37:$AZ$37,1,$B20+1)*$R20</f>
        <v>4290000</v>
      </c>
      <c r="F20" s="49" t="n">
        <f aca="false">INDEX('Cost Inputs'!$M$38:$AZ$38,1,$B20+1)*$R20</f>
        <v>0</v>
      </c>
      <c r="G20" s="49" t="n">
        <f aca="false">$D20*OptBias</f>
        <v>0</v>
      </c>
      <c r="H20" s="52" t="n">
        <f aca="false">SUM($D20:$G20)</f>
        <v>4290000</v>
      </c>
      <c r="I20" s="49" t="n">
        <f aca="false">INDEX('Benefit Inputs'!$M$25:$AZ$25,1,$B20+1)*$R20</f>
        <v>13185000</v>
      </c>
      <c r="J20" s="49" t="n">
        <f aca="false">IF($B20=ApprYears-1,ResidVal*$R20,0)</f>
        <v>0</v>
      </c>
      <c r="K20" s="52" t="n">
        <f aca="false">$I20+$J20</f>
        <v>13185000</v>
      </c>
      <c r="L20" s="52" t="n">
        <f aca="false">($K20-$H20)*$S20</f>
        <v>8895000</v>
      </c>
      <c r="M20" s="60" t="n">
        <f aca="false">1/(1+IF(DeclineDR="Yes",IF($B20&lt;=30,EffDiscRate,IF($B20&lt;=75,EffDiscRate*0.857,EffDiscRate*0.714)),EffDiscRate))^$B20</f>
        <v>0.543933742584148</v>
      </c>
      <c r="N20" s="49" t="n">
        <f aca="false">$H20*$M20*$S20</f>
        <v>2333475.75568599</v>
      </c>
      <c r="O20" s="49" t="n">
        <f aca="false">$K20*$M20*$S20</f>
        <v>7171766.39597199</v>
      </c>
      <c r="P20" s="52" t="n">
        <f aca="false">$O20-$N20</f>
        <v>4838290.640286</v>
      </c>
      <c r="Q20" s="52" t="n">
        <f aca="false">$Q19+$P20</f>
        <v>-18832245.5431316</v>
      </c>
      <c r="R20" s="61" t="n">
        <f aca="false">IF(PriceBasis="Nominal",(1+InflRate)^$B20,1)</f>
        <v>1</v>
      </c>
      <c r="S20" s="42" t="n">
        <f aca="false">IF($B20&lt;ApprYears,1,0)</f>
        <v>1</v>
      </c>
      <c r="T20" s="50" t="n">
        <f aca="false">$T19+$L20</f>
        <v>-5315920</v>
      </c>
    </row>
    <row r="21" customFormat="false" ht="16.5" hidden="false" customHeight="true" outlineLevel="0" collapsed="false">
      <c r="B21" s="51" t="n">
        <f aca="false">B20+1</f>
        <v>10</v>
      </c>
      <c r="C21" s="51" t="n">
        <f aca="false">StartYear+$B21</f>
        <v>2036</v>
      </c>
      <c r="D21" s="49" t="n">
        <f aca="false">INDEX('Cost Inputs'!$M$36:$AZ$36,1,$B21+1)*$R21</f>
        <v>0</v>
      </c>
      <c r="E21" s="49" t="n">
        <f aca="false">INDEX('Cost Inputs'!$M$37:$AZ$37,1,$B21+1)*$R21</f>
        <v>4290000</v>
      </c>
      <c r="F21" s="49" t="n">
        <f aca="false">INDEX('Cost Inputs'!$M$38:$AZ$38,1,$B21+1)*$R21</f>
        <v>1400000</v>
      </c>
      <c r="G21" s="49" t="n">
        <f aca="false">$D21*OptBias</f>
        <v>0</v>
      </c>
      <c r="H21" s="52" t="n">
        <f aca="false">SUM($D21:$G21)</f>
        <v>5690000</v>
      </c>
      <c r="I21" s="49" t="n">
        <f aca="false">INDEX('Benefit Inputs'!$M$25:$AZ$25,1,$B21+1)*$R21</f>
        <v>13185000</v>
      </c>
      <c r="J21" s="49" t="n">
        <f aca="false">IF($B21=ApprYears-1,ResidVal*$R21,0)</f>
        <v>0</v>
      </c>
      <c r="K21" s="52" t="n">
        <f aca="false">$I21+$J21</f>
        <v>13185000</v>
      </c>
      <c r="L21" s="52" t="n">
        <f aca="false">($K21-$H21)*$S21</f>
        <v>7495000</v>
      </c>
      <c r="M21" s="60" t="n">
        <f aca="false">1/(1+IF(DeclineDR="Yes",IF($B21&lt;=30,EffDiscRate,IF($B21&lt;=75,EffDiscRate*0.857,EffDiscRate*0.714)),EffDiscRate))^$B21</f>
        <v>0.508349292134718</v>
      </c>
      <c r="N21" s="49" t="n">
        <f aca="false">$H21*$M21*$S21</f>
        <v>2892507.47224654</v>
      </c>
      <c r="O21" s="49" t="n">
        <f aca="false">$K21*$M21*$S21</f>
        <v>6702585.41679625</v>
      </c>
      <c r="P21" s="52" t="n">
        <f aca="false">$O21-$N21</f>
        <v>3810077.94454971</v>
      </c>
      <c r="Q21" s="52" t="n">
        <f aca="false">$Q20+$P21</f>
        <v>-15022167.5985819</v>
      </c>
      <c r="R21" s="61" t="n">
        <f aca="false">IF(PriceBasis="Nominal",(1+InflRate)^$B21,1)</f>
        <v>1</v>
      </c>
      <c r="S21" s="42" t="n">
        <f aca="false">IF($B21&lt;ApprYears,1,0)</f>
        <v>1</v>
      </c>
      <c r="T21" s="50" t="n">
        <f aca="false">$T20+$L21</f>
        <v>2179080</v>
      </c>
    </row>
    <row r="22" customFormat="false" ht="16.5" hidden="false" customHeight="true" outlineLevel="0" collapsed="false">
      <c r="B22" s="51" t="n">
        <f aca="false">B21+1</f>
        <v>11</v>
      </c>
      <c r="C22" s="51" t="n">
        <f aca="false">StartYear+$B22</f>
        <v>2037</v>
      </c>
      <c r="D22" s="49" t="n">
        <f aca="false">INDEX('Cost Inputs'!$M$36:$AZ$36,1,$B22+1)*$R22</f>
        <v>0</v>
      </c>
      <c r="E22" s="49" t="n">
        <f aca="false">INDEX('Cost Inputs'!$M$37:$AZ$37,1,$B22+1)*$R22</f>
        <v>4290000</v>
      </c>
      <c r="F22" s="49" t="n">
        <f aca="false">INDEX('Cost Inputs'!$M$38:$AZ$38,1,$B22+1)*$R22</f>
        <v>0</v>
      </c>
      <c r="G22" s="49" t="n">
        <f aca="false">$D22*OptBias</f>
        <v>0</v>
      </c>
      <c r="H22" s="52" t="n">
        <f aca="false">SUM($D22:$G22)</f>
        <v>4290000</v>
      </c>
      <c r="I22" s="49" t="n">
        <f aca="false">INDEX('Benefit Inputs'!$M$25:$AZ$25,1,$B22+1)*$R22</f>
        <v>13185000</v>
      </c>
      <c r="J22" s="49" t="n">
        <f aca="false">IF($B22=ApprYears-1,ResidVal*$R22,0)</f>
        <v>0</v>
      </c>
      <c r="K22" s="52" t="n">
        <f aca="false">$I22+$J22</f>
        <v>13185000</v>
      </c>
      <c r="L22" s="52" t="n">
        <f aca="false">($K22-$H22)*$S22</f>
        <v>8895000</v>
      </c>
      <c r="M22" s="60" t="n">
        <f aca="false">1/(1+IF(DeclineDR="Yes",IF($B22&lt;=30,EffDiscRate,IF($B22&lt;=75,EffDiscRate*0.857,EffDiscRate*0.714)),EffDiscRate))^$B22</f>
        <v>0.475092796387586</v>
      </c>
      <c r="N22" s="49" t="n">
        <f aca="false">$H22*$M22*$S22</f>
        <v>2038148.09650275</v>
      </c>
      <c r="O22" s="49" t="n">
        <f aca="false">$K22*$M22*$S22</f>
        <v>6264098.52037033</v>
      </c>
      <c r="P22" s="52" t="n">
        <f aca="false">$O22-$N22</f>
        <v>4225950.42386758</v>
      </c>
      <c r="Q22" s="52" t="n">
        <f aca="false">$Q21+$P22</f>
        <v>-10796217.1747144</v>
      </c>
      <c r="R22" s="61" t="n">
        <f aca="false">IF(PriceBasis="Nominal",(1+InflRate)^$B22,1)</f>
        <v>1</v>
      </c>
      <c r="S22" s="42" t="n">
        <f aca="false">IF($B22&lt;ApprYears,1,0)</f>
        <v>1</v>
      </c>
      <c r="T22" s="50" t="n">
        <f aca="false">$T21+$L22</f>
        <v>11074080</v>
      </c>
    </row>
    <row r="23" customFormat="false" ht="16.5" hidden="false" customHeight="true" outlineLevel="0" collapsed="false">
      <c r="B23" s="51" t="n">
        <f aca="false">B22+1</f>
        <v>12</v>
      </c>
      <c r="C23" s="51" t="n">
        <f aca="false">StartYear+$B23</f>
        <v>2038</v>
      </c>
      <c r="D23" s="49" t="n">
        <f aca="false">INDEX('Cost Inputs'!$M$36:$AZ$36,1,$B23+1)*$R23</f>
        <v>0</v>
      </c>
      <c r="E23" s="49" t="n">
        <f aca="false">INDEX('Cost Inputs'!$M$37:$AZ$37,1,$B23+1)*$R23</f>
        <v>4290000</v>
      </c>
      <c r="F23" s="49" t="n">
        <f aca="false">INDEX('Cost Inputs'!$M$38:$AZ$38,1,$B23+1)*$R23</f>
        <v>0</v>
      </c>
      <c r="G23" s="49" t="n">
        <f aca="false">$D23*OptBias</f>
        <v>0</v>
      </c>
      <c r="H23" s="52" t="n">
        <f aca="false">SUM($D23:$G23)</f>
        <v>4290000</v>
      </c>
      <c r="I23" s="49" t="n">
        <f aca="false">INDEX('Benefit Inputs'!$M$25:$AZ$25,1,$B23+1)*$R23</f>
        <v>13185000</v>
      </c>
      <c r="J23" s="49" t="n">
        <f aca="false">IF($B23=ApprYears-1,ResidVal*$R23,0)</f>
        <v>0</v>
      </c>
      <c r="K23" s="52" t="n">
        <f aca="false">$I23+$J23</f>
        <v>13185000</v>
      </c>
      <c r="L23" s="52" t="n">
        <f aca="false">($K23-$H23)*$S23</f>
        <v>8895000</v>
      </c>
      <c r="M23" s="60" t="n">
        <f aca="false">1/(1+IF(DeclineDR="Yes",IF($B23&lt;=30,EffDiscRate,IF($B23&lt;=75,EffDiscRate*0.857,EffDiscRate*0.714)),EffDiscRate))^$B23</f>
        <v>0.444011959240735</v>
      </c>
      <c r="N23" s="49" t="n">
        <f aca="false">$H23*$M23*$S23</f>
        <v>1904811.30514275</v>
      </c>
      <c r="O23" s="49" t="n">
        <f aca="false">$K23*$M23*$S23</f>
        <v>5854297.68258909</v>
      </c>
      <c r="P23" s="52" t="n">
        <f aca="false">$O23-$N23</f>
        <v>3949486.37744634</v>
      </c>
      <c r="Q23" s="52" t="n">
        <f aca="false">$Q22+$P23</f>
        <v>-6846730.79726801</v>
      </c>
      <c r="R23" s="61" t="n">
        <f aca="false">IF(PriceBasis="Nominal",(1+InflRate)^$B23,1)</f>
        <v>1</v>
      </c>
      <c r="S23" s="42" t="n">
        <f aca="false">IF($B23&lt;ApprYears,1,0)</f>
        <v>1</v>
      </c>
      <c r="T23" s="50" t="n">
        <f aca="false">$T22+$L23</f>
        <v>19969080</v>
      </c>
    </row>
    <row r="24" customFormat="false" ht="16.5" hidden="false" customHeight="true" outlineLevel="0" collapsed="false">
      <c r="B24" s="51" t="n">
        <f aca="false">B23+1</f>
        <v>13</v>
      </c>
      <c r="C24" s="51" t="n">
        <f aca="false">StartYear+$B24</f>
        <v>2039</v>
      </c>
      <c r="D24" s="49" t="n">
        <f aca="false">INDEX('Cost Inputs'!$M$36:$AZ$36,1,$B24+1)*$R24</f>
        <v>0</v>
      </c>
      <c r="E24" s="49" t="n">
        <f aca="false">INDEX('Cost Inputs'!$M$37:$AZ$37,1,$B24+1)*$R24</f>
        <v>4290000</v>
      </c>
      <c r="F24" s="49" t="n">
        <f aca="false">INDEX('Cost Inputs'!$M$38:$AZ$38,1,$B24+1)*$R24</f>
        <v>0</v>
      </c>
      <c r="G24" s="49" t="n">
        <f aca="false">$D24*OptBias</f>
        <v>0</v>
      </c>
      <c r="H24" s="52" t="n">
        <f aca="false">SUM($D24:$G24)</f>
        <v>4290000</v>
      </c>
      <c r="I24" s="49" t="n">
        <f aca="false">INDEX('Benefit Inputs'!$M$25:$AZ$25,1,$B24+1)*$R24</f>
        <v>13185000</v>
      </c>
      <c r="J24" s="49" t="n">
        <f aca="false">IF($B24=ApprYears-1,ResidVal*$R24,0)</f>
        <v>0</v>
      </c>
      <c r="K24" s="52" t="n">
        <f aca="false">$I24+$J24</f>
        <v>13185000</v>
      </c>
      <c r="L24" s="52" t="n">
        <f aca="false">($K24-$H24)*$S24</f>
        <v>8895000</v>
      </c>
      <c r="M24" s="60" t="n">
        <f aca="false">1/(1+IF(DeclineDR="Yes",IF($B24&lt;=30,EffDiscRate,IF($B24&lt;=75,EffDiscRate*0.857,EffDiscRate*0.714)),EffDiscRate))^$B24</f>
        <v>0.414964447888537</v>
      </c>
      <c r="N24" s="49" t="n">
        <f aca="false">$H24*$M24*$S24</f>
        <v>1780197.48144183</v>
      </c>
      <c r="O24" s="49" t="n">
        <f aca="false">$K24*$M24*$S24</f>
        <v>5471306.24541037</v>
      </c>
      <c r="P24" s="52" t="n">
        <f aca="false">$O24-$N24</f>
        <v>3691108.76396854</v>
      </c>
      <c r="Q24" s="52" t="n">
        <f aca="false">$Q23+$P24</f>
        <v>-3155622.03329947</v>
      </c>
      <c r="R24" s="61" t="n">
        <f aca="false">IF(PriceBasis="Nominal",(1+InflRate)^$B24,1)</f>
        <v>1</v>
      </c>
      <c r="S24" s="42" t="n">
        <f aca="false">IF($B24&lt;ApprYears,1,0)</f>
        <v>1</v>
      </c>
      <c r="T24" s="50" t="n">
        <f aca="false">$T23+$L24</f>
        <v>28864080</v>
      </c>
    </row>
    <row r="25" customFormat="false" ht="16.5" hidden="false" customHeight="true" outlineLevel="0" collapsed="false">
      <c r="B25" s="51" t="n">
        <f aca="false">B24+1</f>
        <v>14</v>
      </c>
      <c r="C25" s="51" t="n">
        <f aca="false">StartYear+$B25</f>
        <v>2040</v>
      </c>
      <c r="D25" s="49" t="n">
        <f aca="false">INDEX('Cost Inputs'!$M$36:$AZ$36,1,$B25+1)*$R25</f>
        <v>0</v>
      </c>
      <c r="E25" s="49" t="n">
        <f aca="false">INDEX('Cost Inputs'!$M$37:$AZ$37,1,$B25+1)*$R25</f>
        <v>4290000</v>
      </c>
      <c r="F25" s="49" t="n">
        <f aca="false">INDEX('Cost Inputs'!$M$38:$AZ$38,1,$B25+1)*$R25</f>
        <v>820000</v>
      </c>
      <c r="G25" s="49" t="n">
        <f aca="false">$D25*OptBias</f>
        <v>0</v>
      </c>
      <c r="H25" s="52" t="n">
        <f aca="false">SUM($D25:$G25)</f>
        <v>5110000</v>
      </c>
      <c r="I25" s="49" t="n">
        <f aca="false">INDEX('Benefit Inputs'!$M$25:$AZ$25,1,$B25+1)*$R25</f>
        <v>13185000</v>
      </c>
      <c r="J25" s="49" t="n">
        <f aca="false">IF($B25=ApprYears-1,ResidVal*$R25,0)</f>
        <v>0</v>
      </c>
      <c r="K25" s="52" t="n">
        <f aca="false">$I25+$J25</f>
        <v>13185000</v>
      </c>
      <c r="L25" s="52" t="n">
        <f aca="false">($K25-$H25)*$S25</f>
        <v>8075000</v>
      </c>
      <c r="M25" s="60" t="n">
        <f aca="false">1/(1+IF(DeclineDR="Yes",IF($B25&lt;=30,EffDiscRate,IF($B25&lt;=75,EffDiscRate*0.857,EffDiscRate*0.714)),EffDiscRate))^$B25</f>
        <v>0.387817241017325</v>
      </c>
      <c r="N25" s="49" t="n">
        <f aca="false">$H25*$M25*$S25</f>
        <v>1981746.10159853</v>
      </c>
      <c r="O25" s="49" t="n">
        <f aca="false">$K25*$M25*$S25</f>
        <v>5113370.32281343</v>
      </c>
      <c r="P25" s="52" t="n">
        <f aca="false">$O25-$N25</f>
        <v>3131624.2212149</v>
      </c>
      <c r="Q25" s="52" t="n">
        <f aca="false">$Q24+$P25</f>
        <v>-23997.8120845752</v>
      </c>
      <c r="R25" s="61" t="n">
        <f aca="false">IF(PriceBasis="Nominal",(1+InflRate)^$B25,1)</f>
        <v>1</v>
      </c>
      <c r="S25" s="42" t="n">
        <f aca="false">IF($B25&lt;ApprYears,1,0)</f>
        <v>1</v>
      </c>
      <c r="T25" s="50" t="n">
        <f aca="false">$T24+$L25</f>
        <v>36939080</v>
      </c>
    </row>
    <row r="26" customFormat="false" ht="16.5" hidden="false" customHeight="true" outlineLevel="0" collapsed="false">
      <c r="B26" s="51" t="n">
        <f aca="false">B25+1</f>
        <v>15</v>
      </c>
      <c r="C26" s="51" t="n">
        <f aca="false">StartYear+$B26</f>
        <v>2041</v>
      </c>
      <c r="D26" s="49" t="n">
        <f aca="false">INDEX('Cost Inputs'!$M$36:$AZ$36,1,$B26+1)*$R26</f>
        <v>0</v>
      </c>
      <c r="E26" s="49" t="n">
        <f aca="false">INDEX('Cost Inputs'!$M$37:$AZ$37,1,$B26+1)*$R26</f>
        <v>4290000</v>
      </c>
      <c r="F26" s="49" t="n">
        <f aca="false">INDEX('Cost Inputs'!$M$38:$AZ$38,1,$B26+1)*$R26</f>
        <v>950000</v>
      </c>
      <c r="G26" s="49" t="n">
        <f aca="false">$D26*OptBias</f>
        <v>0</v>
      </c>
      <c r="H26" s="52" t="n">
        <f aca="false">SUM($D26:$G26)</f>
        <v>5240000</v>
      </c>
      <c r="I26" s="49" t="n">
        <f aca="false">INDEX('Benefit Inputs'!$M$25:$AZ$25,1,$B26+1)*$R26</f>
        <v>13185000</v>
      </c>
      <c r="J26" s="49" t="n">
        <f aca="false">IF($B26=ApprYears-1,ResidVal*$R26,0)</f>
        <v>0</v>
      </c>
      <c r="K26" s="52" t="n">
        <f aca="false">$I26+$J26</f>
        <v>13185000</v>
      </c>
      <c r="L26" s="52" t="n">
        <f aca="false">($K26-$H26)*$S26</f>
        <v>7945000</v>
      </c>
      <c r="M26" s="60" t="n">
        <f aca="false">1/(1+IF(DeclineDR="Yes",IF($B26&lt;=30,EffDiscRate,IF($B26&lt;=75,EffDiscRate*0.857,EffDiscRate*0.714)),EffDiscRate))^$B26</f>
        <v>0.362446019642359</v>
      </c>
      <c r="N26" s="49" t="n">
        <f aca="false">$H26*$M26*$S26</f>
        <v>1899217.14292596</v>
      </c>
      <c r="O26" s="49" t="n">
        <f aca="false">$K26*$M26*$S26</f>
        <v>4778850.76898451</v>
      </c>
      <c r="P26" s="52" t="n">
        <f aca="false">$O26-$N26</f>
        <v>2879633.62605855</v>
      </c>
      <c r="Q26" s="52" t="n">
        <f aca="false">$Q25+$P26</f>
        <v>2855635.81397397</v>
      </c>
      <c r="R26" s="61" t="n">
        <f aca="false">IF(PriceBasis="Nominal",(1+InflRate)^$B26,1)</f>
        <v>1</v>
      </c>
      <c r="S26" s="42" t="n">
        <f aca="false">IF($B26&lt;ApprYears,1,0)</f>
        <v>1</v>
      </c>
      <c r="T26" s="50" t="n">
        <f aca="false">$T25+$L26</f>
        <v>44884080</v>
      </c>
    </row>
    <row r="27" customFormat="false" ht="16.5" hidden="false" customHeight="true" outlineLevel="0" collapsed="false">
      <c r="B27" s="51" t="n">
        <f aca="false">B26+1</f>
        <v>16</v>
      </c>
      <c r="C27" s="51" t="n">
        <f aca="false">StartYear+$B27</f>
        <v>2042</v>
      </c>
      <c r="D27" s="49" t="n">
        <f aca="false">INDEX('Cost Inputs'!$M$36:$AZ$36,1,$B27+1)*$R27</f>
        <v>0</v>
      </c>
      <c r="E27" s="49" t="n">
        <f aca="false">INDEX('Cost Inputs'!$M$37:$AZ$37,1,$B27+1)*$R27</f>
        <v>4290000</v>
      </c>
      <c r="F27" s="49" t="n">
        <f aca="false">INDEX('Cost Inputs'!$M$38:$AZ$38,1,$B27+1)*$R27</f>
        <v>0</v>
      </c>
      <c r="G27" s="49" t="n">
        <f aca="false">$D27*OptBias</f>
        <v>0</v>
      </c>
      <c r="H27" s="52" t="n">
        <f aca="false">SUM($D27:$G27)</f>
        <v>4290000</v>
      </c>
      <c r="I27" s="49" t="n">
        <f aca="false">INDEX('Benefit Inputs'!$M$25:$AZ$25,1,$B27+1)*$R27</f>
        <v>13185000</v>
      </c>
      <c r="J27" s="49" t="n">
        <f aca="false">IF($B27=ApprYears-1,ResidVal*$R27,0)</f>
        <v>0</v>
      </c>
      <c r="K27" s="52" t="n">
        <f aca="false">$I27+$J27</f>
        <v>13185000</v>
      </c>
      <c r="L27" s="52" t="n">
        <f aca="false">($K27-$H27)*$S27</f>
        <v>8895000</v>
      </c>
      <c r="M27" s="60" t="n">
        <f aca="false">1/(1+IF(DeclineDR="Yes",IF($B27&lt;=30,EffDiscRate,IF($B27&lt;=75,EffDiscRate*0.857,EffDiscRate*0.714)),EffDiscRate))^$B27</f>
        <v>0.338734597796598</v>
      </c>
      <c r="N27" s="49" t="n">
        <f aca="false">$H27*$M27*$S27</f>
        <v>1453171.4245474</v>
      </c>
      <c r="O27" s="49" t="n">
        <f aca="false">$K27*$M27*$S27</f>
        <v>4466215.67194814</v>
      </c>
      <c r="P27" s="52" t="n">
        <f aca="false">$O27-$N27</f>
        <v>3013044.24740074</v>
      </c>
      <c r="Q27" s="52" t="n">
        <f aca="false">$Q26+$P27</f>
        <v>5868680.06137471</v>
      </c>
      <c r="R27" s="61" t="n">
        <f aca="false">IF(PriceBasis="Nominal",(1+InflRate)^$B27,1)</f>
        <v>1</v>
      </c>
      <c r="S27" s="42" t="n">
        <f aca="false">IF($B27&lt;ApprYears,1,0)</f>
        <v>1</v>
      </c>
      <c r="T27" s="50" t="n">
        <f aca="false">$T26+$L27</f>
        <v>53779080</v>
      </c>
    </row>
    <row r="28" customFormat="false" ht="16.5" hidden="false" customHeight="true" outlineLevel="0" collapsed="false">
      <c r="B28" s="51" t="n">
        <f aca="false">B27+1</f>
        <v>17</v>
      </c>
      <c r="C28" s="51" t="n">
        <f aca="false">StartYear+$B28</f>
        <v>2043</v>
      </c>
      <c r="D28" s="49" t="n">
        <f aca="false">INDEX('Cost Inputs'!$M$36:$AZ$36,1,$B28+1)*$R28</f>
        <v>0</v>
      </c>
      <c r="E28" s="49" t="n">
        <f aca="false">INDEX('Cost Inputs'!$M$37:$AZ$37,1,$B28+1)*$R28</f>
        <v>4290000</v>
      </c>
      <c r="F28" s="49" t="n">
        <f aca="false">INDEX('Cost Inputs'!$M$38:$AZ$38,1,$B28+1)*$R28</f>
        <v>0</v>
      </c>
      <c r="G28" s="49" t="n">
        <f aca="false">$D28*OptBias</f>
        <v>0</v>
      </c>
      <c r="H28" s="52" t="n">
        <f aca="false">SUM($D28:$G28)</f>
        <v>4290000</v>
      </c>
      <c r="I28" s="49" t="n">
        <f aca="false">INDEX('Benefit Inputs'!$M$25:$AZ$25,1,$B28+1)*$R28</f>
        <v>13185000</v>
      </c>
      <c r="J28" s="49" t="n">
        <f aca="false">IF($B28=ApprYears-1,ResidVal*$R28,0)</f>
        <v>0</v>
      </c>
      <c r="K28" s="52" t="n">
        <f aca="false">$I28+$J28</f>
        <v>13185000</v>
      </c>
      <c r="L28" s="52" t="n">
        <f aca="false">($K28-$H28)*$S28</f>
        <v>8895000</v>
      </c>
      <c r="M28" s="60" t="n">
        <f aca="false">1/(1+IF(DeclineDR="Yes",IF($B28&lt;=30,EffDiscRate,IF($B28&lt;=75,EffDiscRate*0.857,EffDiscRate*0.714)),EffDiscRate))^$B28</f>
        <v>0.31657439046411</v>
      </c>
      <c r="N28" s="49" t="n">
        <f aca="false">$H28*$M28*$S28</f>
        <v>1358104.13509103</v>
      </c>
      <c r="O28" s="49" t="n">
        <f aca="false">$K28*$M28*$S28</f>
        <v>4174033.33826929</v>
      </c>
      <c r="P28" s="52" t="n">
        <f aca="false">$O28-$N28</f>
        <v>2815929.20317826</v>
      </c>
      <c r="Q28" s="52" t="n">
        <f aca="false">$Q27+$P28</f>
        <v>8684609.26455296</v>
      </c>
      <c r="R28" s="61" t="n">
        <f aca="false">IF(PriceBasis="Nominal",(1+InflRate)^$B28,1)</f>
        <v>1</v>
      </c>
      <c r="S28" s="42" t="n">
        <f aca="false">IF($B28&lt;ApprYears,1,0)</f>
        <v>1</v>
      </c>
      <c r="T28" s="50" t="n">
        <f aca="false">$T27+$L28</f>
        <v>62674080</v>
      </c>
    </row>
    <row r="29" customFormat="false" ht="16.5" hidden="false" customHeight="true" outlineLevel="0" collapsed="false">
      <c r="B29" s="51" t="n">
        <f aca="false">B28+1</f>
        <v>18</v>
      </c>
      <c r="C29" s="51" t="n">
        <f aca="false">StartYear+$B29</f>
        <v>2044</v>
      </c>
      <c r="D29" s="49" t="n">
        <f aca="false">INDEX('Cost Inputs'!$M$36:$AZ$36,1,$B29+1)*$R29</f>
        <v>0</v>
      </c>
      <c r="E29" s="49" t="n">
        <f aca="false">INDEX('Cost Inputs'!$M$37:$AZ$37,1,$B29+1)*$R29</f>
        <v>4290000</v>
      </c>
      <c r="F29" s="49" t="n">
        <f aca="false">INDEX('Cost Inputs'!$M$38:$AZ$38,1,$B29+1)*$R29</f>
        <v>0</v>
      </c>
      <c r="G29" s="49" t="n">
        <f aca="false">$D29*OptBias</f>
        <v>0</v>
      </c>
      <c r="H29" s="52" t="n">
        <f aca="false">SUM($D29:$G29)</f>
        <v>4290000</v>
      </c>
      <c r="I29" s="49" t="n">
        <f aca="false">INDEX('Benefit Inputs'!$M$25:$AZ$25,1,$B29+1)*$R29</f>
        <v>13185000</v>
      </c>
      <c r="J29" s="49" t="n">
        <f aca="false">IF($B29=ApprYears-1,ResidVal*$R29,0)</f>
        <v>0</v>
      </c>
      <c r="K29" s="52" t="n">
        <f aca="false">$I29+$J29</f>
        <v>13185000</v>
      </c>
      <c r="L29" s="52" t="n">
        <f aca="false">($K29-$H29)*$S29</f>
        <v>8895000</v>
      </c>
      <c r="M29" s="60" t="n">
        <f aca="false">1/(1+IF(DeclineDR="Yes",IF($B29&lt;=30,EffDiscRate,IF($B29&lt;=75,EffDiscRate*0.857,EffDiscRate*0.714)),EffDiscRate))^$B29</f>
        <v>0.295863916321598</v>
      </c>
      <c r="N29" s="49" t="n">
        <f aca="false">$H29*$M29*$S29</f>
        <v>1269256.20101966</v>
      </c>
      <c r="O29" s="49" t="n">
        <f aca="false">$K29*$M29*$S29</f>
        <v>3900965.73670027</v>
      </c>
      <c r="P29" s="52" t="n">
        <f aca="false">$O29-$N29</f>
        <v>2631709.53568061</v>
      </c>
      <c r="Q29" s="52" t="n">
        <f aca="false">$Q28+$P29</f>
        <v>11316318.8002336</v>
      </c>
      <c r="R29" s="61" t="n">
        <f aca="false">IF(PriceBasis="Nominal",(1+InflRate)^$B29,1)</f>
        <v>1</v>
      </c>
      <c r="S29" s="42" t="n">
        <f aca="false">IF($B29&lt;ApprYears,1,0)</f>
        <v>1</v>
      </c>
      <c r="T29" s="50" t="n">
        <f aca="false">$T28+$L29</f>
        <v>71569080</v>
      </c>
    </row>
    <row r="30" customFormat="false" ht="16.5" hidden="false" customHeight="true" outlineLevel="0" collapsed="false">
      <c r="B30" s="51" t="n">
        <f aca="false">B29+1</f>
        <v>19</v>
      </c>
      <c r="C30" s="51" t="n">
        <f aca="false">StartYear+$B30</f>
        <v>2045</v>
      </c>
      <c r="D30" s="49" t="n">
        <f aca="false">INDEX('Cost Inputs'!$M$36:$AZ$36,1,$B30+1)*$R30</f>
        <v>0</v>
      </c>
      <c r="E30" s="49" t="n">
        <f aca="false">INDEX('Cost Inputs'!$M$37:$AZ$37,1,$B30+1)*$R30</f>
        <v>4290000</v>
      </c>
      <c r="F30" s="49" t="n">
        <f aca="false">INDEX('Cost Inputs'!$M$38:$AZ$38,1,$B30+1)*$R30</f>
        <v>0</v>
      </c>
      <c r="G30" s="49" t="n">
        <f aca="false">$D30*OptBias</f>
        <v>0</v>
      </c>
      <c r="H30" s="52" t="n">
        <f aca="false">SUM($D30:$G30)</f>
        <v>4290000</v>
      </c>
      <c r="I30" s="49" t="n">
        <f aca="false">INDEX('Benefit Inputs'!$M$25:$AZ$25,1,$B30+1)*$R30</f>
        <v>13185000</v>
      </c>
      <c r="J30" s="49" t="n">
        <f aca="false">IF($B30=ApprYears-1,ResidVal*$R30,0)</f>
        <v>0</v>
      </c>
      <c r="K30" s="52" t="n">
        <f aca="false">$I30+$J30</f>
        <v>13185000</v>
      </c>
      <c r="L30" s="52" t="n">
        <f aca="false">($K30-$H30)*$S30</f>
        <v>8895000</v>
      </c>
      <c r="M30" s="60" t="n">
        <f aca="false">1/(1+IF(DeclineDR="Yes",IF($B30&lt;=30,EffDiscRate,IF($B30&lt;=75,EffDiscRate*0.857,EffDiscRate*0.714)),EffDiscRate))^$B30</f>
        <v>0.276508333010839</v>
      </c>
      <c r="N30" s="49" t="n">
        <f aca="false">$H30*$M30*$S30</f>
        <v>1186220.7486165</v>
      </c>
      <c r="O30" s="49" t="n">
        <f aca="false">$K30*$M30*$S30</f>
        <v>3645762.37074792</v>
      </c>
      <c r="P30" s="52" t="n">
        <f aca="false">$O30-$N30</f>
        <v>2459541.62213141</v>
      </c>
      <c r="Q30" s="52" t="n">
        <f aca="false">$Q29+$P30</f>
        <v>13775860.422365</v>
      </c>
      <c r="R30" s="61" t="n">
        <f aca="false">IF(PriceBasis="Nominal",(1+InflRate)^$B30,1)</f>
        <v>1</v>
      </c>
      <c r="S30" s="42" t="n">
        <f aca="false">IF($B30&lt;ApprYears,1,0)</f>
        <v>1</v>
      </c>
      <c r="T30" s="50" t="n">
        <f aca="false">$T29+$L30</f>
        <v>80464080</v>
      </c>
    </row>
    <row r="31" customFormat="false" ht="16.5" hidden="false" customHeight="true" outlineLevel="0" collapsed="false">
      <c r="B31" s="51" t="n">
        <f aca="false">B30+1</f>
        <v>20</v>
      </c>
      <c r="C31" s="51" t="n">
        <f aca="false">StartYear+$B31</f>
        <v>2046</v>
      </c>
      <c r="D31" s="49" t="n">
        <f aca="false">INDEX('Cost Inputs'!$M$36:$AZ$36,1,$B31+1)*$R31</f>
        <v>0</v>
      </c>
      <c r="E31" s="49" t="n">
        <f aca="false">INDEX('Cost Inputs'!$M$37:$AZ$37,1,$B31+1)*$R31</f>
        <v>4290000</v>
      </c>
      <c r="F31" s="49" t="n">
        <f aca="false">INDEX('Cost Inputs'!$M$38:$AZ$38,1,$B31+1)*$R31</f>
        <v>1400000</v>
      </c>
      <c r="G31" s="49" t="n">
        <f aca="false">$D31*OptBias</f>
        <v>0</v>
      </c>
      <c r="H31" s="52" t="n">
        <f aca="false">SUM($D31:$G31)</f>
        <v>5690000</v>
      </c>
      <c r="I31" s="49" t="n">
        <f aca="false">INDEX('Benefit Inputs'!$M$25:$AZ$25,1,$B31+1)*$R31</f>
        <v>13185000</v>
      </c>
      <c r="J31" s="49" t="n">
        <f aca="false">IF($B31=ApprYears-1,ResidVal*$R31,0)</f>
        <v>0</v>
      </c>
      <c r="K31" s="52" t="n">
        <f aca="false">$I31+$J31</f>
        <v>13185000</v>
      </c>
      <c r="L31" s="52" t="n">
        <f aca="false">($K31-$H31)*$S31</f>
        <v>7495000</v>
      </c>
      <c r="M31" s="60" t="n">
        <f aca="false">1/(1+IF(DeclineDR="Yes",IF($B31&lt;=30,EffDiscRate,IF($B31&lt;=75,EffDiscRate*0.857,EffDiscRate*0.714)),EffDiscRate))^$B31</f>
        <v>0.258419002813868</v>
      </c>
      <c r="N31" s="49" t="n">
        <f aca="false">$H31*$M31*$S31</f>
        <v>1470404.12601091</v>
      </c>
      <c r="O31" s="49" t="n">
        <f aca="false">$K31*$M31*$S31</f>
        <v>3407254.55210086</v>
      </c>
      <c r="P31" s="52" t="n">
        <f aca="false">$O31-$N31</f>
        <v>1936850.42608994</v>
      </c>
      <c r="Q31" s="52" t="n">
        <f aca="false">$Q30+$P31</f>
        <v>15712710.8484549</v>
      </c>
      <c r="R31" s="61" t="n">
        <f aca="false">IF(PriceBasis="Nominal",(1+InflRate)^$B31,1)</f>
        <v>1</v>
      </c>
      <c r="S31" s="42" t="n">
        <f aca="false">IF($B31&lt;ApprYears,1,0)</f>
        <v>1</v>
      </c>
      <c r="T31" s="50" t="n">
        <f aca="false">$T30+$L31</f>
        <v>87959080</v>
      </c>
    </row>
    <row r="32" customFormat="false" ht="16.5" hidden="false" customHeight="true" outlineLevel="0" collapsed="false">
      <c r="B32" s="51" t="n">
        <f aca="false">B31+1</f>
        <v>21</v>
      </c>
      <c r="C32" s="51" t="n">
        <f aca="false">StartYear+$B32</f>
        <v>2047</v>
      </c>
      <c r="D32" s="49" t="n">
        <f aca="false">INDEX('Cost Inputs'!$M$36:$AZ$36,1,$B32+1)*$R32</f>
        <v>0</v>
      </c>
      <c r="E32" s="49" t="n">
        <f aca="false">INDEX('Cost Inputs'!$M$37:$AZ$37,1,$B32+1)*$R32</f>
        <v>4290000</v>
      </c>
      <c r="F32" s="49" t="n">
        <f aca="false">INDEX('Cost Inputs'!$M$38:$AZ$38,1,$B32+1)*$R32</f>
        <v>820000</v>
      </c>
      <c r="G32" s="49" t="n">
        <f aca="false">$D32*OptBias</f>
        <v>0</v>
      </c>
      <c r="H32" s="52" t="n">
        <f aca="false">SUM($D32:$G32)</f>
        <v>5110000</v>
      </c>
      <c r="I32" s="49" t="n">
        <f aca="false">INDEX('Benefit Inputs'!$M$25:$AZ$25,1,$B32+1)*$R32</f>
        <v>13185000</v>
      </c>
      <c r="J32" s="49" t="n">
        <f aca="false">IF($B32=ApprYears-1,ResidVal*$R32,0)</f>
        <v>0</v>
      </c>
      <c r="K32" s="52" t="n">
        <f aca="false">$I32+$J32</f>
        <v>13185000</v>
      </c>
      <c r="L32" s="52" t="n">
        <f aca="false">($K32-$H32)*$S32</f>
        <v>8075000</v>
      </c>
      <c r="M32" s="60" t="n">
        <f aca="false">1/(1+IF(DeclineDR="Yes",IF($B32&lt;=30,EffDiscRate,IF($B32&lt;=75,EffDiscRate*0.857,EffDiscRate*0.714)),EffDiscRate))^$B32</f>
        <v>0.241513086741933</v>
      </c>
      <c r="N32" s="49" t="n">
        <f aca="false">$H32*$M32*$S32</f>
        <v>1234131.87325128</v>
      </c>
      <c r="O32" s="49" t="n">
        <f aca="false">$K32*$M32*$S32</f>
        <v>3184350.04869239</v>
      </c>
      <c r="P32" s="52" t="n">
        <f aca="false">$O32-$N32</f>
        <v>1950218.17544111</v>
      </c>
      <c r="Q32" s="52" t="n">
        <f aca="false">$Q31+$P32</f>
        <v>17662929.023896</v>
      </c>
      <c r="R32" s="61" t="n">
        <f aca="false">IF(PriceBasis="Nominal",(1+InflRate)^$B32,1)</f>
        <v>1</v>
      </c>
      <c r="S32" s="42" t="n">
        <f aca="false">IF($B32&lt;ApprYears,1,0)</f>
        <v>1</v>
      </c>
      <c r="T32" s="50" t="n">
        <f aca="false">$T31+$L32</f>
        <v>96034080</v>
      </c>
    </row>
    <row r="33" customFormat="false" ht="16.5" hidden="false" customHeight="true" outlineLevel="0" collapsed="false">
      <c r="B33" s="51" t="n">
        <f aca="false">B32+1</f>
        <v>22</v>
      </c>
      <c r="C33" s="51" t="n">
        <f aca="false">StartYear+$B33</f>
        <v>2048</v>
      </c>
      <c r="D33" s="49" t="n">
        <f aca="false">INDEX('Cost Inputs'!$M$36:$AZ$36,1,$B33+1)*$R33</f>
        <v>0</v>
      </c>
      <c r="E33" s="49" t="n">
        <f aca="false">INDEX('Cost Inputs'!$M$37:$AZ$37,1,$B33+1)*$R33</f>
        <v>4290000</v>
      </c>
      <c r="F33" s="49" t="n">
        <f aca="false">INDEX('Cost Inputs'!$M$38:$AZ$38,1,$B33+1)*$R33</f>
        <v>0</v>
      </c>
      <c r="G33" s="49" t="n">
        <f aca="false">$D33*OptBias</f>
        <v>0</v>
      </c>
      <c r="H33" s="52" t="n">
        <f aca="false">SUM($D33:$G33)</f>
        <v>4290000</v>
      </c>
      <c r="I33" s="49" t="n">
        <f aca="false">INDEX('Benefit Inputs'!$M$25:$AZ$25,1,$B33+1)*$R33</f>
        <v>13185000</v>
      </c>
      <c r="J33" s="49" t="n">
        <f aca="false">IF($B33=ApprYears-1,ResidVal*$R33,0)</f>
        <v>0</v>
      </c>
      <c r="K33" s="52" t="n">
        <f aca="false">$I33+$J33</f>
        <v>13185000</v>
      </c>
      <c r="L33" s="52" t="n">
        <f aca="false">($K33-$H33)*$S33</f>
        <v>8895000</v>
      </c>
      <c r="M33" s="60" t="n">
        <f aca="false">1/(1+IF(DeclineDR="Yes",IF($B33&lt;=30,EffDiscRate,IF($B33&lt;=75,EffDiscRate*0.857,EffDiscRate*0.714)),EffDiscRate))^$B33</f>
        <v>0.225713165179377</v>
      </c>
      <c r="N33" s="49" t="n">
        <f aca="false">$H33*$M33*$S33</f>
        <v>968309.478619526</v>
      </c>
      <c r="O33" s="49" t="n">
        <f aca="false">$K33*$M33*$S33</f>
        <v>2976028.08289008</v>
      </c>
      <c r="P33" s="52" t="n">
        <f aca="false">$O33-$N33</f>
        <v>2007718.60427056</v>
      </c>
      <c r="Q33" s="52" t="n">
        <f aca="false">$Q32+$P33</f>
        <v>19670647.6281666</v>
      </c>
      <c r="R33" s="61" t="n">
        <f aca="false">IF(PriceBasis="Nominal",(1+InflRate)^$B33,1)</f>
        <v>1</v>
      </c>
      <c r="S33" s="42" t="n">
        <f aca="false">IF($B33&lt;ApprYears,1,0)</f>
        <v>1</v>
      </c>
      <c r="T33" s="50" t="n">
        <f aca="false">$T32+$L33</f>
        <v>104929080</v>
      </c>
    </row>
    <row r="34" customFormat="false" ht="16.5" hidden="false" customHeight="true" outlineLevel="0" collapsed="false">
      <c r="B34" s="51" t="n">
        <f aca="false">B33+1</f>
        <v>23</v>
      </c>
      <c r="C34" s="51" t="n">
        <f aca="false">StartYear+$B34</f>
        <v>2049</v>
      </c>
      <c r="D34" s="49" t="n">
        <f aca="false">INDEX('Cost Inputs'!$M$36:$AZ$36,1,$B34+1)*$R34</f>
        <v>0</v>
      </c>
      <c r="E34" s="49" t="n">
        <f aca="false">INDEX('Cost Inputs'!$M$37:$AZ$37,1,$B34+1)*$R34</f>
        <v>4290000</v>
      </c>
      <c r="F34" s="49" t="n">
        <f aca="false">INDEX('Cost Inputs'!$M$38:$AZ$38,1,$B34+1)*$R34</f>
        <v>0</v>
      </c>
      <c r="G34" s="49" t="n">
        <f aca="false">$D34*OptBias</f>
        <v>0</v>
      </c>
      <c r="H34" s="52" t="n">
        <f aca="false">SUM($D34:$G34)</f>
        <v>4290000</v>
      </c>
      <c r="I34" s="49" t="n">
        <f aca="false">INDEX('Benefit Inputs'!$M$25:$AZ$25,1,$B34+1)*$R34</f>
        <v>13185000</v>
      </c>
      <c r="J34" s="49" t="n">
        <f aca="false">IF($B34=ApprYears-1,ResidVal*$R34,0)</f>
        <v>0</v>
      </c>
      <c r="K34" s="52" t="n">
        <f aca="false">$I34+$J34</f>
        <v>13185000</v>
      </c>
      <c r="L34" s="52" t="n">
        <f aca="false">($K34-$H34)*$S34</f>
        <v>8895000</v>
      </c>
      <c r="M34" s="60" t="n">
        <f aca="false">1/(1+IF(DeclineDR="Yes",IF($B34&lt;=30,EffDiscRate,IF($B34&lt;=75,EffDiscRate*0.857,EffDiscRate*0.714)),EffDiscRate))^$B34</f>
        <v>0.210946883345212</v>
      </c>
      <c r="N34" s="49" t="n">
        <f aca="false">$H34*$M34*$S34</f>
        <v>904962.129550959</v>
      </c>
      <c r="O34" s="49" t="n">
        <f aca="false">$K34*$M34*$S34</f>
        <v>2781334.65690662</v>
      </c>
      <c r="P34" s="52" t="n">
        <f aca="false">$O34-$N34</f>
        <v>1876372.52735566</v>
      </c>
      <c r="Q34" s="52" t="n">
        <f aca="false">$Q33+$P34</f>
        <v>21547020.1555223</v>
      </c>
      <c r="R34" s="61" t="n">
        <f aca="false">IF(PriceBasis="Nominal",(1+InflRate)^$B34,1)</f>
        <v>1</v>
      </c>
      <c r="S34" s="42" t="n">
        <f aca="false">IF($B34&lt;ApprYears,1,0)</f>
        <v>1</v>
      </c>
      <c r="T34" s="50" t="n">
        <f aca="false">$T33+$L34</f>
        <v>113824080</v>
      </c>
    </row>
    <row r="35" customFormat="false" ht="16.5" hidden="false" customHeight="true" outlineLevel="0" collapsed="false">
      <c r="B35" s="51" t="n">
        <f aca="false">B34+1</f>
        <v>24</v>
      </c>
      <c r="C35" s="51" t="n">
        <f aca="false">StartYear+$B35</f>
        <v>2050</v>
      </c>
      <c r="D35" s="49" t="n">
        <f aca="false">INDEX('Cost Inputs'!$M$36:$AZ$36,1,$B35+1)*$R35</f>
        <v>0</v>
      </c>
      <c r="E35" s="49" t="n">
        <f aca="false">INDEX('Cost Inputs'!$M$37:$AZ$37,1,$B35+1)*$R35</f>
        <v>4290000</v>
      </c>
      <c r="F35" s="49" t="n">
        <f aca="false">INDEX('Cost Inputs'!$M$38:$AZ$38,1,$B35+1)*$R35</f>
        <v>0</v>
      </c>
      <c r="G35" s="49" t="n">
        <f aca="false">$D35*OptBias</f>
        <v>0</v>
      </c>
      <c r="H35" s="52" t="n">
        <f aca="false">SUM($D35:$G35)</f>
        <v>4290000</v>
      </c>
      <c r="I35" s="49" t="n">
        <f aca="false">INDEX('Benefit Inputs'!$M$25:$AZ$25,1,$B35+1)*$R35</f>
        <v>13185000</v>
      </c>
      <c r="J35" s="49" t="n">
        <f aca="false">IF($B35=ApprYears-1,ResidVal*$R35,0)</f>
        <v>0</v>
      </c>
      <c r="K35" s="52" t="n">
        <f aca="false">$I35+$J35</f>
        <v>13185000</v>
      </c>
      <c r="L35" s="52" t="n">
        <f aca="false">($K35-$H35)*$S35</f>
        <v>8895000</v>
      </c>
      <c r="M35" s="60" t="n">
        <f aca="false">1/(1+IF(DeclineDR="Yes",IF($B35&lt;=30,EffDiscRate,IF($B35&lt;=75,EffDiscRate*0.857,EffDiscRate*0.714)),EffDiscRate))^$B35</f>
        <v>0.197146619948796</v>
      </c>
      <c r="N35" s="49" t="n">
        <f aca="false">$H35*$M35*$S35</f>
        <v>845758.999580335</v>
      </c>
      <c r="O35" s="49" t="n">
        <f aca="false">$K35*$M35*$S35</f>
        <v>2599378.18402488</v>
      </c>
      <c r="P35" s="52" t="n">
        <f aca="false">$O35-$N35</f>
        <v>1753619.18444454</v>
      </c>
      <c r="Q35" s="52" t="n">
        <f aca="false">$Q34+$P35</f>
        <v>23300639.3399668</v>
      </c>
      <c r="R35" s="61" t="n">
        <f aca="false">IF(PriceBasis="Nominal",(1+InflRate)^$B35,1)</f>
        <v>1</v>
      </c>
      <c r="S35" s="42" t="n">
        <f aca="false">IF($B35&lt;ApprYears,1,0)</f>
        <v>1</v>
      </c>
      <c r="T35" s="50" t="n">
        <f aca="false">$T34+$L35</f>
        <v>122719080</v>
      </c>
    </row>
    <row r="36" customFormat="false" ht="16.5" hidden="false" customHeight="true" outlineLevel="0" collapsed="false">
      <c r="B36" s="51" t="n">
        <f aca="false">B35+1</f>
        <v>25</v>
      </c>
      <c r="C36" s="51" t="n">
        <f aca="false">StartYear+$B36</f>
        <v>2051</v>
      </c>
      <c r="D36" s="49" t="n">
        <f aca="false">INDEX('Cost Inputs'!$M$36:$AZ$36,1,$B36+1)*$R36</f>
        <v>0</v>
      </c>
      <c r="E36" s="49" t="n">
        <f aca="false">INDEX('Cost Inputs'!$M$37:$AZ$37,1,$B36+1)*$R36</f>
        <v>4290000</v>
      </c>
      <c r="F36" s="49" t="n">
        <f aca="false">INDEX('Cost Inputs'!$M$38:$AZ$38,1,$B36+1)*$R36</f>
        <v>0</v>
      </c>
      <c r="G36" s="49" t="n">
        <f aca="false">$D36*OptBias</f>
        <v>0</v>
      </c>
      <c r="H36" s="52" t="n">
        <f aca="false">SUM($D36:$G36)</f>
        <v>4290000</v>
      </c>
      <c r="I36" s="49" t="n">
        <f aca="false">INDEX('Benefit Inputs'!$M$25:$AZ$25,1,$B36+1)*$R36</f>
        <v>13185000</v>
      </c>
      <c r="J36" s="49" t="n">
        <f aca="false">IF($B36=ApprYears-1,ResidVal*$R36,0)</f>
        <v>0</v>
      </c>
      <c r="K36" s="52" t="n">
        <f aca="false">$I36+$J36</f>
        <v>13185000</v>
      </c>
      <c r="L36" s="52" t="n">
        <f aca="false">($K36-$H36)*$S36</f>
        <v>8895000</v>
      </c>
      <c r="M36" s="60" t="n">
        <f aca="false">1/(1+IF(DeclineDR="Yes",IF($B36&lt;=30,EffDiscRate,IF($B36&lt;=75,EffDiscRate*0.857,EffDiscRate*0.714)),EffDiscRate))^$B36</f>
        <v>0.184249177522239</v>
      </c>
      <c r="N36" s="49" t="n">
        <f aca="false">$H36*$M36*$S36</f>
        <v>790428.971570407</v>
      </c>
      <c r="O36" s="49" t="n">
        <f aca="false">$K36*$M36*$S36</f>
        <v>2429325.40563073</v>
      </c>
      <c r="P36" s="52" t="n">
        <f aca="false">$O36-$N36</f>
        <v>1638896.43406032</v>
      </c>
      <c r="Q36" s="52" t="n">
        <f aca="false">$Q35+$P36</f>
        <v>24939535.7740271</v>
      </c>
      <c r="R36" s="61" t="n">
        <f aca="false">IF(PriceBasis="Nominal",(1+InflRate)^$B36,1)</f>
        <v>1</v>
      </c>
      <c r="S36" s="42" t="n">
        <f aca="false">IF($B36&lt;ApprYears,1,0)</f>
        <v>1</v>
      </c>
      <c r="T36" s="50" t="n">
        <f aca="false">$T35+$L36</f>
        <v>131614080</v>
      </c>
    </row>
    <row r="37" customFormat="false" ht="16.5" hidden="false" customHeight="true" outlineLevel="0" collapsed="false">
      <c r="B37" s="51" t="n">
        <f aca="false">B36+1</f>
        <v>26</v>
      </c>
      <c r="C37" s="51" t="n">
        <f aca="false">StartYear+$B37</f>
        <v>2052</v>
      </c>
      <c r="D37" s="49" t="n">
        <f aca="false">INDEX('Cost Inputs'!$M$36:$AZ$36,1,$B37+1)*$R37</f>
        <v>0</v>
      </c>
      <c r="E37" s="49" t="n">
        <f aca="false">INDEX('Cost Inputs'!$M$37:$AZ$37,1,$B37+1)*$R37</f>
        <v>4290000</v>
      </c>
      <c r="F37" s="49" t="n">
        <f aca="false">INDEX('Cost Inputs'!$M$38:$AZ$38,1,$B37+1)*$R37</f>
        <v>0</v>
      </c>
      <c r="G37" s="49" t="n">
        <f aca="false">$D37*OptBias</f>
        <v>0</v>
      </c>
      <c r="H37" s="52" t="n">
        <f aca="false">SUM($D37:$G37)</f>
        <v>4290000</v>
      </c>
      <c r="I37" s="49" t="n">
        <f aca="false">INDEX('Benefit Inputs'!$M$25:$AZ$25,1,$B37+1)*$R37</f>
        <v>13185000</v>
      </c>
      <c r="J37" s="49" t="n">
        <f aca="false">IF($B37=ApprYears-1,ResidVal*$R37,0)</f>
        <v>0</v>
      </c>
      <c r="K37" s="52" t="n">
        <f aca="false">$I37+$J37</f>
        <v>13185000</v>
      </c>
      <c r="L37" s="52" t="n">
        <f aca="false">($K37-$H37)*$S37</f>
        <v>8895000</v>
      </c>
      <c r="M37" s="60" t="n">
        <f aca="false">1/(1+IF(DeclineDR="Yes",IF($B37&lt;=30,EffDiscRate,IF($B37&lt;=75,EffDiscRate*0.857,EffDiscRate*0.714)),EffDiscRate))^$B37</f>
        <v>0.172195493011439</v>
      </c>
      <c r="N37" s="49" t="n">
        <f aca="false">$H37*$M37*$S37</f>
        <v>738718.665019072</v>
      </c>
      <c r="O37" s="49" t="n">
        <f aca="false">$K37*$M37*$S37</f>
        <v>2270397.57535582</v>
      </c>
      <c r="P37" s="52" t="n">
        <f aca="false">$O37-$N37</f>
        <v>1531678.91033675</v>
      </c>
      <c r="Q37" s="52" t="n">
        <f aca="false">$Q36+$P37</f>
        <v>26471214.6843639</v>
      </c>
      <c r="R37" s="61" t="n">
        <f aca="false">IF(PriceBasis="Nominal",(1+InflRate)^$B37,1)</f>
        <v>1</v>
      </c>
      <c r="S37" s="42" t="n">
        <f aca="false">IF($B37&lt;ApprYears,1,0)</f>
        <v>1</v>
      </c>
      <c r="T37" s="50" t="n">
        <f aca="false">$T36+$L37</f>
        <v>140509080</v>
      </c>
    </row>
    <row r="38" customFormat="false" ht="16.5" hidden="false" customHeight="true" outlineLevel="0" collapsed="false">
      <c r="B38" s="51" t="n">
        <f aca="false">B37+1</f>
        <v>27</v>
      </c>
      <c r="C38" s="51" t="n">
        <f aca="false">StartYear+$B38</f>
        <v>2053</v>
      </c>
      <c r="D38" s="49" t="n">
        <f aca="false">INDEX('Cost Inputs'!$M$36:$AZ$36,1,$B38+1)*$R38</f>
        <v>0</v>
      </c>
      <c r="E38" s="49" t="n">
        <f aca="false">INDEX('Cost Inputs'!$M$37:$AZ$37,1,$B38+1)*$R38</f>
        <v>4290000</v>
      </c>
      <c r="F38" s="49" t="n">
        <f aca="false">INDEX('Cost Inputs'!$M$38:$AZ$38,1,$B38+1)*$R38</f>
        <v>0</v>
      </c>
      <c r="G38" s="49" t="n">
        <f aca="false">$D38*OptBias</f>
        <v>0</v>
      </c>
      <c r="H38" s="52" t="n">
        <f aca="false">SUM($D38:$G38)</f>
        <v>4290000</v>
      </c>
      <c r="I38" s="49" t="n">
        <f aca="false">INDEX('Benefit Inputs'!$M$25:$AZ$25,1,$B38+1)*$R38</f>
        <v>13185000</v>
      </c>
      <c r="J38" s="49" t="n">
        <f aca="false">IF($B38=ApprYears-1,ResidVal*$R38,0)</f>
        <v>0</v>
      </c>
      <c r="K38" s="52" t="n">
        <f aca="false">$I38+$J38</f>
        <v>13185000</v>
      </c>
      <c r="L38" s="52" t="n">
        <f aca="false">($K38-$H38)*$S38</f>
        <v>8895000</v>
      </c>
      <c r="M38" s="60" t="n">
        <f aca="false">1/(1+IF(DeclineDR="Yes",IF($B38&lt;=30,EffDiscRate,IF($B38&lt;=75,EffDiscRate*0.857,EffDiscRate*0.714)),EffDiscRate))^$B38</f>
        <v>0.16093036730041</v>
      </c>
      <c r="N38" s="49" t="n">
        <f aca="false">$H38*$M38*$S38</f>
        <v>690391.275718759</v>
      </c>
      <c r="O38" s="49" t="n">
        <f aca="false">$K38*$M38*$S38</f>
        <v>2121866.89285591</v>
      </c>
      <c r="P38" s="52" t="n">
        <f aca="false">$O38-$N38</f>
        <v>1431475.61713715</v>
      </c>
      <c r="Q38" s="52" t="n">
        <f aca="false">$Q37+$P38</f>
        <v>27902690.301501</v>
      </c>
      <c r="R38" s="61" t="n">
        <f aca="false">IF(PriceBasis="Nominal",(1+InflRate)^$B38,1)</f>
        <v>1</v>
      </c>
      <c r="S38" s="42" t="n">
        <f aca="false">IF($B38&lt;ApprYears,1,0)</f>
        <v>1</v>
      </c>
      <c r="T38" s="50" t="n">
        <f aca="false">$T37+$L38</f>
        <v>149404080</v>
      </c>
    </row>
    <row r="39" customFormat="false" ht="16.5" hidden="false" customHeight="true" outlineLevel="0" collapsed="false">
      <c r="B39" s="51" t="n">
        <f aca="false">B38+1</f>
        <v>28</v>
      </c>
      <c r="C39" s="51" t="n">
        <f aca="false">StartYear+$B39</f>
        <v>2054</v>
      </c>
      <c r="D39" s="49" t="n">
        <f aca="false">INDEX('Cost Inputs'!$M$36:$AZ$36,1,$B39+1)*$R39</f>
        <v>0</v>
      </c>
      <c r="E39" s="49" t="n">
        <f aca="false">INDEX('Cost Inputs'!$M$37:$AZ$37,1,$B39+1)*$R39</f>
        <v>4290000</v>
      </c>
      <c r="F39" s="49" t="n">
        <f aca="false">INDEX('Cost Inputs'!$M$38:$AZ$38,1,$B39+1)*$R39</f>
        <v>820000</v>
      </c>
      <c r="G39" s="49" t="n">
        <f aca="false">$D39*OptBias</f>
        <v>0</v>
      </c>
      <c r="H39" s="52" t="n">
        <f aca="false">SUM($D39:$G39)</f>
        <v>5110000</v>
      </c>
      <c r="I39" s="49" t="n">
        <f aca="false">INDEX('Benefit Inputs'!$M$25:$AZ$25,1,$B39+1)*$R39</f>
        <v>13185000</v>
      </c>
      <c r="J39" s="49" t="n">
        <f aca="false">IF($B39=ApprYears-1,ResidVal*$R39,0)</f>
        <v>0</v>
      </c>
      <c r="K39" s="52" t="n">
        <f aca="false">$I39+$J39</f>
        <v>13185000</v>
      </c>
      <c r="L39" s="52" t="n">
        <f aca="false">($K39-$H39)*$S39</f>
        <v>8075000</v>
      </c>
      <c r="M39" s="60" t="n">
        <f aca="false">1/(1+IF(DeclineDR="Yes",IF($B39&lt;=30,EffDiscRate,IF($B39&lt;=75,EffDiscRate*0.857,EffDiscRate*0.714)),EffDiscRate))^$B39</f>
        <v>0.15040221243029</v>
      </c>
      <c r="N39" s="49" t="n">
        <f aca="false">$H39*$M39*$S39</f>
        <v>768555.30551878</v>
      </c>
      <c r="O39" s="49" t="n">
        <f aca="false">$K39*$M39*$S39</f>
        <v>1983053.17089337</v>
      </c>
      <c r="P39" s="52" t="n">
        <f aca="false">$O39-$N39</f>
        <v>1214497.86537459</v>
      </c>
      <c r="Q39" s="52" t="n">
        <f aca="false">$Q38+$P39</f>
        <v>29117188.1668756</v>
      </c>
      <c r="R39" s="61" t="n">
        <f aca="false">IF(PriceBasis="Nominal",(1+InflRate)^$B39,1)</f>
        <v>1</v>
      </c>
      <c r="S39" s="42" t="n">
        <f aca="false">IF($B39&lt;ApprYears,1,0)</f>
        <v>1</v>
      </c>
      <c r="T39" s="50" t="n">
        <f aca="false">$T38+$L39</f>
        <v>157479080</v>
      </c>
    </row>
    <row r="40" customFormat="false" ht="16.5" hidden="false" customHeight="true" outlineLevel="0" collapsed="false">
      <c r="B40" s="51" t="n">
        <f aca="false">B39+1</f>
        <v>29</v>
      </c>
      <c r="C40" s="51" t="n">
        <f aca="false">StartYear+$B40</f>
        <v>2055</v>
      </c>
      <c r="D40" s="49" t="n">
        <f aca="false">INDEX('Cost Inputs'!$M$36:$AZ$36,1,$B40+1)*$R40</f>
        <v>0</v>
      </c>
      <c r="E40" s="49" t="n">
        <f aca="false">INDEX('Cost Inputs'!$M$37:$AZ$37,1,$B40+1)*$R40</f>
        <v>4290000</v>
      </c>
      <c r="F40" s="49" t="n">
        <f aca="false">INDEX('Cost Inputs'!$M$38:$AZ$38,1,$B40+1)*$R40</f>
        <v>1200000</v>
      </c>
      <c r="G40" s="49" t="n">
        <f aca="false">$D40*OptBias</f>
        <v>0</v>
      </c>
      <c r="H40" s="52" t="n">
        <f aca="false">SUM($D40:$G40)</f>
        <v>5490000</v>
      </c>
      <c r="I40" s="49" t="n">
        <f aca="false">INDEX('Benefit Inputs'!$M$25:$AZ$25,1,$B40+1)*$R40</f>
        <v>13185000</v>
      </c>
      <c r="J40" s="49" t="n">
        <f aca="false">IF($B40=ApprYears-1,ResidVal*$R40,0)</f>
        <v>20200320</v>
      </c>
      <c r="K40" s="52" t="n">
        <f aca="false">$I40+$J40</f>
        <v>33385320</v>
      </c>
      <c r="L40" s="52" t="n">
        <f aca="false">($K40-$H40)*$S40</f>
        <v>27895320</v>
      </c>
      <c r="M40" s="60" t="n">
        <f aca="false">1/(1+IF(DeclineDR="Yes",IF($B40&lt;=30,EffDiscRate,IF($B40&lt;=75,EffDiscRate*0.857,EffDiscRate*0.714)),EffDiscRate))^$B40</f>
        <v>0.140562815355411</v>
      </c>
      <c r="N40" s="49" t="n">
        <f aca="false">$H40*$M40*$S40</f>
        <v>771689.856301206</v>
      </c>
      <c r="O40" s="49" t="n">
        <f aca="false">$K40*$M40*$S40</f>
        <v>4692734.57074131</v>
      </c>
      <c r="P40" s="52" t="n">
        <f aca="false">$O40-$N40</f>
        <v>3921044.7144401</v>
      </c>
      <c r="Q40" s="52" t="n">
        <f aca="false">$Q39+$P40</f>
        <v>33038232.8813157</v>
      </c>
      <c r="R40" s="61" t="n">
        <f aca="false">IF(PriceBasis="Nominal",(1+InflRate)^$B40,1)</f>
        <v>1</v>
      </c>
      <c r="S40" s="42" t="n">
        <f aca="false">IF($B40&lt;ApprYears,1,0)</f>
        <v>1</v>
      </c>
      <c r="T40" s="50" t="n">
        <f aca="false">$T39+$L40</f>
        <v>185374400</v>
      </c>
    </row>
    <row r="41" customFormat="false" ht="16.5" hidden="false" customHeight="true" outlineLevel="0" collapsed="false">
      <c r="B41" s="51" t="n">
        <f aca="false">B40+1</f>
        <v>30</v>
      </c>
      <c r="C41" s="51" t="n">
        <f aca="false">StartYear+$B41</f>
        <v>2056</v>
      </c>
      <c r="D41" s="49" t="n">
        <f aca="false">INDEX('Cost Inputs'!$M$36:$AZ$36,1,$B41+1)*$R41</f>
        <v>0</v>
      </c>
      <c r="E41" s="49" t="n">
        <f aca="false">INDEX('Cost Inputs'!$M$37:$AZ$37,1,$B41+1)*$R41</f>
        <v>4290000</v>
      </c>
      <c r="F41" s="49" t="n">
        <f aca="false">INDEX('Cost Inputs'!$M$38:$AZ$38,1,$B41+1)*$R41</f>
        <v>2350000</v>
      </c>
      <c r="G41" s="49" t="n">
        <f aca="false">$D41*OptBias</f>
        <v>0</v>
      </c>
      <c r="H41" s="52" t="n">
        <f aca="false">SUM($D41:$G41)</f>
        <v>6640000</v>
      </c>
      <c r="I41" s="49" t="n">
        <f aca="false">INDEX('Benefit Inputs'!$M$25:$AZ$25,1,$B41+1)*$R41</f>
        <v>13185000</v>
      </c>
      <c r="J41" s="49" t="n">
        <f aca="false">IF($B41=ApprYears-1,ResidVal*$R41,0)</f>
        <v>0</v>
      </c>
      <c r="K41" s="52" t="n">
        <f aca="false">$I41+$J41</f>
        <v>13185000</v>
      </c>
      <c r="L41" s="52" t="n">
        <f aca="false">($K41-$H41)*$S41</f>
        <v>0</v>
      </c>
      <c r="M41" s="60" t="n">
        <f aca="false">1/(1+IF(DeclineDR="Yes",IF($B41&lt;=30,EffDiscRate,IF($B41&lt;=75,EffDiscRate*0.857,EffDiscRate*0.714)),EffDiscRate))^$B41</f>
        <v>0.13136711715459</v>
      </c>
      <c r="N41" s="49" t="n">
        <f aca="false">$H41*$M41*$S41</f>
        <v>0</v>
      </c>
      <c r="O41" s="49" t="n">
        <f aca="false">$K41*$M41*$S41</f>
        <v>0</v>
      </c>
      <c r="P41" s="52" t="n">
        <f aca="false">$O41-$N41</f>
        <v>0</v>
      </c>
      <c r="Q41" s="52" t="n">
        <f aca="false">$Q40+$P41</f>
        <v>33038232.8813157</v>
      </c>
      <c r="R41" s="61" t="n">
        <f aca="false">IF(PriceBasis="Nominal",(1+InflRate)^$B41,1)</f>
        <v>1</v>
      </c>
      <c r="S41" s="42" t="n">
        <f aca="false">IF($B41&lt;ApprYears,1,0)</f>
        <v>0</v>
      </c>
      <c r="T41" s="50" t="n">
        <f aca="false">$T40+$L41</f>
        <v>185374400</v>
      </c>
    </row>
    <row r="42" customFormat="false" ht="16.5" hidden="false" customHeight="true" outlineLevel="0" collapsed="false">
      <c r="B42" s="51" t="n">
        <f aca="false">B41+1</f>
        <v>31</v>
      </c>
      <c r="C42" s="51" t="n">
        <f aca="false">StartYear+$B42</f>
        <v>2057</v>
      </c>
      <c r="D42" s="49" t="n">
        <f aca="false">INDEX('Cost Inputs'!$M$36:$AZ$36,1,$B42+1)*$R42</f>
        <v>0</v>
      </c>
      <c r="E42" s="49" t="n">
        <f aca="false">INDEX('Cost Inputs'!$M$37:$AZ$37,1,$B42+1)*$R42</f>
        <v>4290000</v>
      </c>
      <c r="F42" s="49" t="n">
        <f aca="false">INDEX('Cost Inputs'!$M$38:$AZ$38,1,$B42+1)*$R42</f>
        <v>0</v>
      </c>
      <c r="G42" s="49" t="n">
        <f aca="false">$D42*OptBias</f>
        <v>0</v>
      </c>
      <c r="H42" s="52" t="n">
        <f aca="false">SUM($D42:$G42)</f>
        <v>4290000</v>
      </c>
      <c r="I42" s="49" t="n">
        <f aca="false">INDEX('Benefit Inputs'!$M$25:$AZ$25,1,$B42+1)*$R42</f>
        <v>13185000</v>
      </c>
      <c r="J42" s="49" t="n">
        <f aca="false">IF($B42=ApprYears-1,ResidVal*$R42,0)</f>
        <v>0</v>
      </c>
      <c r="K42" s="52" t="n">
        <f aca="false">$I42+$J42</f>
        <v>13185000</v>
      </c>
      <c r="L42" s="52" t="n">
        <f aca="false">($K42-$H42)*$S42</f>
        <v>0</v>
      </c>
      <c r="M42" s="60" t="n">
        <f aca="false">1/(1+IF(DeclineDR="Yes",IF($B42&lt;=30,EffDiscRate,IF($B42&lt;=75,EffDiscRate*0.857,EffDiscRate*0.714)),EffDiscRate))^$B42</f>
        <v>0.122773006686532</v>
      </c>
      <c r="N42" s="49" t="n">
        <f aca="false">$H42*$M42*$S42</f>
        <v>0</v>
      </c>
      <c r="O42" s="49" t="n">
        <f aca="false">$K42*$M42*$S42</f>
        <v>0</v>
      </c>
      <c r="P42" s="52" t="n">
        <f aca="false">$O42-$N42</f>
        <v>0</v>
      </c>
      <c r="Q42" s="52" t="n">
        <f aca="false">$Q41+$P42</f>
        <v>33038232.8813157</v>
      </c>
      <c r="R42" s="61" t="n">
        <f aca="false">IF(PriceBasis="Nominal",(1+InflRate)^$B42,1)</f>
        <v>1</v>
      </c>
      <c r="S42" s="42" t="n">
        <f aca="false">IF($B42&lt;ApprYears,1,0)</f>
        <v>0</v>
      </c>
      <c r="T42" s="50" t="n">
        <f aca="false">$T41+$L42</f>
        <v>185374400</v>
      </c>
    </row>
    <row r="43" customFormat="false" ht="16.5" hidden="false" customHeight="true" outlineLevel="0" collapsed="false">
      <c r="B43" s="51" t="n">
        <f aca="false">B42+1</f>
        <v>32</v>
      </c>
      <c r="C43" s="51" t="n">
        <f aca="false">StartYear+$B43</f>
        <v>2058</v>
      </c>
      <c r="D43" s="49" t="n">
        <f aca="false">INDEX('Cost Inputs'!$M$36:$AZ$36,1,$B43+1)*$R43</f>
        <v>0</v>
      </c>
      <c r="E43" s="49" t="n">
        <f aca="false">INDEX('Cost Inputs'!$M$37:$AZ$37,1,$B43+1)*$R43</f>
        <v>4290000</v>
      </c>
      <c r="F43" s="49" t="n">
        <f aca="false">INDEX('Cost Inputs'!$M$38:$AZ$38,1,$B43+1)*$R43</f>
        <v>0</v>
      </c>
      <c r="G43" s="49" t="n">
        <f aca="false">$D43*OptBias</f>
        <v>0</v>
      </c>
      <c r="H43" s="52" t="n">
        <f aca="false">SUM($D43:$G43)</f>
        <v>4290000</v>
      </c>
      <c r="I43" s="49" t="n">
        <f aca="false">INDEX('Benefit Inputs'!$M$25:$AZ$25,1,$B43+1)*$R43</f>
        <v>13185000</v>
      </c>
      <c r="J43" s="49" t="n">
        <f aca="false">IF($B43=ApprYears-1,ResidVal*$R43,0)</f>
        <v>0</v>
      </c>
      <c r="K43" s="52" t="n">
        <f aca="false">$I43+$J43</f>
        <v>13185000</v>
      </c>
      <c r="L43" s="52" t="n">
        <f aca="false">($K43-$H43)*$S43</f>
        <v>0</v>
      </c>
      <c r="M43" s="60" t="n">
        <f aca="false">1/(1+IF(DeclineDR="Yes",IF($B43&lt;=30,EffDiscRate,IF($B43&lt;=75,EffDiscRate*0.857,EffDiscRate*0.714)),EffDiscRate))^$B43</f>
        <v>0.114741127744423</v>
      </c>
      <c r="N43" s="49" t="n">
        <f aca="false">$H43*$M43*$S43</f>
        <v>0</v>
      </c>
      <c r="O43" s="49" t="n">
        <f aca="false">$K43*$M43*$S43</f>
        <v>0</v>
      </c>
      <c r="P43" s="52" t="n">
        <f aca="false">$O43-$N43</f>
        <v>0</v>
      </c>
      <c r="Q43" s="52" t="n">
        <f aca="false">$Q42+$P43</f>
        <v>33038232.8813157</v>
      </c>
      <c r="R43" s="61" t="n">
        <f aca="false">IF(PriceBasis="Nominal",(1+InflRate)^$B43,1)</f>
        <v>1</v>
      </c>
      <c r="S43" s="42" t="n">
        <f aca="false">IF($B43&lt;ApprYears,1,0)</f>
        <v>0</v>
      </c>
      <c r="T43" s="50" t="n">
        <f aca="false">$T42+$L43</f>
        <v>185374400</v>
      </c>
    </row>
    <row r="44" customFormat="false" ht="16.5" hidden="false" customHeight="true" outlineLevel="0" collapsed="false">
      <c r="B44" s="51" t="n">
        <f aca="false">B43+1</f>
        <v>33</v>
      </c>
      <c r="C44" s="51" t="n">
        <f aca="false">StartYear+$B44</f>
        <v>2059</v>
      </c>
      <c r="D44" s="49" t="n">
        <f aca="false">INDEX('Cost Inputs'!$M$36:$AZ$36,1,$B44+1)*$R44</f>
        <v>0</v>
      </c>
      <c r="E44" s="49" t="n">
        <f aca="false">INDEX('Cost Inputs'!$M$37:$AZ$37,1,$B44+1)*$R44</f>
        <v>4290000</v>
      </c>
      <c r="F44" s="49" t="n">
        <f aca="false">INDEX('Cost Inputs'!$M$38:$AZ$38,1,$B44+1)*$R44</f>
        <v>0</v>
      </c>
      <c r="G44" s="49" t="n">
        <f aca="false">$D44*OptBias</f>
        <v>0</v>
      </c>
      <c r="H44" s="52" t="n">
        <f aca="false">SUM($D44:$G44)</f>
        <v>4290000</v>
      </c>
      <c r="I44" s="49" t="n">
        <f aca="false">INDEX('Benefit Inputs'!$M$25:$AZ$25,1,$B44+1)*$R44</f>
        <v>13185000</v>
      </c>
      <c r="J44" s="49" t="n">
        <f aca="false">IF($B44=ApprYears-1,ResidVal*$R44,0)</f>
        <v>0</v>
      </c>
      <c r="K44" s="52" t="n">
        <f aca="false">$I44+$J44</f>
        <v>13185000</v>
      </c>
      <c r="L44" s="52" t="n">
        <f aca="false">($K44-$H44)*$S44</f>
        <v>0</v>
      </c>
      <c r="M44" s="60" t="n">
        <f aca="false">1/(1+IF(DeclineDR="Yes",IF($B44&lt;=30,EffDiscRate,IF($B44&lt;=75,EffDiscRate*0.857,EffDiscRate*0.714)),EffDiscRate))^$B44</f>
        <v>0.107234698826563</v>
      </c>
      <c r="N44" s="49" t="n">
        <f aca="false">$H44*$M44*$S44</f>
        <v>0</v>
      </c>
      <c r="O44" s="49" t="n">
        <f aca="false">$K44*$M44*$S44</f>
        <v>0</v>
      </c>
      <c r="P44" s="52" t="n">
        <f aca="false">$O44-$N44</f>
        <v>0</v>
      </c>
      <c r="Q44" s="52" t="n">
        <f aca="false">$Q43+$P44</f>
        <v>33038232.8813157</v>
      </c>
      <c r="R44" s="61" t="n">
        <f aca="false">IF(PriceBasis="Nominal",(1+InflRate)^$B44,1)</f>
        <v>1</v>
      </c>
      <c r="S44" s="42" t="n">
        <f aca="false">IF($B44&lt;ApprYears,1,0)</f>
        <v>0</v>
      </c>
      <c r="T44" s="50" t="n">
        <f aca="false">$T43+$L44</f>
        <v>185374400</v>
      </c>
    </row>
    <row r="45" customFormat="false" ht="16.5" hidden="false" customHeight="true" outlineLevel="0" collapsed="false">
      <c r="B45" s="51" t="n">
        <f aca="false">B44+1</f>
        <v>34</v>
      </c>
      <c r="C45" s="51" t="n">
        <f aca="false">StartYear+$B45</f>
        <v>2060</v>
      </c>
      <c r="D45" s="49" t="n">
        <f aca="false">INDEX('Cost Inputs'!$M$36:$AZ$36,1,$B45+1)*$R45</f>
        <v>0</v>
      </c>
      <c r="E45" s="49" t="n">
        <f aca="false">INDEX('Cost Inputs'!$M$37:$AZ$37,1,$B45+1)*$R45</f>
        <v>4290000</v>
      </c>
      <c r="F45" s="49" t="n">
        <f aca="false">INDEX('Cost Inputs'!$M$38:$AZ$38,1,$B45+1)*$R45</f>
        <v>0</v>
      </c>
      <c r="G45" s="49" t="n">
        <f aca="false">$D45*OptBias</f>
        <v>0</v>
      </c>
      <c r="H45" s="52" t="n">
        <f aca="false">SUM($D45:$G45)</f>
        <v>4290000</v>
      </c>
      <c r="I45" s="49" t="n">
        <f aca="false">INDEX('Benefit Inputs'!$M$25:$AZ$25,1,$B45+1)*$R45</f>
        <v>13185000</v>
      </c>
      <c r="J45" s="49" t="n">
        <f aca="false">IF($B45=ApprYears-1,ResidVal*$R45,0)</f>
        <v>0</v>
      </c>
      <c r="K45" s="52" t="n">
        <f aca="false">$I45+$J45</f>
        <v>13185000</v>
      </c>
      <c r="L45" s="52" t="n">
        <f aca="false">($K45-$H45)*$S45</f>
        <v>0</v>
      </c>
      <c r="M45" s="60" t="n">
        <f aca="false">1/(1+IF(DeclineDR="Yes",IF($B45&lt;=30,EffDiscRate,IF($B45&lt;=75,EffDiscRate*0.857,EffDiscRate*0.714)),EffDiscRate))^$B45</f>
        <v>0.100219344697723</v>
      </c>
      <c r="N45" s="49" t="n">
        <f aca="false">$H45*$M45*$S45</f>
        <v>0</v>
      </c>
      <c r="O45" s="49" t="n">
        <f aca="false">$K45*$M45*$S45</f>
        <v>0</v>
      </c>
      <c r="P45" s="52" t="n">
        <f aca="false">$O45-$N45</f>
        <v>0</v>
      </c>
      <c r="Q45" s="52" t="n">
        <f aca="false">$Q44+$P45</f>
        <v>33038232.8813157</v>
      </c>
      <c r="R45" s="61" t="n">
        <f aca="false">IF(PriceBasis="Nominal",(1+InflRate)^$B45,1)</f>
        <v>1</v>
      </c>
      <c r="S45" s="42" t="n">
        <f aca="false">IF($B45&lt;ApprYears,1,0)</f>
        <v>0</v>
      </c>
      <c r="T45" s="50" t="n">
        <f aca="false">$T44+$L45</f>
        <v>185374400</v>
      </c>
    </row>
    <row r="46" customFormat="false" ht="16.5" hidden="false" customHeight="true" outlineLevel="0" collapsed="false">
      <c r="B46" s="51" t="n">
        <f aca="false">B45+1</f>
        <v>35</v>
      </c>
      <c r="C46" s="51" t="n">
        <f aca="false">StartYear+$B46</f>
        <v>2061</v>
      </c>
      <c r="D46" s="49" t="n">
        <f aca="false">INDEX('Cost Inputs'!$M$36:$AZ$36,1,$B46+1)*$R46</f>
        <v>0</v>
      </c>
      <c r="E46" s="49" t="n">
        <f aca="false">INDEX('Cost Inputs'!$M$37:$AZ$37,1,$B46+1)*$R46</f>
        <v>4290000</v>
      </c>
      <c r="F46" s="49" t="n">
        <f aca="false">INDEX('Cost Inputs'!$M$38:$AZ$38,1,$B46+1)*$R46</f>
        <v>820000</v>
      </c>
      <c r="G46" s="49" t="n">
        <f aca="false">$D46*OptBias</f>
        <v>0</v>
      </c>
      <c r="H46" s="52" t="n">
        <f aca="false">SUM($D46:$G46)</f>
        <v>5110000</v>
      </c>
      <c r="I46" s="49" t="n">
        <f aca="false">INDEX('Benefit Inputs'!$M$25:$AZ$25,1,$B46+1)*$R46</f>
        <v>13185000</v>
      </c>
      <c r="J46" s="49" t="n">
        <f aca="false">IF($B46=ApprYears-1,ResidVal*$R46,0)</f>
        <v>0</v>
      </c>
      <c r="K46" s="52" t="n">
        <f aca="false">$I46+$J46</f>
        <v>13185000</v>
      </c>
      <c r="L46" s="52" t="n">
        <f aca="false">($K46-$H46)*$S46</f>
        <v>0</v>
      </c>
      <c r="M46" s="60" t="n">
        <f aca="false">1/(1+IF(DeclineDR="Yes",IF($B46&lt;=30,EffDiscRate,IF($B46&lt;=75,EffDiscRate*0.857,EffDiscRate*0.714)),EffDiscRate))^$B46</f>
        <v>0.0936629389698343</v>
      </c>
      <c r="N46" s="49" t="n">
        <f aca="false">$H46*$M46*$S46</f>
        <v>0</v>
      </c>
      <c r="O46" s="49" t="n">
        <f aca="false">$K46*$M46*$S46</f>
        <v>0</v>
      </c>
      <c r="P46" s="52" t="n">
        <f aca="false">$O46-$N46</f>
        <v>0</v>
      </c>
      <c r="Q46" s="52" t="n">
        <f aca="false">$Q45+$P46</f>
        <v>33038232.8813157</v>
      </c>
      <c r="R46" s="61" t="n">
        <f aca="false">IF(PriceBasis="Nominal",(1+InflRate)^$B46,1)</f>
        <v>1</v>
      </c>
      <c r="S46" s="42" t="n">
        <f aca="false">IF($B46&lt;ApprYears,1,0)</f>
        <v>0</v>
      </c>
      <c r="T46" s="50" t="n">
        <f aca="false">$T45+$L46</f>
        <v>185374400</v>
      </c>
    </row>
    <row r="47" customFormat="false" ht="16.5" hidden="false" customHeight="true" outlineLevel="0" collapsed="false">
      <c r="B47" s="51" t="n">
        <f aca="false">B46+1</f>
        <v>36</v>
      </c>
      <c r="C47" s="51" t="n">
        <f aca="false">StartYear+$B47</f>
        <v>2062</v>
      </c>
      <c r="D47" s="49" t="n">
        <f aca="false">INDEX('Cost Inputs'!$M$36:$AZ$36,1,$B47+1)*$R47</f>
        <v>0</v>
      </c>
      <c r="E47" s="49" t="n">
        <f aca="false">INDEX('Cost Inputs'!$M$37:$AZ$37,1,$B47+1)*$R47</f>
        <v>4290000</v>
      </c>
      <c r="F47" s="49" t="n">
        <f aca="false">INDEX('Cost Inputs'!$M$38:$AZ$38,1,$B47+1)*$R47</f>
        <v>0</v>
      </c>
      <c r="G47" s="49" t="n">
        <f aca="false">$D47*OptBias</f>
        <v>0</v>
      </c>
      <c r="H47" s="52" t="n">
        <f aca="false">SUM($D47:$G47)</f>
        <v>4290000</v>
      </c>
      <c r="I47" s="49" t="n">
        <f aca="false">INDEX('Benefit Inputs'!$M$25:$AZ$25,1,$B47+1)*$R47</f>
        <v>13185000</v>
      </c>
      <c r="J47" s="49" t="n">
        <f aca="false">IF($B47=ApprYears-1,ResidVal*$R47,0)</f>
        <v>0</v>
      </c>
      <c r="K47" s="52" t="n">
        <f aca="false">$I47+$J47</f>
        <v>13185000</v>
      </c>
      <c r="L47" s="52" t="n">
        <f aca="false">($K47-$H47)*$S47</f>
        <v>0</v>
      </c>
      <c r="M47" s="60" t="n">
        <f aca="false">1/(1+IF(DeclineDR="Yes",IF($B47&lt;=30,EffDiscRate,IF($B47&lt;=75,EffDiscRate*0.857,EffDiscRate*0.714)),EffDiscRate))^$B47</f>
        <v>0.0875354569811535</v>
      </c>
      <c r="N47" s="49" t="n">
        <f aca="false">$H47*$M47*$S47</f>
        <v>0</v>
      </c>
      <c r="O47" s="49" t="n">
        <f aca="false">$K47*$M47*$S47</f>
        <v>0</v>
      </c>
      <c r="P47" s="52" t="n">
        <f aca="false">$O47-$N47</f>
        <v>0</v>
      </c>
      <c r="Q47" s="52" t="n">
        <f aca="false">$Q46+$P47</f>
        <v>33038232.8813157</v>
      </c>
      <c r="R47" s="61" t="n">
        <f aca="false">IF(PriceBasis="Nominal",(1+InflRate)^$B47,1)</f>
        <v>1</v>
      </c>
      <c r="S47" s="42" t="n">
        <f aca="false">IF($B47&lt;ApprYears,1,0)</f>
        <v>0</v>
      </c>
      <c r="T47" s="50" t="n">
        <f aca="false">$T46+$L47</f>
        <v>185374400</v>
      </c>
    </row>
    <row r="48" customFormat="false" ht="16.5" hidden="false" customHeight="true" outlineLevel="0" collapsed="false">
      <c r="B48" s="51" t="n">
        <f aca="false">B47+1</f>
        <v>37</v>
      </c>
      <c r="C48" s="51" t="n">
        <f aca="false">StartYear+$B48</f>
        <v>2063</v>
      </c>
      <c r="D48" s="49" t="n">
        <f aca="false">INDEX('Cost Inputs'!$M$36:$AZ$36,1,$B48+1)*$R48</f>
        <v>0</v>
      </c>
      <c r="E48" s="49" t="n">
        <f aca="false">INDEX('Cost Inputs'!$M$37:$AZ$37,1,$B48+1)*$R48</f>
        <v>4290000</v>
      </c>
      <c r="F48" s="49" t="n">
        <f aca="false">INDEX('Cost Inputs'!$M$38:$AZ$38,1,$B48+1)*$R48</f>
        <v>0</v>
      </c>
      <c r="G48" s="49" t="n">
        <f aca="false">$D48*OptBias</f>
        <v>0</v>
      </c>
      <c r="H48" s="52" t="n">
        <f aca="false">SUM($D48:$G48)</f>
        <v>4290000</v>
      </c>
      <c r="I48" s="49" t="n">
        <f aca="false">INDEX('Benefit Inputs'!$M$25:$AZ$25,1,$B48+1)*$R48</f>
        <v>13185000</v>
      </c>
      <c r="J48" s="49" t="n">
        <f aca="false">IF($B48=ApprYears-1,ResidVal*$R48,0)</f>
        <v>0</v>
      </c>
      <c r="K48" s="52" t="n">
        <f aca="false">$I48+$J48</f>
        <v>13185000</v>
      </c>
      <c r="L48" s="52" t="n">
        <f aca="false">($K48-$H48)*$S48</f>
        <v>0</v>
      </c>
      <c r="M48" s="60" t="n">
        <f aca="false">1/(1+IF(DeclineDR="Yes",IF($B48&lt;=30,EffDiscRate,IF($B48&lt;=75,EffDiscRate*0.857,EffDiscRate*0.714)),EffDiscRate))^$B48</f>
        <v>0.0818088383001435</v>
      </c>
      <c r="N48" s="49" t="n">
        <f aca="false">$H48*$M48*$S48</f>
        <v>0</v>
      </c>
      <c r="O48" s="49" t="n">
        <f aca="false">$K48*$M48*$S48</f>
        <v>0</v>
      </c>
      <c r="P48" s="52" t="n">
        <f aca="false">$O48-$N48</f>
        <v>0</v>
      </c>
      <c r="Q48" s="52" t="n">
        <f aca="false">$Q47+$P48</f>
        <v>33038232.8813157</v>
      </c>
      <c r="R48" s="61" t="n">
        <f aca="false">IF(PriceBasis="Nominal",(1+InflRate)^$B48,1)</f>
        <v>1</v>
      </c>
      <c r="S48" s="42" t="n">
        <f aca="false">IF($B48&lt;ApprYears,1,0)</f>
        <v>0</v>
      </c>
      <c r="T48" s="50" t="n">
        <f aca="false">$T47+$L48</f>
        <v>185374400</v>
      </c>
    </row>
    <row r="49" customFormat="false" ht="16.5" hidden="false" customHeight="true" outlineLevel="0" collapsed="false">
      <c r="B49" s="51" t="n">
        <f aca="false">B48+1</f>
        <v>38</v>
      </c>
      <c r="C49" s="51" t="n">
        <f aca="false">StartYear+$B49</f>
        <v>2064</v>
      </c>
      <c r="D49" s="49" t="n">
        <f aca="false">INDEX('Cost Inputs'!$M$36:$AZ$36,1,$B49+1)*$R49</f>
        <v>0</v>
      </c>
      <c r="E49" s="49" t="n">
        <f aca="false">INDEX('Cost Inputs'!$M$37:$AZ$37,1,$B49+1)*$R49</f>
        <v>4290000</v>
      </c>
      <c r="F49" s="49" t="n">
        <f aca="false">INDEX('Cost Inputs'!$M$38:$AZ$38,1,$B49+1)*$R49</f>
        <v>0</v>
      </c>
      <c r="G49" s="49" t="n">
        <f aca="false">$D49*OptBias</f>
        <v>0</v>
      </c>
      <c r="H49" s="52" t="n">
        <f aca="false">SUM($D49:$G49)</f>
        <v>4290000</v>
      </c>
      <c r="I49" s="49" t="n">
        <f aca="false">INDEX('Benefit Inputs'!$M$25:$AZ$25,1,$B49+1)*$R49</f>
        <v>13185000</v>
      </c>
      <c r="J49" s="49" t="n">
        <f aca="false">IF($B49=ApprYears-1,ResidVal*$R49,0)</f>
        <v>0</v>
      </c>
      <c r="K49" s="52" t="n">
        <f aca="false">$I49+$J49</f>
        <v>13185000</v>
      </c>
      <c r="L49" s="52" t="n">
        <f aca="false">($K49-$H49)*$S49</f>
        <v>0</v>
      </c>
      <c r="M49" s="60" t="n">
        <f aca="false">1/(1+IF(DeclineDR="Yes",IF($B49&lt;=30,EffDiscRate,IF($B49&lt;=75,EffDiscRate*0.857,EffDiscRate*0.714)),EffDiscRate))^$B49</f>
        <v>0.0764568582244332</v>
      </c>
      <c r="N49" s="49" t="n">
        <f aca="false">$H49*$M49*$S49</f>
        <v>0</v>
      </c>
      <c r="O49" s="49" t="n">
        <f aca="false">$K49*$M49*$S49</f>
        <v>0</v>
      </c>
      <c r="P49" s="52" t="n">
        <f aca="false">$O49-$N49</f>
        <v>0</v>
      </c>
      <c r="Q49" s="52" t="n">
        <f aca="false">$Q48+$P49</f>
        <v>33038232.8813157</v>
      </c>
      <c r="R49" s="61" t="n">
        <f aca="false">IF(PriceBasis="Nominal",(1+InflRate)^$B49,1)</f>
        <v>1</v>
      </c>
      <c r="S49" s="42" t="n">
        <f aca="false">IF($B49&lt;ApprYears,1,0)</f>
        <v>0</v>
      </c>
      <c r="T49" s="50" t="n">
        <f aca="false">$T48+$L49</f>
        <v>185374400</v>
      </c>
    </row>
    <row r="50" customFormat="false" ht="16.5" hidden="false" customHeight="true" outlineLevel="0" collapsed="false">
      <c r="B50" s="51" t="n">
        <f aca="false">B49+1</f>
        <v>39</v>
      </c>
      <c r="C50" s="51" t="n">
        <f aca="false">StartYear+$B50</f>
        <v>2065</v>
      </c>
      <c r="D50" s="49" t="n">
        <f aca="false">INDEX('Cost Inputs'!$M$36:$AZ$36,1,$B50+1)*$R50</f>
        <v>0</v>
      </c>
      <c r="E50" s="49" t="n">
        <f aca="false">INDEX('Cost Inputs'!$M$37:$AZ$37,1,$B50+1)*$R50</f>
        <v>4290000</v>
      </c>
      <c r="F50" s="49" t="n">
        <f aca="false">INDEX('Cost Inputs'!$M$38:$AZ$38,1,$B50+1)*$R50</f>
        <v>0</v>
      </c>
      <c r="G50" s="49" t="n">
        <f aca="false">$D50*OptBias</f>
        <v>0</v>
      </c>
      <c r="H50" s="52" t="n">
        <f aca="false">SUM($D50:$G50)</f>
        <v>4290000</v>
      </c>
      <c r="I50" s="49" t="n">
        <f aca="false">INDEX('Benefit Inputs'!$M$25:$AZ$25,1,$B50+1)*$R50</f>
        <v>13185000</v>
      </c>
      <c r="J50" s="49" t="n">
        <f aca="false">IF($B50=ApprYears-1,ResidVal*$R50,0)</f>
        <v>0</v>
      </c>
      <c r="K50" s="52" t="n">
        <f aca="false">$I50+$J50</f>
        <v>13185000</v>
      </c>
      <c r="L50" s="52" t="n">
        <f aca="false">($K50-$H50)*$S50</f>
        <v>0</v>
      </c>
      <c r="M50" s="60" t="n">
        <f aca="false">1/(1+IF(DeclineDR="Yes",IF($B50&lt;=30,EffDiscRate,IF($B50&lt;=75,EffDiscRate*0.857,EffDiscRate*0.714)),EffDiscRate))^$B50</f>
        <v>0.0714550076863861</v>
      </c>
      <c r="N50" s="49" t="n">
        <f aca="false">$H50*$M50*$S50</f>
        <v>0</v>
      </c>
      <c r="O50" s="49" t="n">
        <f aca="false">$K50*$M50*$S50</f>
        <v>0</v>
      </c>
      <c r="P50" s="52" t="n">
        <f aca="false">$O50-$N50</f>
        <v>0</v>
      </c>
      <c r="Q50" s="52" t="n">
        <f aca="false">$Q49+$P50</f>
        <v>33038232.8813157</v>
      </c>
      <c r="R50" s="61" t="n">
        <f aca="false">IF(PriceBasis="Nominal",(1+InflRate)^$B50,1)</f>
        <v>1</v>
      </c>
      <c r="S50" s="42" t="n">
        <f aca="false">IF($B50&lt;ApprYears,1,0)</f>
        <v>0</v>
      </c>
      <c r="T50" s="50" t="n">
        <f aca="false">$T49+$L50</f>
        <v>185374400</v>
      </c>
    </row>
    <row r="51" customFormat="false" ht="24" hidden="false" customHeight="true" outlineLevel="0" collapsed="false">
      <c r="B51" s="54" t="s">
        <v>344</v>
      </c>
      <c r="C51" s="62"/>
      <c r="D51" s="63" t="n">
        <f aca="false">SUMPRODUCT($D$11:$D$50,$S$11:$S$50)</f>
        <v>50500800</v>
      </c>
      <c r="E51" s="63" t="n">
        <f aca="false">SUMPRODUCT($E$11:$E$50,$S$11:$S$50)</f>
        <v>115830000</v>
      </c>
      <c r="F51" s="63" t="n">
        <f aca="false">SUMPRODUCT($F$11:$F$50,$S$11:$S$50)</f>
        <v>8230000</v>
      </c>
      <c r="G51" s="63" t="n">
        <f aca="false">SUMPRODUCT($G$11:$G$50,$S$11:$S$50)</f>
        <v>7575120</v>
      </c>
      <c r="H51" s="63" t="n">
        <f aca="false">SUMPRODUCT($H$11:$H$50,$S$11:$S$50)</f>
        <v>182135920</v>
      </c>
      <c r="I51" s="63" t="n">
        <f aca="false">SUMPRODUCT($I$11:$I$50,$S$11:$S$50)</f>
        <v>347310000</v>
      </c>
      <c r="J51" s="63" t="n">
        <f aca="false">SUMPRODUCT($J$11:$J$50,$S$11:$S$50)</f>
        <v>20200320</v>
      </c>
      <c r="K51" s="63" t="n">
        <f aca="false">SUMPRODUCT($K$11:$K$50,$S$11:$S$50)</f>
        <v>367510320</v>
      </c>
      <c r="L51" s="63" t="n">
        <f aca="false">SUM(L11:L50)</f>
        <v>185374400</v>
      </c>
      <c r="M51" s="62"/>
      <c r="N51" s="63" t="n">
        <f aca="false">SUM(N11:N50)</f>
        <v>100988751.646171</v>
      </c>
      <c r="O51" s="63" t="n">
        <f aca="false">SUM(O11:O50)</f>
        <v>134026984.527487</v>
      </c>
      <c r="P51" s="63" t="n">
        <f aca="false">SUM(P11:P50)</f>
        <v>33038232.8813157</v>
      </c>
      <c r="Q51" s="62"/>
      <c r="R51" s="62"/>
      <c r="S51" s="62"/>
      <c r="T51" s="62"/>
    </row>
  </sheetData>
  <mergeCells count="2">
    <mergeCell ref="B7:T7"/>
    <mergeCell ref="L9:T9"/>
  </mergeCells>
  <printOptions headings="false" gridLines="false" gridLinesSet="true" horizontalCentered="true" verticalCentered="false"/>
  <pageMargins left="0.4" right="0.4" top="0.5" bottom="0.5" header="0.511811023622047" footer="0.5"/>
  <pageSetup paperSize="8" scale="100" fitToWidth="2" fitToHeight="0" pageOrder="downThenOver" orientation="landscape" blackAndWhite="false" draft="false" cellComments="none" horizontalDpi="300" verticalDpi="300" copies="1"/>
  <headerFooter differentFirst="false" differentOddEven="false">
    <oddHeader/>
    <oddFooter>&amp;L&amp;8 &amp;K8e98a2Template by Mastt  ·  mastt.com&amp;R&amp;8 &amp;K8e98a2Page &amp;P of &amp;N</oddFooter>
  </headerFooter>
  <drawing r:id="rId1"/>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tabColor rgb="FF0C1628"/>
    <pageSetUpPr fitToPage="true"/>
  </sheetPr>
  <dimension ref="A1:J56"/>
  <sheetViews>
    <sheetView showFormulas="false" showGridLines="false" showRowColHeaders="true" showZeros="true" rightToLeft="false" tabSelected="false" showOutlineSymbols="true" defaultGridColor="true" view="normal" topLeftCell="A1" colorId="64" zoomScale="100" zoomScaleNormal="100" zoomScalePageLayoutView="100" workbookViewId="0">
      <pane xSplit="0" ySplit="7" topLeftCell="A8" activePane="bottomLeft" state="frozen"/>
      <selection pane="topLeft" activeCell="A1" activeCellId="0" sqref="A1"/>
      <selection pane="bottomLeft" activeCell="A1" activeCellId="0" sqref="A1"/>
    </sheetView>
  </sheetViews>
  <sheetFormatPr defaultColWidth="8.6796875" defaultRowHeight="15" zeroHeight="false" outlineLevelRow="0" outlineLevelCol="0"/>
  <cols>
    <col collapsed="false" customWidth="true" hidden="false" outlineLevel="0" max="1" min="1" style="1" width="3"/>
    <col collapsed="false" customWidth="true" hidden="false" outlineLevel="0" max="2" min="2" style="1" width="44"/>
    <col collapsed="false" customWidth="true" hidden="false" outlineLevel="0" max="9" min="3" style="1" width="20"/>
    <col collapsed="false" customWidth="true" hidden="false" outlineLevel="0" max="10" min="10" style="1" width="30"/>
    <col collapsed="false" customWidth="true" hidden="false" outlineLevel="0" max="11" min="11" style="1" width="3"/>
  </cols>
  <sheetData>
    <row r="1" customFormat="false" ht="9.75" hidden="false" customHeight="true" outlineLevel="0" collapsed="false">
      <c r="A1" s="2"/>
      <c r="B1" s="2"/>
      <c r="C1" s="2"/>
      <c r="D1" s="2"/>
      <c r="E1" s="2"/>
      <c r="F1" s="2"/>
      <c r="G1" s="2"/>
      <c r="H1" s="2"/>
      <c r="I1" s="2"/>
      <c r="J1" s="2"/>
    </row>
    <row r="2" customFormat="false" ht="33.75" hidden="false" customHeight="true" outlineLevel="0" collapsed="false">
      <c r="A2" s="2"/>
      <c r="B2" s="2"/>
      <c r="C2" s="2"/>
      <c r="D2" s="2"/>
      <c r="E2" s="2"/>
      <c r="F2" s="2"/>
      <c r="G2" s="2"/>
      <c r="H2" s="2"/>
      <c r="I2" s="2"/>
      <c r="J2" s="2"/>
    </row>
    <row r="3" customFormat="false" ht="7.5" hidden="false" customHeight="true" outlineLevel="0" collapsed="false">
      <c r="A3" s="2"/>
      <c r="B3" s="2"/>
      <c r="C3" s="2"/>
      <c r="D3" s="2"/>
      <c r="E3" s="2"/>
      <c r="F3" s="2"/>
      <c r="G3" s="2"/>
      <c r="H3" s="2"/>
      <c r="I3" s="2"/>
      <c r="J3" s="2"/>
    </row>
    <row r="4" customFormat="false" ht="30" hidden="false" customHeight="true" outlineLevel="0" collapsed="false">
      <c r="A4" s="2"/>
      <c r="B4" s="3" t="s">
        <v>71</v>
      </c>
      <c r="C4" s="2"/>
      <c r="D4" s="2"/>
      <c r="E4" s="2"/>
      <c r="F4" s="2"/>
      <c r="G4" s="2"/>
      <c r="H4" s="2"/>
      <c r="I4" s="2"/>
      <c r="J4" s="2"/>
    </row>
    <row r="5" customFormat="false" ht="21.75" hidden="false" customHeight="true" outlineLevel="0" collapsed="false">
      <c r="A5" s="2"/>
      <c r="B5" s="4" t="s">
        <v>455</v>
      </c>
      <c r="C5" s="2"/>
      <c r="D5" s="2"/>
      <c r="E5" s="2"/>
      <c r="F5" s="2"/>
      <c r="G5" s="2"/>
      <c r="H5" s="2"/>
      <c r="I5" s="2"/>
      <c r="J5" s="2"/>
    </row>
    <row r="6" customFormat="false" ht="7.5" hidden="false" customHeight="true" outlineLevel="0" collapsed="false"/>
    <row r="7" customFormat="false" ht="24" hidden="false" customHeight="true" outlineLevel="0" collapsed="false">
      <c r="B7" s="64" t="str">
        <f aca="false">ProjName&amp;" - "&amp;OptName&amp;" | All values in "&amp;CurrLabel&amp;", "&amp;IF(PriceBasis="Real","real (constant) prices, base year "&amp;PriceBase,"nominal prices")&amp;", discounted at "&amp;TEXT(EffDiscRate,"0.00%")&amp;" over "&amp;ApprYears&amp;" years"</f>
        <v>Riverside Community Health &amp; Aquatic Centre - Option 1 - New integrated facility | All values in USD, real (constant) prices, base year 2026, discounted at 7.00% over 30 years</v>
      </c>
      <c r="C7" s="64"/>
      <c r="D7" s="64"/>
      <c r="E7" s="64"/>
      <c r="F7" s="64"/>
      <c r="G7" s="64"/>
      <c r="H7" s="64"/>
      <c r="I7" s="64"/>
      <c r="J7" s="64"/>
    </row>
    <row r="9" customFormat="false" ht="24" hidden="false" customHeight="true" outlineLevel="0" collapsed="false">
      <c r="B9" s="5" t="s">
        <v>456</v>
      </c>
      <c r="C9" s="6"/>
      <c r="D9" s="6"/>
      <c r="E9" s="6"/>
      <c r="F9" s="6"/>
      <c r="G9" s="6"/>
      <c r="H9" s="6"/>
      <c r="I9" s="6"/>
      <c r="J9" s="6"/>
    </row>
    <row r="11" customFormat="false" ht="18" hidden="false" customHeight="true" outlineLevel="0" collapsed="false">
      <c r="B11" s="65" t="s">
        <v>457</v>
      </c>
      <c r="C11" s="65"/>
      <c r="D11" s="65" t="s">
        <v>458</v>
      </c>
      <c r="E11" s="65"/>
      <c r="F11" s="65" t="s">
        <v>459</v>
      </c>
      <c r="G11" s="65"/>
      <c r="H11" s="65" t="s">
        <v>460</v>
      </c>
      <c r="I11" s="65"/>
    </row>
    <row r="12" customFormat="false" ht="33.75" hidden="false" customHeight="true" outlineLevel="0" collapsed="false">
      <c r="B12" s="66" t="n">
        <f aca="false">NPVBase</f>
        <v>33038232.8813157</v>
      </c>
      <c r="C12" s="66"/>
      <c r="D12" s="67" t="n">
        <f aca="false">IFERROR(BCRBase,0)</f>
        <v>1.32714765102821</v>
      </c>
      <c r="E12" s="67"/>
      <c r="F12" s="68" t="n">
        <f aca="false">IFERROR(IRRBase,0)</f>
        <v>0.118476984089206</v>
      </c>
      <c r="G12" s="68"/>
      <c r="H12" s="69" t="n">
        <f aca="false">DPBYrs</f>
        <v>15</v>
      </c>
      <c r="I12" s="69"/>
    </row>
    <row r="13" customFormat="false" ht="6" hidden="false" customHeight="true" outlineLevel="0" collapsed="false"/>
    <row r="14" customFormat="false" ht="18" hidden="false" customHeight="true" outlineLevel="0" collapsed="false">
      <c r="B14" s="65" t="s">
        <v>461</v>
      </c>
      <c r="C14" s="65"/>
      <c r="D14" s="65" t="s">
        <v>462</v>
      </c>
      <c r="E14" s="65"/>
      <c r="F14" s="65" t="s">
        <v>463</v>
      </c>
      <c r="G14" s="65"/>
      <c r="H14" s="65" t="s">
        <v>464</v>
      </c>
      <c r="I14" s="65"/>
    </row>
    <row r="15" customFormat="false" ht="33.75" hidden="false" customHeight="true" outlineLevel="0" collapsed="false">
      <c r="B15" s="66" t="n">
        <f aca="false">PVB</f>
        <v>134026984.527487</v>
      </c>
      <c r="C15" s="66"/>
      <c r="D15" s="66" t="n">
        <f aca="false">PVC</f>
        <v>100988751.646171</v>
      </c>
      <c r="E15" s="66"/>
      <c r="F15" s="66" t="n">
        <f aca="false">EAV</f>
        <v>2662432.36626777</v>
      </c>
      <c r="G15" s="66"/>
      <c r="H15" s="66" t="n">
        <f aca="false">PVCapital</f>
        <v>53337417.6588931</v>
      </c>
      <c r="I15" s="66"/>
    </row>
    <row r="17" customFormat="false" ht="24" hidden="false" customHeight="true" outlineLevel="0" collapsed="false">
      <c r="B17" s="5" t="s">
        <v>465</v>
      </c>
      <c r="C17" s="6"/>
      <c r="D17" s="6"/>
      <c r="E17" s="6"/>
      <c r="F17" s="6"/>
      <c r="G17" s="40" t="s">
        <v>466</v>
      </c>
      <c r="H17" s="40"/>
      <c r="I17" s="40"/>
      <c r="J17" s="40"/>
    </row>
    <row r="18" customFormat="false" ht="30" hidden="false" customHeight="true" outlineLevel="0" collapsed="false">
      <c r="B18" s="9" t="s">
        <v>467</v>
      </c>
      <c r="C18" s="9" t="s">
        <v>151</v>
      </c>
      <c r="D18" s="9" t="s">
        <v>152</v>
      </c>
      <c r="E18" s="9" t="s">
        <v>468</v>
      </c>
      <c r="F18" s="9"/>
      <c r="G18" s="9"/>
      <c r="H18" s="9"/>
      <c r="I18" s="9"/>
      <c r="J18" s="9"/>
    </row>
    <row r="19" customFormat="false" ht="27.75" hidden="false" customHeight="true" outlineLevel="0" collapsed="false">
      <c r="B19" s="17" t="s">
        <v>469</v>
      </c>
      <c r="C19" s="70" t="n">
        <f aca="false">SUM('Cash Flow'!$N$11:$N$50)</f>
        <v>100988751.646171</v>
      </c>
      <c r="D19" s="25" t="s">
        <v>210</v>
      </c>
      <c r="E19" s="26" t="s">
        <v>470</v>
      </c>
      <c r="F19" s="26"/>
      <c r="G19" s="26"/>
      <c r="H19" s="26"/>
      <c r="I19" s="26"/>
      <c r="J19" s="26"/>
    </row>
    <row r="20" customFormat="false" ht="27.75" hidden="false" customHeight="true" outlineLevel="0" collapsed="false">
      <c r="B20" s="17" t="s">
        <v>471</v>
      </c>
      <c r="C20" s="70" t="n">
        <f aca="false">SUM('Cash Flow'!$O$11:$O$50)</f>
        <v>134026984.527487</v>
      </c>
      <c r="D20" s="25" t="s">
        <v>210</v>
      </c>
      <c r="E20" s="26" t="s">
        <v>472</v>
      </c>
      <c r="F20" s="26"/>
      <c r="G20" s="26"/>
      <c r="H20" s="26"/>
      <c r="I20" s="26"/>
      <c r="J20" s="26"/>
    </row>
    <row r="21" customFormat="false" ht="27.75" hidden="false" customHeight="true" outlineLevel="0" collapsed="false">
      <c r="B21" s="17" t="s">
        <v>108</v>
      </c>
      <c r="C21" s="70" t="n">
        <f aca="false">PVB-PVC</f>
        <v>33038232.8813157</v>
      </c>
      <c r="D21" s="25" t="s">
        <v>210</v>
      </c>
      <c r="E21" s="26" t="s">
        <v>473</v>
      </c>
      <c r="F21" s="26"/>
      <c r="G21" s="26"/>
      <c r="H21" s="26"/>
      <c r="I21" s="26"/>
      <c r="J21" s="26"/>
    </row>
    <row r="22" customFormat="false" ht="27.75" hidden="false" customHeight="true" outlineLevel="0" collapsed="false">
      <c r="B22" s="17" t="s">
        <v>110</v>
      </c>
      <c r="C22" s="71" t="n">
        <f aca="false">IFERROR(PVB/PVC,"n/a")</f>
        <v>1.32714765102821</v>
      </c>
      <c r="D22" s="25" t="s">
        <v>474</v>
      </c>
      <c r="E22" s="26" t="s">
        <v>475</v>
      </c>
      <c r="F22" s="26"/>
      <c r="G22" s="26"/>
      <c r="H22" s="26"/>
      <c r="I22" s="26"/>
      <c r="J22" s="26"/>
    </row>
    <row r="23" customFormat="false" ht="27.75" hidden="false" customHeight="true" outlineLevel="0" collapsed="false">
      <c r="B23" s="17" t="s">
        <v>476</v>
      </c>
      <c r="C23" s="70" t="n">
        <f aca="false">SUMPRODUCT('Cash Flow'!$D$11:$D$50+'Cash Flow'!$G$11:$G$50,'Cash Flow'!$M$11:$M$50,'Cash Flow'!$S$11:$S$50)</f>
        <v>53337417.6588931</v>
      </c>
      <c r="D23" s="25" t="s">
        <v>210</v>
      </c>
      <c r="E23" s="26" t="s">
        <v>477</v>
      </c>
      <c r="F23" s="26"/>
      <c r="G23" s="26"/>
      <c r="H23" s="26"/>
      <c r="I23" s="26"/>
      <c r="J23" s="26"/>
    </row>
    <row r="24" customFormat="false" ht="27.75" hidden="false" customHeight="true" outlineLevel="0" collapsed="false">
      <c r="B24" s="17" t="s">
        <v>478</v>
      </c>
      <c r="C24" s="70" t="n">
        <f aca="false">SUMPRODUCT('Cash Flow'!$E$11:$E$50+'Cash Flow'!$F$11:$F$50,'Cash Flow'!$M$11:$M$50,'Cash Flow'!$S$11:$S$50)</f>
        <v>47651333.9872779</v>
      </c>
      <c r="D24" s="25" t="s">
        <v>210</v>
      </c>
      <c r="E24" s="26" t="s">
        <v>479</v>
      </c>
      <c r="F24" s="26"/>
      <c r="G24" s="26"/>
      <c r="H24" s="26"/>
      <c r="I24" s="26"/>
      <c r="J24" s="26"/>
    </row>
    <row r="25" customFormat="false" ht="27.75" hidden="false" customHeight="true" outlineLevel="0" collapsed="false">
      <c r="B25" s="17" t="s">
        <v>480</v>
      </c>
      <c r="C25" s="70" t="n">
        <f aca="false">SUMPRODUCT('Cash Flow'!$I$11:$I$50,'Cash Flow'!$M$11:$M$50,'Cash Flow'!$S$11:$S$50)</f>
        <v>131187570.677206</v>
      </c>
      <c r="D25" s="25" t="s">
        <v>210</v>
      </c>
      <c r="E25" s="26" t="s">
        <v>481</v>
      </c>
      <c r="F25" s="26"/>
      <c r="G25" s="26"/>
      <c r="H25" s="26"/>
      <c r="I25" s="26"/>
      <c r="J25" s="26"/>
    </row>
    <row r="26" customFormat="false" ht="27.75" hidden="false" customHeight="true" outlineLevel="0" collapsed="false">
      <c r="B26" s="17" t="s">
        <v>482</v>
      </c>
      <c r="C26" s="70" t="n">
        <f aca="false">SUMPRODUCT('Cash Flow'!$J$11:$J$50,'Cash Flow'!$M$11:$M$50,'Cash Flow'!$S$11:$S$50)</f>
        <v>2839413.85028021</v>
      </c>
      <c r="D26" s="25" t="s">
        <v>210</v>
      </c>
      <c r="E26" s="26" t="s">
        <v>483</v>
      </c>
      <c r="F26" s="26"/>
      <c r="G26" s="26"/>
      <c r="H26" s="26"/>
      <c r="I26" s="26"/>
      <c r="J26" s="26"/>
    </row>
    <row r="27" customFormat="false" ht="27.75" hidden="false" customHeight="true" outlineLevel="0" collapsed="false">
      <c r="B27" s="17" t="s">
        <v>484</v>
      </c>
      <c r="C27" s="71" t="n">
        <f aca="false">IFERROR((PVB-PVOpexCost)/PVCapital,"n/a")</f>
        <v>1.61941943070068</v>
      </c>
      <c r="D27" s="25" t="s">
        <v>474</v>
      </c>
      <c r="E27" s="26" t="s">
        <v>485</v>
      </c>
      <c r="F27" s="26"/>
      <c r="G27" s="26"/>
      <c r="H27" s="26"/>
      <c r="I27" s="26"/>
      <c r="J27" s="26"/>
    </row>
    <row r="28" customFormat="false" ht="27.75" hidden="false" customHeight="true" outlineLevel="0" collapsed="false">
      <c r="B28" s="17" t="s">
        <v>114</v>
      </c>
      <c r="C28" s="72" t="n">
        <f aca="false">IFERROR(IRR('Cash Flow'!$L$11:$L$50,0.1),"n/a")</f>
        <v>0.118476984089206</v>
      </c>
      <c r="D28" s="25" t="s">
        <v>180</v>
      </c>
      <c r="E28" s="26" t="s">
        <v>486</v>
      </c>
      <c r="F28" s="26"/>
      <c r="G28" s="26"/>
      <c r="H28" s="26"/>
      <c r="I28" s="26"/>
      <c r="J28" s="26"/>
    </row>
    <row r="29" customFormat="false" ht="27.75" hidden="false" customHeight="true" outlineLevel="0" collapsed="false">
      <c r="B29" s="17" t="s">
        <v>487</v>
      </c>
      <c r="C29" s="73" t="n">
        <f aca="false">IFERROR(INDEX('Cash Flow'!$C$11:$C$50,MATCH(TRUE(),INDEX('Cash Flow'!$Q$11:$Q$50&gt;0,0),0)),"Not achieved")</f>
        <v>2041</v>
      </c>
      <c r="D29" s="25" t="s">
        <v>167</v>
      </c>
      <c r="E29" s="26" t="s">
        <v>488</v>
      </c>
      <c r="F29" s="26"/>
      <c r="G29" s="26"/>
      <c r="H29" s="26"/>
      <c r="I29" s="26"/>
      <c r="J29" s="26"/>
    </row>
    <row r="30" customFormat="false" ht="27.75" hidden="false" customHeight="true" outlineLevel="0" collapsed="false">
      <c r="B30" s="17" t="s">
        <v>489</v>
      </c>
      <c r="C30" s="73" t="n">
        <f aca="false">IFERROR(INDEX('Cash Flow'!$B$11:$B$50,MATCH(TRUE(),INDEX('Cash Flow'!$Q$11:$Q$50&gt;0,0),0)),"Not achieved")</f>
        <v>15</v>
      </c>
      <c r="D30" s="25" t="s">
        <v>173</v>
      </c>
      <c r="E30" s="26" t="s">
        <v>490</v>
      </c>
      <c r="F30" s="26"/>
      <c r="G30" s="26"/>
      <c r="H30" s="26"/>
      <c r="I30" s="26"/>
      <c r="J30" s="26"/>
    </row>
    <row r="31" customFormat="false" ht="27.75" hidden="false" customHeight="true" outlineLevel="0" collapsed="false">
      <c r="B31" s="17" t="s">
        <v>491</v>
      </c>
      <c r="C31" s="73" t="n">
        <f aca="false">IFERROR(INDEX('Cash Flow'!$B$11:$B$50,MATCH(TRUE(),INDEX('Cash Flow'!$T$11:$T$50&gt;0,0),0)),"Not achieved")</f>
        <v>10</v>
      </c>
      <c r="D31" s="25" t="s">
        <v>173</v>
      </c>
      <c r="E31" s="26" t="s">
        <v>492</v>
      </c>
      <c r="F31" s="26"/>
      <c r="G31" s="26"/>
      <c r="H31" s="26"/>
      <c r="I31" s="26"/>
      <c r="J31" s="26"/>
    </row>
    <row r="32" customFormat="false" ht="27.75" hidden="false" customHeight="true" outlineLevel="0" collapsed="false">
      <c r="B32" s="17" t="s">
        <v>493</v>
      </c>
      <c r="C32" s="71" t="n">
        <f aca="false">IFERROR(NPVBase/PVCapital,"n/a")</f>
        <v>0.619419430700676</v>
      </c>
      <c r="D32" s="25" t="s">
        <v>474</v>
      </c>
      <c r="E32" s="26" t="s">
        <v>494</v>
      </c>
      <c r="F32" s="26"/>
      <c r="G32" s="26"/>
      <c r="H32" s="26"/>
      <c r="I32" s="26"/>
      <c r="J32" s="26"/>
    </row>
    <row r="33" customFormat="false" ht="27.75" hidden="false" customHeight="true" outlineLevel="0" collapsed="false">
      <c r="B33" s="17" t="s">
        <v>495</v>
      </c>
      <c r="C33" s="70" t="n">
        <f aca="false">IFERROR(-PMT(EffDiscRate,ApprYears,NPVBase),"n/a")</f>
        <v>2662432.36626777</v>
      </c>
      <c r="D33" s="25" t="s">
        <v>496</v>
      </c>
      <c r="E33" s="26" t="s">
        <v>497</v>
      </c>
      <c r="F33" s="26"/>
      <c r="G33" s="26"/>
      <c r="H33" s="26"/>
      <c r="I33" s="26"/>
      <c r="J33" s="26"/>
    </row>
    <row r="34" customFormat="false" ht="27.75" hidden="false" customHeight="true" outlineLevel="0" collapsed="false">
      <c r="B34" s="17" t="s">
        <v>498</v>
      </c>
      <c r="C34" s="70" t="n">
        <f aca="false">IFERROR(-PMT(EffDiscRate,ApprYears,PVC),"n/a")</f>
        <v>8138320.29024173</v>
      </c>
      <c r="D34" s="25" t="s">
        <v>496</v>
      </c>
      <c r="E34" s="26" t="s">
        <v>499</v>
      </c>
      <c r="F34" s="26"/>
      <c r="G34" s="26"/>
      <c r="H34" s="26"/>
      <c r="I34" s="26"/>
      <c r="J34" s="26"/>
    </row>
    <row r="36" customFormat="false" ht="33.75" hidden="false" customHeight="true" outlineLevel="0" collapsed="false">
      <c r="B36" s="17" t="s">
        <v>500</v>
      </c>
      <c r="C36" s="74" t="str">
        <f aca="false">IF(NPVBase&lt;=0,"Not viable on monetised terms - NPV is negative",IF(IFERROR(BCRBase,0)&lt;1.2,"Marginal - review assumptions, risk allowances and non-monetised impacts","Value for money on monetised terms - proceed to the next assurance gate"))</f>
        <v>Value for money on monetised terms - proceed to the next assurance gate</v>
      </c>
      <c r="D36" s="74"/>
      <c r="E36" s="74"/>
      <c r="F36" s="74"/>
      <c r="G36" s="74"/>
      <c r="H36" s="74"/>
      <c r="I36" s="74"/>
      <c r="J36" s="74"/>
    </row>
    <row r="38" customFormat="false" ht="24" hidden="false" customHeight="true" outlineLevel="0" collapsed="false">
      <c r="B38" s="5" t="s">
        <v>501</v>
      </c>
      <c r="C38" s="6"/>
      <c r="D38" s="6"/>
      <c r="E38" s="6"/>
      <c r="F38" s="6"/>
      <c r="G38" s="6"/>
      <c r="H38" s="6"/>
      <c r="I38" s="6"/>
      <c r="J38" s="6"/>
    </row>
    <row r="39" customFormat="false" ht="21.75" hidden="false" customHeight="true" outlineLevel="0" collapsed="false">
      <c r="B39" s="21" t="s">
        <v>502</v>
      </c>
      <c r="C39" s="21"/>
      <c r="D39" s="21"/>
      <c r="E39" s="21"/>
      <c r="F39" s="21"/>
      <c r="G39" s="21"/>
      <c r="H39" s="21"/>
      <c r="I39" s="21"/>
      <c r="J39" s="21"/>
    </row>
    <row r="40" customFormat="false" ht="21.75" hidden="false" customHeight="true" outlineLevel="0" collapsed="false">
      <c r="B40" s="21" t="s">
        <v>503</v>
      </c>
      <c r="C40" s="21"/>
      <c r="D40" s="21"/>
      <c r="E40" s="21"/>
      <c r="F40" s="21"/>
      <c r="G40" s="21"/>
      <c r="H40" s="21"/>
      <c r="I40" s="21"/>
      <c r="J40" s="21"/>
    </row>
    <row r="41" customFormat="false" ht="21.75" hidden="false" customHeight="true" outlineLevel="0" collapsed="false">
      <c r="B41" s="21" t="s">
        <v>504</v>
      </c>
      <c r="C41" s="21"/>
      <c r="D41" s="21"/>
      <c r="E41" s="21"/>
      <c r="F41" s="21"/>
      <c r="G41" s="21"/>
      <c r="H41" s="21"/>
      <c r="I41" s="21"/>
      <c r="J41" s="21"/>
    </row>
    <row r="42" customFormat="false" ht="21.75" hidden="false" customHeight="true" outlineLevel="0" collapsed="false">
      <c r="B42" s="21" t="s">
        <v>505</v>
      </c>
      <c r="C42" s="21"/>
      <c r="D42" s="21"/>
      <c r="E42" s="21"/>
      <c r="F42" s="21"/>
      <c r="G42" s="21"/>
      <c r="H42" s="21"/>
      <c r="I42" s="21"/>
      <c r="J42" s="21"/>
    </row>
    <row r="43" customFormat="false" ht="21.75" hidden="false" customHeight="true" outlineLevel="0" collapsed="false">
      <c r="B43" s="21" t="s">
        <v>506</v>
      </c>
      <c r="C43" s="21"/>
      <c r="D43" s="21"/>
      <c r="E43" s="21"/>
      <c r="F43" s="21"/>
      <c r="G43" s="21"/>
      <c r="H43" s="21"/>
      <c r="I43" s="21"/>
      <c r="J43" s="21"/>
    </row>
    <row r="45" customFormat="false" ht="24" hidden="false" customHeight="true" outlineLevel="0" collapsed="false">
      <c r="B45" s="5" t="s">
        <v>140</v>
      </c>
      <c r="C45" s="6"/>
      <c r="D45" s="6"/>
      <c r="E45" s="6"/>
      <c r="F45" s="6"/>
      <c r="G45" s="40" t="s">
        <v>507</v>
      </c>
      <c r="H45" s="40"/>
      <c r="I45" s="40"/>
      <c r="J45" s="40"/>
    </row>
    <row r="46" customFormat="false" ht="30" hidden="false" customHeight="true" outlineLevel="0" collapsed="false">
      <c r="B46" s="9" t="s">
        <v>508</v>
      </c>
      <c r="C46" s="9" t="s">
        <v>509</v>
      </c>
      <c r="D46" s="9" t="s">
        <v>510</v>
      </c>
      <c r="E46" s="9" t="s">
        <v>511</v>
      </c>
      <c r="F46" s="9"/>
      <c r="G46" s="9"/>
      <c r="H46" s="9" t="s">
        <v>512</v>
      </c>
      <c r="I46" s="9"/>
      <c r="J46" s="9"/>
    </row>
    <row r="47" customFormat="false" ht="30" hidden="false" customHeight="true" outlineLevel="0" collapsed="false">
      <c r="B47" s="45" t="s">
        <v>513</v>
      </c>
      <c r="C47" s="46" t="s">
        <v>514</v>
      </c>
      <c r="D47" s="46" t="s">
        <v>515</v>
      </c>
      <c r="E47" s="45" t="s">
        <v>516</v>
      </c>
      <c r="F47" s="45"/>
      <c r="G47" s="45"/>
      <c r="H47" s="45" t="s">
        <v>517</v>
      </c>
      <c r="I47" s="45"/>
      <c r="J47" s="45"/>
    </row>
    <row r="48" customFormat="false" ht="30" hidden="false" customHeight="true" outlineLevel="0" collapsed="false">
      <c r="B48" s="45" t="s">
        <v>518</v>
      </c>
      <c r="C48" s="46" t="s">
        <v>514</v>
      </c>
      <c r="D48" s="46" t="s">
        <v>519</v>
      </c>
      <c r="E48" s="45" t="s">
        <v>520</v>
      </c>
      <c r="F48" s="45"/>
      <c r="G48" s="45"/>
      <c r="H48" s="45" t="s">
        <v>521</v>
      </c>
      <c r="I48" s="45"/>
      <c r="J48" s="45"/>
    </row>
    <row r="49" customFormat="false" ht="30" hidden="false" customHeight="true" outlineLevel="0" collapsed="false">
      <c r="B49" s="45" t="s">
        <v>522</v>
      </c>
      <c r="C49" s="46" t="s">
        <v>514</v>
      </c>
      <c r="D49" s="46" t="s">
        <v>515</v>
      </c>
      <c r="E49" s="45" t="s">
        <v>523</v>
      </c>
      <c r="F49" s="45"/>
      <c r="G49" s="45"/>
      <c r="H49" s="45" t="s">
        <v>524</v>
      </c>
      <c r="I49" s="45"/>
      <c r="J49" s="45"/>
    </row>
    <row r="50" customFormat="false" ht="30" hidden="false" customHeight="true" outlineLevel="0" collapsed="false">
      <c r="B50" s="45" t="s">
        <v>525</v>
      </c>
      <c r="C50" s="46" t="s">
        <v>526</v>
      </c>
      <c r="D50" s="46" t="s">
        <v>527</v>
      </c>
      <c r="E50" s="45" t="s">
        <v>528</v>
      </c>
      <c r="F50" s="45"/>
      <c r="G50" s="45"/>
      <c r="H50" s="45" t="s">
        <v>529</v>
      </c>
      <c r="I50" s="45"/>
      <c r="J50" s="45"/>
    </row>
    <row r="51" customFormat="false" ht="30" hidden="false" customHeight="true" outlineLevel="0" collapsed="false">
      <c r="B51" s="45" t="s">
        <v>530</v>
      </c>
      <c r="C51" s="46" t="s">
        <v>526</v>
      </c>
      <c r="D51" s="46" t="s">
        <v>519</v>
      </c>
      <c r="E51" s="45" t="s">
        <v>531</v>
      </c>
      <c r="F51" s="45"/>
      <c r="G51" s="45"/>
      <c r="H51" s="45" t="s">
        <v>532</v>
      </c>
      <c r="I51" s="45"/>
      <c r="J51" s="45"/>
    </row>
    <row r="52" customFormat="false" ht="30" hidden="false" customHeight="true" outlineLevel="0" collapsed="false">
      <c r="B52" s="45" t="s">
        <v>533</v>
      </c>
      <c r="C52" s="46" t="s">
        <v>514</v>
      </c>
      <c r="D52" s="46" t="s">
        <v>519</v>
      </c>
      <c r="E52" s="45" t="s">
        <v>534</v>
      </c>
      <c r="F52" s="45"/>
      <c r="G52" s="45"/>
      <c r="H52" s="45" t="s">
        <v>535</v>
      </c>
      <c r="I52" s="45"/>
      <c r="J52" s="45"/>
    </row>
    <row r="53" customFormat="false" ht="30" hidden="false" customHeight="true" outlineLevel="0" collapsed="false">
      <c r="B53" s="45" t="s">
        <v>536</v>
      </c>
      <c r="C53" s="46" t="s">
        <v>514</v>
      </c>
      <c r="D53" s="46" t="s">
        <v>527</v>
      </c>
      <c r="E53" s="45" t="s">
        <v>537</v>
      </c>
      <c r="F53" s="45"/>
      <c r="G53" s="45"/>
      <c r="H53" s="45" t="s">
        <v>538</v>
      </c>
      <c r="I53" s="45"/>
      <c r="J53" s="45"/>
    </row>
    <row r="54" customFormat="false" ht="30" hidden="false" customHeight="true" outlineLevel="0" collapsed="false">
      <c r="B54" s="45" t="s">
        <v>539</v>
      </c>
      <c r="C54" s="46" t="s">
        <v>540</v>
      </c>
      <c r="D54" s="46" t="s">
        <v>527</v>
      </c>
      <c r="E54" s="45" t="s">
        <v>541</v>
      </c>
      <c r="F54" s="45"/>
      <c r="G54" s="45"/>
      <c r="H54" s="45" t="s">
        <v>542</v>
      </c>
      <c r="I54" s="45"/>
      <c r="J54" s="45"/>
    </row>
    <row r="56" customFormat="false" ht="30" hidden="false" customHeight="true" outlineLevel="0" collapsed="false">
      <c r="B56" s="39" t="s">
        <v>543</v>
      </c>
      <c r="C56" s="39"/>
      <c r="D56" s="39"/>
      <c r="E56" s="39"/>
      <c r="F56" s="39"/>
      <c r="G56" s="39"/>
      <c r="H56" s="39"/>
      <c r="I56" s="39"/>
      <c r="J56" s="39"/>
    </row>
  </sheetData>
  <mergeCells count="58">
    <mergeCell ref="B7:J7"/>
    <mergeCell ref="B11:C11"/>
    <mergeCell ref="D11:E11"/>
    <mergeCell ref="F11:G11"/>
    <mergeCell ref="H11:I11"/>
    <mergeCell ref="B12:C12"/>
    <mergeCell ref="D12:E12"/>
    <mergeCell ref="F12:G12"/>
    <mergeCell ref="H12:I12"/>
    <mergeCell ref="B14:C14"/>
    <mergeCell ref="D14:E14"/>
    <mergeCell ref="F14:G14"/>
    <mergeCell ref="H14:I14"/>
    <mergeCell ref="B15:C15"/>
    <mergeCell ref="D15:E15"/>
    <mergeCell ref="F15:G15"/>
    <mergeCell ref="H15:I15"/>
    <mergeCell ref="G17:J17"/>
    <mergeCell ref="E19:J19"/>
    <mergeCell ref="E20:J20"/>
    <mergeCell ref="E21:J21"/>
    <mergeCell ref="E22:J22"/>
    <mergeCell ref="E23:J23"/>
    <mergeCell ref="E24:J24"/>
    <mergeCell ref="E25:J25"/>
    <mergeCell ref="E26:J26"/>
    <mergeCell ref="E27:J27"/>
    <mergeCell ref="E28:J28"/>
    <mergeCell ref="E29:J29"/>
    <mergeCell ref="E30:J30"/>
    <mergeCell ref="E31:J31"/>
    <mergeCell ref="E32:J32"/>
    <mergeCell ref="E33:J33"/>
    <mergeCell ref="E34:J34"/>
    <mergeCell ref="C36:J36"/>
    <mergeCell ref="B39:J39"/>
    <mergeCell ref="B40:J40"/>
    <mergeCell ref="B41:J41"/>
    <mergeCell ref="B42:J42"/>
    <mergeCell ref="B43:J43"/>
    <mergeCell ref="G45:J45"/>
    <mergeCell ref="E47:G47"/>
    <mergeCell ref="H47:J47"/>
    <mergeCell ref="E48:G48"/>
    <mergeCell ref="H48:J48"/>
    <mergeCell ref="E49:G49"/>
    <mergeCell ref="H49:J49"/>
    <mergeCell ref="E50:G50"/>
    <mergeCell ref="H50:J50"/>
    <mergeCell ref="E51:G51"/>
    <mergeCell ref="H51:J51"/>
    <mergeCell ref="E52:G52"/>
    <mergeCell ref="H52:J52"/>
    <mergeCell ref="E53:G53"/>
    <mergeCell ref="H53:J53"/>
    <mergeCell ref="E54:G54"/>
    <mergeCell ref="H54:J54"/>
    <mergeCell ref="B56:J56"/>
  </mergeCells>
  <conditionalFormatting sqref="C36">
    <cfRule type="cellIs" priority="2" operator="equal" aboveAverage="0" equalAverage="0" bottom="0" percent="0" rank="0" text="" dxfId="0">
      <formula>"Not viable on monetised terms — NPV is negative"</formula>
    </cfRule>
    <cfRule type="cellIs" priority="3" operator="equal" aboveAverage="0" equalAverage="0" bottom="0" percent="0" rank="0" text="" dxfId="1">
      <formula>"Value for money on monetised terms — proceed to the next assurance gate"</formula>
    </cfRule>
  </conditionalFormatting>
  <conditionalFormatting sqref="C47:C54">
    <cfRule type="cellIs" priority="4" operator="equal" aboveAverage="0" equalAverage="0" bottom="0" percent="0" rank="0" text="" dxfId="2">
      <formula>"Positive"</formula>
    </cfRule>
    <cfRule type="cellIs" priority="5" operator="equal" aboveAverage="0" equalAverage="0" bottom="0" percent="0" rank="0" text="" dxfId="3">
      <formula>"Negative"</formula>
    </cfRule>
    <cfRule type="cellIs" priority="6" operator="equal" aboveAverage="0" equalAverage="0" bottom="0" percent="0" rank="0" text="" dxfId="4">
      <formula>"Neutral"</formula>
    </cfRule>
  </conditionalFormatting>
  <conditionalFormatting sqref="D47:D54">
    <cfRule type="cellIs" priority="7" operator="equal" aboveAverage="0" equalAverage="0" bottom="0" percent="0" rank="0" text="" dxfId="5">
      <formula>"Major"</formula>
    </cfRule>
    <cfRule type="cellIs" priority="8" operator="equal" aboveAverage="0" equalAverage="0" bottom="0" percent="0" rank="0" text="" dxfId="4">
      <formula>"Moderate"</formula>
    </cfRule>
    <cfRule type="cellIs" priority="9" operator="equal" aboveAverage="0" equalAverage="0" bottom="0" percent="0" rank="0" text="" dxfId="4">
      <formula>"Minor"</formula>
    </cfRule>
    <cfRule type="cellIs" priority="10" operator="equal" aboveAverage="0" equalAverage="0" bottom="0" percent="0" rank="0" text="" dxfId="4">
      <formula>"Negligible"</formula>
    </cfRule>
  </conditionalFormatting>
  <dataValidations count="2">
    <dataValidation allowBlank="true" errorStyle="stop" operator="between" showDropDown="false" showErrorMessage="false" showInputMessage="false" sqref="C47:C54" type="list">
      <formula1>Lists!$J$9:$J$11</formula1>
      <formula2>0</formula2>
    </dataValidation>
    <dataValidation allowBlank="true" errorStyle="stop" operator="between" showDropDown="false" showErrorMessage="false" showInputMessage="false" sqref="D47:D54" type="list">
      <formula1>Lists!$K$9:$K$12</formula1>
      <formula2>0</formula2>
    </dataValidation>
  </dataValidations>
  <printOptions headings="false" gridLines="false" gridLinesSet="true" horizontalCentered="true" verticalCentered="false"/>
  <pageMargins left="0.4" right="0.4" top="0.5" bottom="0.5" header="0.511811023622047" footer="0.5"/>
  <pageSetup paperSize="8" scale="100" fitToWidth="1" fitToHeight="0" pageOrder="downThenOver" orientation="landscape" blackAndWhite="false" draft="false" cellComments="none" horizontalDpi="300" verticalDpi="300" copies="1"/>
  <headerFooter differentFirst="false" differentOddEven="false">
    <oddHeader/>
    <oddFooter>&amp;L&amp;8 &amp;K8e98a2Template by Mastt  ·  mastt.com&amp;R&amp;8 &amp;K8e98a2Page &amp;P of &amp;N</oddFooter>
  </headerFooter>
  <drawing r:id="rId1"/>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tabColor rgb="FF0D3C61"/>
    <pageSetUpPr fitToPage="true"/>
  </sheetPr>
  <dimension ref="A1:K61"/>
  <sheetViews>
    <sheetView showFormulas="false" showGridLines="false" showRowColHeaders="true" showZeros="true" rightToLeft="false" tabSelected="false" showOutlineSymbols="true" defaultGridColor="true" view="normal" topLeftCell="A1" colorId="64" zoomScale="100" zoomScaleNormal="100" zoomScalePageLayoutView="100" workbookViewId="0">
      <pane xSplit="0" ySplit="7" topLeftCell="A8" activePane="bottomLeft" state="frozen"/>
      <selection pane="topLeft" activeCell="A1" activeCellId="0" sqref="A1"/>
      <selection pane="bottomLeft" activeCell="A1" activeCellId="0" sqref="A1"/>
    </sheetView>
  </sheetViews>
  <sheetFormatPr defaultColWidth="8.6796875" defaultRowHeight="15" zeroHeight="false" outlineLevelRow="0" outlineLevelCol="0"/>
  <cols>
    <col collapsed="false" customWidth="true" hidden="false" outlineLevel="0" max="1" min="1" style="1" width="3"/>
    <col collapsed="false" customWidth="true" hidden="false" outlineLevel="0" max="2" min="2" style="1" width="40"/>
    <col collapsed="false" customWidth="true" hidden="false" outlineLevel="0" max="3" min="3" style="1" width="14"/>
    <col collapsed="false" customWidth="true" hidden="false" outlineLevel="0" max="8" min="4" style="1" width="18"/>
    <col collapsed="false" customWidth="true" hidden="false" outlineLevel="0" max="10" min="9" style="1" width="20"/>
    <col collapsed="false" customWidth="true" hidden="false" outlineLevel="0" max="11" min="11" style="1" width="46"/>
    <col collapsed="false" customWidth="true" hidden="false" outlineLevel="0" max="12" min="12" style="1" width="3"/>
  </cols>
  <sheetData>
    <row r="1" customFormat="false" ht="9.75" hidden="false" customHeight="true" outlineLevel="0" collapsed="false">
      <c r="A1" s="2"/>
      <c r="B1" s="2"/>
      <c r="C1" s="2"/>
      <c r="D1" s="2"/>
      <c r="E1" s="2"/>
      <c r="F1" s="2"/>
      <c r="G1" s="2"/>
      <c r="H1" s="2"/>
      <c r="I1" s="2"/>
      <c r="J1" s="2"/>
      <c r="K1" s="2"/>
    </row>
    <row r="2" customFormat="false" ht="33.75" hidden="false" customHeight="true" outlineLevel="0" collapsed="false">
      <c r="A2" s="2"/>
      <c r="B2" s="2"/>
      <c r="C2" s="2"/>
      <c r="D2" s="2"/>
      <c r="E2" s="2"/>
      <c r="F2" s="2"/>
      <c r="G2" s="2"/>
      <c r="H2" s="2"/>
      <c r="I2" s="2"/>
      <c r="J2" s="2"/>
      <c r="K2" s="2"/>
    </row>
    <row r="3" customFormat="false" ht="7.5" hidden="false" customHeight="true" outlineLevel="0" collapsed="false">
      <c r="A3" s="2"/>
      <c r="B3" s="2"/>
      <c r="C3" s="2"/>
      <c r="D3" s="2"/>
      <c r="E3" s="2"/>
      <c r="F3" s="2"/>
      <c r="G3" s="2"/>
      <c r="H3" s="2"/>
      <c r="I3" s="2"/>
      <c r="J3" s="2"/>
      <c r="K3" s="2"/>
    </row>
    <row r="4" customFormat="false" ht="30" hidden="false" customHeight="true" outlineLevel="0" collapsed="false">
      <c r="A4" s="2"/>
      <c r="B4" s="3" t="s">
        <v>74</v>
      </c>
      <c r="C4" s="2"/>
      <c r="D4" s="2"/>
      <c r="E4" s="2"/>
      <c r="F4" s="2"/>
      <c r="G4" s="2"/>
      <c r="H4" s="2"/>
      <c r="I4" s="2"/>
      <c r="J4" s="2"/>
      <c r="K4" s="2"/>
    </row>
    <row r="5" customFormat="false" ht="21.75" hidden="false" customHeight="true" outlineLevel="0" collapsed="false">
      <c r="A5" s="2"/>
      <c r="B5" s="4" t="s">
        <v>544</v>
      </c>
      <c r="C5" s="2"/>
      <c r="D5" s="2"/>
      <c r="E5" s="2"/>
      <c r="F5" s="2"/>
      <c r="G5" s="2"/>
      <c r="H5" s="2"/>
      <c r="I5" s="2"/>
      <c r="J5" s="2"/>
      <c r="K5" s="2"/>
    </row>
    <row r="6" customFormat="false" ht="7.5" hidden="false" customHeight="true" outlineLevel="0" collapsed="false"/>
    <row r="7" customFormat="false" ht="25.5" hidden="false" customHeight="true" outlineLevel="0" collapsed="false">
      <c r="B7" s="23" t="s">
        <v>545</v>
      </c>
      <c r="C7" s="23"/>
      <c r="D7" s="23"/>
      <c r="E7" s="23"/>
      <c r="F7" s="23"/>
      <c r="G7" s="23"/>
      <c r="H7" s="23"/>
      <c r="I7" s="23"/>
      <c r="J7" s="23"/>
      <c r="K7" s="23"/>
    </row>
    <row r="9" customFormat="false" ht="24" hidden="false" customHeight="true" outlineLevel="0" collapsed="false">
      <c r="B9" s="5" t="s">
        <v>546</v>
      </c>
      <c r="C9" s="6"/>
      <c r="D9" s="6"/>
      <c r="E9" s="6"/>
      <c r="F9" s="6"/>
      <c r="G9" s="6"/>
      <c r="H9" s="6"/>
      <c r="I9" s="6"/>
      <c r="J9" s="6"/>
      <c r="K9" s="6"/>
    </row>
    <row r="10" customFormat="false" ht="30" hidden="false" customHeight="true" outlineLevel="0" collapsed="false">
      <c r="B10" s="9" t="s">
        <v>547</v>
      </c>
      <c r="C10" s="9" t="s">
        <v>151</v>
      </c>
      <c r="D10" s="9"/>
      <c r="E10" s="9"/>
      <c r="F10" s="9"/>
      <c r="G10" s="9"/>
      <c r="H10" s="9"/>
      <c r="I10" s="9"/>
      <c r="J10" s="9"/>
      <c r="K10" s="9" t="s">
        <v>548</v>
      </c>
    </row>
    <row r="11" customFormat="false" ht="30" hidden="false" customHeight="true" outlineLevel="0" collapsed="false">
      <c r="B11" s="17" t="s">
        <v>549</v>
      </c>
      <c r="C11" s="52" t="n">
        <f aca="false">PVC</f>
        <v>100988751.646171</v>
      </c>
      <c r="D11" s="26" t="s">
        <v>550</v>
      </c>
      <c r="E11" s="26"/>
      <c r="F11" s="26"/>
      <c r="G11" s="26"/>
      <c r="H11" s="26"/>
      <c r="I11" s="26"/>
      <c r="J11" s="26"/>
      <c r="K11" s="26"/>
    </row>
    <row r="12" customFormat="false" ht="30" hidden="false" customHeight="true" outlineLevel="0" collapsed="false">
      <c r="B12" s="17" t="s">
        <v>551</v>
      </c>
      <c r="C12" s="52" t="n">
        <f aca="false">PVB</f>
        <v>134026984.527487</v>
      </c>
      <c r="D12" s="26" t="s">
        <v>552</v>
      </c>
      <c r="E12" s="26"/>
      <c r="F12" s="26"/>
      <c r="G12" s="26"/>
      <c r="H12" s="26"/>
      <c r="I12" s="26"/>
      <c r="J12" s="26"/>
      <c r="K12" s="26"/>
    </row>
    <row r="13" customFormat="false" ht="30" hidden="false" customHeight="true" outlineLevel="0" collapsed="false">
      <c r="B13" s="17" t="s">
        <v>476</v>
      </c>
      <c r="C13" s="52" t="n">
        <f aca="false">PVCapital</f>
        <v>53337417.6588931</v>
      </c>
      <c r="D13" s="26" t="s">
        <v>553</v>
      </c>
      <c r="E13" s="26"/>
      <c r="F13" s="26"/>
      <c r="G13" s="26"/>
      <c r="H13" s="26"/>
      <c r="I13" s="26"/>
      <c r="J13" s="26"/>
      <c r="K13" s="26"/>
    </row>
    <row r="14" customFormat="false" ht="30" hidden="false" customHeight="true" outlineLevel="0" collapsed="false">
      <c r="B14" s="17" t="s">
        <v>478</v>
      </c>
      <c r="C14" s="52" t="n">
        <f aca="false">PVOpexCost</f>
        <v>47651333.9872779</v>
      </c>
      <c r="D14" s="26" t="s">
        <v>554</v>
      </c>
      <c r="E14" s="26"/>
      <c r="F14" s="26"/>
      <c r="G14" s="26"/>
      <c r="H14" s="26"/>
      <c r="I14" s="26"/>
      <c r="J14" s="26"/>
      <c r="K14" s="26"/>
    </row>
    <row r="15" customFormat="false" ht="30" hidden="false" customHeight="true" outlineLevel="0" collapsed="false">
      <c r="B15" s="17" t="s">
        <v>555</v>
      </c>
      <c r="C15" s="52" t="n">
        <f aca="false">PVBenMon</f>
        <v>131187570.677206</v>
      </c>
      <c r="D15" s="26" t="s">
        <v>556</v>
      </c>
      <c r="E15" s="26"/>
      <c r="F15" s="26"/>
      <c r="G15" s="26"/>
      <c r="H15" s="26"/>
      <c r="I15" s="26"/>
      <c r="J15" s="26"/>
      <c r="K15" s="26"/>
    </row>
    <row r="16" customFormat="false" ht="30" hidden="false" customHeight="true" outlineLevel="0" collapsed="false">
      <c r="B16" s="17" t="s">
        <v>557</v>
      </c>
      <c r="C16" s="52" t="n">
        <f aca="false">NPVBase</f>
        <v>33038232.8813157</v>
      </c>
      <c r="D16" s="26" t="s">
        <v>558</v>
      </c>
      <c r="E16" s="26"/>
      <c r="F16" s="26"/>
      <c r="G16" s="26"/>
      <c r="H16" s="26"/>
      <c r="I16" s="26"/>
      <c r="J16" s="26"/>
      <c r="K16" s="26"/>
    </row>
    <row r="17" customFormat="false" ht="30" hidden="false" customHeight="true" outlineLevel="0" collapsed="false">
      <c r="B17" s="17" t="s">
        <v>559</v>
      </c>
      <c r="C17" s="52" t="n">
        <f aca="false">SUMIF('Benefit Inputs'!$E$13:$E$23,"Ramped",'Benefit Inputs'!$F$13:$F$23)</f>
        <v>13185000</v>
      </c>
      <c r="D17" s="26" t="s">
        <v>560</v>
      </c>
      <c r="E17" s="26"/>
      <c r="F17" s="26"/>
      <c r="G17" s="26"/>
      <c r="H17" s="26"/>
      <c r="I17" s="26"/>
      <c r="J17" s="26"/>
      <c r="K17" s="26"/>
    </row>
    <row r="18" customFormat="false" ht="30" hidden="false" customHeight="true" outlineLevel="0" collapsed="false">
      <c r="B18" s="17" t="s">
        <v>561</v>
      </c>
      <c r="C18" s="52" t="n">
        <f aca="false">$C$17*SUMPRODUCT('Cash Flow'!$S$11:$S$50,('Cash Flow'!$B$11:$B$50&gt;=ConstrYears),((('Cash Flow'!$B$11:$B$50-ConstrYears+1)/MAX(RampYears,0.0001))+1-ABS((('Cash Flow'!$B$11:$B$50-ConstrYears+1)/MAX(RampYears,0.0001))-1))/2,'Cash Flow'!$M$11:$M$50,'Cash Flow'!$R$11:$R$50)</f>
        <v>127514230.231198</v>
      </c>
      <c r="D18" s="26" t="s">
        <v>562</v>
      </c>
      <c r="E18" s="26"/>
      <c r="F18" s="26"/>
      <c r="G18" s="26"/>
      <c r="H18" s="26"/>
      <c r="I18" s="26"/>
      <c r="J18" s="26"/>
      <c r="K18" s="26"/>
    </row>
    <row r="20" customFormat="false" ht="24" hidden="false" customHeight="true" outlineLevel="0" collapsed="false">
      <c r="B20" s="5" t="s">
        <v>563</v>
      </c>
      <c r="C20" s="6"/>
      <c r="D20" s="6"/>
      <c r="E20" s="6"/>
      <c r="F20" s="6"/>
      <c r="G20" s="6"/>
      <c r="H20" s="40" t="s">
        <v>564</v>
      </c>
      <c r="I20" s="40"/>
      <c r="J20" s="40"/>
      <c r="K20" s="40"/>
    </row>
    <row r="21" customFormat="false" ht="39.75" hidden="false" customHeight="true" outlineLevel="0" collapsed="false">
      <c r="B21" s="43" t="s">
        <v>565</v>
      </c>
      <c r="C21" s="43" t="s">
        <v>467</v>
      </c>
      <c r="D21" s="43" t="str">
        <f aca="false">"-"&amp;TEXT(SensB,"0%")</f>
        <v>-20%</v>
      </c>
      <c r="E21" s="43" t="str">
        <f aca="false">"-"&amp;TEXT(SensA,"0%")</f>
        <v>-10%</v>
      </c>
      <c r="F21" s="43" t="s">
        <v>566</v>
      </c>
      <c r="G21" s="43" t="str">
        <f aca="false">"+"&amp;TEXT(SensA,"0%")</f>
        <v>+10%</v>
      </c>
      <c r="H21" s="43" t="str">
        <f aca="false">"+"&amp;TEXT(SensB,"0%")</f>
        <v>+20%</v>
      </c>
      <c r="I21" s="43" t="s">
        <v>567</v>
      </c>
      <c r="J21" s="43" t="s">
        <v>568</v>
      </c>
      <c r="K21" s="43" t="s">
        <v>569</v>
      </c>
    </row>
    <row r="22" customFormat="false" ht="21.75" hidden="false" customHeight="true" outlineLevel="0" collapsed="false">
      <c r="B22" s="17" t="s">
        <v>570</v>
      </c>
      <c r="C22" s="30" t="s">
        <v>571</v>
      </c>
      <c r="D22" s="49" t="n">
        <f aca="false">$C$12-($C$11+(-SensB)*$C$13)</f>
        <v>43705716.4130943</v>
      </c>
      <c r="E22" s="49" t="n">
        <f aca="false">$C$12-($C$11+(-SensA)*$C$13)</f>
        <v>38371974.647205</v>
      </c>
      <c r="F22" s="52" t="n">
        <f aca="false">$C$12-($C$11+(0)*$C$13)</f>
        <v>33038232.8813157</v>
      </c>
      <c r="G22" s="49" t="n">
        <f aca="false">$C$12-($C$11+(SensA)*$C$13)</f>
        <v>27704491.1154264</v>
      </c>
      <c r="H22" s="49" t="n">
        <f aca="false">$C$12-($C$11+(SensB)*$C$13)</f>
        <v>22370749.3495371</v>
      </c>
      <c r="I22" s="49" t="n">
        <f aca="false">MIN($D22:$H22)-$F22</f>
        <v>-10667483.5317786</v>
      </c>
      <c r="J22" s="49" t="n">
        <f aca="false">MAX($D22:$H22)-$F22</f>
        <v>10667483.5317786</v>
      </c>
      <c r="K22" s="26" t="s">
        <v>572</v>
      </c>
    </row>
    <row r="23" customFormat="false" ht="21.75" hidden="false" customHeight="true" outlineLevel="0" collapsed="false">
      <c r="B23" s="17"/>
      <c r="C23" s="30" t="s">
        <v>573</v>
      </c>
      <c r="D23" s="75" t="n">
        <f aca="false">IFERROR($C$12/($C$11+(-SensB)*$C$13),"n/a")</f>
        <v>1.48389174914751</v>
      </c>
      <c r="E23" s="75" t="n">
        <f aca="false">IFERROR($C$12/($C$11+(-SensA)*$C$13),"n/a")</f>
        <v>1.40114965954454</v>
      </c>
      <c r="F23" s="76" t="n">
        <f aca="false">IFERROR($C$12/($C$11+(0)*$C$13),"n/a")</f>
        <v>1.32714765102821</v>
      </c>
      <c r="G23" s="75" t="n">
        <f aca="false">IFERROR($C$12/($C$11+(SensA)*$C$13),"n/a")</f>
        <v>1.26057036687482</v>
      </c>
      <c r="H23" s="75" t="n">
        <f aca="false">IFERROR($C$12/($C$11+(SensB)*$C$13),"n/a")</f>
        <v>1.2003537851145</v>
      </c>
      <c r="I23" s="77"/>
      <c r="J23" s="77"/>
      <c r="K23" s="26"/>
    </row>
    <row r="24" customFormat="false" ht="21.75" hidden="false" customHeight="true" outlineLevel="0" collapsed="false">
      <c r="B24" s="17" t="s">
        <v>574</v>
      </c>
      <c r="C24" s="30" t="s">
        <v>571</v>
      </c>
      <c r="D24" s="49" t="n">
        <f aca="false">$C$12-($C$11+(-SensB)*$C$14)</f>
        <v>42568499.6787713</v>
      </c>
      <c r="E24" s="49" t="n">
        <f aca="false">$C$12-($C$11+(-SensA)*$C$14)</f>
        <v>37803366.2800435</v>
      </c>
      <c r="F24" s="52" t="n">
        <f aca="false">$C$12-($C$11+(0)*$C$14)</f>
        <v>33038232.8813157</v>
      </c>
      <c r="G24" s="49" t="n">
        <f aca="false">$C$12-($C$11+(SensA)*$C$14)</f>
        <v>28273099.4825879</v>
      </c>
      <c r="H24" s="49" t="n">
        <f aca="false">$C$12-($C$11+(SensB)*$C$14)</f>
        <v>23507966.0838601</v>
      </c>
      <c r="I24" s="49" t="n">
        <f aca="false">MIN($D24:$H24)-$F24</f>
        <v>-9530266.79745558</v>
      </c>
      <c r="J24" s="49" t="n">
        <f aca="false">MAX($D24:$H24)-$F24</f>
        <v>9530266.79745558</v>
      </c>
      <c r="K24" s="26" t="s">
        <v>575</v>
      </c>
    </row>
    <row r="25" customFormat="false" ht="21.75" hidden="false" customHeight="true" outlineLevel="0" collapsed="false">
      <c r="B25" s="17"/>
      <c r="C25" s="30" t="s">
        <v>573</v>
      </c>
      <c r="D25" s="75" t="n">
        <f aca="false">IFERROR($C$12/($C$11+(-SensB)*$C$14),"n/a")</f>
        <v>1.46544068326941</v>
      </c>
      <c r="E25" s="75" t="n">
        <f aca="false">IFERROR($C$12/($C$11+(-SensA)*$C$14),"n/a")</f>
        <v>1.3928699311933</v>
      </c>
      <c r="F25" s="76" t="n">
        <f aca="false">IFERROR($C$12/($C$11+(0)*$C$14),"n/a")</f>
        <v>1.32714765102821</v>
      </c>
      <c r="G25" s="75" t="n">
        <f aca="false">IFERROR($C$12/($C$11+(SensA)*$C$14),"n/a")</f>
        <v>1.26734809289119</v>
      </c>
      <c r="H25" s="75" t="n">
        <f aca="false">IFERROR($C$12/($C$11+(SensB)*$C$14),"n/a")</f>
        <v>1.21270516527299</v>
      </c>
      <c r="I25" s="77"/>
      <c r="J25" s="77"/>
      <c r="K25" s="26"/>
    </row>
    <row r="26" customFormat="false" ht="21.75" hidden="false" customHeight="true" outlineLevel="0" collapsed="false">
      <c r="B26" s="17" t="s">
        <v>444</v>
      </c>
      <c r="C26" s="30" t="s">
        <v>571</v>
      </c>
      <c r="D26" s="49" t="n">
        <f aca="false">($C$12+(-SensB)*$C$15)-$C$11</f>
        <v>6800718.74587442</v>
      </c>
      <c r="E26" s="49" t="n">
        <f aca="false">($C$12+(-SensA)*$C$15)-$C$11</f>
        <v>19919475.8135951</v>
      </c>
      <c r="F26" s="52" t="n">
        <f aca="false">($C$12+(0)*$C$15)-$C$11</f>
        <v>33038232.8813157</v>
      </c>
      <c r="G26" s="49" t="n">
        <f aca="false">($C$12+(SensA)*$C$15)-$C$11</f>
        <v>46156989.9490363</v>
      </c>
      <c r="H26" s="49" t="n">
        <f aca="false">($C$12+(SensB)*$C$15)-$C$11</f>
        <v>59275747.016757</v>
      </c>
      <c r="I26" s="49" t="n">
        <f aca="false">MIN($D26:$H26)-$F26</f>
        <v>-26237514.1354413</v>
      </c>
      <c r="J26" s="49" t="n">
        <f aca="false">MAX($D26:$H26)-$F26</f>
        <v>26237514.1354413</v>
      </c>
      <c r="K26" s="26" t="s">
        <v>576</v>
      </c>
    </row>
    <row r="27" customFormat="false" ht="21.75" hidden="false" customHeight="true" outlineLevel="0" collapsed="false">
      <c r="B27" s="17"/>
      <c r="C27" s="30" t="s">
        <v>573</v>
      </c>
      <c r="D27" s="75" t="n">
        <f aca="false">IFERROR(($C$12+(-SensB)*$C$15)/$C$11,"n/a")</f>
        <v>1.06734134876428</v>
      </c>
      <c r="E27" s="75" t="n">
        <f aca="false">IFERROR(($C$12+(-SensA)*$C$15)/$C$11,"n/a")</f>
        <v>1.19724449989625</v>
      </c>
      <c r="F27" s="76" t="n">
        <f aca="false">IFERROR(($C$12+(0)*$C$15)/$C$11,"n/a")</f>
        <v>1.32714765102821</v>
      </c>
      <c r="G27" s="75" t="n">
        <f aca="false">IFERROR(($C$12+(SensA)*$C$15)/$C$11,"n/a")</f>
        <v>1.45705080216017</v>
      </c>
      <c r="H27" s="75" t="n">
        <f aca="false">IFERROR(($C$12+(SensB)*$C$15)/$C$11,"n/a")</f>
        <v>1.58695395329213</v>
      </c>
      <c r="I27" s="77"/>
      <c r="J27" s="77"/>
      <c r="K27" s="26"/>
    </row>
    <row r="28" customFormat="false" ht="21.75" hidden="false" customHeight="true" outlineLevel="0" collapsed="false">
      <c r="B28" s="17" t="s">
        <v>118</v>
      </c>
      <c r="C28" s="30" t="s">
        <v>571</v>
      </c>
      <c r="D28" s="49" t="n">
        <f aca="false">SUMPRODUCT('Cash Flow'!$S$11:$S$50,('Cash Flow'!$K$11:$K$50-'Cash Flow'!$H$11:$H$50),1/(1+EffDiscRate*(1+(-SensB)))^'Cash Flow'!$B$11:$B$50)</f>
        <v>49161702.9675949</v>
      </c>
      <c r="E28" s="49" t="n">
        <f aca="false">SUMPRODUCT('Cash Flow'!$S$11:$S$50,('Cash Flow'!$K$11:$K$50-'Cash Flow'!$H$11:$H$50),1/(1+EffDiscRate*(1+(-SensA)))^'Cash Flow'!$B$11:$B$50)</f>
        <v>40575840.8234225</v>
      </c>
      <c r="F28" s="52" t="n">
        <f aca="false">SUMPRODUCT('Cash Flow'!$S$11:$S$50,('Cash Flow'!$K$11:$K$50-'Cash Flow'!$H$11:$H$50),1/(1+EffDiscRate*(1+(0)))^'Cash Flow'!$B$11:$B$50)</f>
        <v>33038232.8813157</v>
      </c>
      <c r="G28" s="49" t="n">
        <f aca="false">SUMPRODUCT('Cash Flow'!$S$11:$S$50,('Cash Flow'!$K$11:$K$50-'Cash Flow'!$H$11:$H$50),1/(1+EffDiscRate*(1+(SensA)))^'Cash Flow'!$B$11:$B$50)</f>
        <v>26402652.4566702</v>
      </c>
      <c r="H28" s="49" t="n">
        <f aca="false">SUMPRODUCT('Cash Flow'!$S$11:$S$50,('Cash Flow'!$K$11:$K$50-'Cash Flow'!$H$11:$H$50),1/(1+EffDiscRate*(1+(SensB)))^'Cash Flow'!$B$11:$B$50)</f>
        <v>20545483.6124175</v>
      </c>
      <c r="I28" s="49" t="n">
        <f aca="false">MIN($D28:$H28)-$F28</f>
        <v>-12492749.2688982</v>
      </c>
      <c r="J28" s="49" t="n">
        <f aca="false">MAX($D28:$H28)-$F28</f>
        <v>16123470.0862792</v>
      </c>
      <c r="K28" s="26" t="s">
        <v>577</v>
      </c>
    </row>
    <row r="29" customFormat="false" ht="21.75" hidden="false" customHeight="true" outlineLevel="0" collapsed="false">
      <c r="B29" s="17"/>
      <c r="C29" s="30" t="s">
        <v>573</v>
      </c>
      <c r="D29" s="75" t="n">
        <f aca="false">IFERROR(SUMPRODUCT('Cash Flow'!$S$11:$S$50,'Cash Flow'!$K$11:$K$50,1/(1+EffDiscRate*(1+(-SensB)))^'Cash Flow'!$B$11:$B$50)/SUMPRODUCT('Cash Flow'!$S$11:$S$50,'Cash Flow'!$H$11:$H$50,1/(1+EffDiscRate*(1+(-SensB)))^'Cash Flow'!$B$11:$B$50),"n/a")</f>
        <v>1.4450249358989</v>
      </c>
      <c r="E29" s="75" t="n">
        <f aca="false">IFERROR(SUMPRODUCT('Cash Flow'!$S$11:$S$50,'Cash Flow'!$K$11:$K$50,1/(1+EffDiscRate*(1+(-SensA)))^'Cash Flow'!$B$11:$B$50)/SUMPRODUCT('Cash Flow'!$S$11:$S$50,'Cash Flow'!$H$11:$H$50,1/(1+EffDiscRate*(1+(-SensA)))^'Cash Flow'!$B$11:$B$50),"n/a")</f>
        <v>1.3847026730157</v>
      </c>
      <c r="F29" s="76" t="n">
        <f aca="false">IFERROR(SUMPRODUCT('Cash Flow'!$S$11:$S$50,'Cash Flow'!$K$11:$K$50,1/(1+EffDiscRate*(1+(0)))^'Cash Flow'!$B$11:$B$50)/SUMPRODUCT('Cash Flow'!$S$11:$S$50,'Cash Flow'!$H$11:$H$50,1/(1+EffDiscRate*(1+(0)))^'Cash Flow'!$B$11:$B$50),"n/a")</f>
        <v>1.32714765102821</v>
      </c>
      <c r="G29" s="75" t="n">
        <f aca="false">IFERROR(SUMPRODUCT('Cash Flow'!$S$11:$S$50,'Cash Flow'!$K$11:$K$50,1/(1+EffDiscRate*(1+(SensA)))^'Cash Flow'!$B$11:$B$50)/SUMPRODUCT('Cash Flow'!$S$11:$S$50,'Cash Flow'!$H$11:$H$50,1/(1+EffDiscRate*(1+(SensA)))^'Cash Flow'!$B$11:$B$50),"n/a")</f>
        <v>1.27233503123269</v>
      </c>
      <c r="H29" s="75" t="n">
        <f aca="false">IFERROR(SUMPRODUCT('Cash Flow'!$S$11:$S$50,'Cash Flow'!$K$11:$K$50,1/(1+EffDiscRate*(1+(SensB)))^'Cash Flow'!$B$11:$B$50)/SUMPRODUCT('Cash Flow'!$S$11:$S$50,'Cash Flow'!$H$11:$H$50,1/(1+EffDiscRate*(1+(SensB)))^'Cash Flow'!$B$11:$B$50),"n/a")</f>
        <v>1.2202147924569</v>
      </c>
      <c r="I29" s="77"/>
      <c r="J29" s="77"/>
      <c r="K29" s="26"/>
    </row>
    <row r="30" customFormat="false" ht="21.75" hidden="false" customHeight="true" outlineLevel="0" collapsed="false">
      <c r="B30" s="17" t="s">
        <v>172</v>
      </c>
      <c r="C30" s="30" t="s">
        <v>571</v>
      </c>
      <c r="D30" s="49" t="n">
        <f aca="false">SUMPRODUCT(('Cash Flow'!$B$11:$B$50&lt;ROUND(ApprYears*(1+(-SensB)),0))*1,('Cash Flow'!$K$11:$K$50-'Cash Flow'!$H$11:$H$50),'Cash Flow'!$M$11:$M$50)</f>
        <v>21547020.1555223</v>
      </c>
      <c r="E30" s="49" t="n">
        <f aca="false">SUMPRODUCT(('Cash Flow'!$B$11:$B$50&lt;ROUND(ApprYears*(1+(-SensA)),0))*1,('Cash Flow'!$K$11:$K$50-'Cash Flow'!$H$11:$H$50),'Cash Flow'!$M$11:$M$50)</f>
        <v>26471214.6843639</v>
      </c>
      <c r="F30" s="52" t="n">
        <f aca="false">SUMPRODUCT(('Cash Flow'!$B$11:$B$50&lt;ROUND(ApprYears*(1+(0)),0))*1,('Cash Flow'!$K$11:$K$50-'Cash Flow'!$H$11:$H$50),'Cash Flow'!$M$11:$M$50)</f>
        <v>33038232.8813157</v>
      </c>
      <c r="G30" s="49" t="n">
        <f aca="false">SUMPRODUCT(('Cash Flow'!$B$11:$B$50&lt;ROUND(ApprYears*(1+(SensA)),0))*1,('Cash Flow'!$K$11:$K$50-'Cash Flow'!$H$11:$H$50),'Cash Flow'!$M$11:$M$50)</f>
        <v>36010718.8888558</v>
      </c>
      <c r="H30" s="49" t="n">
        <f aca="false">SUMPRODUCT(('Cash Flow'!$B$11:$B$50&lt;ROUND(ApprYears*(1+(SensB)),0))*1,('Cash Flow'!$K$11:$K$50-'Cash Flow'!$H$11:$H$50),'Cash Flow'!$M$11:$M$50)</f>
        <v>38612350.8381858</v>
      </c>
      <c r="I30" s="49" t="n">
        <f aca="false">MIN($D30:$H30)-$F30</f>
        <v>-11491212.7257934</v>
      </c>
      <c r="J30" s="49" t="n">
        <f aca="false">MAX($D30:$H30)-$F30</f>
        <v>5574117.95687007</v>
      </c>
      <c r="K30" s="26" t="s">
        <v>578</v>
      </c>
    </row>
    <row r="31" customFormat="false" ht="21.75" hidden="false" customHeight="true" outlineLevel="0" collapsed="false">
      <c r="B31" s="17"/>
      <c r="C31" s="30" t="s">
        <v>573</v>
      </c>
      <c r="D31" s="75" t="n">
        <f aca="false">IFERROR(SUMPRODUCT(('Cash Flow'!$B$11:$B$50&lt;ROUND(ApprYears*(1+(-SensB)),0))*1,'Cash Flow'!$K$11:$K$50,'Cash Flow'!$M$11:$M$50)/SUMPRODUCT(('Cash Flow'!$B$11:$B$50&lt;ROUND(ApprYears*(1+(-SensB)),0))*1,'Cash Flow'!$H$11:$H$50,'Cash Flow'!$M$11:$M$50),"n/a")</f>
        <v>1.2235557466353</v>
      </c>
      <c r="E31" s="75" t="n">
        <f aca="false">IFERROR(SUMPRODUCT(('Cash Flow'!$B$11:$B$50&lt;ROUND(ApprYears*(1+(-SensA)),0))*1,'Cash Flow'!$K$11:$K$50,'Cash Flow'!$M$11:$M$50)/SUMPRODUCT(('Cash Flow'!$B$11:$B$50&lt;ROUND(ApprYears*(1+(-SensA)),0))*1,'Cash Flow'!$H$11:$H$50,'Cash Flow'!$M$11:$M$50),"n/a")</f>
        <v>1.26804090609103</v>
      </c>
      <c r="F31" s="76" t="n">
        <f aca="false">IFERROR(SUMPRODUCT(('Cash Flow'!$B$11:$B$50&lt;ROUND(ApprYears*(1+(0)),0))*1,'Cash Flow'!$K$11:$K$50,'Cash Flow'!$M$11:$M$50)/SUMPRODUCT(('Cash Flow'!$B$11:$B$50&lt;ROUND(ApprYears*(1+(0)),0))*1,'Cash Flow'!$H$11:$H$50,'Cash Flow'!$M$11:$M$50),"n/a")</f>
        <v>1.32714765102821</v>
      </c>
      <c r="G31" s="75" t="n">
        <f aca="false">IFERROR(SUMPRODUCT(('Cash Flow'!$B$11:$B$50&lt;ROUND(ApprYears*(1+(SensA)),0))*1,'Cash Flow'!$K$11:$K$50,'Cash Flow'!$M$11:$M$50)/SUMPRODUCT(('Cash Flow'!$B$11:$B$50&lt;ROUND(ApprYears*(1+(SensA)),0))*1,'Cash Flow'!$H$11:$H$50,'Cash Flow'!$M$11:$M$50),"n/a")</f>
        <v>1.35002654705007</v>
      </c>
      <c r="H31" s="75" t="n">
        <f aca="false">IFERROR(SUMPRODUCT(('Cash Flow'!$B$11:$B$50&lt;ROUND(ApprYears*(1+(SensB)),0))*1,'Cash Flow'!$K$11:$K$50,'Cash Flow'!$M$11:$M$50)/SUMPRODUCT(('Cash Flow'!$B$11:$B$50&lt;ROUND(ApprYears*(1+(SensB)),0))*1,'Cash Flow'!$H$11:$H$50,'Cash Flow'!$M$11:$M$50),"n/a")</f>
        <v>1.37038737693779</v>
      </c>
      <c r="I31" s="77"/>
      <c r="J31" s="77"/>
      <c r="K31" s="26"/>
    </row>
    <row r="32" customFormat="false" ht="21.75" hidden="false" customHeight="true" outlineLevel="0" collapsed="false">
      <c r="B32" s="17" t="s">
        <v>215</v>
      </c>
      <c r="C32" s="30" t="s">
        <v>571</v>
      </c>
      <c r="D32" s="49" t="n">
        <f aca="false">$C$12-$C$18+$C$17*SUMPRODUCT('Cash Flow'!$S$11:$S$50,('Cash Flow'!$B$11:$B$50&gt;=ConstrYears),((('Cash Flow'!$B$11:$B$50-ConstrYears+1)/MAX(RampYears*(1+(-SensB)),0.0001))+1-ABS((('Cash Flow'!$B$11:$B$50-ConstrYears+1)/MAX(RampYears*(1+(-SensB)),0.0001))-1))/2,'Cash Flow'!$M$11:$M$50,'Cash Flow'!$R$11:$R$50)-$C$11</f>
        <v>35611602.402024</v>
      </c>
      <c r="E32" s="49" t="n">
        <f aca="false">$C$12-$C$18+$C$17*SUMPRODUCT('Cash Flow'!$S$11:$S$50,('Cash Flow'!$B$11:$B$50&gt;=ConstrYears),((('Cash Flow'!$B$11:$B$50-ConstrYears+1)/MAX(RampYears*(1+(-SensA)),0.0001))+1-ABS((('Cash Flow'!$B$11:$B$50-ConstrYears+1)/MAX(RampYears*(1+(-SensA)),0.0001))-1))/2,'Cash Flow'!$M$11:$M$50,'Cash Flow'!$R$11:$R$50)-$C$11</f>
        <v>34181952.6682972</v>
      </c>
      <c r="F32" s="52" t="n">
        <f aca="false">$C$12-$C$18+$C$17*SUMPRODUCT('Cash Flow'!$S$11:$S$50,('Cash Flow'!$B$11:$B$50&gt;=ConstrYears),((('Cash Flow'!$B$11:$B$50-ConstrYears+1)/MAX(RampYears*(1+(0)),0.0001))+1-ABS((('Cash Flow'!$B$11:$B$50-ConstrYears+1)/MAX(RampYears*(1+(0)),0.0001))-1))/2,'Cash Flow'!$M$11:$M$50,'Cash Flow'!$R$11:$R$50)-$C$11</f>
        <v>33038232.8813157</v>
      </c>
      <c r="G32" s="49" t="n">
        <f aca="false">$C$12-$C$18+$C$17*SUMPRODUCT('Cash Flow'!$S$11:$S$50,('Cash Flow'!$B$11:$B$50&gt;=ConstrYears),((('Cash Flow'!$B$11:$B$50-ConstrYears+1)/MAX(RampYears*(1+(SensA)),0.0001))+1-ABS((('Cash Flow'!$B$11:$B$50-ConstrYears+1)/MAX(RampYears*(1+(SensA)),0.0001))-1))/2,'Cash Flow'!$M$11:$M$50,'Cash Flow'!$R$11:$R$50)-$C$11</f>
        <v>31247850.9850134</v>
      </c>
      <c r="H32" s="49" t="n">
        <f aca="false">$C$12-$C$18+$C$17*SUMPRODUCT('Cash Flow'!$S$11:$S$50,('Cash Flow'!$B$11:$B$50&gt;=ConstrYears),((('Cash Flow'!$B$11:$B$50-ConstrYears+1)/MAX(RampYears*(1+(SensB)),0.0001))+1-ABS((('Cash Flow'!$B$11:$B$50-ConstrYears+1)/MAX(RampYears*(1+(SensB)),0.0001))-1))/2,'Cash Flow'!$M$11:$M$50,'Cash Flow'!$R$11:$R$50)-$C$11</f>
        <v>29755866.0714282</v>
      </c>
      <c r="I32" s="49" t="n">
        <f aca="false">MIN($D32:$H32)-$F32</f>
        <v>-3282366.80988753</v>
      </c>
      <c r="J32" s="49" t="n">
        <f aca="false">MAX($D32:$H32)-$F32</f>
        <v>2573369.52070828</v>
      </c>
      <c r="K32" s="26" t="s">
        <v>579</v>
      </c>
    </row>
    <row r="33" customFormat="false" ht="21.75" hidden="false" customHeight="true" outlineLevel="0" collapsed="false">
      <c r="B33" s="17"/>
      <c r="C33" s="30" t="s">
        <v>573</v>
      </c>
      <c r="D33" s="75" t="n">
        <f aca="false">IFERROR(($C$12-$C$18+$C$17*SUMPRODUCT('Cash Flow'!$S$11:$S$50,('Cash Flow'!$B$11:$B$50&gt;=ConstrYears),((('Cash Flow'!$B$11:$B$50-ConstrYears+1)/MAX(RampYears*(1+(-SensB)),0.0001))+1-ABS((('Cash Flow'!$B$11:$B$50-ConstrYears+1)/MAX(RampYears*(1+(-SensB)),0.0001))-1))/2,'Cash Flow'!$M$11:$M$50,'Cash Flow'!$R$11:$R$50))/$C$11,"n/a")</f>
        <v>1.35262939507159</v>
      </c>
      <c r="E33" s="75" t="n">
        <f aca="false">IFERROR(($C$12-$C$18+$C$17*SUMPRODUCT('Cash Flow'!$S$11:$S$50,('Cash Flow'!$B$11:$B$50&gt;=ConstrYears),((('Cash Flow'!$B$11:$B$50-ConstrYears+1)/MAX(RampYears*(1+(-SensA)),0.0001))+1-ABS((('Cash Flow'!$B$11:$B$50-ConstrYears+1)/MAX(RampYears*(1+(-SensA)),0.0001))-1))/2,'Cash Flow'!$M$11:$M$50,'Cash Flow'!$R$11:$R$50))/$C$11,"n/a")</f>
        <v>1.33847287060304</v>
      </c>
      <c r="F33" s="76" t="n">
        <f aca="false">IFERROR(($C$12-$C$18+$C$17*SUMPRODUCT('Cash Flow'!$S$11:$S$50,('Cash Flow'!$B$11:$B$50&gt;=ConstrYears),((('Cash Flow'!$B$11:$B$50-ConstrYears+1)/MAX(RampYears*(1+(0)),0.0001))+1-ABS((('Cash Flow'!$B$11:$B$50-ConstrYears+1)/MAX(RampYears*(1+(0)),0.0001))-1))/2,'Cash Flow'!$M$11:$M$50,'Cash Flow'!$R$11:$R$50))/$C$11,"n/a")</f>
        <v>1.32714765102821</v>
      </c>
      <c r="G33" s="75" t="n">
        <f aca="false">IFERROR(($C$12-$C$18+$C$17*SUMPRODUCT('Cash Flow'!$S$11:$S$50,('Cash Flow'!$B$11:$B$50&gt;=ConstrYears),((('Cash Flow'!$B$11:$B$50-ConstrYears+1)/MAX(RampYears*(1+(SensA)),0.0001))+1-ABS((('Cash Flow'!$B$11:$B$50-ConstrYears+1)/MAX(RampYears*(1+(SensA)),0.0001))-1))/2,'Cash Flow'!$M$11:$M$50,'Cash Flow'!$R$11:$R$50))/$C$11,"n/a")</f>
        <v>1.30941912317616</v>
      </c>
      <c r="H33" s="75" t="n">
        <f aca="false">IFERROR(($C$12-$C$18+$C$17*SUMPRODUCT('Cash Flow'!$S$11:$S$50,('Cash Flow'!$B$11:$B$50&gt;=ConstrYears),((('Cash Flow'!$B$11:$B$50-ConstrYears+1)/MAX(RampYears*(1+(SensB)),0.0001))+1-ABS((('Cash Flow'!$B$11:$B$50-ConstrYears+1)/MAX(RampYears*(1+(SensB)),0.0001))-1))/2,'Cash Flow'!$M$11:$M$50,'Cash Flow'!$R$11:$R$50))/$C$11,"n/a")</f>
        <v>1.29464534996613</v>
      </c>
      <c r="I33" s="77"/>
      <c r="J33" s="77"/>
      <c r="K33" s="26"/>
    </row>
    <row r="35" customFormat="false" ht="24" hidden="false" customHeight="true" outlineLevel="0" collapsed="false">
      <c r="B35" s="5" t="s">
        <v>580</v>
      </c>
      <c r="C35" s="6"/>
      <c r="D35" s="6"/>
      <c r="E35" s="6"/>
      <c r="F35" s="6"/>
      <c r="G35" s="6"/>
      <c r="H35" s="40" t="s">
        <v>581</v>
      </c>
      <c r="I35" s="40"/>
      <c r="J35" s="40"/>
      <c r="K35" s="40"/>
    </row>
    <row r="36" customFormat="false" ht="30" hidden="false" customHeight="true" outlineLevel="0" collapsed="false">
      <c r="B36" s="9" t="s">
        <v>118</v>
      </c>
      <c r="C36" s="9" t="s">
        <v>582</v>
      </c>
      <c r="D36" s="9" t="s">
        <v>448</v>
      </c>
      <c r="E36" s="9" t="s">
        <v>449</v>
      </c>
      <c r="F36" s="9" t="s">
        <v>571</v>
      </c>
      <c r="G36" s="9" t="s">
        <v>573</v>
      </c>
      <c r="H36" s="9"/>
      <c r="I36" s="9"/>
      <c r="J36" s="9"/>
      <c r="K36" s="9" t="s">
        <v>548</v>
      </c>
    </row>
    <row r="37" customFormat="false" ht="21.75" hidden="false" customHeight="true" outlineLevel="0" collapsed="false">
      <c r="B37" s="10" t="s">
        <v>583</v>
      </c>
      <c r="C37" s="31" t="n">
        <f aca="false">DRLow</f>
        <v>0.035</v>
      </c>
      <c r="D37" s="49" t="n">
        <f aca="false">SUMPRODUCT('Cash Flow'!$S$11:$S$50,'Cash Flow'!$H$11:$H$50,1/(1+$C37)^'Cash Flow'!$B$11:$B$50)</f>
        <v>129389830.53538</v>
      </c>
      <c r="E37" s="49" t="n">
        <f aca="false">SUMPRODUCT('Cash Flow'!$S$11:$S$50,'Cash Flow'!$K$11:$K$50,1/(1+$C37)^'Cash Flow'!$B$11:$B$50)</f>
        <v>212503626.817735</v>
      </c>
      <c r="F37" s="52" t="n">
        <f aca="false">$E37-$D37</f>
        <v>83113796.2823546</v>
      </c>
      <c r="G37" s="76" t="n">
        <f aca="false">IFERROR($E37/$D37,"n/a")</f>
        <v>1.64235184433314</v>
      </c>
      <c r="H37" s="26" t="s">
        <v>584</v>
      </c>
      <c r="I37" s="26"/>
      <c r="J37" s="26"/>
      <c r="K37" s="26"/>
    </row>
    <row r="38" customFormat="false" ht="21.75" hidden="false" customHeight="true" outlineLevel="0" collapsed="false">
      <c r="B38" s="10" t="s">
        <v>585</v>
      </c>
      <c r="C38" s="31" t="n">
        <f aca="false">DRMid</f>
        <v>0.07</v>
      </c>
      <c r="D38" s="49" t="n">
        <f aca="false">SUMPRODUCT('Cash Flow'!$S$11:$S$50,'Cash Flow'!$H$11:$H$50,1/(1+$C38)^'Cash Flow'!$B$11:$B$50)</f>
        <v>100988751.646171</v>
      </c>
      <c r="E38" s="49" t="n">
        <f aca="false">SUMPRODUCT('Cash Flow'!$S$11:$S$50,'Cash Flow'!$K$11:$K$50,1/(1+$C38)^'Cash Flow'!$B$11:$B$50)</f>
        <v>134026984.527487</v>
      </c>
      <c r="F38" s="52" t="n">
        <f aca="false">$E38-$D38</f>
        <v>33038232.8813157</v>
      </c>
      <c r="G38" s="76" t="n">
        <f aca="false">IFERROR($E38/$D38,"n/a")</f>
        <v>1.32714765102821</v>
      </c>
      <c r="H38" s="26" t="s">
        <v>584</v>
      </c>
      <c r="I38" s="26"/>
      <c r="J38" s="26"/>
      <c r="K38" s="26"/>
    </row>
    <row r="39" customFormat="false" ht="21.75" hidden="false" customHeight="true" outlineLevel="0" collapsed="false">
      <c r="B39" s="10" t="s">
        <v>586</v>
      </c>
      <c r="C39" s="31" t="n">
        <f aca="false">DRHigh</f>
        <v>0.1</v>
      </c>
      <c r="D39" s="49" t="n">
        <f aca="false">SUMPRODUCT('Cash Flow'!$S$11:$S$50,'Cash Flow'!$H$11:$H$50,1/(1+$C39)^'Cash Flow'!$B$11:$B$50)</f>
        <v>86158106.3665714</v>
      </c>
      <c r="E39" s="49" t="n">
        <f aca="false">SUMPRODUCT('Cash Flow'!$S$11:$S$50,'Cash Flow'!$K$11:$K$50,1/(1+$C39)^'Cash Flow'!$B$11:$B$50)</f>
        <v>95703627.7154908</v>
      </c>
      <c r="F39" s="52" t="n">
        <f aca="false">$E39-$D39</f>
        <v>9545521.34891939</v>
      </c>
      <c r="G39" s="76" t="n">
        <f aca="false">IFERROR($E39/$D39,"n/a")</f>
        <v>1.11079075146228</v>
      </c>
      <c r="H39" s="26" t="s">
        <v>584</v>
      </c>
      <c r="I39" s="26"/>
      <c r="J39" s="26"/>
      <c r="K39" s="26"/>
    </row>
    <row r="40" customFormat="false" ht="21.75" hidden="false" customHeight="true" outlineLevel="0" collapsed="false">
      <c r="B40" s="10" t="s">
        <v>587</v>
      </c>
      <c r="C40" s="31" t="n">
        <f aca="false">EffDiscRate</f>
        <v>0.07</v>
      </c>
      <c r="D40" s="49" t="n">
        <f aca="false">SUMPRODUCT('Cash Flow'!$S$11:$S$50,'Cash Flow'!$H$11:$H$50,1/(1+$C40)^'Cash Flow'!$B$11:$B$50)</f>
        <v>100988751.646171</v>
      </c>
      <c r="E40" s="49" t="n">
        <f aca="false">SUMPRODUCT('Cash Flow'!$S$11:$S$50,'Cash Flow'!$K$11:$K$50,1/(1+$C40)^'Cash Flow'!$B$11:$B$50)</f>
        <v>134026984.527487</v>
      </c>
      <c r="F40" s="52" t="n">
        <f aca="false">$E40-$D40</f>
        <v>33038232.8813157</v>
      </c>
      <c r="G40" s="76" t="n">
        <f aca="false">IFERROR($E40/$D40,"n/a")</f>
        <v>1.32714765102821</v>
      </c>
      <c r="H40" s="26" t="s">
        <v>584</v>
      </c>
      <c r="I40" s="26"/>
      <c r="J40" s="26"/>
      <c r="K40" s="26"/>
    </row>
    <row r="42" customFormat="false" ht="24" hidden="false" customHeight="true" outlineLevel="0" collapsed="false">
      <c r="B42" s="5" t="s">
        <v>588</v>
      </c>
      <c r="C42" s="6"/>
      <c r="D42" s="6"/>
      <c r="E42" s="6"/>
      <c r="F42" s="6"/>
      <c r="G42" s="6"/>
      <c r="H42" s="6"/>
      <c r="I42" s="6"/>
      <c r="J42" s="6"/>
      <c r="K42" s="6"/>
    </row>
    <row r="43" customFormat="false" ht="30" hidden="false" customHeight="true" outlineLevel="0" collapsed="false">
      <c r="B43" s="9" t="s">
        <v>565</v>
      </c>
      <c r="C43" s="9" t="s">
        <v>132</v>
      </c>
      <c r="D43" s="9" t="s">
        <v>152</v>
      </c>
      <c r="E43" s="9" t="s">
        <v>589</v>
      </c>
      <c r="F43" s="9"/>
      <c r="G43" s="9"/>
      <c r="H43" s="9"/>
      <c r="I43" s="9"/>
      <c r="J43" s="9"/>
      <c r="K43" s="9" t="s">
        <v>590</v>
      </c>
    </row>
    <row r="44" customFormat="false" ht="33.75" hidden="false" customHeight="true" outlineLevel="0" collapsed="false">
      <c r="B44" s="17" t="s">
        <v>444</v>
      </c>
      <c r="C44" s="78" t="n">
        <f aca="false">IFERROR(($C$11-$C$12)/$C$15,"n/a")</f>
        <v>-0.251839657604515</v>
      </c>
      <c r="D44" s="25" t="s">
        <v>591</v>
      </c>
      <c r="E44" s="26" t="s">
        <v>592</v>
      </c>
      <c r="F44" s="26"/>
      <c r="G44" s="26"/>
      <c r="H44" s="26"/>
      <c r="I44" s="26"/>
      <c r="J44" s="26"/>
      <c r="K44" s="79" t="str">
        <f aca="false">IF(ISTEXT($C44),"n/a",IF(ABS($C44)&gt;=0.3,"Robust",IF(ABS($C44)&gt;=0.15,"Moderate headroom","Fragile - small change flips the result")))</f>
        <v>Moderate headroom</v>
      </c>
    </row>
    <row r="45" customFormat="false" ht="33.75" hidden="false" customHeight="true" outlineLevel="0" collapsed="false">
      <c r="B45" s="17" t="s">
        <v>570</v>
      </c>
      <c r="C45" s="78" t="n">
        <f aca="false">IFERROR(($C$12-$C$11)/$C$13,"n/a")</f>
        <v>0.619419430700676</v>
      </c>
      <c r="D45" s="25" t="s">
        <v>591</v>
      </c>
      <c r="E45" s="26" t="s">
        <v>593</v>
      </c>
      <c r="F45" s="26"/>
      <c r="G45" s="26"/>
      <c r="H45" s="26"/>
      <c r="I45" s="26"/>
      <c r="J45" s="26"/>
      <c r="K45" s="79" t="str">
        <f aca="false">IF(ISTEXT($C45),"n/a",IF(ABS($C45)&gt;=0.3,"Robust",IF(ABS($C45)&gt;=0.15,"Moderate headroom","Fragile - small change flips the result")))</f>
        <v>Robust</v>
      </c>
    </row>
    <row r="46" customFormat="false" ht="33.75" hidden="false" customHeight="true" outlineLevel="0" collapsed="false">
      <c r="B46" s="17" t="s">
        <v>574</v>
      </c>
      <c r="C46" s="78" t="n">
        <f aca="false">IFERROR(($C$12-$C$11)/$C$14,"n/a")</f>
        <v>0.693332801346892</v>
      </c>
      <c r="D46" s="25" t="s">
        <v>591</v>
      </c>
      <c r="E46" s="26" t="s">
        <v>594</v>
      </c>
      <c r="F46" s="26"/>
      <c r="G46" s="26"/>
      <c r="H46" s="26"/>
      <c r="I46" s="26"/>
      <c r="J46" s="26"/>
      <c r="K46" s="79" t="str">
        <f aca="false">IF(ISTEXT($C46),"n/a",IF(ABS($C46)&gt;=0.3,"Robust",IF(ABS($C46)&gt;=0.15,"Moderate headroom","Fragile - small change flips the result")))</f>
        <v>Robust</v>
      </c>
    </row>
    <row r="47" customFormat="false" ht="33.75" hidden="false" customHeight="true" outlineLevel="0" collapsed="false">
      <c r="B47" s="17" t="s">
        <v>595</v>
      </c>
      <c r="C47" s="72" t="n">
        <f aca="false">IFERROR(IRRBase,"n/a")</f>
        <v>0.118476984089206</v>
      </c>
      <c r="D47" s="25" t="s">
        <v>180</v>
      </c>
      <c r="E47" s="26" t="s">
        <v>596</v>
      </c>
      <c r="F47" s="26"/>
      <c r="G47" s="26"/>
      <c r="H47" s="26"/>
      <c r="I47" s="26"/>
      <c r="J47" s="26"/>
      <c r="K47" s="79" t="str">
        <f aca="false">IF(ISTEXT($C47),"n/a",IF($C47-EffDiscRate&gt;=0.03,"Robust",IF($C47-EffDiscRate&gt;=0.015,"Moderate headroom","Fragile - small change flips the result")))</f>
        <v>Robust</v>
      </c>
    </row>
    <row r="49" customFormat="false" ht="15" hidden="false" customHeight="true" outlineLevel="0" collapsed="false">
      <c r="B49" s="39" t="s">
        <v>597</v>
      </c>
      <c r="C49" s="39"/>
      <c r="D49" s="39"/>
      <c r="E49" s="39"/>
      <c r="F49" s="39"/>
      <c r="G49" s="39"/>
      <c r="H49" s="39"/>
      <c r="I49" s="39"/>
      <c r="J49" s="39"/>
      <c r="K49" s="39"/>
    </row>
    <row r="50" customFormat="false" ht="21.75" hidden="false" customHeight="true" outlineLevel="0" collapsed="false">
      <c r="B50" s="17" t="s">
        <v>598</v>
      </c>
      <c r="C50" s="80" t="n">
        <f aca="false">($C$12+$C$44*$C$15)-$C$11</f>
        <v>0</v>
      </c>
      <c r="D50" s="26" t="s">
        <v>599</v>
      </c>
      <c r="E50" s="26"/>
      <c r="F50" s="26"/>
      <c r="G50" s="26"/>
      <c r="H50" s="26"/>
      <c r="I50" s="26"/>
      <c r="J50" s="26"/>
      <c r="K50" s="26"/>
    </row>
    <row r="52" customFormat="false" ht="24" hidden="false" customHeight="true" outlineLevel="0" collapsed="false">
      <c r="B52" s="5" t="s">
        <v>600</v>
      </c>
      <c r="C52" s="6"/>
      <c r="D52" s="6"/>
      <c r="E52" s="6"/>
      <c r="F52" s="6"/>
      <c r="G52" s="6"/>
      <c r="H52" s="40" t="s">
        <v>601</v>
      </c>
      <c r="I52" s="40"/>
      <c r="J52" s="40"/>
      <c r="K52" s="40"/>
    </row>
    <row r="53" customFormat="false" ht="30" hidden="false" customHeight="true" outlineLevel="0" collapsed="false">
      <c r="B53" s="9" t="s">
        <v>565</v>
      </c>
      <c r="C53" s="9" t="s">
        <v>602</v>
      </c>
      <c r="D53" s="9" t="s">
        <v>603</v>
      </c>
      <c r="E53" s="9" t="s">
        <v>604</v>
      </c>
      <c r="F53" s="9" t="s">
        <v>605</v>
      </c>
      <c r="G53" s="9" t="s">
        <v>606</v>
      </c>
      <c r="H53" s="9"/>
      <c r="I53" s="9"/>
      <c r="J53" s="9"/>
      <c r="K53" s="9" t="s">
        <v>607</v>
      </c>
    </row>
    <row r="54" customFormat="false" ht="21.75" hidden="false" customHeight="true" outlineLevel="0" collapsed="false">
      <c r="B54" s="17" t="s">
        <v>570</v>
      </c>
      <c r="C54" s="49" t="n">
        <f aca="false">$D22</f>
        <v>43705716.4130943</v>
      </c>
      <c r="D54" s="49" t="n">
        <f aca="false">$H22</f>
        <v>22370749.3495371</v>
      </c>
      <c r="E54" s="52" t="n">
        <f aca="false">ABS($D54-$C54)</f>
        <v>21334967.0635572</v>
      </c>
      <c r="F54" s="28" t="n">
        <f aca="false">IFERROR(RANK($E54,$E$54:$E$59,0),"n/a")</f>
        <v>3</v>
      </c>
      <c r="G54" s="81" t="n">
        <f aca="false">IFERROR($E54/SUM($E$54:$E$59),0)</f>
        <v>0.147741083261746</v>
      </c>
      <c r="H54" s="57" t="str">
        <f aca="false">IF($F54&lt;=2,"Primary driver - quantify and control","Secondary")</f>
        <v>Secondary</v>
      </c>
      <c r="I54" s="57"/>
      <c r="J54" s="57"/>
      <c r="K54" s="25" t="str">
        <f aca="false">IF($G54&gt;=0.3,"High",IF($G54&gt;=0.15,"Moderate","Low"))</f>
        <v>Low</v>
      </c>
    </row>
    <row r="55" customFormat="false" ht="21.75" hidden="false" customHeight="true" outlineLevel="0" collapsed="false">
      <c r="B55" s="17" t="s">
        <v>574</v>
      </c>
      <c r="C55" s="49" t="n">
        <f aca="false">$D24</f>
        <v>42568499.6787713</v>
      </c>
      <c r="D55" s="49" t="n">
        <f aca="false">$H24</f>
        <v>23507966.0838601</v>
      </c>
      <c r="E55" s="52" t="n">
        <f aca="false">ABS($D55-$C55)</f>
        <v>19060533.5949112</v>
      </c>
      <c r="F55" s="28" t="n">
        <f aca="false">IFERROR(RANK($E55,$E$54:$E$59,0),"n/a")</f>
        <v>4</v>
      </c>
      <c r="G55" s="81" t="n">
        <f aca="false">IFERROR($E55/SUM($E$54:$E$59),0)</f>
        <v>0.131991011397866</v>
      </c>
      <c r="H55" s="57" t="str">
        <f aca="false">IF($F55&lt;=2,"Primary driver - quantify and control","Secondary")</f>
        <v>Secondary</v>
      </c>
      <c r="I55" s="57"/>
      <c r="J55" s="57"/>
      <c r="K55" s="25" t="str">
        <f aca="false">IF($G55&gt;=0.3,"High",IF($G55&gt;=0.15,"Moderate","Low"))</f>
        <v>Low</v>
      </c>
    </row>
    <row r="56" customFormat="false" ht="21.75" hidden="false" customHeight="true" outlineLevel="0" collapsed="false">
      <c r="B56" s="17" t="s">
        <v>444</v>
      </c>
      <c r="C56" s="49" t="n">
        <f aca="false">$D26</f>
        <v>6800718.74587442</v>
      </c>
      <c r="D56" s="49" t="n">
        <f aca="false">$H26</f>
        <v>59275747.016757</v>
      </c>
      <c r="E56" s="52" t="n">
        <f aca="false">ABS($D56-$C56)</f>
        <v>52475028.2708826</v>
      </c>
      <c r="F56" s="28" t="n">
        <f aca="false">IFERROR(RANK($E56,$E$54:$E$59,0),"n/a")</f>
        <v>1</v>
      </c>
      <c r="G56" s="81" t="n">
        <f aca="false">IFERROR($E56/SUM($E$54:$E$59),0)</f>
        <v>0.363380805690275</v>
      </c>
      <c r="H56" s="57" t="str">
        <f aca="false">IF($F56&lt;=2,"Primary driver - quantify and control","Secondary")</f>
        <v>Primary driver - quantify and control</v>
      </c>
      <c r="I56" s="57"/>
      <c r="J56" s="57"/>
      <c r="K56" s="25" t="str">
        <f aca="false">IF($G56&gt;=0.3,"High",IF($G56&gt;=0.15,"Moderate","Low"))</f>
        <v>High</v>
      </c>
    </row>
    <row r="57" customFormat="false" ht="21.75" hidden="false" customHeight="true" outlineLevel="0" collapsed="false">
      <c r="B57" s="17" t="s">
        <v>118</v>
      </c>
      <c r="C57" s="49" t="n">
        <f aca="false">$D28</f>
        <v>49161702.9675949</v>
      </c>
      <c r="D57" s="49" t="n">
        <f aca="false">$H28</f>
        <v>20545483.6124175</v>
      </c>
      <c r="E57" s="52" t="n">
        <f aca="false">ABS($D57-$C57)</f>
        <v>28616219.3551774</v>
      </c>
      <c r="F57" s="28" t="n">
        <f aca="false">IFERROR(RANK($E57,$E$54:$E$59,0),"n/a")</f>
        <v>2</v>
      </c>
      <c r="G57" s="81" t="n">
        <f aca="false">IFERROR($E57/SUM($E$54:$E$59),0)</f>
        <v>0.198162539168445</v>
      </c>
      <c r="H57" s="57" t="str">
        <f aca="false">IF($F57&lt;=2,"Primary driver - quantify and control","Secondary")</f>
        <v>Primary driver - quantify and control</v>
      </c>
      <c r="I57" s="57"/>
      <c r="J57" s="57"/>
      <c r="K57" s="25" t="str">
        <f aca="false">IF($G57&gt;=0.3,"High",IF($G57&gt;=0.15,"Moderate","Low"))</f>
        <v>Moderate</v>
      </c>
    </row>
    <row r="58" customFormat="false" ht="21.75" hidden="false" customHeight="true" outlineLevel="0" collapsed="false">
      <c r="B58" s="17" t="s">
        <v>172</v>
      </c>
      <c r="C58" s="49" t="n">
        <f aca="false">$D30</f>
        <v>21547020.1555223</v>
      </c>
      <c r="D58" s="49" t="n">
        <f aca="false">$H30</f>
        <v>38612350.8381858</v>
      </c>
      <c r="E58" s="52" t="n">
        <f aca="false">ABS($D58-$C58)</f>
        <v>17065330.6826635</v>
      </c>
      <c r="F58" s="28" t="n">
        <f aca="false">IFERROR(RANK($E58,$E$54:$E$59,0),"n/a")</f>
        <v>5</v>
      </c>
      <c r="G58" s="81" t="n">
        <f aca="false">IFERROR($E58/SUM($E$54:$E$59),0)</f>
        <v>0.118174564496198</v>
      </c>
      <c r="H58" s="57" t="str">
        <f aca="false">IF($F58&lt;=2,"Primary driver - quantify and control","Secondary")</f>
        <v>Secondary</v>
      </c>
      <c r="I58" s="57"/>
      <c r="J58" s="57"/>
      <c r="K58" s="25" t="str">
        <f aca="false">IF($G58&gt;=0.3,"High",IF($G58&gt;=0.15,"Moderate","Low"))</f>
        <v>Low</v>
      </c>
    </row>
    <row r="59" customFormat="false" ht="21.75" hidden="false" customHeight="true" outlineLevel="0" collapsed="false">
      <c r="B59" s="17" t="s">
        <v>215</v>
      </c>
      <c r="C59" s="49" t="n">
        <f aca="false">$D32</f>
        <v>35611602.402024</v>
      </c>
      <c r="D59" s="49" t="n">
        <f aca="false">$H32</f>
        <v>29755866.0714282</v>
      </c>
      <c r="E59" s="52" t="n">
        <f aca="false">ABS($D59-$C59)</f>
        <v>5855736.33059581</v>
      </c>
      <c r="F59" s="28" t="n">
        <f aca="false">IFERROR(RANK($E59,$E$54:$E$59,0),"n/a")</f>
        <v>6</v>
      </c>
      <c r="G59" s="81" t="n">
        <f aca="false">IFERROR($E59/SUM($E$54:$E$59),0)</f>
        <v>0.0405499959854701</v>
      </c>
      <c r="H59" s="57" t="str">
        <f aca="false">IF($F59&lt;=2,"Primary driver - quantify and control","Secondary")</f>
        <v>Secondary</v>
      </c>
      <c r="I59" s="57"/>
      <c r="J59" s="57"/>
      <c r="K59" s="25" t="str">
        <f aca="false">IF($G59&gt;=0.3,"High",IF($G59&gt;=0.15,"Moderate","Low"))</f>
        <v>Low</v>
      </c>
    </row>
    <row r="61" customFormat="false" ht="31.5" hidden="false" customHeight="true" outlineLevel="0" collapsed="false">
      <c r="B61" s="39" t="s">
        <v>608</v>
      </c>
      <c r="C61" s="39"/>
      <c r="D61" s="39"/>
      <c r="E61" s="39"/>
      <c r="F61" s="39"/>
      <c r="G61" s="39"/>
      <c r="H61" s="39"/>
      <c r="I61" s="39"/>
      <c r="J61" s="39"/>
      <c r="K61" s="39"/>
    </row>
  </sheetData>
  <mergeCells count="41">
    <mergeCell ref="B7:K7"/>
    <mergeCell ref="D11:K11"/>
    <mergeCell ref="D12:K12"/>
    <mergeCell ref="D13:K13"/>
    <mergeCell ref="D14:K14"/>
    <mergeCell ref="D15:K15"/>
    <mergeCell ref="D16:K16"/>
    <mergeCell ref="D17:K17"/>
    <mergeCell ref="D18:K18"/>
    <mergeCell ref="H20:K20"/>
    <mergeCell ref="B22:B23"/>
    <mergeCell ref="K22:K23"/>
    <mergeCell ref="B24:B25"/>
    <mergeCell ref="K24:K25"/>
    <mergeCell ref="B26:B27"/>
    <mergeCell ref="K26:K27"/>
    <mergeCell ref="B28:B29"/>
    <mergeCell ref="K28:K29"/>
    <mergeCell ref="B30:B31"/>
    <mergeCell ref="K30:K31"/>
    <mergeCell ref="B32:B33"/>
    <mergeCell ref="K32:K33"/>
    <mergeCell ref="H35:K35"/>
    <mergeCell ref="H37:K37"/>
    <mergeCell ref="H38:K38"/>
    <mergeCell ref="H39:K39"/>
    <mergeCell ref="H40:K40"/>
    <mergeCell ref="E44:J44"/>
    <mergeCell ref="E45:J45"/>
    <mergeCell ref="E46:J46"/>
    <mergeCell ref="E47:J47"/>
    <mergeCell ref="B49:K49"/>
    <mergeCell ref="D50:K50"/>
    <mergeCell ref="H52:K52"/>
    <mergeCell ref="H54:J54"/>
    <mergeCell ref="H55:J55"/>
    <mergeCell ref="H56:J56"/>
    <mergeCell ref="H57:J57"/>
    <mergeCell ref="H58:J58"/>
    <mergeCell ref="H59:J59"/>
    <mergeCell ref="B61:K61"/>
  </mergeCells>
  <conditionalFormatting sqref="D22:H22">
    <cfRule type="cellIs" priority="2" operator="lessThan" aboveAverage="0" equalAverage="0" bottom="0" percent="0" rank="0" text="" dxfId="3">
      <formula>0</formula>
    </cfRule>
    <cfRule type="cellIs" priority="3" operator="greaterThan" aboveAverage="0" equalAverage="0" bottom="0" percent="0" rank="0" text="" dxfId="6">
      <formula>0</formula>
    </cfRule>
  </conditionalFormatting>
  <conditionalFormatting sqref="I22:J22">
    <cfRule type="cellIs" priority="4" operator="lessThan" aboveAverage="0" equalAverage="0" bottom="0" percent="0" rank="0" text="" dxfId="3">
      <formula>0</formula>
    </cfRule>
  </conditionalFormatting>
  <conditionalFormatting sqref="D24:H24">
    <cfRule type="cellIs" priority="5" operator="lessThan" aboveAverage="0" equalAverage="0" bottom="0" percent="0" rank="0" text="" dxfId="3">
      <formula>0</formula>
    </cfRule>
    <cfRule type="cellIs" priority="6" operator="greaterThan" aboveAverage="0" equalAverage="0" bottom="0" percent="0" rank="0" text="" dxfId="6">
      <formula>0</formula>
    </cfRule>
  </conditionalFormatting>
  <conditionalFormatting sqref="I24:J24">
    <cfRule type="cellIs" priority="7" operator="lessThan" aboveAverage="0" equalAverage="0" bottom="0" percent="0" rank="0" text="" dxfId="3">
      <formula>0</formula>
    </cfRule>
  </conditionalFormatting>
  <conditionalFormatting sqref="D26:H26">
    <cfRule type="cellIs" priority="8" operator="lessThan" aboveAverage="0" equalAverage="0" bottom="0" percent="0" rank="0" text="" dxfId="3">
      <formula>0</formula>
    </cfRule>
    <cfRule type="cellIs" priority="9" operator="greaterThan" aboveAverage="0" equalAverage="0" bottom="0" percent="0" rank="0" text="" dxfId="6">
      <formula>0</formula>
    </cfRule>
  </conditionalFormatting>
  <conditionalFormatting sqref="I26:J26">
    <cfRule type="cellIs" priority="10" operator="lessThan" aboveAverage="0" equalAverage="0" bottom="0" percent="0" rank="0" text="" dxfId="3">
      <formula>0</formula>
    </cfRule>
  </conditionalFormatting>
  <conditionalFormatting sqref="D28:H28">
    <cfRule type="cellIs" priority="11" operator="lessThan" aboveAverage="0" equalAverage="0" bottom="0" percent="0" rank="0" text="" dxfId="3">
      <formula>0</formula>
    </cfRule>
    <cfRule type="cellIs" priority="12" operator="greaterThan" aboveAverage="0" equalAverage="0" bottom="0" percent="0" rank="0" text="" dxfId="6">
      <formula>0</formula>
    </cfRule>
  </conditionalFormatting>
  <conditionalFormatting sqref="I28:J28">
    <cfRule type="cellIs" priority="13" operator="lessThan" aboveAverage="0" equalAverage="0" bottom="0" percent="0" rank="0" text="" dxfId="3">
      <formula>0</formula>
    </cfRule>
  </conditionalFormatting>
  <conditionalFormatting sqref="D30:H30">
    <cfRule type="cellIs" priority="14" operator="lessThan" aboveAverage="0" equalAverage="0" bottom="0" percent="0" rank="0" text="" dxfId="3">
      <formula>0</formula>
    </cfRule>
    <cfRule type="cellIs" priority="15" operator="greaterThan" aboveAverage="0" equalAverage="0" bottom="0" percent="0" rank="0" text="" dxfId="6">
      <formula>0</formula>
    </cfRule>
  </conditionalFormatting>
  <conditionalFormatting sqref="I30:J30">
    <cfRule type="cellIs" priority="16" operator="lessThan" aboveAverage="0" equalAverage="0" bottom="0" percent="0" rank="0" text="" dxfId="3">
      <formula>0</formula>
    </cfRule>
  </conditionalFormatting>
  <conditionalFormatting sqref="D32:H32">
    <cfRule type="cellIs" priority="17" operator="lessThan" aboveAverage="0" equalAverage="0" bottom="0" percent="0" rank="0" text="" dxfId="3">
      <formula>0</formula>
    </cfRule>
    <cfRule type="cellIs" priority="18" operator="greaterThan" aboveAverage="0" equalAverage="0" bottom="0" percent="0" rank="0" text="" dxfId="6">
      <formula>0</formula>
    </cfRule>
  </conditionalFormatting>
  <conditionalFormatting sqref="I32:J32">
    <cfRule type="cellIs" priority="19" operator="lessThan" aboveAverage="0" equalAverage="0" bottom="0" percent="0" rank="0" text="" dxfId="3">
      <formula>0</formula>
    </cfRule>
  </conditionalFormatting>
  <conditionalFormatting sqref="F37:F40">
    <cfRule type="cellIs" priority="20" operator="lessThan" aboveAverage="0" equalAverage="0" bottom="0" percent="0" rank="0" text="" dxfId="3">
      <formula>0</formula>
    </cfRule>
    <cfRule type="cellIs" priority="21" operator="greaterThan" aboveAverage="0" equalAverage="0" bottom="0" percent="0" rank="0" text="" dxfId="6">
      <formula>0</formula>
    </cfRule>
  </conditionalFormatting>
  <conditionalFormatting sqref="K44:K47">
    <cfRule type="cellIs" priority="22" operator="equal" aboveAverage="0" equalAverage="0" bottom="0" percent="0" rank="0" text="" dxfId="2">
      <formula>"Robust"</formula>
    </cfRule>
    <cfRule type="cellIs" priority="23" operator="equal" aboveAverage="0" equalAverage="0" bottom="0" percent="0" rank="0" text="" dxfId="5">
      <formula>"Moderate headroom"</formula>
    </cfRule>
    <cfRule type="cellIs" priority="24" operator="equal" aboveAverage="0" equalAverage="0" bottom="0" percent="0" rank="0" text="" dxfId="3">
      <formula>"Fragile — small change flips the result"</formula>
    </cfRule>
  </conditionalFormatting>
  <printOptions headings="false" gridLines="false" gridLinesSet="true" horizontalCentered="true" verticalCentered="false"/>
  <pageMargins left="0.4" right="0.4" top="0.5" bottom="0.5" header="0.511811023622047" footer="0.5"/>
  <pageSetup paperSize="8" scale="100" fitToWidth="1" fitToHeight="0" pageOrder="downThenOver" orientation="landscape" blackAndWhite="false" draft="false" cellComments="none" horizontalDpi="300" verticalDpi="300" copies="1"/>
  <headerFooter differentFirst="false" differentOddEven="false">
    <oddHeader/>
    <oddFooter>&amp;L&amp;8 &amp;K8e98a2Template by Mastt  ·  mastt.com&amp;R&amp;8 &amp;K8e98a2Page &amp;P of &amp;N</oddFooter>
  </headerFooter>
  <drawing r:id="rId1"/>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tabColor rgb="FF0D3C61"/>
    <pageSetUpPr fitToPage="true"/>
  </sheetPr>
  <dimension ref="A1:H28"/>
  <sheetViews>
    <sheetView showFormulas="false" showGridLines="false" showRowColHeaders="true" showZeros="true" rightToLeft="false" tabSelected="false" showOutlineSymbols="true" defaultGridColor="true" view="normal" topLeftCell="A1" colorId="64" zoomScale="100" zoomScaleNormal="100" zoomScalePageLayoutView="100" workbookViewId="0">
      <pane xSplit="0" ySplit="7" topLeftCell="A8" activePane="bottomLeft" state="frozen"/>
      <selection pane="topLeft" activeCell="A1" activeCellId="0" sqref="A1"/>
      <selection pane="bottomLeft" activeCell="A1" activeCellId="0" sqref="A1"/>
    </sheetView>
  </sheetViews>
  <sheetFormatPr defaultColWidth="8.6796875" defaultRowHeight="15" zeroHeight="false" outlineLevelRow="0" outlineLevelCol="0"/>
  <cols>
    <col collapsed="false" customWidth="true" hidden="false" outlineLevel="0" max="1" min="1" style="1" width="3"/>
    <col collapsed="false" customWidth="true" hidden="false" outlineLevel="0" max="2" min="2" style="1" width="44"/>
    <col collapsed="false" customWidth="true" hidden="false" outlineLevel="0" max="3" min="3" style="1" width="12"/>
    <col collapsed="false" customWidth="true" hidden="false" outlineLevel="0" max="7" min="4" style="1" width="22"/>
    <col collapsed="false" customWidth="true" hidden="false" outlineLevel="0" max="8" min="8" style="1" width="46"/>
    <col collapsed="false" customWidth="true" hidden="false" outlineLevel="0" max="9" min="9" style="1" width="3"/>
  </cols>
  <sheetData>
    <row r="1" customFormat="false" ht="9.75" hidden="false" customHeight="true" outlineLevel="0" collapsed="false">
      <c r="A1" s="2"/>
      <c r="B1" s="2"/>
      <c r="C1" s="2"/>
      <c r="D1" s="2"/>
      <c r="E1" s="2"/>
      <c r="F1" s="2"/>
      <c r="G1" s="2"/>
      <c r="H1" s="2"/>
    </row>
    <row r="2" customFormat="false" ht="33.75" hidden="false" customHeight="true" outlineLevel="0" collapsed="false">
      <c r="A2" s="2"/>
      <c r="B2" s="2"/>
      <c r="C2" s="2"/>
      <c r="D2" s="2"/>
      <c r="E2" s="2"/>
      <c r="F2" s="2"/>
      <c r="G2" s="2"/>
      <c r="H2" s="2"/>
    </row>
    <row r="3" customFormat="false" ht="7.5" hidden="false" customHeight="true" outlineLevel="0" collapsed="false">
      <c r="A3" s="2"/>
      <c r="B3" s="2"/>
      <c r="C3" s="2"/>
      <c r="D3" s="2"/>
      <c r="E3" s="2"/>
      <c r="F3" s="2"/>
      <c r="G3" s="2"/>
      <c r="H3" s="2"/>
    </row>
    <row r="4" customFormat="false" ht="30" hidden="false" customHeight="true" outlineLevel="0" collapsed="false">
      <c r="A4" s="2"/>
      <c r="B4" s="3" t="s">
        <v>80</v>
      </c>
      <c r="C4" s="2"/>
      <c r="D4" s="2"/>
      <c r="E4" s="2"/>
      <c r="F4" s="2"/>
      <c r="G4" s="2"/>
      <c r="H4" s="2"/>
    </row>
    <row r="5" customFormat="false" ht="21.75" hidden="false" customHeight="true" outlineLevel="0" collapsed="false">
      <c r="A5" s="2"/>
      <c r="B5" s="4" t="s">
        <v>609</v>
      </c>
      <c r="C5" s="2"/>
      <c r="D5" s="2"/>
      <c r="E5" s="2"/>
      <c r="F5" s="2"/>
      <c r="G5" s="2"/>
      <c r="H5" s="2"/>
    </row>
    <row r="6" customFormat="false" ht="7.5" hidden="false" customHeight="true" outlineLevel="0" collapsed="false"/>
    <row r="7" customFormat="false" ht="31.5" hidden="false" customHeight="true" outlineLevel="0" collapsed="false">
      <c r="B7" s="23" t="s">
        <v>610</v>
      </c>
      <c r="C7" s="23"/>
      <c r="D7" s="23"/>
      <c r="E7" s="23"/>
      <c r="F7" s="23"/>
      <c r="G7" s="23"/>
      <c r="H7" s="23"/>
    </row>
    <row r="9" customFormat="false" ht="24" hidden="false" customHeight="true" outlineLevel="0" collapsed="false">
      <c r="B9" s="5" t="s">
        <v>611</v>
      </c>
      <c r="C9" s="6"/>
      <c r="D9" s="6"/>
      <c r="E9" s="6"/>
      <c r="F9" s="6"/>
      <c r="G9" s="6"/>
      <c r="H9" s="6"/>
    </row>
    <row r="10" customFormat="false" ht="43.5" hidden="false" customHeight="true" outlineLevel="0" collapsed="false">
      <c r="B10" s="43" t="s">
        <v>467</v>
      </c>
      <c r="C10" s="43" t="s">
        <v>152</v>
      </c>
      <c r="D10" s="43" t="s">
        <v>612</v>
      </c>
      <c r="E10" s="43" t="str">
        <f aca="false">OptName</f>
        <v>Option 1 - New integrated facility</v>
      </c>
      <c r="F10" s="43" t="s">
        <v>613</v>
      </c>
      <c r="G10" s="43" t="s">
        <v>614</v>
      </c>
      <c r="H10" s="43" t="s">
        <v>548</v>
      </c>
    </row>
    <row r="11" customFormat="false" ht="25.5" hidden="false" customHeight="true" outlineLevel="0" collapsed="false">
      <c r="B11" s="17" t="s">
        <v>615</v>
      </c>
      <c r="C11" s="25" t="s">
        <v>155</v>
      </c>
      <c r="D11" s="79" t="str">
        <f aca="false">BaseCaseDesc</f>
        <v>Do-minimum - continue operating the existing 1974 facility with reactive repairs</v>
      </c>
      <c r="E11" s="79" t="str">
        <f aca="false">OptName</f>
        <v>Option 1 - New integrated facility</v>
      </c>
      <c r="F11" s="45" t="s">
        <v>616</v>
      </c>
      <c r="G11" s="45" t="s">
        <v>617</v>
      </c>
      <c r="H11" s="26" t="s">
        <v>618</v>
      </c>
    </row>
    <row r="12" customFormat="false" ht="27.75" hidden="false" customHeight="true" outlineLevel="0" collapsed="false">
      <c r="B12" s="17" t="s">
        <v>619</v>
      </c>
      <c r="C12" s="25" t="s">
        <v>210</v>
      </c>
      <c r="D12" s="36" t="n">
        <v>0</v>
      </c>
      <c r="E12" s="34" t="n">
        <f aca="false">CapexTotal*(1+OptBias)</f>
        <v>58075920</v>
      </c>
      <c r="F12" s="36" t="n">
        <v>34500000</v>
      </c>
      <c r="G12" s="36" t="n">
        <v>61200000</v>
      </c>
      <c r="H12" s="26" t="s">
        <v>620</v>
      </c>
    </row>
    <row r="13" customFormat="false" ht="27.75" hidden="false" customHeight="true" outlineLevel="0" collapsed="false">
      <c r="B13" s="17" t="s">
        <v>448</v>
      </c>
      <c r="C13" s="25" t="s">
        <v>210</v>
      </c>
      <c r="D13" s="36" t="n">
        <v>0</v>
      </c>
      <c r="E13" s="34" t="n">
        <f aca="false">PVC</f>
        <v>100988751.646171</v>
      </c>
      <c r="F13" s="36" t="n">
        <v>76500000</v>
      </c>
      <c r="G13" s="36" t="n">
        <v>129400000</v>
      </c>
      <c r="H13" s="26" t="s">
        <v>621</v>
      </c>
    </row>
    <row r="14" customFormat="false" ht="27.75" hidden="false" customHeight="true" outlineLevel="0" collapsed="false">
      <c r="B14" s="17" t="s">
        <v>449</v>
      </c>
      <c r="C14" s="25" t="s">
        <v>210</v>
      </c>
      <c r="D14" s="36" t="n">
        <v>0</v>
      </c>
      <c r="E14" s="34" t="n">
        <f aca="false">PVB</f>
        <v>134026984.527487</v>
      </c>
      <c r="F14" s="36" t="n">
        <v>88200000</v>
      </c>
      <c r="G14" s="36" t="n">
        <v>151000000</v>
      </c>
      <c r="H14" s="26" t="s">
        <v>622</v>
      </c>
    </row>
    <row r="15" customFormat="false" ht="27.75" hidden="false" customHeight="true" outlineLevel="0" collapsed="false">
      <c r="B15" s="17" t="s">
        <v>571</v>
      </c>
      <c r="C15" s="25" t="s">
        <v>210</v>
      </c>
      <c r="D15" s="34" t="n">
        <f aca="false">$D14-$D13</f>
        <v>0</v>
      </c>
      <c r="E15" s="34" t="n">
        <f aca="false">$E14-$E13</f>
        <v>33038232.8813157</v>
      </c>
      <c r="F15" s="36" t="n">
        <f aca="false">$F14-$F13</f>
        <v>11700000</v>
      </c>
      <c r="G15" s="36" t="n">
        <f aca="false">$G14-$G13</f>
        <v>21600000</v>
      </c>
      <c r="H15" s="26" t="s">
        <v>623</v>
      </c>
    </row>
    <row r="16" customFormat="false" ht="27.75" hidden="false" customHeight="true" outlineLevel="0" collapsed="false">
      <c r="B16" s="17" t="s">
        <v>573</v>
      </c>
      <c r="C16" s="25" t="s">
        <v>474</v>
      </c>
      <c r="D16" s="82" t="str">
        <f aca="false">IFERROR($D14/$D13,"n/a")</f>
        <v>n/a</v>
      </c>
      <c r="E16" s="82" t="n">
        <f aca="false">IFERROR($E14/$E13,"n/a")</f>
        <v>1.32714765102821</v>
      </c>
      <c r="F16" s="83" t="n">
        <f aca="false">IFERROR($F14/$F13,"n/a")</f>
        <v>1.15294117647059</v>
      </c>
      <c r="G16" s="83" t="n">
        <f aca="false">IFERROR($G14/$G13,"n/a")</f>
        <v>1.16692426584235</v>
      </c>
      <c r="H16" s="26" t="s">
        <v>624</v>
      </c>
    </row>
    <row r="17" customFormat="false" ht="27.75" hidden="false" customHeight="true" outlineLevel="0" collapsed="false">
      <c r="B17" s="17" t="s">
        <v>625</v>
      </c>
      <c r="C17" s="25" t="s">
        <v>180</v>
      </c>
      <c r="D17" s="31" t="str">
        <f aca="false">"n/a"</f>
        <v>n/a</v>
      </c>
      <c r="E17" s="31" t="n">
        <f aca="false">IFERROR(IRRBase,"n/a")</f>
        <v>0.118476984089206</v>
      </c>
      <c r="F17" s="84" t="n">
        <v>0.094</v>
      </c>
      <c r="G17" s="84" t="n">
        <v>0.081</v>
      </c>
      <c r="H17" s="26" t="s">
        <v>626</v>
      </c>
    </row>
    <row r="18" customFormat="false" ht="27.75" hidden="false" customHeight="true" outlineLevel="0" collapsed="false">
      <c r="B18" s="17" t="s">
        <v>627</v>
      </c>
      <c r="C18" s="25" t="s">
        <v>173</v>
      </c>
      <c r="D18" s="28" t="str">
        <f aca="false">"n/a"</f>
        <v>n/a</v>
      </c>
      <c r="E18" s="28" t="n">
        <f aca="false">IFERROR(DPBYrs,"Not achieved")</f>
        <v>15</v>
      </c>
      <c r="F18" s="27" t="n">
        <v>14</v>
      </c>
      <c r="G18" s="27" t="n">
        <v>18</v>
      </c>
      <c r="H18" s="26" t="s">
        <v>628</v>
      </c>
    </row>
    <row r="19" customFormat="false" ht="27.75" hidden="false" customHeight="true" outlineLevel="0" collapsed="false">
      <c r="B19" s="17" t="s">
        <v>629</v>
      </c>
      <c r="C19" s="25" t="s">
        <v>630</v>
      </c>
      <c r="D19" s="24" t="s">
        <v>272</v>
      </c>
      <c r="E19" s="24" t="s">
        <v>260</v>
      </c>
      <c r="F19" s="24" t="s">
        <v>260</v>
      </c>
      <c r="G19" s="24" t="s">
        <v>272</v>
      </c>
      <c r="H19" s="26" t="s">
        <v>631</v>
      </c>
    </row>
    <row r="20" customFormat="false" ht="27.75" hidden="false" customHeight="true" outlineLevel="0" collapsed="false">
      <c r="B20" s="17" t="s">
        <v>632</v>
      </c>
      <c r="C20" s="25" t="s">
        <v>633</v>
      </c>
      <c r="D20" s="27" t="n">
        <v>1</v>
      </c>
      <c r="E20" s="27" t="n">
        <v>4</v>
      </c>
      <c r="F20" s="27" t="n">
        <v>3</v>
      </c>
      <c r="G20" s="27" t="n">
        <v>4</v>
      </c>
      <c r="H20" s="26" t="s">
        <v>634</v>
      </c>
    </row>
    <row r="21" customFormat="false" ht="27.75" hidden="false" customHeight="true" outlineLevel="0" collapsed="false">
      <c r="B21" s="17" t="s">
        <v>635</v>
      </c>
      <c r="C21" s="25" t="s">
        <v>636</v>
      </c>
      <c r="D21" s="28" t="n">
        <f aca="false">IFERROR(RANK($D15,$D$15:$G$15,0),"n/a")</f>
        <v>4</v>
      </c>
      <c r="E21" s="28" t="n">
        <f aca="false">IFERROR(RANK($E15,$D$15:$G$15,0),"n/a")</f>
        <v>1</v>
      </c>
      <c r="F21" s="27" t="n">
        <f aca="false">IFERROR(RANK($F15,$D$15:$G$15,0),"n/a")</f>
        <v>3</v>
      </c>
      <c r="G21" s="27" t="n">
        <f aca="false">IFERROR(RANK($G15,$D$15:$G$15,0),"n/a")</f>
        <v>2</v>
      </c>
      <c r="H21" s="26" t="s">
        <v>637</v>
      </c>
    </row>
    <row r="22" customFormat="false" ht="27.75" hidden="false" customHeight="true" outlineLevel="0" collapsed="false">
      <c r="B22" s="17" t="s">
        <v>638</v>
      </c>
      <c r="C22" s="25" t="s">
        <v>636</v>
      </c>
      <c r="D22" s="28" t="str">
        <f aca="false">IFERROR(RANK($D16,$D$16:$G$16,0),"n/a")</f>
        <v>n/a</v>
      </c>
      <c r="E22" s="28" t="n">
        <f aca="false">IFERROR(RANK($E16,$D$16:$G$16,0),"n/a")</f>
        <v>1</v>
      </c>
      <c r="F22" s="27" t="n">
        <f aca="false">IFERROR(RANK($F16,$D$16:$G$16,0),"n/a")</f>
        <v>3</v>
      </c>
      <c r="G22" s="27" t="n">
        <f aca="false">IFERROR(RANK($G16,$D$16:$G$16,0),"n/a")</f>
        <v>2</v>
      </c>
      <c r="H22" s="26" t="s">
        <v>639</v>
      </c>
    </row>
    <row r="24" customFormat="false" ht="33.75" hidden="false" customHeight="true" outlineLevel="0" collapsed="false">
      <c r="B24" s="17" t="s">
        <v>640</v>
      </c>
      <c r="C24" s="85" t="str">
        <f aca="false">IFERROR(IF(MAX($D$15:$G$15)&lt;=0,"No option is viable on monetised terms - revisit scope, cost or the Base Case",INDEX($D$11:$G$11,MATCH(MAX($D$15:$G$15),$D$15:$G$15,0))),"n/a")</f>
        <v>Option 1 - New integrated facility</v>
      </c>
      <c r="D24" s="85"/>
      <c r="E24" s="85"/>
      <c r="F24" s="85"/>
      <c r="G24" s="85"/>
      <c r="H24" s="85"/>
    </row>
    <row r="26" customFormat="false" ht="30" hidden="false" customHeight="true" outlineLevel="0" collapsed="false">
      <c r="B26" s="17" t="s">
        <v>641</v>
      </c>
      <c r="C26" s="86" t="n">
        <f aca="false">IFERROR(LARGE($D$15:$G$15,1)-LARGE($D$15:$G$15,2),0)</f>
        <v>11438232.8813157</v>
      </c>
      <c r="D26" s="86"/>
      <c r="E26" s="86"/>
      <c r="F26" s="86"/>
      <c r="G26" s="86"/>
      <c r="H26" s="86"/>
    </row>
    <row r="28" customFormat="false" ht="33.75" hidden="false" customHeight="true" outlineLevel="0" collapsed="false">
      <c r="B28" s="39" t="s">
        <v>642</v>
      </c>
      <c r="C28" s="39"/>
      <c r="D28" s="39"/>
      <c r="E28" s="39"/>
      <c r="F28" s="39"/>
      <c r="G28" s="39"/>
      <c r="H28" s="39"/>
    </row>
  </sheetData>
  <mergeCells count="4">
    <mergeCell ref="B7:H7"/>
    <mergeCell ref="C24:H24"/>
    <mergeCell ref="C26:H26"/>
    <mergeCell ref="B28:H28"/>
  </mergeCells>
  <conditionalFormatting sqref="D19:G19">
    <cfRule type="cellIs" priority="2" operator="equal" aboveAverage="0" equalAverage="0" bottom="0" percent="0" rank="0" text="" dxfId="2">
      <formula>"Low"</formula>
    </cfRule>
    <cfRule type="cellIs" priority="3" operator="equal" aboveAverage="0" equalAverage="0" bottom="0" percent="0" rank="0" text="" dxfId="5">
      <formula>"Medium"</formula>
    </cfRule>
    <cfRule type="cellIs" priority="4" operator="equal" aboveAverage="0" equalAverage="0" bottom="0" percent="0" rank="0" text="" dxfId="3">
      <formula>"High"</formula>
    </cfRule>
    <cfRule type="cellIs" priority="5" operator="equal" aboveAverage="0" equalAverage="0" bottom="0" percent="0" rank="0" text="" dxfId="3">
      <formula>"Very high"</formula>
    </cfRule>
  </conditionalFormatting>
  <conditionalFormatting sqref="D15:G15">
    <cfRule type="cellIs" priority="6" operator="lessThan" aboveAverage="0" equalAverage="0" bottom="0" percent="0" rank="0" text="" dxfId="3">
      <formula>0</formula>
    </cfRule>
    <cfRule type="cellIs" priority="7" operator="greaterThan" aboveAverage="0" equalAverage="0" bottom="0" percent="0" rank="0" text="" dxfId="2">
      <formula>0</formula>
    </cfRule>
  </conditionalFormatting>
  <dataValidations count="1">
    <dataValidation allowBlank="true" errorStyle="stop" operator="between" showDropDown="false" showErrorMessage="false" showInputMessage="false" sqref="D19:G19" type="list">
      <formula1>Lists!$I$9:$I$12</formula1>
      <formula2>0</formula2>
    </dataValidation>
  </dataValidations>
  <printOptions headings="false" gridLines="false" gridLinesSet="true" horizontalCentered="true" verticalCentered="false"/>
  <pageMargins left="0.4" right="0.4" top="0.5" bottom="0.5" header="0.511811023622047" footer="0.5"/>
  <pageSetup paperSize="8" scale="100" fitToWidth="1" fitToHeight="0" pageOrder="downThenOver" orientation="landscape" blackAndWhite="false" draft="false" cellComments="none" horizontalDpi="300" verticalDpi="300" copies="1"/>
  <headerFooter differentFirst="false" differentOddEven="false">
    <oddHeader/>
    <oddFooter>&amp;L&amp;8 &amp;K8e98a2Template by Mastt  ·  mastt.com&amp;R&amp;8 &amp;K8e98a2Page &amp;P of &amp;N</oddFooter>
  </headerFooter>
  <drawing r:id="rId1"/>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tabColor rgb="FF0D3C61"/>
    <pageSetUpPr fitToPage="true"/>
  </sheetPr>
  <dimension ref="A1:N43"/>
  <sheetViews>
    <sheetView showFormulas="false" showGridLines="false" showRowColHeaders="true" showZeros="true" rightToLeft="false" tabSelected="false" showOutlineSymbols="true" defaultGridColor="true" view="normal" topLeftCell="A1" colorId="64" zoomScale="100" zoomScaleNormal="100" zoomScalePageLayoutView="100" workbookViewId="0">
      <pane xSplit="3" ySplit="13" topLeftCell="D14" activePane="bottomRight" state="frozen"/>
      <selection pane="topLeft" activeCell="A1" activeCellId="0" sqref="A1"/>
      <selection pane="topRight" activeCell="D1" activeCellId="0" sqref="D1"/>
      <selection pane="bottomLeft" activeCell="A14" activeCellId="0" sqref="A14"/>
      <selection pane="bottomRight" activeCell="A1" activeCellId="0" sqref="A1"/>
    </sheetView>
  </sheetViews>
  <sheetFormatPr defaultColWidth="8.6796875" defaultRowHeight="15" zeroHeight="false" outlineLevelRow="0" outlineLevelCol="0"/>
  <cols>
    <col collapsed="false" customWidth="true" hidden="false" outlineLevel="0" max="1" min="1" style="1" width="3"/>
    <col collapsed="false" customWidth="true" hidden="false" outlineLevel="0" max="2" min="2" style="1" width="8"/>
    <col collapsed="false" customWidth="true" hidden="false" outlineLevel="0" max="3" min="3" style="1" width="40"/>
    <col collapsed="false" customWidth="true" hidden="false" outlineLevel="0" max="4" min="4" style="1" width="18"/>
    <col collapsed="false" customWidth="true" hidden="false" outlineLevel="0" max="5" min="5" style="1" width="12"/>
    <col collapsed="false" customWidth="true" hidden="false" outlineLevel="0" max="8" min="6" style="1" width="14"/>
    <col collapsed="false" customWidth="true" hidden="false" outlineLevel="0" max="10" min="9" style="1" width="16"/>
    <col collapsed="false" customWidth="true" hidden="false" outlineLevel="0" max="11" min="11" style="1" width="34"/>
    <col collapsed="false" customWidth="true" hidden="false" outlineLevel="0" max="12" min="12" style="1" width="16"/>
    <col collapsed="false" customWidth="true" hidden="false" outlineLevel="0" max="13" min="13" style="1" width="14"/>
    <col collapsed="false" customWidth="true" hidden="false" outlineLevel="0" max="14" min="14" style="1" width="16"/>
    <col collapsed="false" customWidth="true" hidden="false" outlineLevel="0" max="15" min="15" style="1" width="3"/>
  </cols>
  <sheetData>
    <row r="1" customFormat="false" ht="9.75" hidden="false" customHeight="true" outlineLevel="0" collapsed="false">
      <c r="A1" s="2"/>
      <c r="B1" s="2"/>
      <c r="C1" s="2"/>
      <c r="D1" s="2"/>
      <c r="E1" s="2"/>
      <c r="F1" s="2"/>
      <c r="G1" s="2"/>
      <c r="H1" s="2"/>
      <c r="I1" s="2"/>
      <c r="J1" s="2"/>
      <c r="K1" s="2"/>
      <c r="L1" s="2"/>
      <c r="M1" s="2"/>
      <c r="N1" s="2"/>
    </row>
    <row r="2" customFormat="false" ht="33.75" hidden="false" customHeight="true" outlineLevel="0" collapsed="false">
      <c r="A2" s="2"/>
      <c r="B2" s="2"/>
      <c r="C2" s="2"/>
      <c r="D2" s="2"/>
      <c r="E2" s="2"/>
      <c r="F2" s="2"/>
      <c r="G2" s="2"/>
      <c r="H2" s="2"/>
      <c r="I2" s="2"/>
      <c r="J2" s="2"/>
      <c r="K2" s="2"/>
      <c r="L2" s="2"/>
      <c r="M2" s="2"/>
      <c r="N2" s="2"/>
    </row>
    <row r="3" customFormat="false" ht="7.5" hidden="false" customHeight="true" outlineLevel="0" collapsed="false">
      <c r="A3" s="2"/>
      <c r="B3" s="2"/>
      <c r="C3" s="2"/>
      <c r="D3" s="2"/>
      <c r="E3" s="2"/>
      <c r="F3" s="2"/>
      <c r="G3" s="2"/>
      <c r="H3" s="2"/>
      <c r="I3" s="2"/>
      <c r="J3" s="2"/>
      <c r="K3" s="2"/>
      <c r="L3" s="2"/>
      <c r="M3" s="2"/>
      <c r="N3" s="2"/>
    </row>
    <row r="4" customFormat="false" ht="30" hidden="false" customHeight="true" outlineLevel="0" collapsed="false">
      <c r="A4" s="2"/>
      <c r="B4" s="3" t="s">
        <v>77</v>
      </c>
      <c r="C4" s="2"/>
      <c r="D4" s="2"/>
      <c r="E4" s="2"/>
      <c r="F4" s="2"/>
      <c r="G4" s="2"/>
      <c r="H4" s="2"/>
      <c r="I4" s="2"/>
      <c r="J4" s="2"/>
      <c r="K4" s="2"/>
      <c r="L4" s="2"/>
      <c r="M4" s="2"/>
      <c r="N4" s="2"/>
    </row>
    <row r="5" customFormat="false" ht="21.75" hidden="false" customHeight="true" outlineLevel="0" collapsed="false">
      <c r="A5" s="2"/>
      <c r="B5" s="4" t="s">
        <v>643</v>
      </c>
      <c r="C5" s="2"/>
      <c r="D5" s="2"/>
      <c r="E5" s="2"/>
      <c r="F5" s="2"/>
      <c r="G5" s="2"/>
      <c r="H5" s="2"/>
      <c r="I5" s="2"/>
      <c r="J5" s="2"/>
      <c r="K5" s="2"/>
      <c r="L5" s="2"/>
      <c r="M5" s="2"/>
      <c r="N5" s="2"/>
    </row>
    <row r="6" customFormat="false" ht="7.5" hidden="false" customHeight="true" outlineLevel="0" collapsed="false"/>
    <row r="7" customFormat="false" ht="25.5" hidden="false" customHeight="true" outlineLevel="0" collapsed="false">
      <c r="B7" s="23" t="s">
        <v>148</v>
      </c>
      <c r="C7" s="23"/>
      <c r="D7" s="23"/>
      <c r="E7" s="23"/>
      <c r="F7" s="23"/>
      <c r="G7" s="23"/>
      <c r="H7" s="23"/>
      <c r="I7" s="23"/>
      <c r="J7" s="23"/>
      <c r="K7" s="23"/>
      <c r="L7" s="23"/>
      <c r="M7" s="23"/>
      <c r="N7" s="23"/>
    </row>
    <row r="9" customFormat="false" ht="24" hidden="false" customHeight="true" outlineLevel="0" collapsed="false">
      <c r="B9" s="5" t="s">
        <v>644</v>
      </c>
      <c r="C9" s="6"/>
      <c r="D9" s="6"/>
      <c r="E9" s="6"/>
      <c r="F9" s="6"/>
      <c r="G9" s="6"/>
      <c r="H9" s="6"/>
      <c r="I9" s="40" t="s">
        <v>645</v>
      </c>
      <c r="J9" s="40"/>
      <c r="K9" s="40"/>
      <c r="L9" s="40"/>
      <c r="M9" s="40"/>
      <c r="N9" s="40"/>
    </row>
    <row r="10" customFormat="false" ht="30" hidden="false" customHeight="true" outlineLevel="0" collapsed="false">
      <c r="B10" s="9" t="s">
        <v>243</v>
      </c>
      <c r="C10" s="9" t="s">
        <v>646</v>
      </c>
      <c r="D10" s="9" t="s">
        <v>244</v>
      </c>
      <c r="E10" s="9" t="s">
        <v>647</v>
      </c>
      <c r="F10" s="9" t="s">
        <v>648</v>
      </c>
      <c r="G10" s="9" t="s">
        <v>649</v>
      </c>
      <c r="H10" s="9" t="s">
        <v>650</v>
      </c>
      <c r="I10" s="9" t="s">
        <v>651</v>
      </c>
      <c r="J10" s="9" t="s">
        <v>652</v>
      </c>
      <c r="K10" s="9" t="s">
        <v>653</v>
      </c>
      <c r="L10" s="9" t="s">
        <v>654</v>
      </c>
      <c r="M10" s="9" t="s">
        <v>655</v>
      </c>
      <c r="N10" s="9" t="s">
        <v>656</v>
      </c>
    </row>
    <row r="11" customFormat="false" ht="30" hidden="false" customHeight="true" outlineLevel="0" collapsed="false">
      <c r="B11" s="25" t="s">
        <v>657</v>
      </c>
      <c r="C11" s="45" t="s">
        <v>658</v>
      </c>
      <c r="D11" s="46" t="s">
        <v>274</v>
      </c>
      <c r="E11" s="87" t="n">
        <v>0.35</v>
      </c>
      <c r="F11" s="47" t="n">
        <v>400000</v>
      </c>
      <c r="G11" s="47" t="n">
        <v>1200000</v>
      </c>
      <c r="H11" s="47" t="n">
        <v>3400000</v>
      </c>
      <c r="I11" s="49" t="n">
        <f aca="false">($F11+4*$G11+$H11)/6</f>
        <v>1433333.33333333</v>
      </c>
      <c r="J11" s="52" t="n">
        <f aca="false">$I11*$E11</f>
        <v>501666.666666667</v>
      </c>
      <c r="K11" s="45" t="s">
        <v>659</v>
      </c>
      <c r="L11" s="45" t="s">
        <v>660</v>
      </c>
      <c r="M11" s="87" t="n">
        <v>0.4</v>
      </c>
      <c r="N11" s="52" t="n">
        <f aca="false">$J11*(1-$M11)</f>
        <v>301000</v>
      </c>
    </row>
    <row r="12" customFormat="false" ht="30" hidden="false" customHeight="true" outlineLevel="0" collapsed="false">
      <c r="B12" s="25" t="s">
        <v>661</v>
      </c>
      <c r="C12" s="45" t="s">
        <v>662</v>
      </c>
      <c r="D12" s="46" t="s">
        <v>663</v>
      </c>
      <c r="E12" s="87" t="n">
        <v>0.5</v>
      </c>
      <c r="F12" s="47" t="n">
        <v>600000</v>
      </c>
      <c r="G12" s="47" t="n">
        <v>1900000</v>
      </c>
      <c r="H12" s="47" t="n">
        <v>4800000</v>
      </c>
      <c r="I12" s="49" t="n">
        <f aca="false">($F12+4*$G12+$H12)/6</f>
        <v>2166666.66666667</v>
      </c>
      <c r="J12" s="52" t="n">
        <f aca="false">$I12*$E12</f>
        <v>1083333.33333333</v>
      </c>
      <c r="K12" s="45" t="s">
        <v>664</v>
      </c>
      <c r="L12" s="45" t="s">
        <v>665</v>
      </c>
      <c r="M12" s="87" t="n">
        <v>0.3</v>
      </c>
      <c r="N12" s="52" t="n">
        <f aca="false">$J12*(1-$M12)</f>
        <v>758333.333333333</v>
      </c>
    </row>
    <row r="13" customFormat="false" ht="30" hidden="false" customHeight="true" outlineLevel="0" collapsed="false">
      <c r="B13" s="25" t="s">
        <v>666</v>
      </c>
      <c r="C13" s="45" t="s">
        <v>667</v>
      </c>
      <c r="D13" s="46" t="s">
        <v>668</v>
      </c>
      <c r="E13" s="87" t="n">
        <v>0.3</v>
      </c>
      <c r="F13" s="47" t="n">
        <v>250000</v>
      </c>
      <c r="G13" s="47" t="n">
        <v>900000</v>
      </c>
      <c r="H13" s="47" t="n">
        <v>2600000</v>
      </c>
      <c r="I13" s="49" t="n">
        <f aca="false">($F13+4*$G13+$H13)/6</f>
        <v>1075000</v>
      </c>
      <c r="J13" s="52" t="n">
        <f aca="false">$I13*$E13</f>
        <v>322500</v>
      </c>
      <c r="K13" s="45" t="s">
        <v>669</v>
      </c>
      <c r="L13" s="45" t="s">
        <v>670</v>
      </c>
      <c r="M13" s="87" t="n">
        <v>0.45</v>
      </c>
      <c r="N13" s="52" t="n">
        <f aca="false">$J13*(1-$M13)</f>
        <v>177375</v>
      </c>
    </row>
    <row r="14" customFormat="false" ht="30" hidden="false" customHeight="true" outlineLevel="0" collapsed="false">
      <c r="B14" s="25" t="s">
        <v>671</v>
      </c>
      <c r="C14" s="45" t="s">
        <v>672</v>
      </c>
      <c r="D14" s="46" t="s">
        <v>673</v>
      </c>
      <c r="E14" s="87" t="n">
        <v>0.4</v>
      </c>
      <c r="F14" s="47" t="n">
        <v>300000</v>
      </c>
      <c r="G14" s="47" t="n">
        <v>1100000</v>
      </c>
      <c r="H14" s="47" t="n">
        <v>2900000</v>
      </c>
      <c r="I14" s="49" t="n">
        <f aca="false">($F14+4*$G14+$H14)/6</f>
        <v>1266666.66666667</v>
      </c>
      <c r="J14" s="52" t="n">
        <f aca="false">$I14*$E14</f>
        <v>506666.666666667</v>
      </c>
      <c r="K14" s="45" t="s">
        <v>674</v>
      </c>
      <c r="L14" s="45" t="s">
        <v>675</v>
      </c>
      <c r="M14" s="87" t="n">
        <v>0.5</v>
      </c>
      <c r="N14" s="52" t="n">
        <f aca="false">$J14*(1-$M14)</f>
        <v>253333.333333333</v>
      </c>
    </row>
    <row r="15" customFormat="false" ht="30" hidden="false" customHeight="true" outlineLevel="0" collapsed="false">
      <c r="B15" s="25" t="s">
        <v>676</v>
      </c>
      <c r="C15" s="45" t="s">
        <v>677</v>
      </c>
      <c r="D15" s="46" t="s">
        <v>678</v>
      </c>
      <c r="E15" s="87" t="n">
        <v>0.12</v>
      </c>
      <c r="F15" s="47" t="n">
        <v>800000</v>
      </c>
      <c r="G15" s="47" t="n">
        <v>2600000</v>
      </c>
      <c r="H15" s="47" t="n">
        <v>7500000</v>
      </c>
      <c r="I15" s="49" t="n">
        <f aca="false">($F15+4*$G15+$H15)/6</f>
        <v>3116666.66666667</v>
      </c>
      <c r="J15" s="52" t="n">
        <f aca="false">$I15*$E15</f>
        <v>374000</v>
      </c>
      <c r="K15" s="45" t="s">
        <v>679</v>
      </c>
      <c r="L15" s="45" t="s">
        <v>665</v>
      </c>
      <c r="M15" s="87" t="n">
        <v>0.35</v>
      </c>
      <c r="N15" s="52" t="n">
        <f aca="false">$J15*(1-$M15)</f>
        <v>243100</v>
      </c>
    </row>
    <row r="16" customFormat="false" ht="30" hidden="false" customHeight="true" outlineLevel="0" collapsed="false">
      <c r="B16" s="25" t="s">
        <v>680</v>
      </c>
      <c r="C16" s="45" t="s">
        <v>681</v>
      </c>
      <c r="D16" s="46" t="s">
        <v>682</v>
      </c>
      <c r="E16" s="87" t="n">
        <v>0.25</v>
      </c>
      <c r="F16" s="47" t="n">
        <v>350000</v>
      </c>
      <c r="G16" s="47" t="n">
        <v>1000000</v>
      </c>
      <c r="H16" s="47" t="n">
        <v>3100000</v>
      </c>
      <c r="I16" s="49" t="n">
        <f aca="false">($F16+4*$G16+$H16)/6</f>
        <v>1241666.66666667</v>
      </c>
      <c r="J16" s="52" t="n">
        <f aca="false">$I16*$E16</f>
        <v>310416.666666667</v>
      </c>
      <c r="K16" s="45" t="s">
        <v>683</v>
      </c>
      <c r="L16" s="45" t="s">
        <v>684</v>
      </c>
      <c r="M16" s="87" t="n">
        <v>0.4</v>
      </c>
      <c r="N16" s="52" t="n">
        <f aca="false">$J16*(1-$M16)</f>
        <v>186250</v>
      </c>
    </row>
    <row r="17" customFormat="false" ht="30" hidden="false" customHeight="true" outlineLevel="0" collapsed="false">
      <c r="B17" s="25" t="s">
        <v>685</v>
      </c>
      <c r="C17" s="45" t="s">
        <v>686</v>
      </c>
      <c r="D17" s="46" t="s">
        <v>274</v>
      </c>
      <c r="E17" s="87" t="n">
        <v>0.45</v>
      </c>
      <c r="F17" s="47" t="n">
        <v>180000</v>
      </c>
      <c r="G17" s="47" t="n">
        <v>620000</v>
      </c>
      <c r="H17" s="47" t="n">
        <v>1700000</v>
      </c>
      <c r="I17" s="49" t="n">
        <f aca="false">($F17+4*$G17+$H17)/6</f>
        <v>726666.666666667</v>
      </c>
      <c r="J17" s="52" t="n">
        <f aca="false">$I17*$E17</f>
        <v>327000</v>
      </c>
      <c r="K17" s="45" t="s">
        <v>687</v>
      </c>
      <c r="L17" s="45" t="s">
        <v>660</v>
      </c>
      <c r="M17" s="87" t="n">
        <v>0.5</v>
      </c>
      <c r="N17" s="52" t="n">
        <f aca="false">$J17*(1-$M17)</f>
        <v>163500</v>
      </c>
    </row>
    <row r="18" customFormat="false" ht="30" hidden="false" customHeight="true" outlineLevel="0" collapsed="false">
      <c r="B18" s="25" t="s">
        <v>688</v>
      </c>
      <c r="C18" s="45" t="s">
        <v>689</v>
      </c>
      <c r="D18" s="46" t="s">
        <v>690</v>
      </c>
      <c r="E18" s="87" t="n">
        <v>0.35</v>
      </c>
      <c r="F18" s="47" t="n">
        <v>0</v>
      </c>
      <c r="G18" s="47" t="n">
        <v>1500000</v>
      </c>
      <c r="H18" s="47" t="n">
        <v>4200000</v>
      </c>
      <c r="I18" s="49" t="n">
        <f aca="false">($F18+4*$G18+$H18)/6</f>
        <v>1700000</v>
      </c>
      <c r="J18" s="52" t="n">
        <f aca="false">$I18*$E18</f>
        <v>595000</v>
      </c>
      <c r="K18" s="45" t="s">
        <v>691</v>
      </c>
      <c r="L18" s="45" t="s">
        <v>692</v>
      </c>
      <c r="M18" s="87" t="n">
        <v>0.35</v>
      </c>
      <c r="N18" s="52" t="n">
        <f aca="false">$J18*(1-$M18)</f>
        <v>386750</v>
      </c>
    </row>
    <row r="19" customFormat="false" ht="30" hidden="false" customHeight="true" outlineLevel="0" collapsed="false">
      <c r="B19" s="25" t="s">
        <v>693</v>
      </c>
      <c r="C19" s="45" t="s">
        <v>694</v>
      </c>
      <c r="D19" s="46" t="s">
        <v>678</v>
      </c>
      <c r="E19" s="87" t="n">
        <v>0.2</v>
      </c>
      <c r="F19" s="47" t="n">
        <v>150000</v>
      </c>
      <c r="G19" s="47" t="n">
        <v>700000</v>
      </c>
      <c r="H19" s="47" t="n">
        <v>2200000</v>
      </c>
      <c r="I19" s="49" t="n">
        <f aca="false">($F19+4*$G19+$H19)/6</f>
        <v>858333.333333333</v>
      </c>
      <c r="J19" s="52" t="n">
        <f aca="false">$I19*$E19</f>
        <v>171666.666666667</v>
      </c>
      <c r="K19" s="45" t="s">
        <v>695</v>
      </c>
      <c r="L19" s="45" t="s">
        <v>696</v>
      </c>
      <c r="M19" s="87" t="n">
        <v>0.3</v>
      </c>
      <c r="N19" s="52" t="n">
        <f aca="false">$J19*(1-$M19)</f>
        <v>120166.666666667</v>
      </c>
    </row>
    <row r="20" customFormat="false" ht="30" hidden="false" customHeight="true" outlineLevel="0" collapsed="false">
      <c r="B20" s="25" t="s">
        <v>697</v>
      </c>
      <c r="C20" s="45" t="s">
        <v>698</v>
      </c>
      <c r="D20" s="46" t="s">
        <v>699</v>
      </c>
      <c r="E20" s="87" t="n">
        <v>0.4</v>
      </c>
      <c r="F20" s="47" t="n">
        <v>120000</v>
      </c>
      <c r="G20" s="47" t="n">
        <v>480000</v>
      </c>
      <c r="H20" s="47" t="n">
        <v>1400000</v>
      </c>
      <c r="I20" s="49" t="n">
        <f aca="false">($F20+4*$G20+$H20)/6</f>
        <v>573333.333333333</v>
      </c>
      <c r="J20" s="52" t="n">
        <f aca="false">$I20*$E20</f>
        <v>229333.333333333</v>
      </c>
      <c r="K20" s="45" t="s">
        <v>700</v>
      </c>
      <c r="L20" s="45" t="s">
        <v>701</v>
      </c>
      <c r="M20" s="87" t="n">
        <v>0.55</v>
      </c>
      <c r="N20" s="52" t="n">
        <f aca="false">$J20*(1-$M20)</f>
        <v>103200</v>
      </c>
    </row>
    <row r="21" customFormat="false" ht="30" hidden="false" customHeight="true" outlineLevel="0" collapsed="false">
      <c r="B21" s="25" t="s">
        <v>702</v>
      </c>
      <c r="C21" s="45" t="s">
        <v>703</v>
      </c>
      <c r="D21" s="46" t="s">
        <v>420</v>
      </c>
      <c r="E21" s="87" t="n">
        <v>0.15</v>
      </c>
      <c r="F21" s="47" t="n">
        <v>200000</v>
      </c>
      <c r="G21" s="47" t="n">
        <v>800000</v>
      </c>
      <c r="H21" s="47" t="n">
        <v>2500000</v>
      </c>
      <c r="I21" s="49" t="n">
        <f aca="false">($F21+4*$G21+$H21)/6</f>
        <v>983333.333333333</v>
      </c>
      <c r="J21" s="52" t="n">
        <f aca="false">$I21*$E21</f>
        <v>147500</v>
      </c>
      <c r="K21" s="45" t="s">
        <v>704</v>
      </c>
      <c r="L21" s="45" t="s">
        <v>660</v>
      </c>
      <c r="M21" s="87" t="n">
        <v>0.25</v>
      </c>
      <c r="N21" s="52" t="n">
        <f aca="false">$J21*(1-$M21)</f>
        <v>110625</v>
      </c>
    </row>
    <row r="22" customFormat="false" ht="30" hidden="false" customHeight="true" outlineLevel="0" collapsed="false">
      <c r="B22" s="25" t="s">
        <v>705</v>
      </c>
      <c r="C22" s="45" t="s">
        <v>706</v>
      </c>
      <c r="D22" s="46" t="s">
        <v>707</v>
      </c>
      <c r="E22" s="87" t="n">
        <v>0.18</v>
      </c>
      <c r="F22" s="47" t="n">
        <v>150000</v>
      </c>
      <c r="G22" s="47" t="n">
        <v>550000</v>
      </c>
      <c r="H22" s="47" t="n">
        <v>1900000</v>
      </c>
      <c r="I22" s="49" t="n">
        <f aca="false">($F22+4*$G22+$H22)/6</f>
        <v>708333.333333333</v>
      </c>
      <c r="J22" s="52" t="n">
        <f aca="false">$I22*$E22</f>
        <v>127500</v>
      </c>
      <c r="K22" s="45" t="s">
        <v>708</v>
      </c>
      <c r="L22" s="45" t="s">
        <v>709</v>
      </c>
      <c r="M22" s="87" t="n">
        <v>0.45</v>
      </c>
      <c r="N22" s="52" t="n">
        <f aca="false">$J22*(1-$M22)</f>
        <v>70125</v>
      </c>
    </row>
    <row r="23" customFormat="false" ht="24" hidden="false" customHeight="true" outlineLevel="0" collapsed="false">
      <c r="B23" s="54" t="s">
        <v>344</v>
      </c>
      <c r="C23" s="62"/>
      <c r="D23" s="62"/>
      <c r="E23" s="62"/>
      <c r="F23" s="62"/>
      <c r="G23" s="62"/>
      <c r="H23" s="62"/>
      <c r="I23" s="55" t="n">
        <f aca="false">SUM(I11:I22)</f>
        <v>15850000</v>
      </c>
      <c r="J23" s="55" t="n">
        <f aca="false">SUM(J11:J22)</f>
        <v>4696583.33333333</v>
      </c>
      <c r="K23" s="62"/>
      <c r="L23" s="62"/>
      <c r="M23" s="62"/>
      <c r="N23" s="55" t="n">
        <f aca="false">SUM(N11:N22)</f>
        <v>2873758.33333333</v>
      </c>
    </row>
    <row r="25" customFormat="false" ht="24" hidden="false" customHeight="true" outlineLevel="0" collapsed="false">
      <c r="B25" s="5" t="s">
        <v>710</v>
      </c>
      <c r="C25" s="6"/>
      <c r="D25" s="6"/>
      <c r="E25" s="6"/>
      <c r="F25" s="6"/>
      <c r="G25" s="6"/>
      <c r="H25" s="6"/>
      <c r="I25" s="6"/>
      <c r="J25" s="6"/>
      <c r="K25" s="6"/>
      <c r="L25" s="6"/>
      <c r="M25" s="6"/>
      <c r="N25" s="6"/>
    </row>
    <row r="26" customFormat="false" ht="30" hidden="false" customHeight="true" outlineLevel="0" collapsed="false">
      <c r="B26" s="9" t="s">
        <v>467</v>
      </c>
      <c r="C26" s="9" t="s">
        <v>151</v>
      </c>
      <c r="D26" s="9"/>
      <c r="E26" s="9"/>
      <c r="F26" s="9"/>
      <c r="G26" s="9"/>
      <c r="H26" s="9"/>
      <c r="I26" s="9"/>
      <c r="J26" s="9"/>
      <c r="K26" s="9" t="s">
        <v>711</v>
      </c>
      <c r="L26" s="9"/>
      <c r="M26" s="9"/>
      <c r="N26" s="9"/>
    </row>
    <row r="27" customFormat="false" ht="24" hidden="false" customHeight="true" outlineLevel="0" collapsed="false">
      <c r="B27" s="17" t="s">
        <v>712</v>
      </c>
      <c r="C27" s="52" t="n">
        <f aca="false">$J23</f>
        <v>4696583.33333333</v>
      </c>
      <c r="D27" s="26"/>
      <c r="E27" s="26"/>
      <c r="F27" s="26"/>
      <c r="G27" s="26"/>
      <c r="H27" s="26"/>
      <c r="I27" s="26"/>
      <c r="J27" s="26"/>
    </row>
    <row r="28" customFormat="false" ht="24" hidden="false" customHeight="true" outlineLevel="0" collapsed="false">
      <c r="B28" s="17" t="s">
        <v>713</v>
      </c>
      <c r="C28" s="52" t="n">
        <f aca="false">$N23</f>
        <v>2873758.33333333</v>
      </c>
      <c r="D28" s="26"/>
      <c r="E28" s="26"/>
      <c r="F28" s="26"/>
      <c r="G28" s="26"/>
      <c r="H28" s="26"/>
      <c r="I28" s="26"/>
      <c r="J28" s="26"/>
    </row>
    <row r="29" customFormat="false" ht="24" hidden="false" customHeight="true" outlineLevel="0" collapsed="false">
      <c r="B29" s="17" t="s">
        <v>714</v>
      </c>
      <c r="C29" s="52" t="n">
        <f aca="false">ContPct*CapexTotal/(1+ContPct)</f>
        <v>5410800</v>
      </c>
      <c r="D29" s="26" t="s">
        <v>715</v>
      </c>
      <c r="E29" s="26"/>
      <c r="F29" s="26"/>
      <c r="G29" s="26"/>
      <c r="H29" s="26"/>
      <c r="I29" s="26"/>
      <c r="J29" s="26"/>
    </row>
    <row r="30" customFormat="false" ht="24" hidden="false" customHeight="true" outlineLevel="0" collapsed="false">
      <c r="B30" s="17" t="s">
        <v>716</v>
      </c>
      <c r="C30" s="88" t="n">
        <f aca="false">IFERROR($C29/$C28,0)</f>
        <v>1.88283055580526</v>
      </c>
      <c r="D30" s="26"/>
      <c r="E30" s="26"/>
      <c r="F30" s="26"/>
      <c r="G30" s="26"/>
      <c r="H30" s="26"/>
      <c r="I30" s="26"/>
      <c r="J30" s="26"/>
      <c r="K30" s="79" t="str">
        <f aca="false">IF($C30&gt;=1,"Adequate - contingency covers quantified residual risk",IF($C30&gt;=0.75,"Tight - monitor closely","Insufficient - increase contingency or strengthen mitigation"))</f>
        <v>Adequate - contingency covers quantified residual risk</v>
      </c>
      <c r="L30" s="79"/>
      <c r="M30" s="79"/>
      <c r="N30" s="79"/>
    </row>
    <row r="31" customFormat="false" ht="24" hidden="false" customHeight="true" outlineLevel="0" collapsed="false">
      <c r="B31" s="17" t="s">
        <v>717</v>
      </c>
      <c r="C31" s="52" t="n">
        <f aca="false">OptBias*CapexTotal</f>
        <v>7575120</v>
      </c>
      <c r="D31" s="26" t="s">
        <v>718</v>
      </c>
      <c r="E31" s="26"/>
      <c r="F31" s="26"/>
      <c r="G31" s="26"/>
      <c r="H31" s="26"/>
      <c r="I31" s="26"/>
      <c r="J31" s="26"/>
    </row>
    <row r="32" customFormat="false" ht="24" hidden="false" customHeight="true" outlineLevel="0" collapsed="false">
      <c r="B32" s="17" t="s">
        <v>719</v>
      </c>
      <c r="C32" s="88" t="n">
        <f aca="false">IFERROR((ContPct*CapexTotal/(1+ContPct)+OptBias*CapexTotal)/CapexTotal,0)</f>
        <v>0.257142857142857</v>
      </c>
      <c r="D32" s="26"/>
      <c r="E32" s="26"/>
      <c r="F32" s="26"/>
      <c r="G32" s="26"/>
      <c r="H32" s="26"/>
      <c r="I32" s="26"/>
      <c r="J32" s="26"/>
    </row>
    <row r="34" customFormat="false" ht="24" hidden="false" customHeight="true" outlineLevel="0" collapsed="false">
      <c r="B34" s="5" t="s">
        <v>720</v>
      </c>
      <c r="C34" s="6"/>
      <c r="D34" s="6"/>
      <c r="E34" s="6"/>
      <c r="F34" s="6"/>
      <c r="G34" s="6"/>
      <c r="H34" s="6"/>
      <c r="I34" s="40" t="s">
        <v>721</v>
      </c>
      <c r="J34" s="40"/>
      <c r="K34" s="40"/>
      <c r="L34" s="40"/>
      <c r="M34" s="40"/>
      <c r="N34" s="40"/>
    </row>
    <row r="35" customFormat="false" ht="30" hidden="false" customHeight="true" outlineLevel="0" collapsed="false">
      <c r="B35" s="9" t="s">
        <v>722</v>
      </c>
      <c r="C35" s="9" t="s">
        <v>723</v>
      </c>
      <c r="D35" s="9" t="s">
        <v>724</v>
      </c>
      <c r="E35" s="9" t="s">
        <v>725</v>
      </c>
      <c r="F35" s="9" t="s">
        <v>726</v>
      </c>
      <c r="G35" s="9"/>
      <c r="H35" s="9"/>
      <c r="I35" s="9"/>
      <c r="J35" s="9" t="s">
        <v>727</v>
      </c>
      <c r="K35" s="9"/>
      <c r="L35" s="9"/>
      <c r="M35" s="9"/>
      <c r="N35" s="9"/>
    </row>
    <row r="36" customFormat="false" ht="21.75" hidden="false" customHeight="true" outlineLevel="0" collapsed="false">
      <c r="B36" s="10" t="s">
        <v>728</v>
      </c>
      <c r="C36" s="89" t="n">
        <v>0.24</v>
      </c>
      <c r="D36" s="89" t="n">
        <v>0.02</v>
      </c>
      <c r="E36" s="89" t="n">
        <v>0.04</v>
      </c>
      <c r="F36" s="89" t="n">
        <v>0.01</v>
      </c>
      <c r="G36" s="90"/>
      <c r="H36" s="90"/>
      <c r="I36" s="90"/>
      <c r="J36" s="91" t="s">
        <v>729</v>
      </c>
      <c r="K36" s="91"/>
      <c r="L36" s="91"/>
      <c r="M36" s="91"/>
      <c r="N36" s="91"/>
    </row>
    <row r="37" customFormat="false" ht="21.75" hidden="false" customHeight="true" outlineLevel="0" collapsed="false">
      <c r="B37" s="10" t="s">
        <v>730</v>
      </c>
      <c r="C37" s="89" t="n">
        <v>0.51</v>
      </c>
      <c r="D37" s="89" t="n">
        <v>0.04</v>
      </c>
      <c r="E37" s="89" t="n">
        <v>0.39</v>
      </c>
      <c r="F37" s="89" t="n">
        <v>0.02</v>
      </c>
      <c r="G37" s="90"/>
      <c r="H37" s="90"/>
      <c r="I37" s="90"/>
      <c r="J37" s="91" t="s">
        <v>731</v>
      </c>
      <c r="K37" s="91"/>
      <c r="L37" s="91"/>
      <c r="M37" s="91"/>
      <c r="N37" s="91"/>
    </row>
    <row r="38" customFormat="false" ht="21.75" hidden="false" customHeight="true" outlineLevel="0" collapsed="false">
      <c r="B38" s="10" t="s">
        <v>732</v>
      </c>
      <c r="C38" s="89" t="n">
        <v>0.44</v>
      </c>
      <c r="D38" s="89" t="n">
        <v>0.03</v>
      </c>
      <c r="E38" s="89" t="n">
        <v>0.2</v>
      </c>
      <c r="F38" s="89" t="n">
        <v>0.01</v>
      </c>
      <c r="G38" s="90"/>
      <c r="H38" s="90"/>
      <c r="I38" s="90"/>
      <c r="J38" s="91" t="s">
        <v>733</v>
      </c>
      <c r="K38" s="91"/>
      <c r="L38" s="91"/>
      <c r="M38" s="91"/>
      <c r="N38" s="91"/>
    </row>
    <row r="39" customFormat="false" ht="21.75" hidden="false" customHeight="true" outlineLevel="0" collapsed="false">
      <c r="B39" s="10" t="s">
        <v>734</v>
      </c>
      <c r="C39" s="89" t="n">
        <v>0.66</v>
      </c>
      <c r="D39" s="89" t="n">
        <v>0.06</v>
      </c>
      <c r="E39" s="89" t="n">
        <v>0.25</v>
      </c>
      <c r="F39" s="89" t="n">
        <v>0.03</v>
      </c>
      <c r="G39" s="90"/>
      <c r="H39" s="90"/>
      <c r="I39" s="90"/>
      <c r="J39" s="91" t="s">
        <v>735</v>
      </c>
      <c r="K39" s="91"/>
      <c r="L39" s="91"/>
      <c r="M39" s="91"/>
      <c r="N39" s="91"/>
    </row>
    <row r="40" customFormat="false" ht="21.75" hidden="false" customHeight="true" outlineLevel="0" collapsed="false">
      <c r="B40" s="10" t="s">
        <v>736</v>
      </c>
      <c r="C40" s="89" t="n">
        <v>2</v>
      </c>
      <c r="D40" s="89" t="n">
        <v>0.1</v>
      </c>
      <c r="E40" s="89" t="n">
        <v>0.54</v>
      </c>
      <c r="F40" s="89" t="n">
        <v>0.1</v>
      </c>
      <c r="G40" s="90"/>
      <c r="H40" s="90"/>
      <c r="I40" s="90"/>
      <c r="J40" s="91" t="s">
        <v>737</v>
      </c>
      <c r="K40" s="91"/>
      <c r="L40" s="91"/>
      <c r="M40" s="91"/>
      <c r="N40" s="91"/>
    </row>
    <row r="41" customFormat="false" ht="21.75" hidden="false" customHeight="true" outlineLevel="0" collapsed="false">
      <c r="B41" s="10" t="s">
        <v>738</v>
      </c>
      <c r="C41" s="89" t="n">
        <v>0.41</v>
      </c>
      <c r="D41" s="89" t="n">
        <v>0</v>
      </c>
      <c r="E41" s="89" t="n">
        <v>0</v>
      </c>
      <c r="F41" s="89" t="n">
        <v>0</v>
      </c>
      <c r="G41" s="90"/>
      <c r="H41" s="90"/>
      <c r="I41" s="90"/>
      <c r="J41" s="91" t="s">
        <v>739</v>
      </c>
      <c r="K41" s="91"/>
      <c r="L41" s="91"/>
      <c r="M41" s="91"/>
      <c r="N41" s="91"/>
    </row>
    <row r="43" customFormat="false" ht="43.5" hidden="false" customHeight="true" outlineLevel="0" collapsed="false">
      <c r="B43" s="39" t="s">
        <v>740</v>
      </c>
      <c r="C43" s="39"/>
      <c r="D43" s="39"/>
      <c r="E43" s="39"/>
      <c r="F43" s="39"/>
      <c r="G43" s="39"/>
      <c r="H43" s="39"/>
      <c r="I43" s="39"/>
      <c r="J43" s="39"/>
      <c r="K43" s="39"/>
      <c r="L43" s="39"/>
      <c r="M43" s="39"/>
      <c r="N43" s="39"/>
    </row>
  </sheetData>
  <mergeCells count="23">
    <mergeCell ref="B7:N7"/>
    <mergeCell ref="I9:N9"/>
    <mergeCell ref="D27:J27"/>
    <mergeCell ref="D28:J28"/>
    <mergeCell ref="D29:J29"/>
    <mergeCell ref="D30:J30"/>
    <mergeCell ref="K30:N30"/>
    <mergeCell ref="D31:J31"/>
    <mergeCell ref="D32:J32"/>
    <mergeCell ref="I34:N34"/>
    <mergeCell ref="G36:I36"/>
    <mergeCell ref="J36:N36"/>
    <mergeCell ref="G37:I37"/>
    <mergeCell ref="J37:N37"/>
    <mergeCell ref="G38:I38"/>
    <mergeCell ref="J38:N38"/>
    <mergeCell ref="G39:I39"/>
    <mergeCell ref="J39:N39"/>
    <mergeCell ref="G40:I40"/>
    <mergeCell ref="J40:N40"/>
    <mergeCell ref="G41:I41"/>
    <mergeCell ref="J41:N41"/>
    <mergeCell ref="B43:N43"/>
  </mergeCells>
  <conditionalFormatting sqref="K30">
    <cfRule type="cellIs" priority="2" operator="equal" aboveAverage="0" equalAverage="0" bottom="0" percent="0" rank="0" text="" dxfId="2">
      <formula>"Adequate — contingency covers quantified residual risk"</formula>
    </cfRule>
    <cfRule type="cellIs" priority="3" operator="equal" aboveAverage="0" equalAverage="0" bottom="0" percent="0" rank="0" text="" dxfId="5">
      <formula>"Tight — monitor closely"</formula>
    </cfRule>
    <cfRule type="cellIs" priority="4" operator="equal" aboveAverage="0" equalAverage="0" bottom="0" percent="0" rank="0" text="" dxfId="3">
      <formula>"Insufficient — increase contingency or strengthen mitigation"</formula>
    </cfRule>
  </conditionalFormatting>
  <conditionalFormatting sqref="C30">
    <cfRule type="cellIs" priority="5" operator="lessThan" aboveAverage="0" equalAverage="0" bottom="0" percent="0" rank="0" text="" dxfId="3">
      <formula>1</formula>
    </cfRule>
    <cfRule type="cellIs" priority="6" operator="greaterThanOrEqual" aboveAverage="0" equalAverage="0" bottom="0" percent="0" rank="0" text="" dxfId="2">
      <formula>1</formula>
    </cfRule>
  </conditionalFormatting>
  <dataValidations count="1">
    <dataValidation allowBlank="true" errorStyle="stop" operator="between" showDropDown="false" showErrorMessage="false" showInputMessage="false" sqref="D11:D37" type="list">
      <formula1>"Construction,Market,Approvals,Governance,Delivery,Environment,Benefits,Operations,Compliance,ICT,Other"</formula1>
      <formula2>0</formula2>
    </dataValidation>
  </dataValidations>
  <printOptions headings="false" gridLines="false" gridLinesSet="true" horizontalCentered="true" verticalCentered="false"/>
  <pageMargins left="0.4" right="0.4" top="0.5" bottom="0.5" header="0.511811023622047" footer="0.5"/>
  <pageSetup paperSize="8" scale="100" fitToWidth="1" fitToHeight="0" pageOrder="downThenOver" orientation="landscape" blackAndWhite="false" draft="false" cellComments="none" horizontalDpi="300" verticalDpi="300" copies="1"/>
  <headerFooter differentFirst="false" differentOddEven="false">
    <oddHeader/>
    <oddFooter>&amp;L&amp;8 &amp;K8e98a2Template by Mastt  ·  mastt.com&amp;R&amp;8 &amp;K8e98a2Page &amp;P of &amp;N</oddFooter>
  </headerFooter>
  <drawing r:id="rId1"/>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tabColor rgb="FF0D3C61"/>
    <pageSetUpPr fitToPage="true"/>
  </sheetPr>
  <dimension ref="A1:I29"/>
  <sheetViews>
    <sheetView showFormulas="false" showGridLines="false" showRowColHeaders="true" showZeros="true" rightToLeft="false" tabSelected="false" showOutlineSymbols="true" defaultGridColor="true" view="normal" topLeftCell="A1" colorId="64" zoomScale="100" zoomScaleNormal="100" zoomScalePageLayoutView="100" workbookViewId="0">
      <pane xSplit="0" ySplit="7" topLeftCell="A8" activePane="bottomLeft" state="frozen"/>
      <selection pane="topLeft" activeCell="A1" activeCellId="0" sqref="A1"/>
      <selection pane="bottomLeft" activeCell="A1" activeCellId="0" sqref="A1"/>
    </sheetView>
  </sheetViews>
  <sheetFormatPr defaultColWidth="8.6796875" defaultRowHeight="15" zeroHeight="false" outlineLevelRow="0" outlineLevelCol="0"/>
  <cols>
    <col collapsed="false" customWidth="true" hidden="false" outlineLevel="0" max="1" min="1" style="1" width="3"/>
    <col collapsed="false" customWidth="true" hidden="false" outlineLevel="0" max="2" min="2" style="1" width="34"/>
    <col collapsed="false" customWidth="true" hidden="false" outlineLevel="0" max="4" min="3" style="1" width="14"/>
    <col collapsed="false" customWidth="true" hidden="false" outlineLevel="0" max="7" min="5" style="1" width="18"/>
    <col collapsed="false" customWidth="true" hidden="false" outlineLevel="0" max="8" min="8" style="1" width="14"/>
    <col collapsed="false" customWidth="true" hidden="false" outlineLevel="0" max="9" min="9" style="1" width="40"/>
    <col collapsed="false" customWidth="true" hidden="false" outlineLevel="0" max="10" min="10" style="1" width="3"/>
  </cols>
  <sheetData>
    <row r="1" customFormat="false" ht="9.75" hidden="false" customHeight="true" outlineLevel="0" collapsed="false">
      <c r="A1" s="2"/>
      <c r="B1" s="2"/>
      <c r="C1" s="2"/>
      <c r="D1" s="2"/>
      <c r="E1" s="2"/>
      <c r="F1" s="2"/>
      <c r="G1" s="2"/>
      <c r="H1" s="2"/>
      <c r="I1" s="2"/>
    </row>
    <row r="2" customFormat="false" ht="33.75" hidden="false" customHeight="true" outlineLevel="0" collapsed="false">
      <c r="A2" s="2"/>
      <c r="B2" s="2"/>
      <c r="C2" s="2"/>
      <c r="D2" s="2"/>
      <c r="E2" s="2"/>
      <c r="F2" s="2"/>
      <c r="G2" s="2"/>
      <c r="H2" s="2"/>
      <c r="I2" s="2"/>
    </row>
    <row r="3" customFormat="false" ht="7.5" hidden="false" customHeight="true" outlineLevel="0" collapsed="false">
      <c r="A3" s="2"/>
      <c r="B3" s="2"/>
      <c r="C3" s="2"/>
      <c r="D3" s="2"/>
      <c r="E3" s="2"/>
      <c r="F3" s="2"/>
      <c r="G3" s="2"/>
      <c r="H3" s="2"/>
      <c r="I3" s="2"/>
    </row>
    <row r="4" customFormat="false" ht="30" hidden="false" customHeight="true" outlineLevel="0" collapsed="false">
      <c r="A4" s="2"/>
      <c r="B4" s="3" t="s">
        <v>741</v>
      </c>
      <c r="C4" s="2"/>
      <c r="D4" s="2"/>
      <c r="E4" s="2"/>
      <c r="F4" s="2"/>
      <c r="G4" s="2"/>
      <c r="H4" s="2"/>
      <c r="I4" s="2"/>
    </row>
    <row r="5" customFormat="false" ht="21.75" hidden="false" customHeight="true" outlineLevel="0" collapsed="false">
      <c r="A5" s="2"/>
      <c r="B5" s="4" t="s">
        <v>742</v>
      </c>
      <c r="C5" s="2"/>
      <c r="D5" s="2"/>
      <c r="E5" s="2"/>
      <c r="F5" s="2"/>
      <c r="G5" s="2"/>
      <c r="H5" s="2"/>
      <c r="I5" s="2"/>
    </row>
    <row r="6" customFormat="false" ht="7.5" hidden="false" customHeight="true" outlineLevel="0" collapsed="false"/>
    <row r="7" customFormat="false" ht="27.75" hidden="false" customHeight="true" outlineLevel="0" collapsed="false">
      <c r="B7" s="23" t="s">
        <v>743</v>
      </c>
      <c r="C7" s="23"/>
      <c r="D7" s="23"/>
      <c r="E7" s="23"/>
      <c r="F7" s="23"/>
      <c r="G7" s="23"/>
      <c r="H7" s="23"/>
      <c r="I7" s="23"/>
    </row>
    <row r="9" customFormat="false" ht="24" hidden="false" customHeight="true" outlineLevel="0" collapsed="false">
      <c r="B9" s="5" t="s">
        <v>744</v>
      </c>
      <c r="C9" s="6"/>
      <c r="D9" s="6"/>
      <c r="E9" s="6"/>
      <c r="F9" s="6"/>
      <c r="G9" s="6"/>
      <c r="H9" s="6"/>
      <c r="I9" s="6"/>
    </row>
    <row r="10" customFormat="false" ht="30" hidden="false" customHeight="true" outlineLevel="0" collapsed="false">
      <c r="B10" s="9" t="s">
        <v>745</v>
      </c>
      <c r="C10" s="9" t="s">
        <v>746</v>
      </c>
      <c r="D10" s="9" t="s">
        <v>747</v>
      </c>
      <c r="E10" s="9" t="s">
        <v>748</v>
      </c>
      <c r="F10" s="9" t="s">
        <v>749</v>
      </c>
      <c r="G10" s="9" t="s">
        <v>750</v>
      </c>
      <c r="H10" s="9" t="s">
        <v>510</v>
      </c>
      <c r="I10" s="9" t="s">
        <v>751</v>
      </c>
    </row>
    <row r="11" customFormat="false" ht="30" hidden="false" customHeight="true" outlineLevel="0" collapsed="false">
      <c r="B11" s="45" t="s">
        <v>752</v>
      </c>
      <c r="C11" s="87" t="n">
        <v>0.42</v>
      </c>
      <c r="D11" s="87" t="n">
        <v>0.05</v>
      </c>
      <c r="E11" s="49" t="n">
        <f aca="false">$C11*PVC</f>
        <v>42415275.6913918</v>
      </c>
      <c r="F11" s="49" t="n">
        <f aca="false">$D11*PVB</f>
        <v>6701349.22637433</v>
      </c>
      <c r="G11" s="52" t="n">
        <f aca="false">$F11-$E11</f>
        <v>-35713926.4650175</v>
      </c>
      <c r="H11" s="46" t="s">
        <v>515</v>
      </c>
      <c r="I11" s="45" t="s">
        <v>753</v>
      </c>
    </row>
    <row r="12" customFormat="false" ht="30" hidden="false" customHeight="true" outlineLevel="0" collapsed="false">
      <c r="B12" s="45" t="s">
        <v>754</v>
      </c>
      <c r="C12" s="87" t="n">
        <v>0.28</v>
      </c>
      <c r="D12" s="87" t="n">
        <v>0.12</v>
      </c>
      <c r="E12" s="49" t="n">
        <f aca="false">$C12*PVC</f>
        <v>28276850.4609279</v>
      </c>
      <c r="F12" s="49" t="n">
        <f aca="false">$D12*PVB</f>
        <v>16083238.1432984</v>
      </c>
      <c r="G12" s="52" t="n">
        <f aca="false">$F12-$E12</f>
        <v>-12193612.3176295</v>
      </c>
      <c r="H12" s="46" t="s">
        <v>515</v>
      </c>
      <c r="I12" s="45" t="s">
        <v>755</v>
      </c>
    </row>
    <row r="13" customFormat="false" ht="30" hidden="false" customHeight="true" outlineLevel="0" collapsed="false">
      <c r="B13" s="45" t="s">
        <v>756</v>
      </c>
      <c r="C13" s="87" t="n">
        <v>0.05</v>
      </c>
      <c r="D13" s="87" t="n">
        <v>0.31</v>
      </c>
      <c r="E13" s="49" t="n">
        <f aca="false">$C13*PVC</f>
        <v>5049437.58230855</v>
      </c>
      <c r="F13" s="49" t="n">
        <f aca="false">$D13*PVB</f>
        <v>41548365.2035209</v>
      </c>
      <c r="G13" s="52" t="n">
        <f aca="false">$F13-$E13</f>
        <v>36498927.6212123</v>
      </c>
      <c r="H13" s="46" t="s">
        <v>515</v>
      </c>
      <c r="I13" s="45" t="s">
        <v>757</v>
      </c>
    </row>
    <row r="14" customFormat="false" ht="30" hidden="false" customHeight="true" outlineLevel="0" collapsed="false">
      <c r="B14" s="45" t="s">
        <v>758</v>
      </c>
      <c r="C14" s="87" t="n">
        <v>0.02</v>
      </c>
      <c r="D14" s="87" t="n">
        <v>0.19</v>
      </c>
      <c r="E14" s="49" t="n">
        <f aca="false">$C14*PVC</f>
        <v>2019775.03292342</v>
      </c>
      <c r="F14" s="49" t="n">
        <f aca="false">$D14*PVB</f>
        <v>25465127.0602225</v>
      </c>
      <c r="G14" s="52" t="n">
        <f aca="false">$F14-$E14</f>
        <v>23445352.027299</v>
      </c>
      <c r="H14" s="46" t="s">
        <v>515</v>
      </c>
      <c r="I14" s="45" t="s">
        <v>759</v>
      </c>
    </row>
    <row r="15" customFormat="false" ht="30" hidden="false" customHeight="true" outlineLevel="0" collapsed="false">
      <c r="B15" s="45" t="s">
        <v>760</v>
      </c>
      <c r="C15" s="87" t="n">
        <v>0.01</v>
      </c>
      <c r="D15" s="87" t="n">
        <v>0.14</v>
      </c>
      <c r="E15" s="49" t="n">
        <f aca="false">$C15*PVC</f>
        <v>1009887.51646171</v>
      </c>
      <c r="F15" s="49" t="n">
        <f aca="false">$D15*PVB</f>
        <v>18763777.8338481</v>
      </c>
      <c r="G15" s="52" t="n">
        <f aca="false">$F15-$E15</f>
        <v>17753890.3173864</v>
      </c>
      <c r="H15" s="46" t="s">
        <v>515</v>
      </c>
      <c r="I15" s="45" t="s">
        <v>761</v>
      </c>
    </row>
    <row r="16" customFormat="false" ht="30" hidden="false" customHeight="true" outlineLevel="0" collapsed="false">
      <c r="B16" s="45" t="s">
        <v>762</v>
      </c>
      <c r="C16" s="87" t="n">
        <v>0.06</v>
      </c>
      <c r="D16" s="87" t="n">
        <v>0.09</v>
      </c>
      <c r="E16" s="49" t="n">
        <f aca="false">$C16*PVC</f>
        <v>6059325.09877026</v>
      </c>
      <c r="F16" s="49" t="n">
        <f aca="false">$D16*PVB</f>
        <v>12062428.6074738</v>
      </c>
      <c r="G16" s="52" t="n">
        <f aca="false">$F16-$E16</f>
        <v>6003103.50870354</v>
      </c>
      <c r="H16" s="46" t="s">
        <v>519</v>
      </c>
      <c r="I16" s="45" t="s">
        <v>763</v>
      </c>
    </row>
    <row r="17" customFormat="false" ht="30" hidden="false" customHeight="true" outlineLevel="0" collapsed="false">
      <c r="B17" s="45" t="s">
        <v>764</v>
      </c>
      <c r="C17" s="87" t="n">
        <v>0.14</v>
      </c>
      <c r="D17" s="87" t="n">
        <v>0.06</v>
      </c>
      <c r="E17" s="49" t="n">
        <f aca="false">$C17*PVC</f>
        <v>14138425.2304639</v>
      </c>
      <c r="F17" s="49" t="n">
        <f aca="false">$D17*PVB</f>
        <v>8041619.0716492</v>
      </c>
      <c r="G17" s="52" t="n">
        <f aca="false">$F17-$E17</f>
        <v>-6096806.15881473</v>
      </c>
      <c r="H17" s="46" t="s">
        <v>519</v>
      </c>
      <c r="I17" s="45" t="s">
        <v>765</v>
      </c>
    </row>
    <row r="18" customFormat="false" ht="30" hidden="false" customHeight="true" outlineLevel="0" collapsed="false">
      <c r="B18" s="45" t="s">
        <v>766</v>
      </c>
      <c r="C18" s="87" t="n">
        <v>0.02</v>
      </c>
      <c r="D18" s="87" t="n">
        <v>0.04</v>
      </c>
      <c r="E18" s="49" t="n">
        <f aca="false">$C18*PVC</f>
        <v>2019775.03292342</v>
      </c>
      <c r="F18" s="49" t="n">
        <f aca="false">$D18*PVB</f>
        <v>5361079.38109947</v>
      </c>
      <c r="G18" s="52" t="n">
        <f aca="false">$F18-$E18</f>
        <v>3341304.34817605</v>
      </c>
      <c r="H18" s="46" t="s">
        <v>519</v>
      </c>
      <c r="I18" s="45" t="s">
        <v>767</v>
      </c>
    </row>
    <row r="19" customFormat="false" ht="24" hidden="false" customHeight="true" outlineLevel="0" collapsed="false">
      <c r="B19" s="54" t="s">
        <v>344</v>
      </c>
      <c r="C19" s="92" t="n">
        <f aca="false">SUM(C11:C18)</f>
        <v>1</v>
      </c>
      <c r="D19" s="92" t="n">
        <f aca="false">SUM(D11:D18)</f>
        <v>1</v>
      </c>
      <c r="E19" s="55" t="n">
        <f aca="false">SUM(E11:E18)</f>
        <v>100988751.646171</v>
      </c>
      <c r="F19" s="55" t="n">
        <f aca="false">SUM(F11:F18)</f>
        <v>134026984.527487</v>
      </c>
      <c r="G19" s="55" t="n">
        <f aca="false">SUM(G11:G18)</f>
        <v>33038232.8813157</v>
      </c>
      <c r="H19" s="62"/>
      <c r="I19" s="62"/>
    </row>
    <row r="21" customFormat="false" ht="24" hidden="false" customHeight="true" outlineLevel="0" collapsed="false">
      <c r="B21" s="17" t="s">
        <v>768</v>
      </c>
      <c r="C21" s="57" t="str">
        <f aca="false">IF(AND(ROUND($C19,4)=1,ROUND($D19,4)=1),"Shares balance to 100%","Shares do not sum to 100% - review")</f>
        <v>Shares balance to 100%</v>
      </c>
      <c r="D21" s="57"/>
      <c r="E21" s="57"/>
      <c r="F21" s="57"/>
      <c r="G21" s="57"/>
      <c r="H21" s="57"/>
      <c r="I21" s="57"/>
    </row>
    <row r="22" customFormat="false" ht="24" hidden="false" customHeight="true" outlineLevel="0" collapsed="false">
      <c r="B22" s="17" t="s">
        <v>769</v>
      </c>
      <c r="C22" s="80" t="n">
        <f aca="false">$G19-NPVBase</f>
        <v>0</v>
      </c>
      <c r="D22" s="26" t="s">
        <v>770</v>
      </c>
      <c r="E22" s="26"/>
      <c r="F22" s="26"/>
      <c r="G22" s="26"/>
      <c r="H22" s="26"/>
      <c r="I22" s="26"/>
    </row>
    <row r="24" customFormat="false" ht="24" hidden="false" customHeight="true" outlineLevel="0" collapsed="false">
      <c r="B24" s="5" t="s">
        <v>771</v>
      </c>
      <c r="C24" s="6"/>
      <c r="D24" s="6"/>
      <c r="E24" s="6"/>
      <c r="F24" s="6"/>
      <c r="G24" s="6"/>
      <c r="H24" s="6"/>
      <c r="I24" s="6"/>
    </row>
    <row r="25" customFormat="false" ht="30" hidden="false" customHeight="true" outlineLevel="0" collapsed="false">
      <c r="B25" s="21" t="s">
        <v>772</v>
      </c>
      <c r="C25" s="21"/>
      <c r="D25" s="21"/>
      <c r="E25" s="21"/>
      <c r="F25" s="21"/>
      <c r="G25" s="21"/>
      <c r="H25" s="21"/>
      <c r="I25" s="21"/>
    </row>
    <row r="26" customFormat="false" ht="30" hidden="false" customHeight="true" outlineLevel="0" collapsed="false">
      <c r="B26" s="21" t="s">
        <v>773</v>
      </c>
      <c r="C26" s="21"/>
      <c r="D26" s="21"/>
      <c r="E26" s="21"/>
      <c r="F26" s="21"/>
      <c r="G26" s="21"/>
      <c r="H26" s="21"/>
      <c r="I26" s="21"/>
    </row>
    <row r="27" customFormat="false" ht="30" hidden="false" customHeight="true" outlineLevel="0" collapsed="false">
      <c r="B27" s="21" t="s">
        <v>774</v>
      </c>
      <c r="C27" s="21"/>
      <c r="D27" s="21"/>
      <c r="E27" s="21"/>
      <c r="F27" s="21"/>
      <c r="G27" s="21"/>
      <c r="H27" s="21"/>
      <c r="I27" s="21"/>
    </row>
    <row r="28" customFormat="false" ht="30" hidden="false" customHeight="true" outlineLevel="0" collapsed="false">
      <c r="B28" s="21" t="s">
        <v>775</v>
      </c>
      <c r="C28" s="21"/>
      <c r="D28" s="21"/>
      <c r="E28" s="21"/>
      <c r="F28" s="21"/>
      <c r="G28" s="21"/>
      <c r="H28" s="21"/>
      <c r="I28" s="21"/>
    </row>
    <row r="29" customFormat="false" ht="30" hidden="false" customHeight="true" outlineLevel="0" collapsed="false">
      <c r="B29" s="21" t="s">
        <v>776</v>
      </c>
      <c r="C29" s="21"/>
      <c r="D29" s="21"/>
      <c r="E29" s="21"/>
      <c r="F29" s="21"/>
      <c r="G29" s="21"/>
      <c r="H29" s="21"/>
      <c r="I29" s="21"/>
    </row>
  </sheetData>
  <mergeCells count="8">
    <mergeCell ref="B7:I7"/>
    <mergeCell ref="C21:I21"/>
    <mergeCell ref="D22:I22"/>
    <mergeCell ref="B25:I25"/>
    <mergeCell ref="B26:I26"/>
    <mergeCell ref="B27:I27"/>
    <mergeCell ref="B28:I28"/>
    <mergeCell ref="B29:I29"/>
  </mergeCells>
  <conditionalFormatting sqref="C21">
    <cfRule type="cellIs" priority="2" operator="equal" aboveAverage="0" equalAverage="0" bottom="0" percent="0" rank="0" text="" dxfId="2">
      <formula>"Shares balance to 100%"</formula>
    </cfRule>
    <cfRule type="cellIs" priority="3" operator="equal" aboveAverage="0" equalAverage="0" bottom="0" percent="0" rank="0" text="" dxfId="3">
      <formula>"Shares do not sum to 100% — review"</formula>
    </cfRule>
  </conditionalFormatting>
  <dataValidations count="1">
    <dataValidation allowBlank="true" errorStyle="stop" operator="between" showDropDown="false" showErrorMessage="false" showInputMessage="false" sqref="H11:H18" type="list">
      <formula1>Lists!$K$9:$K$12</formula1>
      <formula2>0</formula2>
    </dataValidation>
  </dataValidations>
  <printOptions headings="false" gridLines="false" gridLinesSet="true" horizontalCentered="true" verticalCentered="false"/>
  <pageMargins left="0.4" right="0.4" top="0.5" bottom="0.5" header="0.511811023622047" footer="0.5"/>
  <pageSetup paperSize="9" scale="100" fitToWidth="1" fitToHeight="0" pageOrder="downThenOver" orientation="landscape" blackAndWhite="false" draft="false" cellComments="none" horizontalDpi="300" verticalDpi="300" copies="1"/>
  <headerFooter differentFirst="false" differentOddEven="false">
    <oddHeader/>
    <oddFooter>&amp;L&amp;8 &amp;K8e98a2Template by Mastt  ·  mastt.com&amp;R&amp;8 &amp;K8e98a2Page &amp;P of &amp;N</oddFooter>
  </headerFooter>
  <drawing r:id="rId1"/>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tabColor rgb="FF8E98A2"/>
    <pageSetUpPr fitToPage="true"/>
  </sheetPr>
  <dimension ref="A1:K12"/>
  <sheetViews>
    <sheetView showFormulas="false" showGridLines="false" showRowColHeaders="true" showZeros="true" rightToLeft="false" tabSelected="false" showOutlineSymbols="true" defaultGridColor="true" view="normal" topLeftCell="A1" colorId="64" zoomScale="100" zoomScaleNormal="100" zoomScalePageLayoutView="100" workbookViewId="0">
      <selection pane="topLeft" activeCell="A1" activeCellId="0" sqref="A1"/>
    </sheetView>
  </sheetViews>
  <sheetFormatPr defaultColWidth="8.6796875" defaultRowHeight="15" zeroHeight="false" outlineLevelRow="0" outlineLevelCol="0"/>
  <cols>
    <col collapsed="false" customWidth="true" hidden="false" outlineLevel="0" max="1" min="1" style="1" width="3"/>
    <col collapsed="false" customWidth="true" hidden="false" outlineLevel="0" max="10" min="2" style="1" width="30"/>
  </cols>
  <sheetData>
    <row r="1" customFormat="false" ht="9.75" hidden="false" customHeight="true" outlineLevel="0" collapsed="false">
      <c r="A1" s="2"/>
      <c r="B1" s="2"/>
      <c r="C1" s="2"/>
      <c r="D1" s="2"/>
      <c r="E1" s="2"/>
      <c r="F1" s="2"/>
      <c r="G1" s="2"/>
      <c r="H1" s="2"/>
      <c r="I1" s="2"/>
      <c r="J1" s="2"/>
    </row>
    <row r="2" customFormat="false" ht="33.75" hidden="false" customHeight="true" outlineLevel="0" collapsed="false">
      <c r="A2" s="2"/>
      <c r="B2" s="2"/>
      <c r="C2" s="2"/>
      <c r="D2" s="2"/>
      <c r="E2" s="2"/>
      <c r="F2" s="2"/>
      <c r="G2" s="2"/>
      <c r="H2" s="2"/>
      <c r="I2" s="2"/>
      <c r="J2" s="2"/>
    </row>
    <row r="3" customFormat="false" ht="7.5" hidden="false" customHeight="true" outlineLevel="0" collapsed="false">
      <c r="A3" s="2"/>
      <c r="B3" s="2"/>
      <c r="C3" s="2"/>
      <c r="D3" s="2"/>
      <c r="E3" s="2"/>
      <c r="F3" s="2"/>
      <c r="G3" s="2"/>
      <c r="H3" s="2"/>
      <c r="I3" s="2"/>
      <c r="J3" s="2"/>
    </row>
    <row r="4" customFormat="false" ht="30" hidden="false" customHeight="true" outlineLevel="0" collapsed="false">
      <c r="A4" s="2"/>
      <c r="B4" s="3" t="s">
        <v>777</v>
      </c>
      <c r="C4" s="2"/>
      <c r="D4" s="2"/>
      <c r="E4" s="2"/>
      <c r="F4" s="2"/>
      <c r="G4" s="2"/>
      <c r="H4" s="2"/>
      <c r="I4" s="2"/>
      <c r="J4" s="2"/>
    </row>
    <row r="5" customFormat="false" ht="21.75" hidden="false" customHeight="true" outlineLevel="0" collapsed="false">
      <c r="A5" s="2"/>
      <c r="B5" s="4" t="s">
        <v>778</v>
      </c>
      <c r="C5" s="2"/>
      <c r="D5" s="2"/>
      <c r="E5" s="2"/>
      <c r="F5" s="2"/>
      <c r="G5" s="2"/>
      <c r="H5" s="2"/>
      <c r="I5" s="2"/>
      <c r="J5" s="2"/>
    </row>
    <row r="6" customFormat="false" ht="7.5" hidden="false" customHeight="true" outlineLevel="0" collapsed="false"/>
    <row r="7" customFormat="false" ht="24" hidden="false" customHeight="true" outlineLevel="0" collapsed="false">
      <c r="B7" s="5" t="s">
        <v>779</v>
      </c>
      <c r="C7" s="6"/>
      <c r="D7" s="6"/>
      <c r="E7" s="6"/>
      <c r="F7" s="6"/>
      <c r="G7" s="40" t="s">
        <v>780</v>
      </c>
      <c r="H7" s="40"/>
      <c r="I7" s="40"/>
      <c r="J7" s="40"/>
    </row>
    <row r="8" customFormat="false" ht="27.75" hidden="false" customHeight="true" outlineLevel="0" collapsed="false">
      <c r="B8" s="43" t="s">
        <v>781</v>
      </c>
      <c r="C8" s="43" t="s">
        <v>782</v>
      </c>
      <c r="D8" s="43" t="s">
        <v>783</v>
      </c>
      <c r="E8" s="43" t="s">
        <v>252</v>
      </c>
      <c r="F8" s="43" t="s">
        <v>184</v>
      </c>
      <c r="G8" s="43" t="s">
        <v>186</v>
      </c>
      <c r="H8" s="43" t="s">
        <v>201</v>
      </c>
      <c r="I8" s="43" t="s">
        <v>629</v>
      </c>
      <c r="J8" s="43" t="s">
        <v>784</v>
      </c>
      <c r="K8" s="43" t="s">
        <v>510</v>
      </c>
    </row>
    <row r="9" customFormat="false" ht="15" hidden="false" customHeight="true" outlineLevel="0" collapsed="false">
      <c r="B9" s="11" t="s">
        <v>257</v>
      </c>
      <c r="C9" s="11" t="s">
        <v>258</v>
      </c>
      <c r="D9" s="11" t="s">
        <v>377</v>
      </c>
      <c r="E9" s="11" t="s">
        <v>272</v>
      </c>
      <c r="F9" s="11" t="s">
        <v>785</v>
      </c>
      <c r="G9" s="11" t="s">
        <v>187</v>
      </c>
      <c r="H9" s="11" t="s">
        <v>786</v>
      </c>
      <c r="I9" s="11" t="s">
        <v>264</v>
      </c>
      <c r="J9" s="11" t="s">
        <v>514</v>
      </c>
      <c r="K9" s="11" t="s">
        <v>515</v>
      </c>
    </row>
    <row r="10" customFormat="false" ht="15" hidden="false" customHeight="true" outlineLevel="0" collapsed="false">
      <c r="B10" s="11" t="s">
        <v>310</v>
      </c>
      <c r="C10" s="11" t="s">
        <v>311</v>
      </c>
      <c r="D10" s="11" t="s">
        <v>427</v>
      </c>
      <c r="E10" s="11" t="s">
        <v>260</v>
      </c>
      <c r="F10" s="11" t="s">
        <v>183</v>
      </c>
      <c r="G10" s="11" t="s">
        <v>787</v>
      </c>
      <c r="H10" s="11" t="s">
        <v>202</v>
      </c>
      <c r="I10" s="11" t="s">
        <v>260</v>
      </c>
      <c r="J10" s="11" t="s">
        <v>526</v>
      </c>
      <c r="K10" s="11" t="s">
        <v>519</v>
      </c>
    </row>
    <row r="11" customFormat="false" ht="15" hidden="false" customHeight="true" outlineLevel="0" collapsed="false">
      <c r="B11" s="11" t="s">
        <v>331</v>
      </c>
      <c r="C11" s="11" t="s">
        <v>332</v>
      </c>
      <c r="D11" s="11" t="s">
        <v>332</v>
      </c>
      <c r="E11" s="11" t="s">
        <v>264</v>
      </c>
      <c r="H11" s="11" t="s">
        <v>788</v>
      </c>
      <c r="I11" s="11" t="s">
        <v>272</v>
      </c>
      <c r="J11" s="11" t="s">
        <v>540</v>
      </c>
      <c r="K11" s="11" t="s">
        <v>527</v>
      </c>
    </row>
    <row r="12" customFormat="false" ht="15" hidden="false" customHeight="true" outlineLevel="0" collapsed="false">
      <c r="I12" s="11" t="s">
        <v>789</v>
      </c>
      <c r="K12" s="11" t="s">
        <v>790</v>
      </c>
    </row>
  </sheetData>
  <mergeCells count="1">
    <mergeCell ref="G7:J7"/>
  </mergeCells>
  <printOptions headings="false" gridLines="false" gridLinesSet="true" horizontalCentered="true" verticalCentered="false"/>
  <pageMargins left="0.4" right="0.4" top="0.5" bottom="0.5" header="0.511811023622047" footer="0.5"/>
  <pageSetup paperSize="8" scale="100" fitToWidth="2" fitToHeight="0" pageOrder="downThenOver" orientation="landscape" blackAndWhite="false" draft="false" cellComments="none" horizontalDpi="300" verticalDpi="300" copies="1"/>
  <headerFooter differentFirst="false" differentOddEven="false">
    <oddHeader/>
    <oddFooter>&amp;L&amp;8 &amp;K8e98a2Template by Mastt  ·  mastt.com&amp;R&amp;8 &amp;K8e98a2Page &amp;P of &amp;N</oddFooter>
  </headerFooter>
  <drawing r:id="rId1"/>
</worksheet>
</file>

<file path=docProps/app.xml><?xml version="1.0" encoding="utf-8"?>
<Properties xmlns="http://schemas.openxmlformats.org/officeDocument/2006/extended-properties" xmlns:vt="http://schemas.openxmlformats.org/officeDocument/2006/docPropsVTypes">
  <Template/>
  <TotalTime>0</TotalTime>
  <Application>LibreOffice/24.2.7.2$Linux_X86_64 LibreOffice_project/420$Build-2</Application>
  <AppVersion>15.0000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category>Project Management Template</cp:category>
  <dcterms:created xsi:type="dcterms:W3CDTF">2026-08-13T03:58:01Z</dcterms:created>
  <dc:creator>Mastt</dc:creator>
  <dc:description>Mastt template. General guidance only - not legal, financial or professional advice. Adapt to your contract, jurisdiction and organisational policies.</dc:description>
  <cp:keywords>Mastt construction project management template capital works</cp:keywords>
  <dc:language>en-US</dc:language>
  <cp:lastModifiedBy>Mastt</cp:lastModifiedBy>
  <dcterms:modified xsi:type="dcterms:W3CDTF">2026-08-13T05:29:11Z</dcterms:modified>
  <cp:revision>0</cp:revision>
  <dc:subject>Capital project delivery template</dc:subject>
  <dc:title>Mastt Cost Benefit Analysis Template — Global</dc:title>
</cp:coreProperties>
</file>

<file path=docProps/custom.xml><?xml version="1.0" encoding="utf-8"?>
<Properties xmlns="http://schemas.openxmlformats.org/officeDocument/2006/custom-properties" xmlns:vt="http://schemas.openxmlformats.org/officeDocument/2006/docPropsVTypes"/>
</file>