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etup" sheetId="2" state="visible" r:id="rId4"/>
    <sheet name="Issue Summary" sheetId="3" state="visible" r:id="rId5"/>
    <sheet name="Issue Register" sheetId="4" state="visible" r:id="rId6"/>
    <sheet name="Updates Log" sheetId="5" state="visible" r:id="rId7"/>
    <sheet name="Escalations" sheetId="6" state="visible" r:id="rId8"/>
    <sheet name="Notices &amp; Early Warnings" sheetId="7" state="visible" r:id="rId9"/>
    <sheet name="Reference" sheetId="8" state="visible" r:id="rId10"/>
  </sheets>
  <definedNames>
    <definedName function="false" hidden="false" localSheetId="0" name="_xlnm.Print_Area" vbProcedure="false">Cover!$A$1:$G$134</definedName>
    <definedName function="false" hidden="false" localSheetId="5" name="_xlnm.Print_Area" vbProcedure="false">Escalations!$A$1:$M$30</definedName>
    <definedName function="false" hidden="false" localSheetId="5" name="_xlnm.Print_Titles" vbProcedure="false">Escalations!$6:$6</definedName>
    <definedName function="false" hidden="true" localSheetId="5" name="_xlnm._FilterDatabase" vbProcedure="false">Escalations!$B$6:$M$26</definedName>
    <definedName function="false" hidden="false" localSheetId="3" name="_xlnm.Print_Area" vbProcedure="false">'Issue Register'!$A$1:$Z$46</definedName>
    <definedName function="false" hidden="false" localSheetId="3" name="_xlnm.Print_Titles" vbProcedure="false">'Issue Register'!$A:$E,'Issue Register'!$6:$6</definedName>
    <definedName function="false" hidden="true" localSheetId="3" name="_xlnm._FilterDatabase" vbProcedure="false">'Issue Register'!$B$6:$Z$41</definedName>
    <definedName function="false" hidden="false" localSheetId="2" name="_xlnm.Print_Area" vbProcedure="false">'Issue Summary'!$A$1:$I$60</definedName>
    <definedName function="false" hidden="false" localSheetId="6" name="_xlnm.Print_Area" vbProcedure="false">'Notices &amp; Early Warnings'!$A$1:$O$34</definedName>
    <definedName function="false" hidden="false" localSheetId="6" name="_xlnm.Print_Titles" vbProcedure="false">'Notices &amp; Early Warnings'!$6:$6</definedName>
    <definedName function="false" hidden="true" localSheetId="6" name="_xlnm._FilterDatabase" vbProcedure="false">'Notices &amp; Early Warnings'!$B$6:$O$30</definedName>
    <definedName function="false" hidden="false" localSheetId="7" name="_xlnm.Print_Area" vbProcedure="false">Reference!$A$1:$H$104</definedName>
    <definedName function="false" hidden="false" localSheetId="1" name="_xlnm.Print_Area" vbProcedure="false">Setup!$A$1:$H$48</definedName>
    <definedName function="false" hidden="false" localSheetId="4" name="_xlnm.Print_Area" vbProcedure="false">'Updates Log'!$A$1:$J$43</definedName>
    <definedName function="false" hidden="false" localSheetId="4" name="_xlnm.Print_Titles" vbProcedure="false">'Updates Log'!$6:$6</definedName>
    <definedName function="false" hidden="true" localSheetId="4" name="_xlnm._FilterDatabase" vbProcedure="false">'Updates Log'!$B$6:$J$41</definedName>
    <definedName function="false" hidden="false" localSheetId="3" name="_xlnm.Print_Titles" vbProcedure="false">'Issue Register'!$6:$6,'Issue Register'!$A:$E</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<sst xmlns="http://schemas.openxmlformats.org/spreadsheetml/2006/main" count="803" uniqueCount="514">
  <si>
    <t xml:space="preserve">Issue Register</t>
  </si>
  <si>
    <t xml:space="preserve">For teams delivering capital projects, programs and portfolios</t>
  </si>
  <si>
    <t xml:space="preserve">One place for everything that has gone wrong, or is about to, and no home anywhere else - approvals, land, utilities, the owner's own decisions, operational readiness, a contractor who will not close a non-conformance. It records what you knew and when, what you did, who decided, and what proved it was finished. It works out priority, target dates, ageing, status and what has to go above the project manager, from thresholds you set once.</t>
  </si>
  <si>
    <t xml:space="preserve">HOW TO USE IT</t>
  </si>
  <si>
    <t xml:space="preserve">1</t>
  </si>
  <si>
    <t xml:space="preserve">Set the thresholds on Setup first.</t>
  </si>
  <si>
    <t xml:space="preserve">Everything in this workbook derives from four numbers you enter once: how much cost and how much delay the project manager may settle without going upward, how long each priority has to be resolved, and the notice period in your contract. Change them and the whole register re-flags itself. Nothing here is hard-coded.</t>
  </si>
  <si>
    <t xml:space="preserve">2</t>
  </si>
  <si>
    <t xml:space="preserve">Record two dates for every issue, not one.</t>
  </si>
  <si>
    <t xml:space="preserve">The date it arose or was first known, and the date it went in the register. Every notice clock in every standard form runs from awareness, not from paperwork - and the gap between your two dates is the first thing anyone reviewing this will measure.</t>
  </si>
  <si>
    <t xml:space="preserve">3</t>
  </si>
  <si>
    <t xml:space="preserve">Say what has happened and what it affects.</t>
  </si>
  <si>
    <t xml:space="preserve">Not a heading. "Ground conditions" tells a reader nothing in eighteen months. "Fill in the north yard tested above the disposal threshold, stopping bulk earthworks" tells them what happened, where, and what it stopped.</t>
  </si>
  <si>
    <t xml:space="preserve">4</t>
  </si>
  <si>
    <t xml:space="preserve">Set severity and urgency. Priority works itself out.</t>
  </si>
  <si>
    <t xml:space="preserve">They are different questions. Severity is how bad it is; urgency is how soon acting changes anything. A minor issue on next week's critical path outranks a major one with three months of float, and one column cannot say that.</t>
  </si>
  <si>
    <t xml:space="preserve">5</t>
  </si>
  <si>
    <t xml:space="preserve">Answer the notice question on every row.</t>
  </si>
  <si>
    <t xml:space="preserve">Not required, required and not yet served, or served. The middle state is the one that costs money. Where a notice is in play, put the detail on Notices &amp; Early Warnings.</t>
  </si>
  <si>
    <t xml:space="preserve">6</t>
  </si>
  <si>
    <t xml:space="preserve">Add an update - do not overwrite the last one.</t>
  </si>
  <si>
    <t xml:space="preserve">Use Updates Log. A cell you type over leaves no trace that it ever said something else, and a register that has visibly been rewritten is worth less than no register at all.</t>
  </si>
  <si>
    <t xml:space="preserve">7</t>
  </si>
  <si>
    <t xml:space="preserve">Close it against evidence.</t>
  </si>
  <si>
    <t xml:space="preserve">A closure reference and the name of whoever accepted it. "Resolved - see email" proves nothing to anybody two years from now.</t>
  </si>
  <si>
    <t xml:space="preserve">WHAT IS IN THE WORKBOOK</t>
  </si>
  <si>
    <t xml:space="preserve">Sheet</t>
  </si>
  <si>
    <t xml:space="preserve">What it is for</t>
  </si>
  <si>
    <t xml:space="preserve">Setup</t>
  </si>
  <si>
    <t xml:space="preserve">The project, the parties, and the four thresholds that drive every flag in the workbook - delegated authority, resolution targets, the notice period and the warning window.</t>
  </si>
  <si>
    <t xml:space="preserve">Issue Summary</t>
  </si>
  <si>
    <t xml:space="preserve">The board read. What is open, what is overdue, what is waiting on a decision, what it is worth, and the ageing profile by priority.</t>
  </si>
  <si>
    <t xml:space="preserve">The register itself. Two dates, severity and urgency separately, derived priority, derived target, derived status, and the notice question on every row.</t>
  </si>
  <si>
    <t xml:space="preserve">Updates Log</t>
  </si>
  <si>
    <t xml:space="preserve">Dated entries against an issue. Add a line, never edit the last one - this is what makes the register a contemporaneous record rather than an assertion.</t>
  </si>
  <si>
    <t xml:space="preserve">Escalations</t>
  </si>
  <si>
    <t xml:space="preserve">Issues that exceeded the authority delegated to the project manager, who they went to, what was decided, by whom and when.</t>
  </si>
  <si>
    <t xml:space="preserve">Notices &amp; Early Warnings</t>
  </si>
  <si>
    <t xml:space="preserve">Where an issue is also a contractual event. Awareness date, the period, the date the notice must be served by, and whether it was.</t>
  </si>
  <si>
    <t xml:space="preserve">Reference</t>
  </si>
  <si>
    <t xml:space="preserve">The colour key, what belongs in this register and what belongs somewhere else, definitions and every dropdown source.</t>
  </si>
  <si>
    <t xml:space="preserve">THE COLOUR KEY</t>
  </si>
  <si>
    <t xml:space="preserve">Closed</t>
  </si>
  <si>
    <t xml:space="preserve">The issue is closed and the closure is evidenced.</t>
  </si>
  <si>
    <t xml:space="preserve">Open</t>
  </si>
  <si>
    <t xml:space="preserve">Raised, owned, inside its target date. Nothing needed from anyone else.</t>
  </si>
  <si>
    <t xml:space="preserve">Due soon</t>
  </si>
  <si>
    <t xml:space="preserve">Inside the warning window before its target date.</t>
  </si>
  <si>
    <t xml:space="preserve">Escalate</t>
  </si>
  <si>
    <t xml:space="preserve">Past what the project manager was given authority to settle. It needs a decision one level up.</t>
  </si>
  <si>
    <t xml:space="preserve">Overdue</t>
  </si>
  <si>
    <t xml:space="preserve">Past its target date and still open. Or a notice that should have been served and has not been.</t>
  </si>
  <si>
    <t xml:space="preserve">Void</t>
  </si>
  <si>
    <t xml:space="preserve">Recorded, then found to be a duplicate or an error. Never delete a row - a gap in the numbering destroys the register's value as a record.</t>
  </si>
  <si>
    <t xml:space="preserve">WHAT MOST ISSUE REGISTERS GET WRONG</t>
  </si>
  <si>
    <t xml:space="preserve">One date field</t>
  </si>
  <si>
    <t xml:space="preserve">Every widely-copied issue log has "date raised" and nothing else. Every notice provision worth worrying about runs from the date a party became aware, or ought to have become aware, of the event - not from the date somebody typed it into a spreadsheet. A register with one date cannot answer the only question that will be asked about it.</t>
  </si>
  <si>
    <t xml:space="preserve">Severity and priority in the same column</t>
  </si>
  <si>
    <t xml:space="preserve">They are not the same thing. Severity belongs to the issue and does not move. Priority is a decision you make about the queue, and it changes as dates approach. Collapse them and you cannot triage, because the sheet has no way to say "small problem, but it lands Thursday".</t>
  </si>
  <si>
    <t xml:space="preserve">Escalation as a tick box</t>
  </si>
  <si>
    <t xml:space="preserve">"Escalate: Y/N" is a matter of opinion, so it is argued about and then ignored. Escalation is not an opinion. It is what happens when an issue exceeds the authority the person holding it was given, which means it can be calculated - and here it is.</t>
  </si>
  <si>
    <t xml:space="preserve">Ageing colour applied uniformly</t>
  </si>
  <si>
    <t xml:space="preserve">Green under seven days, amber to fourteen, red beyond, applied to every row alike. A critical issue three days old is worse than a minor one at thirty. Age has to be measured against a target that moves with priority, or the colours are just noise.</t>
  </si>
  <si>
    <t xml:space="preserve">Status typed by hand</t>
  </si>
  <si>
    <t xml:space="preserve">It drifts within a fortnight, and then the status column contradicts the date columns. Here status is derived from the dates and the thresholds, so the two can never disagree. The only thing you type is the void flag.</t>
  </si>
  <si>
    <t xml:space="preserve">A second copy of the RFI log</t>
  </si>
  <si>
    <t xml:space="preserve">An issue register with no link to the other registers quietly becomes a worse duplicate of all of them, and then nobody trusts either copy. Reference sets out what belongs here and what belongs elsewhere, and every row has a field to point at the record that already exists.</t>
  </si>
  <si>
    <t xml:space="preserve">Closed with no evidence</t>
  </si>
  <si>
    <t xml:space="preserve">A free-text resolution note is not evidence of anything. What closed it, what reference proves it, and who accepted the closure - three fields, and almost no template has any of them.</t>
  </si>
  <si>
    <t xml:space="preserve">WHY IT IS BUILT THIS WAY</t>
  </si>
  <si>
    <t xml:space="preserve">Two dates, because every clock starts at awareness</t>
  </si>
  <si>
    <t xml:space="preserve">The date a matter arose or was first known is what starts a notice period, and it is what a delay analyst reconstructs first. The date it reached the register measures you. Recording one and not the other is how projects discover a time bar has already run.</t>
  </si>
  <si>
    <t xml:space="preserve">Escalation calculated from delegated authority</t>
  </si>
  <si>
    <t xml:space="preserve">Set the cost and the delay the project manager may settle alone, and escalation stops being a matter of judgement. Anything above it goes up; anything below it is dealt with. That is how delegation is supposed to work and it is the only escalation rule that survives being questioned.</t>
  </si>
  <si>
    <t xml:space="preserve">Severity, urgency and priority kept apart</t>
  </si>
  <si>
    <t xml:space="preserve">Severity is a property of the issue. Urgency is about timing. Priority is the decision you make from the two, and it is the only one of the three that should drive a target date.</t>
  </si>
  <si>
    <t xml:space="preserve">Status and target derived, never typed</t>
  </si>
  <si>
    <t xml:space="preserve">A typed status is out of date by the following week and then it argues with the dates next to it. Everything here follows from the dates you enter and the thresholds you set.</t>
  </si>
  <si>
    <t xml:space="preserve">Closure that proves something</t>
  </si>
  <si>
    <t xml:space="preserve">What closed it, the reference that proves it, and who accepted the closure. This is the difference between a register that answers a question in two years and one that raises three.</t>
  </si>
  <si>
    <t xml:space="preserve">Updates added, not overwritten</t>
  </si>
  <si>
    <t xml:space="preserve">A record made at the time, by someone who knew, in the ordinary course of the work, is worth something later. A cell that has been typed over is worth less than nothing, because it invites the question of what else was changed.</t>
  </si>
  <si>
    <t xml:space="preserve">IMPORTANT</t>
  </si>
  <si>
    <t xml:space="preserve">An entry in this register is a management record. It is not a notice, an instruction, an approval or a claim, and it does not satisfy any requirement of a contract. Where a matter may be a contractual event, the notice or early warning required by that contract must be given separately, in the form and by the time the contract requires, whatever this register says. Assume this register will be read by people outside your organisation and write every entry accordingly. This template is general guidance, not legal or contractual advice - take your own advice on your own contract.</t>
  </si>
  <si>
    <t xml:space="preserve">Built for teams delivering capital projects, programs and portfolios  ·  mastt.com</t>
  </si>
  <si>
    <t xml:space="preserve">ISSUE REGISTER     ·     SETUP</t>
  </si>
  <si>
    <t xml:space="preserve">Enter the project once and set four thresholds. Everything the register flags - target dates, due soon, overdue, and what has to go above the project manager - is worked out from these. Nothing in this workbook is hard coded.</t>
  </si>
  <si>
    <t xml:space="preserve">1  ·  THE PROJECT</t>
  </si>
  <si>
    <t xml:space="preserve">Project name</t>
  </si>
  <si>
    <t xml:space="preserve">EXAMPLE - Northgate Water Treatment Plant Upgrade</t>
  </si>
  <si>
    <t xml:space="preserve">Project number</t>
  </si>
  <si>
    <t xml:space="preserve">PRJ-4180</t>
  </si>
  <si>
    <t xml:space="preserve">Owner / client</t>
  </si>
  <si>
    <t xml:space="preserve">Northgate Regional Water Authority</t>
  </si>
  <si>
    <t xml:space="preserve">Register maintained by</t>
  </si>
  <si>
    <t xml:space="preserve">L. Haddad, Project Manager</t>
  </si>
  <si>
    <t xml:space="preserve">One named person. A register that everybody keeps is a register nobody keeps.</t>
  </si>
  <si>
    <t xml:space="preserve">Register opened</t>
  </si>
  <si>
    <t xml:space="preserve">Today</t>
  </si>
  <si>
    <t xml:space="preserve">Every age, target and overdue flag in the workbook is measured against this.</t>
  </si>
  <si>
    <t xml:space="preserve">2  ·  DELEGATED AUTHORITY - WHAT THE PROJECT MANAGER MAY SETTLE ALONE</t>
  </si>
  <si>
    <t xml:space="preserve">This is the whole escalation rule. Set the cost and the delay the project manager was given authority to settle, and anything beyond it refers itself upward automatically - no judgement, no argument, no tick box. A large saving or a large pull forward counts too: taking an opportunity worth more than the delegation is just as much a decision for the level above as absorbing a cost.</t>
  </si>
  <si>
    <t xml:space="preserve">Cost the project manager may settle</t>
  </si>
  <si>
    <t xml:space="preserve">In the project's contract currency. Any issue whose value effect exceeds this, up or down, refers itself upward.</t>
  </si>
  <si>
    <t xml:space="preserve">Delay the project manager may absorb (days)</t>
  </si>
  <si>
    <t xml:space="preserve">Any issue whose time effect exceeds this, either way, refers itself upward.</t>
  </si>
  <si>
    <t xml:space="preserve">Refer every P1 upward automatically?</t>
  </si>
  <si>
    <t xml:space="preserve">Yes</t>
  </si>
  <si>
    <t xml:space="preserve">Most governance frameworks say yes. Set it to No if your project board only wants to see issues that break a threshold.</t>
  </si>
  <si>
    <t xml:space="preserve">Refer upward once an issue is this many days past target</t>
  </si>
  <si>
    <t xml:space="preserve">An issue nobody can close is an issue somebody above needs to hear about.</t>
  </si>
  <si>
    <t xml:space="preserve">3  ·  HOW LONG EACH PRIORITY HAS TO BE RESOLVED</t>
  </si>
  <si>
    <t xml:space="preserve">The target date on every row is its raised date plus the days below. This is why a single ageing colour - green under a week, red after a fortnight, applied to everything alike - tells you nothing: a P1 three days old is in trouble and a P4 at thirty days is fine.</t>
  </si>
  <si>
    <t xml:space="preserve">Priority</t>
  </si>
  <si>
    <t xml:space="preserve">Days to resolve</t>
  </si>
  <si>
    <t xml:space="preserve">Typically</t>
  </si>
  <si>
    <t xml:space="preserve">P1</t>
  </si>
  <si>
    <t xml:space="preserve">Critical or immediate. Someone is on it today and the sponsor knows.</t>
  </si>
  <si>
    <t xml:space="preserve">P2</t>
  </si>
  <si>
    <t xml:space="preserve">Serious. Owned, worked, and reported at the weekly meeting.</t>
  </si>
  <si>
    <t xml:space="preserve">P3</t>
  </si>
  <si>
    <t xml:space="preserve">Real, planned, not urgent.</t>
  </si>
  <si>
    <t xml:space="preserve">P4</t>
  </si>
  <si>
    <t xml:space="preserve">Recorded so the pattern is visible. Cleared in a batch.</t>
  </si>
  <si>
    <t xml:space="preserve">4  ·  NOTICES AND WARNINGS</t>
  </si>
  <si>
    <t xml:space="preserve">Notice period in your contract (days)</t>
  </si>
  <si>
    <t xml:space="preserve">The time you have to notify after becoming aware. Read it off your contract - the standard forms differ and most projects amend them. Where a particular notice has a different period, override it on that row.</t>
  </si>
  <si>
    <t xml:space="preserve">Early warning meeting interval (days)</t>
  </si>
  <si>
    <t xml:space="preserve">Where your contract runs early warning meetings, how often.</t>
  </si>
  <si>
    <t xml:space="preserve">Warn me this many days before a date</t>
  </si>
  <si>
    <t xml:space="preserve">Drives every Due soon flag, on targets and on notice deadlines.</t>
  </si>
  <si>
    <t xml:space="preserve">Flag an entry logged more than this many days after it arose</t>
  </si>
  <si>
    <t xml:space="preserve">Your own reporting lag. Where it is exceeded the raised date turns amber. If that happens often, the register is being written up rather than kept.</t>
  </si>
  <si>
    <t xml:space="preserve">5  ·  WHO IT GOES TO</t>
  </si>
  <si>
    <t xml:space="preserve">Level</t>
  </si>
  <si>
    <t xml:space="preserve">Who</t>
  </si>
  <si>
    <t xml:space="preserve">What they settle</t>
  </si>
  <si>
    <t xml:space="preserve">Project manager</t>
  </si>
  <si>
    <t xml:space="preserve">L. Haddad</t>
  </si>
  <si>
    <t xml:space="preserve">Everything inside the delegation set above.</t>
  </si>
  <si>
    <t xml:space="preserve">Project director / sponsor</t>
  </si>
  <si>
    <t xml:space="preserve">R. Adeyemi</t>
  </si>
  <si>
    <t xml:space="preserve">Above the project manager's delegation, inside the approved budget and programme.</t>
  </si>
  <si>
    <t xml:space="preserve">Steering committee / control group</t>
  </si>
  <si>
    <t xml:space="preserve">Capital Works Group</t>
  </si>
  <si>
    <t xml:space="preserve">Anything touching the approved budget, the completion date or the scope.</t>
  </si>
  <si>
    <t xml:space="preserve">Board / investment committee</t>
  </si>
  <si>
    <t xml:space="preserve">Authority Board</t>
  </si>
  <si>
    <t xml:space="preserve">Anything needing new funding, or a change to what was approved at business case.</t>
  </si>
  <si>
    <t xml:space="preserve">6  ·  IS THIS SHEET FINISHED?</t>
  </si>
  <si>
    <t xml:space="preserve">Setup complete</t>
  </si>
  <si>
    <t xml:space="preserve">Every field that something else in the workbook reads. Until this is 100% some flags cannot compute.</t>
  </si>
  <si>
    <t xml:space="preserve">Visit mastt.com</t>
  </si>
  <si>
    <t xml:space="preserve">ISSUE REGISTER     ·     ISSUE SUMMARY</t>
  </si>
  <si>
    <t xml:space="preserve">The board read. Every figure counts itself from the register - none of it is typed. The ageing table is read against each priority's own target, not a single colour rule applied to everything alike.</t>
  </si>
  <si>
    <t xml:space="preserve">WHERE THE REGISTER STANDS</t>
  </si>
  <si>
    <t xml:space="preserve">Open issues</t>
  </si>
  <si>
    <t xml:space="preserve">Waiting on a decision above the manager</t>
  </si>
  <si>
    <t xml:space="preserve">Notices required, not served</t>
  </si>
  <si>
    <t xml:space="preserve">Value at stake, open issues</t>
  </si>
  <si>
    <t xml:space="preserve">Open issues nobody owns</t>
  </si>
  <si>
    <t xml:space="preserve">Closed against evidence</t>
  </si>
  <si>
    <t xml:space="preserve">Average days to close</t>
  </si>
  <si>
    <t xml:space="preserve">Average days between an issue arising and reaching this register</t>
  </si>
  <si>
    <t xml:space="preserve">Your reporting lag, and the first thing anyone reviewing the project will measure. Every notice period runs from the first date, not the second.</t>
  </si>
  <si>
    <t xml:space="preserve">Entries that cannot compute yet</t>
  </si>
  <si>
    <t xml:space="preserve">A row with words in it but no date, severity or urgency. Nothing downstream can flag it.</t>
  </si>
  <si>
    <t xml:space="preserve">AGEING - OPEN ISSUES BY PRIORITY, AGAINST EACH PRIORITY'S OWN TARGET</t>
  </si>
  <si>
    <t xml:space="preserve">Red is every issue in that band already past the target for its priority; amber is a band that straddles the target, so some of them are. This is why one ageing rule for the whole register tells you nothing: a P1 at eight days is in trouble and a P4 at thirty is fine. Change a target on Setup and the colours move with it.</t>
  </si>
  <si>
    <t xml:space="preserve">0 - 7 days</t>
  </si>
  <si>
    <t xml:space="preserve">8 - 14</t>
  </si>
  <si>
    <t xml:space="preserve">15 - 30</t>
  </si>
  <si>
    <t xml:space="preserve">31 - 60</t>
  </si>
  <si>
    <t xml:space="preserve">Over 60</t>
  </si>
  <si>
    <t xml:space="preserve">Value at stake</t>
  </si>
  <si>
    <t xml:space="preserve">BY CATEGORY</t>
  </si>
  <si>
    <t xml:space="preserve">Category</t>
  </si>
  <si>
    <t xml:space="preserve">Above delegation</t>
  </si>
  <si>
    <t xml:space="preserve">Approvals &amp; consents</t>
  </si>
  <si>
    <t xml:space="preserve">Client decision</t>
  </si>
  <si>
    <t xml:space="preserve">Commercial &amp; cost</t>
  </si>
  <si>
    <t xml:space="preserve">Design &amp; documentation</t>
  </si>
  <si>
    <t xml:space="preserve">Health, safety &amp; environment</t>
  </si>
  <si>
    <t xml:space="preserve">Land &amp; access</t>
  </si>
  <si>
    <t xml:space="preserve">Operational readiness</t>
  </si>
  <si>
    <t xml:space="preserve">Programme &amp; sequencing</t>
  </si>
  <si>
    <t xml:space="preserve">Procurement &amp; supply</t>
  </si>
  <si>
    <t xml:space="preserve">Quality &amp; workmanship</t>
  </si>
  <si>
    <t xml:space="preserve">Resourcing &amp; capability</t>
  </si>
  <si>
    <t xml:space="preserve">Site conditions</t>
  </si>
  <si>
    <t xml:space="preserve">Stakeholder &amp; community</t>
  </si>
  <si>
    <t xml:space="preserve">Third party &amp; utilities</t>
  </si>
  <si>
    <t xml:space="preserve">WHO HAS TO FIX IT - AND WHETHER YOU CAN INSTRUCT THEM OR ONLY ASK</t>
  </si>
  <si>
    <t xml:space="preserve">The difference between an issue your own team owns and one sitting with an authority or a landowner is the whole management problem on a client-side project. One you direct; the other you can only chase, and it needs a different kind of attention.</t>
  </si>
  <si>
    <t xml:space="preserve">Owner is</t>
  </si>
  <si>
    <t xml:space="preserve">Oldest open (days)</t>
  </si>
  <si>
    <t xml:space="preserve">Client / owner</t>
  </si>
  <si>
    <t xml:space="preserve">Contractor</t>
  </si>
  <si>
    <t xml:space="preserve">Consultant</t>
  </si>
  <si>
    <t xml:space="preserve">Authority</t>
  </si>
  <si>
    <t xml:space="preserve">Third party</t>
  </si>
  <si>
    <t xml:space="preserve">Supplier</t>
  </si>
  <si>
    <t xml:space="preserve">NOTICES</t>
  </si>
  <si>
    <t xml:space="preserve">Marked on the register as requiring a notice that has not been served</t>
  </si>
  <si>
    <t xml:space="preserve">Recorded here and past the day it had to be served</t>
  </si>
  <si>
    <t xml:space="preserve">Served, response still outstanding</t>
  </si>
  <si>
    <t xml:space="preserve">Served and closed out</t>
  </si>
  <si>
    <t xml:space="preserve">On the register as requiring a notice, with no line on that sheet</t>
  </si>
  <si>
    <t xml:space="preserve">ISSUE REGISTER     ·     ISSUE REGISTER</t>
  </si>
  <si>
    <t xml:space="preserve">Two dates on every row, severity and urgency kept apart, and the notice question answered every time. Everything in the off-white columns is worked out for you.</t>
  </si>
  <si>
    <t xml:space="preserve">Ref</t>
  </si>
  <si>
    <t xml:space="preserve">Date it arose /
was first known</t>
  </si>
  <si>
    <t xml:space="preserve">Date raised
in the register</t>
  </si>
  <si>
    <t xml:space="preserve">The issue - what has happened, where, and what it is holding up</t>
  </si>
  <si>
    <t xml:space="preserve">Type</t>
  </si>
  <si>
    <t xml:space="preserve">Raised by</t>
  </si>
  <si>
    <t xml:space="preserve">Owner</t>
  </si>
  <si>
    <t xml:space="preserve">Severity</t>
  </si>
  <si>
    <t xml:space="preserve">Urgency</t>
  </si>
  <si>
    <t xml:space="preserve">Value effect</t>
  </si>
  <si>
    <t xml:space="preserve">Days</t>
  </si>
  <si>
    <t xml:space="preserve">Notice</t>
  </si>
  <si>
    <t xml:space="preserve">Linked record</t>
  </si>
  <si>
    <t xml:space="preserve">Resolve by</t>
  </si>
  <si>
    <t xml:space="preserve">Action agreed / how it was resolved</t>
  </si>
  <si>
    <t xml:space="preserve">Date closed</t>
  </si>
  <si>
    <t xml:space="preserve">Closure evidence</t>
  </si>
  <si>
    <t xml:space="preserve">Closure accepted by</t>
  </si>
  <si>
    <t xml:space="preserve">Age
(days)</t>
  </si>
  <si>
    <t xml:space="preserve">Status</t>
  </si>
  <si>
    <t xml:space="preserve">Above delegation?</t>
  </si>
  <si>
    <t xml:space="preserve">Fill in the north yard tested above the disposal threshold. Bulk earthworks stopped east of grid line 6 pending a classification and a disposal route.</t>
  </si>
  <si>
    <t xml:space="preserve">Problem</t>
  </si>
  <si>
    <t xml:space="preserve">T. Okafor, Site Engineer</t>
  </si>
  <si>
    <t xml:space="preserve">M. Reyes</t>
  </si>
  <si>
    <t xml:space="preserve">Critical</t>
  </si>
  <si>
    <t xml:space="preserve">Immediate</t>
  </si>
  <si>
    <t xml:space="preserve">Required - not served</t>
  </si>
  <si>
    <t xml:space="preserve">NCR-004</t>
  </si>
  <si>
    <t xml:space="preserve">Classification underway. Disposal route to be priced two ways before the owner commits.</t>
  </si>
  <si>
    <t xml:space="preserve">Planning condition requires an operational noise assessment before the blower building can be occupied. It is not in the designer's appointment.</t>
  </si>
  <si>
    <t xml:space="preserve">Off-specification</t>
  </si>
  <si>
    <t xml:space="preserve">S. Whitlock</t>
  </si>
  <si>
    <t xml:space="preserve">Major</t>
  </si>
  <si>
    <t xml:space="preserve">High</t>
  </si>
  <si>
    <t xml:space="preserve">Not required</t>
  </si>
  <si>
    <t xml:space="preserve">Scope variation to the designer's appointment drafted. Owner to confirm the budget line.</t>
  </si>
  <si>
    <t xml:space="preserve">Utility provider has not confirmed the high voltage connection date. Commissioning cannot be sequenced without it and the shutdown window is fixed.</t>
  </si>
  <si>
    <t xml:space="preserve">Concern</t>
  </si>
  <si>
    <t xml:space="preserve">Escalated to the sponsor to request a written connection programme from the provider.</t>
  </si>
  <si>
    <t xml:space="preserve">Access to the eastern easement is not granted. The landowner disputes the extent of the registered right of way over the access track.</t>
  </si>
  <si>
    <t xml:space="preserve">D. Kaur, Property Adviser</t>
  </si>
  <si>
    <t xml:space="preserve">D. Kaur</t>
  </si>
  <si>
    <t xml:space="preserve">Served</t>
  </si>
  <si>
    <t xml:space="preserve">Access notice served. Surveyor instructed to re-establish the easement boundary on site.</t>
  </si>
  <si>
    <t xml:space="preserve">Repeated non-conformances on concrete cover to the aeration tank walls. Six raised on the same pour sequence and the same gang.</t>
  </si>
  <si>
    <t xml:space="preserve">J. Mbeki, Client Inspector</t>
  </si>
  <si>
    <t xml:space="preserve">Medium</t>
  </si>
  <si>
    <t xml:space="preserve">NCR-014 to NCR-019</t>
  </si>
  <si>
    <t xml:space="preserve">Contractor changed the spacer type and re-trained the gang. Two witness pours passed.</t>
  </si>
  <si>
    <t xml:space="preserve">ITP-C-233 signed</t>
  </si>
  <si>
    <t xml:space="preserve">J. Mbeki</t>
  </si>
  <si>
    <t xml:space="preserve">Heritage listing identified on the original pump house after demolition was already programmed. Demolition suspended.</t>
  </si>
  <si>
    <t xml:space="preserve">S. Whitlock, Design Lead</t>
  </si>
  <si>
    <t xml:space="preserve">VAR-008</t>
  </si>
  <si>
    <t xml:space="preserve">Retention and adaptive reuse agreed with the heritage authority. Programme re-baselined.</t>
  </si>
  <si>
    <t xml:space="preserve">HER-2026-114</t>
  </si>
  <si>
    <t xml:space="preserve">Steering committee</t>
  </si>
  <si>
    <t xml:space="preserve">RFI 087 on the inlet channel penetrations is unanswered after 38 days. Reinforcement fixing cannot proceed on that face.</t>
  </si>
  <si>
    <t xml:space="preserve">M. Reyes, Site Manager</t>
  </si>
  <si>
    <t xml:space="preserve">Moderate</t>
  </si>
  <si>
    <t xml:space="preserve">RFI-087</t>
  </si>
  <si>
    <t xml:space="preserve">Designer has committed to a response. Chased twice at the weekly design meeting.</t>
  </si>
  <si>
    <t xml:space="preserve">The owner's decision on the control room layout is outstanding. Two options were issued, neither chosen, holding the containment design.</t>
  </si>
  <si>
    <t xml:space="preserve">Options paper with the operations team. Decision required at the next control group.</t>
  </si>
  <si>
    <t xml:space="preserve">Operator training and the operations and maintenance manuals are not resourced. Nobody has been named to receive the plant on the owner's side.</t>
  </si>
  <si>
    <t xml:space="preserve">Low</t>
  </si>
  <si>
    <t xml:space="preserve">Contractor proposes an alternative membrane supplier with a shorter lead time. Equivalent performance claimed but the warranty terms differ.</t>
  </si>
  <si>
    <t xml:space="preserve">Request for change</t>
  </si>
  <si>
    <t xml:space="preserve">Minor</t>
  </si>
  <si>
    <t xml:space="preserve">VAR-012</t>
  </si>
  <si>
    <t xml:space="preserve">Technical review of the equivalence submission with the operator. Warranty gap to be quantified.</t>
  </si>
  <si>
    <t xml:space="preserve">Bringing the inlet works shutdown forward by three weeks would let the tie-in run inside the existing outage and save a second isolation.</t>
  </si>
  <si>
    <t xml:space="preserve">Opportunity</t>
  </si>
  <si>
    <t xml:space="preserve">Operations asked whether the earlier outage can be released. Answer needed inside a fortnight.</t>
  </si>
  <si>
    <t xml:space="preserve">Community objection to night works on the southern boundary. Two complaints received and the local member has written to the owner.</t>
  </si>
  <si>
    <t xml:space="preserve">Acoustic monitoring arranged for the next two night shifts. Affected street doorknocked.</t>
  </si>
  <si>
    <t xml:space="preserve">Duplicate of the north yard fill entry, raised separately by the earthworks subcontractor.</t>
  </si>
  <si>
    <t xml:space="preserve">R. Ferreira, Earthworks</t>
  </si>
  <si>
    <t xml:space="preserve">ISS-001</t>
  </si>
  <si>
    <t xml:space="preserve">Merged into ISS-001.</t>
  </si>
  <si>
    <t xml:space="preserve">Duplicate</t>
  </si>
  <si>
    <t xml:space="preserve">Scaffold handrail missing on the western walkway of the settlement tanks.</t>
  </si>
  <si>
    <t xml:space="preserve">Temporary lighting to the eastern site access was removed by the electrical subcontractor before the permanent installation was live.</t>
  </si>
  <si>
    <t xml:space="preserve">Sorted on site the same afternoon.</t>
  </si>
  <si>
    <t xml:space="preserve">To add rows, select the last row of the register and insert - every formula, format and dropdown copies down, and the summary already reads the whole range. Never delete a row and never reuse a reference: mark it void instead. Gaps and reused numbers are what make a register worthless as a record.</t>
  </si>
  <si>
    <t xml:space="preserve">ISSUE REGISTER     ·     UPDATES LOG</t>
  </si>
  <si>
    <t xml:space="preserve">Add a line. Never edit the last one. A record made at the time, by someone who knew, in the ordinary course of the work is worth something later - a cell that has been typed over is worth less than nothing, because it invites the question of what else changed.</t>
  </si>
  <si>
    <t xml:space="preserve">Entry</t>
  </si>
  <si>
    <t xml:space="preserve">Date</t>
  </si>
  <si>
    <t xml:space="preserve">Issue</t>
  </si>
  <si>
    <t xml:space="preserve">Which issue</t>
  </si>
  <si>
    <t xml:space="preserve">What happened, and what was done about it</t>
  </si>
  <si>
    <t xml:space="preserve">By</t>
  </si>
  <si>
    <t xml:space="preserve">Next action</t>
  </si>
  <si>
    <t xml:space="preserve">By when</t>
  </si>
  <si>
    <t xml:space="preserve">Where it stands</t>
  </si>
  <si>
    <t xml:space="preserve">Stop notice issued to the earthworks subcontractor east of grid line 6. Stockpile isolated and covered.</t>
  </si>
  <si>
    <t xml:space="preserve">Sampling contractor on site</t>
  </si>
  <si>
    <t xml:space="preserve">Laboratory results received. Material classifies as requiring licensed disposal. Two disposal routes being priced.</t>
  </si>
  <si>
    <t xml:space="preserve">T. Okafor</t>
  </si>
  <si>
    <t xml:space="preserve">Disposal comparison to the owner</t>
  </si>
  <si>
    <t xml:space="preserve">Owner advised of the cost range. No instruction yet. Earthworks remain suspended east of grid line 6.</t>
  </si>
  <si>
    <t xml:space="preserve">Instruction to proceed</t>
  </si>
  <si>
    <t xml:space="preserve">ISS-002</t>
  </si>
  <si>
    <t xml:space="preserve">Planning condition identified on review of the consent. Designer's appointment checked - the assessment is not within it.</t>
  </si>
  <si>
    <t xml:space="preserve">Fee proposal from the designer</t>
  </si>
  <si>
    <t xml:space="preserve">Fee proposal received. Sits above the design contingency remaining.</t>
  </si>
  <si>
    <t xml:space="preserve">Owner decision on the budget line</t>
  </si>
  <si>
    <t xml:space="preserve">ISS-003</t>
  </si>
  <si>
    <t xml:space="preserve">Written request for a connection programme sent to the provider.</t>
  </si>
  <si>
    <t xml:space="preserve">Provider response</t>
  </si>
  <si>
    <t xml:space="preserve">No response. Escalated through the provider's major projects team.</t>
  </si>
  <si>
    <t xml:space="preserve">ISS-004</t>
  </si>
  <si>
    <t xml:space="preserve">Landowner's solicitor disputes the extent of the right of way. Access notice served the same day to preserve the position.</t>
  </si>
  <si>
    <t xml:space="preserve">Surveyor to re-establish the boundary</t>
  </si>
  <si>
    <t xml:space="preserve">ISS-005</t>
  </si>
  <si>
    <t xml:space="preserve">Six non-conformances reviewed together. Common cause is the spacer type on the curved formwork.</t>
  </si>
  <si>
    <t xml:space="preserve">Contractor method statement</t>
  </si>
  <si>
    <t xml:space="preserve">Revised method accepted. Two witness pours programmed.</t>
  </si>
  <si>
    <t xml:space="preserve">Witness pour results</t>
  </si>
  <si>
    <t xml:space="preserve">Both witness pours passed. Cover verified by cover meter. Non-conformances closed and the issue closed against the signed inspection record.</t>
  </si>
  <si>
    <t xml:space="preserve">ISS-006</t>
  </si>
  <si>
    <t xml:space="preserve">Heritage listing confirmed. Demolition suspended and the sub-contract varied.</t>
  </si>
  <si>
    <t xml:space="preserve">Heritage authority meeting</t>
  </si>
  <si>
    <t xml:space="preserve">Retention and adaptive reuse agreed. Approval issued. Programme re-baselined and the issue closed.</t>
  </si>
  <si>
    <t xml:space="preserve">ISS-007</t>
  </si>
  <si>
    <t xml:space="preserve">RFI 087 raised 38 days ago and still open. Chased at the weekly design meeting.</t>
  </si>
  <si>
    <t xml:space="preserve">Designer response</t>
  </si>
  <si>
    <t xml:space="preserve">Second chase. Designer has committed to a response this week.</t>
  </si>
  <si>
    <t xml:space="preserve">ISS-008</t>
  </si>
  <si>
    <t xml:space="preserve">Two layout options issued to the operations team.</t>
  </si>
  <si>
    <t xml:space="preserve">Operations preference</t>
  </si>
  <si>
    <t xml:space="preserve">ISS-011</t>
  </si>
  <si>
    <t xml:space="preserve">Operations asked whether the earlier outage window can be released.</t>
  </si>
  <si>
    <t xml:space="preserve">Operations answer</t>
  </si>
  <si>
    <t xml:space="preserve">ISS-012</t>
  </si>
  <si>
    <t xml:space="preserve">Two complaints logged and acknowledged in writing. Local member's letter acknowledged by the owner.</t>
  </si>
  <si>
    <t xml:space="preserve">Acoustic monitoring results</t>
  </si>
  <si>
    <t xml:space="preserve">ISSUE REGISTER     ·     ESCALATIONS</t>
  </si>
  <si>
    <t xml:space="preserve">An issue lands here when it exceeds what the project manager was given authority to settle - not when somebody feels strongly about it. Record who it went to, what they decided and when. The decision is the part nobody keeps and the part everybody needs.</t>
  </si>
  <si>
    <t xml:space="preserve">Why it is above the delegation</t>
  </si>
  <si>
    <t xml:space="preserve">Referred to</t>
  </si>
  <si>
    <t xml:space="preserve">Date referred</t>
  </si>
  <si>
    <t xml:space="preserve">Decision needed by</t>
  </si>
  <si>
    <t xml:space="preserve">Decision</t>
  </si>
  <si>
    <t xml:space="preserve">Decided by</t>
  </si>
  <si>
    <t xml:space="preserve">Date decided</t>
  </si>
  <si>
    <t xml:space="preserve">Days waiting</t>
  </si>
  <si>
    <t xml:space="preserve">Approved with conditions - proceed to licensed disposal up to the lower priced route, report weekly on quantities.</t>
  </si>
  <si>
    <t xml:space="preserve">Approved - instruct the surveyor and reserve the legal budget.</t>
  </si>
  <si>
    <t xml:space="preserve">R. Adeyemi, Sponsor</t>
  </si>
  <si>
    <t xml:space="preserve">Approved - retain and adapt the pump house, re-baseline the programme, draw on the contingency.</t>
  </si>
  <si>
    <t xml:space="preserve">Capital Investment Committee</t>
  </si>
  <si>
    <t xml:space="preserve">A decision recorded here is what makes the register worth reading in two years. "Noted" is not a decision. Name the person, not the meeting, wherever one person actually decided.</t>
  </si>
  <si>
    <t xml:space="preserve">ISSUE REGISTER     ·     NOTICES &amp; EARLY WARNINGS</t>
  </si>
  <si>
    <t xml:space="preserve">Where an issue is also a contractual event. The clock runs from when a party became aware, not from when anybody wrote it down, so this sheet takes its start date from the register and works out the day the notice has to be served.</t>
  </si>
  <si>
    <t xml:space="preserve">A LINE IN A REGISTER IS NOT A NOTICE. Where a contract requires a notice or an early warning, give it separately, in the form and within the time that contract requires. A matter mentioned in a progress report or a set of minutes has not been notified.</t>
  </si>
  <si>
    <t xml:space="preserve">Direction</t>
  </si>
  <si>
    <t xml:space="preserve">Notice type</t>
  </si>
  <si>
    <t xml:space="preserve">Aware from</t>
  </si>
  <si>
    <t xml:space="preserve">Period
(days)</t>
  </si>
  <si>
    <t xml:space="preserve">Notice due by</t>
  </si>
  <si>
    <t xml:space="preserve">Days left</t>
  </si>
  <si>
    <t xml:space="preserve">Notice reference</t>
  </si>
  <si>
    <t xml:space="preserve">Date served</t>
  </si>
  <si>
    <t xml:space="preserve">Response due</t>
  </si>
  <si>
    <t xml:space="preserve">Response received</t>
  </si>
  <si>
    <t xml:space="preserve">Note</t>
  </si>
  <si>
    <t xml:space="preserve">We must serve</t>
  </si>
  <si>
    <t xml:space="preserve">Claim for additional cost</t>
  </si>
  <si>
    <t xml:space="preserve">Contractor has flagged an intention to claim. Our own notice has not been served and the period is already running.</t>
  </si>
  <si>
    <t xml:space="preserve">Suspension or access</t>
  </si>
  <si>
    <t xml:space="preserve">NOT-2026-011</t>
  </si>
  <si>
    <t xml:space="preserve">Access notice served on the landowner. Response received within the period.</t>
  </si>
  <si>
    <t xml:space="preserve">We have received</t>
  </si>
  <si>
    <t xml:space="preserve">Delay / extension of time</t>
  </si>
  <si>
    <t xml:space="preserve">CN-2026-047</t>
  </si>
  <si>
    <t xml:space="preserve">Contractor's delay notice for the heritage suspension. Assessed and determined within the period.</t>
  </si>
  <si>
    <t xml:space="preserve">Early warning</t>
  </si>
  <si>
    <t xml:space="preserve">Meets the early warning test. Raise it at the next early warning meeting and record the reference here.</t>
  </si>
  <si>
    <t xml:space="preserve">CN-2026-052</t>
  </si>
  <si>
    <t xml:space="preserve">Contractor's claim notice for the earthworks suspension. Our response is due inside the period.</t>
  </si>
  <si>
    <t xml:space="preserve">Both directions matter. Notices you must serve have a deadline you can miss; notices you receive usually start a period in which you must respond, and letting that run can lose you the objection you would otherwise have had.</t>
  </si>
  <si>
    <t xml:space="preserve">ISSUE REGISTER     ·     REFERENCE</t>
  </si>
  <si>
    <t xml:space="preserve">The colour key, what belongs in this register and what belongs somewhere else, the priority matrix, definitions, the terminology map and every dropdown source.</t>
  </si>
  <si>
    <t xml:space="preserve">THE COLOUR KEY - THE SAME SIX MEANINGS ON EVERY SHEET</t>
  </si>
  <si>
    <t xml:space="preserve">Colour</t>
  </si>
  <si>
    <t xml:space="preserve">It means</t>
  </si>
  <si>
    <t xml:space="preserve">When you will see it</t>
  </si>
  <si>
    <t xml:space="preserve">CLOSED</t>
  </si>
  <si>
    <t xml:space="preserve">OPEN</t>
  </si>
  <si>
    <t xml:space="preserve">DUE SOON</t>
  </si>
  <si>
    <t xml:space="preserve">ESCALATE</t>
  </si>
  <si>
    <t xml:space="preserve">OVERDUE</t>
  </si>
  <si>
    <t xml:space="preserve">VOID</t>
  </si>
  <si>
    <t xml:space="preserve">HOW PRIORITY IS WORKED OUT - SEVERITY DOWN, URGENCY ACROSS</t>
  </si>
  <si>
    <t xml:space="preserve">Severity is how bad the matter is in itself. Urgency is how much acting sooner changes the outcome. They are different questions and they belong in different columns. The register reads this grid; you never type a priority.</t>
  </si>
  <si>
    <t xml:space="preserve">Severity  \  Urgency</t>
  </si>
  <si>
    <t xml:space="preserve">What the severity means</t>
  </si>
  <si>
    <t xml:space="preserve">Stops work, breaches a statutory or contractual obligation, or threatens the completion date, the approved budget or someone's safety.</t>
  </si>
  <si>
    <t xml:space="preserve">Material effect on cost, time or quality that cannot be absorbed by the team holding it.</t>
  </si>
  <si>
    <t xml:space="preserve">Real effect, but absorbable with re-planning or reallocation.</t>
  </si>
  <si>
    <t xml:space="preserve">Nuisance. Worth recording so the pattern is visible; not worth a meeting.</t>
  </si>
  <si>
    <t xml:space="preserve">What it means</t>
  </si>
  <si>
    <t xml:space="preserve">Acting today changes the outcome. Waiting a week does not.</t>
  </si>
  <si>
    <t xml:space="preserve">Acting inside a fortnight changes the outcome.</t>
  </si>
  <si>
    <t xml:space="preserve">There is room to plan the response.</t>
  </si>
  <si>
    <t xml:space="preserve">No date pressure. Do it when the right people are in the room.</t>
  </si>
  <si>
    <t xml:space="preserve">WHAT BELONGS IN THIS REGISTER, AND WHAT BELONGS SOMEWHERE ELSE</t>
  </si>
  <si>
    <t xml:space="preserve">An issue register with no boundary quietly becomes a worse second copy of the request-for-information log, the non-conformance register and the defects list - and then nobody trusts either copy. Point at the record that already exists rather than repeating it. The last row is the real work of a client-side register, and usually most of it.</t>
  </si>
  <si>
    <t xml:space="preserve">If it is</t>
  </si>
  <si>
    <t xml:space="preserve">It belongs in</t>
  </si>
  <si>
    <t xml:space="preserve">And it comes here when</t>
  </si>
  <si>
    <t xml:space="preserve">A question about the drawings or the specification</t>
  </si>
  <si>
    <t xml:space="preserve">The request-for-information log</t>
  </si>
  <si>
    <t xml:space="preserve">Raise it as an RFI. It comes here only when the RFI is badly overdue, when the answer is disputed, or when the pattern of RFIs is telling you the design is not finished.</t>
  </si>
  <si>
    <t xml:space="preserve">Work built that does not meet the specification</t>
  </si>
  <si>
    <t xml:space="preserve">The non-conformance register</t>
  </si>
  <si>
    <t xml:space="preserve">The individual non-conformance and its disposition belong to quality. It comes here when the contractor will not close it, when the owner has to decide on a use-as-is concession, or when the same fault keeps recurring.</t>
  </si>
  <si>
    <t xml:space="preserve">A change that has been instructed</t>
  </si>
  <si>
    <t xml:space="preserve">The change or variation register</t>
  </si>
  <si>
    <t xml:space="preserve">Once it is instructed it is priced and timed there. What belongs here is the argument before that - whether it is a change at all, and who carries it. That argument is where the owner's money leaks.</t>
  </si>
  <si>
    <t xml:space="preserve">Incomplete or defective work found at completion</t>
  </si>
  <si>
    <t xml:space="preserve">The defects or punch list</t>
  </si>
  <si>
    <t xml:space="preserve">Item by item, with location and closure evidence. It comes here when the contractor disputes that it is a defect, or when it threatens handover.</t>
  </si>
  <si>
    <t xml:space="preserve">Something that might happen</t>
  </si>
  <si>
    <t xml:space="preserve">The risk register</t>
  </si>
  <si>
    <t xml:space="preserve">If it is uncertain and in the future it is a risk. When it happens, close it there as occurred, open it here, and keep the same owner across the handover so nobody has to be briefed twice.</t>
  </si>
  <si>
    <t xml:space="preserve">A notice the contract requires</t>
  </si>
  <si>
    <t xml:space="preserve">Serve the notice</t>
  </si>
  <si>
    <t xml:space="preserve">Then record it on Notices &amp; Early Warnings. Nothing you write in a register discharges a notice obligation, and a matter mentioned in a report or a set of minutes has not been notified.</t>
  </si>
  <si>
    <t xml:space="preserve">An action from a meeting</t>
  </si>
  <si>
    <t xml:space="preserve">The minutes</t>
  </si>
  <si>
    <t xml:space="preserve">A task with an owner and a date is a to-do. It becomes an issue when it stops being a task somebody can simply do.</t>
  </si>
  <si>
    <t xml:space="preserve">Approvals, land, utilities, funding, stakeholders, operational readiness, the owner's own decisions, consultant performance</t>
  </si>
  <si>
    <t xml:space="preserve">Here. Nowhere else has them</t>
  </si>
  <si>
    <t xml:space="preserve">This is the real work of a client-side register and usually the majority of it by volume. None of these is an RFI, a non-conformance, a variation or a defect, and every one of them can stop a project.</t>
  </si>
  <si>
    <t xml:space="preserve">THE FIVE TYPES</t>
  </si>
  <si>
    <t xml:space="preserve">What it covers</t>
  </si>
  <si>
    <t xml:space="preserve">It has happened, it is hurting now, and somebody has to fix it.</t>
  </si>
  <si>
    <t xml:space="preserve">It has arisen and it matters, but the size and timing of the effect are not known yet. Assess it before you spend money on it.</t>
  </si>
  <si>
    <t xml:space="preserve">Something that was to be provided has not been, or is now forecast not to be. The forecast case is the one people miss - you do not have to wait for the miss to record it.</t>
  </si>
  <si>
    <t xml:space="preserve">A proposal to change something already agreed. Record it here, decide it here, then instruct and value it in the change or variation register. Not every issue becomes a change, but every change starts as one.</t>
  </si>
  <si>
    <t xml:space="preserve">An unplanned upside. Registers that only accept bad news lose these, and they are the cheapest value on the project. Set the severity to the size of what is lost if it lapses, and the urgency to how long it stays available.</t>
  </si>
  <si>
    <t xml:space="preserve">DEFINITIONS</t>
  </si>
  <si>
    <t xml:space="preserve">A matter that has arisen and needs management action. Something that might happen is a risk, not an issue - but a risk that happens becomes one.</t>
  </si>
  <si>
    <t xml:space="preserve">How bad the matter is in itself, if nothing is done. A property of the issue. It does not change because a date is approaching.</t>
  </si>
  <si>
    <t xml:space="preserve">How much acting sooner rather than later changes the outcome. About timing, not about size.</t>
  </si>
  <si>
    <t xml:space="preserve">The scheduling decision that follows from severity and urgency together. It sets the target date and it is the only one of the three that should.</t>
  </si>
  <si>
    <t xml:space="preserve">Delegated authority</t>
  </si>
  <si>
    <t xml:space="preserve">The cost and the delay a project manager may settle without referring upward. Set on Setup. It is what escalation is measured against.</t>
  </si>
  <si>
    <t xml:space="preserve">Escalation</t>
  </si>
  <si>
    <t xml:space="preserve">Passing an issue to the level above because it exceeds the authority of the level holding it. Not a judgement about importance.</t>
  </si>
  <si>
    <t xml:space="preserve">Awareness date</t>
  </si>
  <si>
    <t xml:space="preserve">When the matter arose or was first known. Notice periods run from here, and so does any later reconstruction of who knew what.</t>
  </si>
  <si>
    <t xml:space="preserve">Telling the other party about something that could affect price, completion or performance, as soon as you know - before it is a claim. Where a contract requires one, it is a contractual communication in its own right and a register entry is not a substitute.</t>
  </si>
  <si>
    <t xml:space="preserve">Something that was to be provided and has not been, or is now forecast not to be. The forecast case counts.</t>
  </si>
  <si>
    <t xml:space="preserve">Contemporaneous record</t>
  </si>
  <si>
    <t xml:space="preserve">A record made at the time of the event or immediately after, in the ordinary course of the work, by someone who knew. It is the only kind that carries weight later.</t>
  </si>
  <si>
    <t xml:space="preserve">An entry found to be a duplicate or an error. Mark it void with a reason. Never delete the row and never reuse the reference.</t>
  </si>
  <si>
    <t xml:space="preserve">THE SAME THING, CALLED SOMETHING ELSE</t>
  </si>
  <si>
    <t xml:space="preserve">Used here</t>
  </si>
  <si>
    <t xml:space="preserve">Also called</t>
  </si>
  <si>
    <t xml:space="preserve">Issue register</t>
  </si>
  <si>
    <t xml:space="preserve">Issue log</t>
  </si>
  <si>
    <t xml:space="preserve">The same artefact. Register is the usual word in the UK, Australia and New Zealand; log is the usual word in the United States.</t>
  </si>
  <si>
    <t xml:space="preserve">Employer, Principal</t>
  </si>
  <si>
    <t xml:space="preserve">The party commissioning the works.</t>
  </si>
  <si>
    <t xml:space="preserve">Contract Administrator, Superintendent, Architect, Engineer</t>
  </si>
  <si>
    <t xml:space="preserve">Titles differ by market and by contract. The role that holds delegated authority here is whoever the project's governance says it is.</t>
  </si>
  <si>
    <t xml:space="preserve">Notification, communication</t>
  </si>
  <si>
    <t xml:space="preserve">A formal communication the contract requires, in the form and within the time the contract sets.</t>
  </si>
  <si>
    <t xml:space="preserve">Variation</t>
  </si>
  <si>
    <t xml:space="preserve">Change order, compensation event, change</t>
  </si>
  <si>
    <t xml:space="preserve">An instructed change to the contracted work.</t>
  </si>
  <si>
    <t xml:space="preserve">Defect</t>
  </si>
  <si>
    <t xml:space="preserve">Snag, punch item, non-conformance</t>
  </si>
  <si>
    <t xml:space="preserve">Work not delivered in accordance with the contract. Snag and punch item usually mean the minor end of it.</t>
  </si>
  <si>
    <t xml:space="preserve">Project control group, project board, steering group</t>
  </si>
  <si>
    <t xml:space="preserve">The governance body above the project manager.</t>
  </si>
  <si>
    <t xml:space="preserve">HOW TO READ A CELL</t>
  </si>
  <si>
    <t xml:space="preserve">Pale blue</t>
  </si>
  <si>
    <t xml:space="preserve">You type here.</t>
  </si>
  <si>
    <t xml:space="preserve">Off white</t>
  </si>
  <si>
    <t xml:space="preserve">Worked out for you. Do not type over it.</t>
  </si>
  <si>
    <t xml:space="preserve">Pale cyan</t>
  </si>
  <si>
    <t xml:space="preserve">Column heading.</t>
  </si>
  <si>
    <t xml:space="preserve">Grey</t>
  </si>
  <si>
    <t xml:space="preserve">Reference, or an entry that no longer applies.</t>
  </si>
  <si>
    <t xml:space="preserve">DROPDOWN SOURCES - EDIT THESE AND EVERY LIST IN THE WORKBOOK FOLLOWS</t>
  </si>
  <si>
    <t xml:space="preserve">Issue type</t>
  </si>
  <si>
    <t xml:space="preserve">Change or variation</t>
  </si>
  <si>
    <t xml:space="preserve">Defect or rectification</t>
  </si>
  <si>
    <t xml:space="preserve">Dispute or determination</t>
  </si>
  <si>
    <t xml:space="preserve">Other notice</t>
  </si>
  <si>
    <t xml:space="preserve">Notice direction</t>
  </si>
  <si>
    <t xml:space="preserve">Escalate to</t>
  </si>
  <si>
    <t xml:space="preserve">Void reason</t>
  </si>
  <si>
    <t xml:space="preserve">Yes or no</t>
  </si>
  <si>
    <t xml:space="preserve">Raised in error</t>
  </si>
  <si>
    <t xml:space="preserve">No</t>
  </si>
  <si>
    <t xml:space="preserve">Belongs in another register</t>
  </si>
  <si>
    <t xml:space="preserve">Withdrawn</t>
  </si>
</sst>
</file>

<file path=xl/styles.xml><?xml version="1.0" encoding="utf-8"?>
<styleSheet xmlns="http://schemas.openxmlformats.org/spreadsheetml/2006/main">
  <numFmts count="7">
    <numFmt numFmtId="164" formatCode="General"/>
    <numFmt numFmtId="165" formatCode="d\ mmm\ yyyy"/>
    <numFmt numFmtId="166" formatCode="\$#,##0;[RED]&quot;($&quot;#,##0\);\-"/>
    <numFmt numFmtId="167" formatCode="0"/>
    <numFmt numFmtId="168" formatCode="0%;\-0%;\-"/>
    <numFmt numFmtId="169" formatCode="0.0;\-0.0;\-"/>
    <numFmt numFmtId="170" formatCode="0;\-0;\-"/>
  </numFmts>
  <fonts count="46">
    <font>
      <sz val="11"/>
      <color theme="1"/>
      <name val="Calibri"/>
      <family val="2"/>
      <charset val="1"/>
    </font>
    <font>
      <sz val="10"/>
      <name val="Arial"/>
      <family val="0"/>
    </font>
    <font>
      <sz val="10"/>
      <name val="Arial"/>
      <family val="0"/>
    </font>
    <font>
      <sz val="10"/>
      <name val="Arial"/>
      <family val="0"/>
    </font>
    <font>
      <b val="true"/>
      <sz val="11"/>
      <color rgb="FFFFFFFF"/>
      <name val="Inter"/>
      <family val="0"/>
      <charset val="1"/>
    </font>
    <font>
      <b val="true"/>
      <sz val="26"/>
      <color rgb="FF1D3245"/>
      <name val="Inter"/>
      <family val="0"/>
      <charset val="1"/>
    </font>
    <font>
      <sz val="11"/>
      <color rgb="FF3480BC"/>
      <name val="Inter"/>
      <family val="0"/>
      <charset val="1"/>
    </font>
    <font>
      <sz val="10.5"/>
      <color rgb="FF1D3245"/>
      <name val="Inter"/>
      <family val="0"/>
      <charset val="1"/>
    </font>
    <font>
      <b val="true"/>
      <sz val="10"/>
      <color rgb="FF1D3245"/>
      <name val="Inter"/>
      <family val="0"/>
      <charset val="1"/>
    </font>
    <font>
      <b val="true"/>
      <sz val="10"/>
      <color rgb="FF0D3C61"/>
      <name val="Inter"/>
      <family val="0"/>
      <charset val="1"/>
    </font>
    <font>
      <sz val="9.5"/>
      <color rgb="FF1D3245"/>
      <name val="Inter"/>
      <family val="0"/>
      <charset val="1"/>
    </font>
    <font>
      <b val="true"/>
      <sz val="9.5"/>
      <color rgb="FF0D3C61"/>
      <name val="Inter"/>
      <family val="0"/>
      <charset val="1"/>
    </font>
    <font>
      <b val="true"/>
      <u val="single"/>
      <sz val="10"/>
      <color rgb="FF3480BC"/>
      <name val="Inter"/>
      <family val="0"/>
      <charset val="1"/>
    </font>
    <font>
      <b val="true"/>
      <sz val="9"/>
      <color rgb="FF1D3245"/>
      <name val="Inter"/>
      <family val="0"/>
      <charset val="1"/>
    </font>
    <font>
      <b val="true"/>
      <sz val="9.5"/>
      <color rgb="FF4CAF50"/>
      <name val="Inter"/>
      <family val="0"/>
      <charset val="1"/>
    </font>
    <font>
      <b val="true"/>
      <sz val="9.5"/>
      <color rgb="FF0B79D0"/>
      <name val="Inter"/>
      <family val="0"/>
      <charset val="1"/>
    </font>
    <font>
      <b val="true"/>
      <sz val="9.5"/>
      <color rgb="FFFFB547"/>
      <name val="Inter"/>
      <family val="0"/>
      <charset val="1"/>
    </font>
    <font>
      <b val="true"/>
      <sz val="9"/>
      <color rgb="FFFFFFFF"/>
      <name val="Inter"/>
      <family val="0"/>
      <charset val="1"/>
    </font>
    <font>
      <b val="true"/>
      <sz val="9.5"/>
      <color rgb="FFEC6917"/>
      <name val="Inter"/>
      <family val="0"/>
      <charset val="1"/>
    </font>
    <font>
      <b val="true"/>
      <sz val="9.5"/>
      <color rgb="FFE31B0C"/>
      <name val="Inter"/>
      <family val="0"/>
      <charset val="1"/>
    </font>
    <font>
      <b val="true"/>
      <sz val="9.5"/>
      <color rgb="FF8E98A2"/>
      <name val="Inter"/>
      <family val="0"/>
      <charset val="1"/>
    </font>
    <font>
      <u val="single"/>
      <sz val="10"/>
      <color rgb="FF3480BC"/>
      <name val="Inter"/>
      <family val="0"/>
      <charset val="1"/>
    </font>
    <font>
      <b val="true"/>
      <sz val="13"/>
      <color rgb="FFFFFFFF"/>
      <name val="Inter"/>
      <family val="0"/>
      <charset val="1"/>
    </font>
    <font>
      <b val="true"/>
      <sz val="9.5"/>
      <color rgb="FF1D3245"/>
      <name val="Inter"/>
      <family val="0"/>
      <charset val="1"/>
    </font>
    <font>
      <i val="true"/>
      <sz val="9"/>
      <color rgb="FF8E98A2"/>
      <name val="Inter"/>
      <family val="0"/>
      <charset val="1"/>
    </font>
    <font>
      <sz val="10"/>
      <color rgb="FF1D3245"/>
      <name val="Inter"/>
      <family val="0"/>
      <charset val="1"/>
    </font>
    <font>
      <sz val="10"/>
      <color rgb="FF0D3C61"/>
      <name val="Inter"/>
      <family val="0"/>
      <charset val="1"/>
    </font>
    <font>
      <b val="true"/>
      <sz val="10"/>
      <color rgb="FFE31B0C"/>
      <name val="Inter"/>
      <family val="0"/>
      <charset val="1"/>
    </font>
    <font>
      <b val="true"/>
      <sz val="10"/>
      <color rgb="FFEC6917"/>
      <name val="Inter"/>
      <family val="0"/>
      <charset val="1"/>
    </font>
    <font>
      <b val="true"/>
      <sz val="10"/>
      <color rgb="FFFFB547"/>
      <name val="Inter"/>
      <family val="0"/>
      <charset val="1"/>
    </font>
    <font>
      <b val="true"/>
      <sz val="10"/>
      <color rgb="FF8E98A2"/>
      <name val="Inter"/>
      <family val="0"/>
      <charset val="1"/>
    </font>
    <font>
      <b val="true"/>
      <sz val="16"/>
      <color rgb="FF4CAF50"/>
      <name val="Inter"/>
      <family val="0"/>
      <charset val="1"/>
    </font>
    <font>
      <u val="single"/>
      <sz val="9.5"/>
      <color rgb="FF3480BC"/>
      <name val="Inter"/>
      <family val="0"/>
      <charset val="1"/>
    </font>
    <font>
      <b val="true"/>
      <sz val="20"/>
      <color rgb="FF0B79D0"/>
      <name val="Inter"/>
      <family val="0"/>
      <charset val="1"/>
    </font>
    <font>
      <b val="true"/>
      <sz val="20"/>
      <color rgb="FFE31B0C"/>
      <name val="Inter"/>
      <family val="0"/>
      <charset val="1"/>
    </font>
    <font>
      <b val="true"/>
      <sz val="20"/>
      <color rgb="FFEC6917"/>
      <name val="Inter"/>
      <family val="0"/>
      <charset val="1"/>
    </font>
    <font>
      <b val="true"/>
      <sz val="20"/>
      <color rgb="FFFFB547"/>
      <name val="Inter"/>
      <family val="0"/>
      <charset val="1"/>
    </font>
    <font>
      <b val="true"/>
      <sz val="20"/>
      <color rgb="FF4CAF50"/>
      <name val="Inter"/>
      <family val="0"/>
      <charset val="1"/>
    </font>
    <font>
      <b val="true"/>
      <sz val="20"/>
      <color rgb="FF8E98A2"/>
      <name val="Inter"/>
      <family val="0"/>
      <charset val="1"/>
    </font>
    <font>
      <b val="true"/>
      <sz val="12"/>
      <color rgb="FF0D3C61"/>
      <name val="Inter"/>
      <family val="0"/>
      <charset val="1"/>
    </font>
    <font>
      <b val="true"/>
      <sz val="12"/>
      <color rgb="FFE31B0C"/>
      <name val="Inter"/>
      <family val="0"/>
      <charset val="1"/>
    </font>
    <font>
      <b val="true"/>
      <sz val="12"/>
      <color rgb="FFFFB547"/>
      <name val="Inter"/>
      <family val="0"/>
      <charset val="1"/>
    </font>
    <font>
      <b val="true"/>
      <sz val="12"/>
      <color rgb="FF4CAF50"/>
      <name val="Inter"/>
      <family val="0"/>
      <charset val="1"/>
    </font>
    <font>
      <b val="true"/>
      <sz val="12"/>
      <color rgb="FFEC6917"/>
      <name val="Inter"/>
      <family val="0"/>
      <charset val="1"/>
    </font>
    <font>
      <sz val="9.5"/>
      <color rgb="FF0D3C61"/>
      <name val="Inter"/>
      <family val="0"/>
      <charset val="1"/>
    </font>
    <font>
      <b val="true"/>
      <sz val="9.5"/>
      <color rgb="FFFFFFFF"/>
      <name val="Inter"/>
      <family val="0"/>
      <charset val="1"/>
    </font>
  </fonts>
  <fills count="26">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64B6F7"/>
        <bgColor rgb="FF33CCCC"/>
      </patternFill>
    </fill>
    <fill>
      <patternFill patternType="solid">
        <fgColor rgb="FFDCE9F4"/>
        <bgColor rgb="FFE3F0FA"/>
      </patternFill>
    </fill>
    <fill>
      <patternFill patternType="solid">
        <fgColor rgb="FF215383"/>
        <bgColor rgb="FF0D3C61"/>
      </patternFill>
    </fill>
    <fill>
      <patternFill patternType="solid">
        <fgColor rgb="FFFFFFFF"/>
        <bgColor rgb="FFF6F9FC"/>
      </patternFill>
    </fill>
    <fill>
      <patternFill patternType="solid">
        <fgColor rgb="FFF5F5F5"/>
        <bgColor rgb="FFF6F9FC"/>
      </patternFill>
    </fill>
    <fill>
      <patternFill patternType="solid">
        <fgColor rgb="FF0B79D0"/>
        <bgColor rgb="FF3480BC"/>
      </patternFill>
    </fill>
    <fill>
      <patternFill patternType="solid">
        <fgColor rgb="FF039BE5"/>
        <bgColor rgb="FF0B79D0"/>
      </patternFill>
    </fill>
    <fill>
      <patternFill patternType="solid">
        <fgColor rgb="FFEC6917"/>
        <bgColor rgb="FFFF9900"/>
      </patternFill>
    </fill>
    <fill>
      <patternFill patternType="solid">
        <fgColor rgb="FFE31B0C"/>
        <bgColor rgb="FF993300"/>
      </patternFill>
    </fill>
    <fill>
      <patternFill patternType="solid">
        <fgColor rgb="FF8E98A2"/>
        <bgColor rgb="FF808080"/>
      </patternFill>
    </fill>
    <fill>
      <patternFill patternType="solid">
        <fgColor rgb="FF4CAF50"/>
        <bgColor rgb="FF8E98A2"/>
      </patternFill>
    </fill>
    <fill>
      <patternFill patternType="solid">
        <fgColor rgb="FFE8F5E9"/>
        <bgColor rgb="FFEEEEEE"/>
      </patternFill>
    </fill>
    <fill>
      <patternFill patternType="solid">
        <fgColor rgb="FFE3F0FA"/>
        <bgColor rgb="FFDCE9F4"/>
      </patternFill>
    </fill>
    <fill>
      <patternFill patternType="solid">
        <fgColor rgb="FFFFB547"/>
        <bgColor rgb="FFFF9900"/>
      </patternFill>
    </fill>
    <fill>
      <patternFill patternType="solid">
        <fgColor rgb="FFFFF4E0"/>
        <bgColor rgb="FFFDEBE0"/>
      </patternFill>
    </fill>
    <fill>
      <patternFill patternType="solid">
        <fgColor rgb="FFFDEBE0"/>
        <bgColor rgb="FFFDEBE9"/>
      </patternFill>
    </fill>
    <fill>
      <patternFill patternType="solid">
        <fgColor rgb="FFFDEBE9"/>
        <bgColor rgb="FFFDEBE0"/>
      </patternFill>
    </fill>
    <fill>
      <patternFill patternType="solid">
        <fgColor rgb="FFE0E0E0"/>
        <bgColor rgb="FFD3DEE9"/>
      </patternFill>
    </fill>
    <fill>
      <patternFill patternType="solid">
        <fgColor rgb="FFEEEEEE"/>
        <bgColor rgb="FFE8F5E9"/>
      </patternFill>
    </fill>
    <fill>
      <patternFill patternType="solid">
        <fgColor rgb="FFF6F9FC"/>
        <bgColor rgb="FFF5F5F5"/>
      </patternFill>
    </fill>
    <fill>
      <patternFill patternType="solid">
        <fgColor rgb="FFD3DEE9"/>
        <bgColor rgb="FFE0E0E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4" fillId="3"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4" fillId="4" borderId="0" xfId="0" applyFont="true" applyBorder="tru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0" fillId="0" borderId="0" xfId="0" applyFont="true" applyBorder="true" applyAlignment="true" applyProtection="false">
      <alignment horizontal="left" vertical="top" textRotation="0" wrapText="true" indent="1"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2" fillId="8" borderId="1" xfId="0" applyFont="true" applyBorder="true" applyAlignment="true" applyProtection="false">
      <alignment horizontal="left" vertical="center" textRotation="0" wrapText="true" indent="1" shrinkToFit="false"/>
      <protection locked="true" hidden="false"/>
    </xf>
    <xf numFmtId="164" fontId="10" fillId="8" borderId="1" xfId="0" applyFont="true" applyBorder="true" applyAlignment="true" applyProtection="false">
      <alignment horizontal="left" vertical="center" textRotation="0" wrapText="true" indent="1"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2" fillId="9" borderId="1" xfId="0" applyFont="true" applyBorder="true" applyAlignment="true" applyProtection="false">
      <alignment horizontal="left" vertical="center" textRotation="0" wrapText="true" indent="1" shrinkToFit="false"/>
      <protection locked="true" hidden="false"/>
    </xf>
    <xf numFmtId="164" fontId="10" fillId="9" borderId="1" xfId="0" applyFont="true" applyBorder="true" applyAlignment="true" applyProtection="false">
      <alignment horizontal="left" vertical="center" textRotation="0" wrapText="true" indent="1" shrinkToFit="false"/>
      <protection locked="true" hidden="false"/>
    </xf>
    <xf numFmtId="164" fontId="0" fillId="10" borderId="1" xfId="0" applyFont="false" applyBorder="true" applyAlignment="false" applyProtection="false">
      <alignment horizontal="general" vertical="bottom" textRotation="0" wrapText="false" indent="0" shrinkToFit="false"/>
      <protection locked="true" hidden="false"/>
    </xf>
    <xf numFmtId="164" fontId="0" fillId="11" borderId="1" xfId="0" applyFont="false" applyBorder="true" applyAlignment="false" applyProtection="false">
      <alignment horizontal="general" vertical="bottom" textRotation="0" wrapText="false" indent="0" shrinkToFit="false"/>
      <protection locked="true" hidden="false"/>
    </xf>
    <xf numFmtId="164" fontId="0" fillId="12" borderId="1" xfId="0" applyFont="false" applyBorder="true" applyAlignment="false" applyProtection="false">
      <alignment horizontal="general" vertical="bottom" textRotation="0" wrapText="false" indent="0" shrinkToFit="false"/>
      <protection locked="true" hidden="false"/>
    </xf>
    <xf numFmtId="164" fontId="0" fillId="13" borderId="1" xfId="0" applyFont="false" applyBorder="true" applyAlignment="false" applyProtection="false">
      <alignment horizontal="general" vertical="bottom" textRotation="0" wrapText="false" indent="0" shrinkToFit="false"/>
      <protection locked="true" hidden="false"/>
    </xf>
    <xf numFmtId="164" fontId="0" fillId="14" borderId="1" xfId="0" applyFont="false" applyBorder="true" applyAlignment="false" applyProtection="false">
      <alignment horizontal="general" vertical="bottom" textRotation="0" wrapText="false" indent="0" shrinkToFit="false"/>
      <protection locked="true" hidden="false"/>
    </xf>
    <xf numFmtId="164" fontId="13" fillId="15" borderId="1" xfId="0" applyFont="true" applyBorder="true" applyAlignment="true" applyProtection="false">
      <alignment horizontal="center" vertical="center" textRotation="0" wrapText="false" indent="0" shrinkToFit="false"/>
      <protection locked="true" hidden="false"/>
    </xf>
    <xf numFmtId="164" fontId="14" fillId="16"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true" applyProtection="false">
      <alignment horizontal="left" vertical="center" textRotation="0" wrapText="true" indent="1"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5" fillId="17" borderId="1" xfId="0" applyFont="true" applyBorder="true" applyAlignment="true" applyProtection="false">
      <alignment horizontal="left" vertical="center" textRotation="0" wrapText="false" indent="1" shrinkToFit="false"/>
      <protection locked="true" hidden="false"/>
    </xf>
    <xf numFmtId="164" fontId="13" fillId="18" borderId="1" xfId="0" applyFont="true" applyBorder="true" applyAlignment="true" applyProtection="false">
      <alignment horizontal="center" vertical="center" textRotation="0" wrapText="false" indent="0" shrinkToFit="false"/>
      <protection locked="true" hidden="false"/>
    </xf>
    <xf numFmtId="164" fontId="16" fillId="19" borderId="1" xfId="0" applyFont="true" applyBorder="true" applyAlignment="true" applyProtection="false">
      <alignment horizontal="left" vertical="center" textRotation="0" wrapText="false" indent="1" shrinkToFit="false"/>
      <protection locked="true" hidden="false"/>
    </xf>
    <xf numFmtId="164" fontId="17" fillId="12" borderId="1" xfId="0" applyFont="true" applyBorder="true" applyAlignment="true" applyProtection="false">
      <alignment horizontal="center" vertical="center" textRotation="0" wrapText="false" indent="0" shrinkToFit="false"/>
      <protection locked="true" hidden="false"/>
    </xf>
    <xf numFmtId="164" fontId="18" fillId="20" borderId="1" xfId="0" applyFont="true" applyBorder="true" applyAlignment="true" applyProtection="false">
      <alignment horizontal="left" vertical="center" textRotation="0" wrapText="false" indent="1" shrinkToFit="false"/>
      <protection locked="true" hidden="false"/>
    </xf>
    <xf numFmtId="164" fontId="17" fillId="13" borderId="1" xfId="0" applyFont="true" applyBorder="true" applyAlignment="true" applyProtection="false">
      <alignment horizontal="center" vertical="center" textRotation="0" wrapText="false" indent="0" shrinkToFit="false"/>
      <protection locked="true" hidden="false"/>
    </xf>
    <xf numFmtId="164" fontId="19" fillId="21" borderId="1" xfId="0" applyFont="true" applyBorder="true" applyAlignment="true" applyProtection="false">
      <alignment horizontal="left" vertical="center" textRotation="0" wrapText="false" indent="1" shrinkToFit="false"/>
      <protection locked="true" hidden="false"/>
    </xf>
    <xf numFmtId="164" fontId="13" fillId="22" borderId="1" xfId="0" applyFont="true" applyBorder="true" applyAlignment="true" applyProtection="false">
      <alignment horizontal="center" vertical="center" textRotation="0" wrapText="false" indent="0" shrinkToFit="false"/>
      <protection locked="true" hidden="false"/>
    </xf>
    <xf numFmtId="164" fontId="20" fillId="23" borderId="1" xfId="0" applyFont="true" applyBorder="true" applyAlignment="true" applyProtection="false">
      <alignment horizontal="left" vertical="center" textRotation="0" wrapText="false" indent="1"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10" fillId="19" borderId="1" xfId="0" applyFont="true" applyBorder="true" applyAlignment="true" applyProtection="false">
      <alignment horizontal="left" vertical="top" textRotation="0" wrapText="true" indent="1" shrinkToFit="false"/>
      <protection locked="true" hidden="false"/>
    </xf>
    <xf numFmtId="164" fontId="21" fillId="0" borderId="0" xfId="0" applyFont="true" applyBorder="true" applyAlignment="true" applyProtection="false">
      <alignment horizontal="left" vertical="center" textRotation="0" wrapText="false" indent="1" shrinkToFit="false"/>
      <protection locked="true" hidden="false"/>
    </xf>
    <xf numFmtId="164" fontId="22" fillId="2" borderId="0" xfId="0" applyFont="true" applyBorder="true" applyAlignment="true" applyProtection="false">
      <alignment horizontal="left" vertical="center" textRotation="0" wrapText="false" indent="15" shrinkToFit="false"/>
      <protection locked="true" hidden="false"/>
    </xf>
    <xf numFmtId="164" fontId="4" fillId="7"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true" applyAlignment="true" applyProtection="false">
      <alignment horizontal="left" vertical="center" textRotation="0" wrapText="false" indent="1" shrinkToFit="false"/>
      <protection locked="true" hidden="false"/>
    </xf>
    <xf numFmtId="164" fontId="24" fillId="0" borderId="0" xfId="0" applyFont="true" applyBorder="true" applyAlignment="true" applyProtection="false">
      <alignment horizontal="left" vertical="top" textRotation="0" wrapText="true" indent="1" shrinkToFit="false"/>
      <protection locked="true" hidden="false"/>
    </xf>
    <xf numFmtId="164" fontId="25" fillId="0" borderId="0" xfId="0" applyFont="true" applyBorder="true" applyAlignment="true" applyProtection="false">
      <alignment horizontal="left" vertical="center" textRotation="0" wrapText="true" indent="1" shrinkToFit="false"/>
      <protection locked="true" hidden="false"/>
    </xf>
    <xf numFmtId="164" fontId="26" fillId="17" borderId="1" xfId="0" applyFont="true" applyBorder="true" applyAlignment="true" applyProtection="false">
      <alignment horizontal="left" vertical="center" textRotation="0" wrapText="false" indent="1" shrinkToFit="false"/>
      <protection locked="true" hidden="false"/>
    </xf>
    <xf numFmtId="165" fontId="26" fillId="17" borderId="1" xfId="0" applyFont="true" applyBorder="true" applyAlignment="true" applyProtection="false">
      <alignment horizontal="left" vertical="center" textRotation="0" wrapText="false" indent="1" shrinkToFit="false"/>
      <protection locked="true" hidden="false"/>
    </xf>
    <xf numFmtId="165" fontId="25" fillId="24" borderId="1" xfId="0" applyFont="true" applyBorder="true" applyAlignment="true" applyProtection="false">
      <alignment horizontal="left" vertical="center" textRotation="0" wrapText="false" indent="1" shrinkToFit="false"/>
      <protection locked="true" hidden="false"/>
    </xf>
    <xf numFmtId="166" fontId="26" fillId="17" borderId="1" xfId="0" applyFont="true" applyBorder="true" applyAlignment="true" applyProtection="false">
      <alignment horizontal="left" vertical="center" textRotation="0" wrapText="false" indent="1" shrinkToFit="false"/>
      <protection locked="true" hidden="false"/>
    </xf>
    <xf numFmtId="167" fontId="26" fillId="17" borderId="1" xfId="0" applyFont="true" applyBorder="true" applyAlignment="true" applyProtection="false">
      <alignment horizontal="left" vertical="center" textRotation="0" wrapText="false" indent="1" shrinkToFit="false"/>
      <protection locked="true" hidden="false"/>
    </xf>
    <xf numFmtId="164" fontId="27" fillId="21" borderId="1" xfId="0" applyFont="true" applyBorder="true" applyAlignment="true" applyProtection="false">
      <alignment horizontal="left" vertical="center" textRotation="0" wrapText="false" indent="1" shrinkToFit="false"/>
      <protection locked="true" hidden="false"/>
    </xf>
    <xf numFmtId="167" fontId="26" fillId="17" borderId="1" xfId="0" applyFont="true" applyBorder="true" applyAlignment="true" applyProtection="false">
      <alignment horizontal="center" vertical="center" textRotation="0" wrapText="false" indent="1" shrinkToFit="false"/>
      <protection locked="true" hidden="false"/>
    </xf>
    <xf numFmtId="164" fontId="10" fillId="8" borderId="1" xfId="0" applyFont="true" applyBorder="true" applyAlignment="true" applyProtection="false">
      <alignment horizontal="left" vertical="center" textRotation="0" wrapText="false" indent="1" shrinkToFit="false"/>
      <protection locked="true" hidden="false"/>
    </xf>
    <xf numFmtId="164" fontId="28" fillId="20" borderId="1" xfId="0" applyFont="true" applyBorder="true" applyAlignment="true" applyProtection="false">
      <alignment horizontal="left" vertical="center" textRotation="0" wrapText="false" indent="1" shrinkToFit="false"/>
      <protection locked="true" hidden="false"/>
    </xf>
    <xf numFmtId="164" fontId="10" fillId="9" borderId="1" xfId="0" applyFont="true" applyBorder="true" applyAlignment="true" applyProtection="false">
      <alignment horizontal="left" vertical="center" textRotation="0" wrapText="false" indent="1" shrinkToFit="false"/>
      <protection locked="true" hidden="false"/>
    </xf>
    <xf numFmtId="164" fontId="29" fillId="19" borderId="1" xfId="0" applyFont="true" applyBorder="true" applyAlignment="true" applyProtection="false">
      <alignment horizontal="left" vertical="center" textRotation="0" wrapText="false" indent="1" shrinkToFit="false"/>
      <protection locked="true" hidden="false"/>
    </xf>
    <xf numFmtId="164" fontId="30" fillId="23" borderId="1" xfId="0" applyFont="true" applyBorder="true" applyAlignment="true" applyProtection="false">
      <alignment horizontal="left" vertical="center" textRotation="0" wrapText="false" indent="1" shrinkToFit="false"/>
      <protection locked="true" hidden="false"/>
    </xf>
    <xf numFmtId="164" fontId="11" fillId="8" borderId="1" xfId="0" applyFont="true" applyBorder="true" applyAlignment="true" applyProtection="false">
      <alignment horizontal="left" vertical="center" textRotation="0" wrapText="true" indent="1" shrinkToFit="false"/>
      <protection locked="true" hidden="false"/>
    </xf>
    <xf numFmtId="164" fontId="11" fillId="9" borderId="1" xfId="0" applyFont="true" applyBorder="true" applyAlignment="true" applyProtection="false">
      <alignment horizontal="left" vertical="center" textRotation="0" wrapText="true" indent="1" shrinkToFit="false"/>
      <protection locked="true" hidden="false"/>
    </xf>
    <xf numFmtId="164" fontId="25" fillId="0" borderId="0" xfId="0" applyFont="true" applyBorder="true" applyAlignment="true" applyProtection="false">
      <alignment horizontal="left" vertical="center" textRotation="0" wrapText="false" indent="1" shrinkToFit="false"/>
      <protection locked="true" hidden="false"/>
    </xf>
    <xf numFmtId="168" fontId="31" fillId="24" borderId="1" xfId="0" applyFont="true" applyBorder="true" applyAlignment="true" applyProtection="false">
      <alignment horizontal="center" vertical="center" textRotation="0" wrapText="false" indent="0" shrinkToFit="false"/>
      <protection locked="true" hidden="false"/>
    </xf>
    <xf numFmtId="164" fontId="32" fillId="0" borderId="0" xfId="0" applyFont="true" applyBorder="true" applyAlignment="true" applyProtection="false">
      <alignment horizontal="right" vertical="center" textRotation="0" wrapText="false" indent="1" shrinkToFit="false"/>
      <protection locked="true" hidden="false"/>
    </xf>
    <xf numFmtId="164" fontId="23" fillId="17" borderId="1" xfId="0" applyFont="true" applyBorder="true" applyAlignment="true" applyProtection="false">
      <alignment horizontal="center" vertical="center" textRotation="0" wrapText="true" indent="0" shrinkToFit="false"/>
      <protection locked="true" hidden="false"/>
    </xf>
    <xf numFmtId="164" fontId="23" fillId="21" borderId="1" xfId="0" applyFont="true" applyBorder="true" applyAlignment="true" applyProtection="false">
      <alignment horizontal="center" vertical="center" textRotation="0" wrapText="true" indent="0" shrinkToFit="false"/>
      <protection locked="true" hidden="false"/>
    </xf>
    <xf numFmtId="164" fontId="23" fillId="20" borderId="1" xfId="0" applyFont="true" applyBorder="true" applyAlignment="true" applyProtection="false">
      <alignment horizontal="center" vertical="center" textRotation="0" wrapText="true" indent="0" shrinkToFit="false"/>
      <protection locked="true" hidden="false"/>
    </xf>
    <xf numFmtId="167" fontId="33" fillId="17" borderId="1" xfId="0" applyFont="true" applyBorder="true" applyAlignment="true" applyProtection="false">
      <alignment horizontal="center" vertical="center" textRotation="0" wrapText="false" indent="0" shrinkToFit="false"/>
      <protection locked="true" hidden="false"/>
    </xf>
    <xf numFmtId="167" fontId="34" fillId="21" borderId="1" xfId="0" applyFont="true" applyBorder="true" applyAlignment="true" applyProtection="false">
      <alignment horizontal="center" vertical="center" textRotation="0" wrapText="false" indent="0" shrinkToFit="false"/>
      <protection locked="true" hidden="false"/>
    </xf>
    <xf numFmtId="167" fontId="35" fillId="20" borderId="1" xfId="0" applyFont="true" applyBorder="true" applyAlignment="true" applyProtection="false">
      <alignment horizontal="center" vertical="center" textRotation="0" wrapText="false" indent="0" shrinkToFit="false"/>
      <protection locked="true" hidden="false"/>
    </xf>
    <xf numFmtId="164" fontId="23" fillId="19" borderId="1" xfId="0" applyFont="true" applyBorder="true" applyAlignment="true" applyProtection="false">
      <alignment horizontal="center" vertical="center" textRotation="0" wrapText="true" indent="0" shrinkToFit="false"/>
      <protection locked="true" hidden="false"/>
    </xf>
    <xf numFmtId="164" fontId="23" fillId="16" borderId="1" xfId="0" applyFont="true" applyBorder="true" applyAlignment="true" applyProtection="false">
      <alignment horizontal="center" vertical="center" textRotation="0" wrapText="true" indent="0" shrinkToFit="false"/>
      <protection locked="true" hidden="false"/>
    </xf>
    <xf numFmtId="164" fontId="23" fillId="23" borderId="1" xfId="0" applyFont="true" applyBorder="true" applyAlignment="true" applyProtection="false">
      <alignment horizontal="center" vertical="center" textRotation="0" wrapText="true" indent="0" shrinkToFit="false"/>
      <protection locked="true" hidden="false"/>
    </xf>
    <xf numFmtId="166" fontId="36" fillId="19" borderId="1" xfId="0" applyFont="true" applyBorder="true" applyAlignment="true" applyProtection="false">
      <alignment horizontal="center" vertical="center" textRotation="0" wrapText="false" indent="0" shrinkToFit="false"/>
      <protection locked="true" hidden="false"/>
    </xf>
    <xf numFmtId="168" fontId="37" fillId="16" borderId="1" xfId="0" applyFont="true" applyBorder="true" applyAlignment="true" applyProtection="false">
      <alignment horizontal="center" vertical="center" textRotation="0" wrapText="false" indent="0" shrinkToFit="false"/>
      <protection locked="true" hidden="false"/>
    </xf>
    <xf numFmtId="169" fontId="38" fillId="23" borderId="1" xfId="0" applyFont="true" applyBorder="true" applyAlignment="true" applyProtection="false">
      <alignment horizontal="center" vertical="center" textRotation="0" wrapText="false" indent="0" shrinkToFit="false"/>
      <protection locked="true" hidden="false"/>
    </xf>
    <xf numFmtId="169" fontId="39" fillId="24" borderId="1" xfId="0" applyFont="true" applyBorder="true" applyAlignment="true" applyProtection="false">
      <alignment horizontal="center" vertical="center" textRotation="0" wrapText="false" indent="0" shrinkToFit="false"/>
      <protection locked="true" hidden="false"/>
    </xf>
    <xf numFmtId="167" fontId="39" fillId="24" borderId="1" xfId="0" applyFont="true" applyBorder="true" applyAlignment="true" applyProtection="false">
      <alignment horizontal="center" vertical="center" textRotation="0" wrapText="false" indent="0" shrinkToFit="false"/>
      <protection locked="true" hidden="false"/>
    </xf>
    <xf numFmtId="164" fontId="27" fillId="21" borderId="1" xfId="0" applyFont="true" applyBorder="true" applyAlignment="true" applyProtection="false">
      <alignment horizontal="center" vertical="center" textRotation="0" wrapText="false" indent="0" shrinkToFit="false"/>
      <protection locked="true" hidden="false"/>
    </xf>
    <xf numFmtId="167" fontId="25" fillId="24" borderId="1" xfId="0" applyFont="true" applyBorder="true" applyAlignment="true" applyProtection="false">
      <alignment horizontal="center" vertical="center" textRotation="0" wrapText="false" indent="0" shrinkToFit="false"/>
      <protection locked="true" hidden="false"/>
    </xf>
    <xf numFmtId="167" fontId="8" fillId="23" borderId="1" xfId="0" applyFont="true" applyBorder="true" applyAlignment="true" applyProtection="false">
      <alignment horizontal="center" vertical="center" textRotation="0" wrapText="false" indent="0" shrinkToFit="false"/>
      <protection locked="true" hidden="false"/>
    </xf>
    <xf numFmtId="166" fontId="25" fillId="23" borderId="1" xfId="0" applyFont="true" applyBorder="true" applyAlignment="true" applyProtection="false">
      <alignment horizontal="right" vertical="center" textRotation="0" wrapText="false" indent="1" shrinkToFit="false"/>
      <protection locked="true" hidden="false"/>
    </xf>
    <xf numFmtId="164" fontId="28" fillId="20" borderId="1" xfId="0" applyFont="true" applyBorder="true" applyAlignment="true" applyProtection="false">
      <alignment horizontal="center" vertical="center" textRotation="0" wrapText="false" indent="0" shrinkToFit="false"/>
      <protection locked="true" hidden="false"/>
    </xf>
    <xf numFmtId="164" fontId="29" fillId="19" borderId="1" xfId="0" applyFont="true" applyBorder="true" applyAlignment="true" applyProtection="false">
      <alignment horizontal="center" vertical="center" textRotation="0" wrapText="false" indent="0" shrinkToFit="false"/>
      <protection locked="true" hidden="false"/>
    </xf>
    <xf numFmtId="164" fontId="30" fillId="23" borderId="1" xfId="0" applyFont="true" applyBorder="true" applyAlignment="true" applyProtection="false">
      <alignment horizontal="center" vertical="center" textRotation="0" wrapText="false" indent="0" shrinkToFit="false"/>
      <protection locked="true" hidden="false"/>
    </xf>
    <xf numFmtId="167" fontId="10" fillId="24" borderId="1" xfId="0" applyFont="true" applyBorder="true" applyAlignment="true" applyProtection="false">
      <alignment horizontal="center" vertical="center" textRotation="0" wrapText="false" indent="0" shrinkToFit="false"/>
      <protection locked="true" hidden="false"/>
    </xf>
    <xf numFmtId="166" fontId="10" fillId="24" borderId="1" xfId="0" applyFont="true" applyBorder="true" applyAlignment="true" applyProtection="false">
      <alignment horizontal="right" vertical="center" textRotation="0" wrapText="false" indent="1" shrinkToFit="false"/>
      <protection locked="true" hidden="false"/>
    </xf>
    <xf numFmtId="164" fontId="10" fillId="21" borderId="1" xfId="0" applyFont="true" applyBorder="true" applyAlignment="true" applyProtection="false">
      <alignment horizontal="left" vertical="center" textRotation="0" wrapText="true" indent="1" shrinkToFit="false"/>
      <protection locked="true" hidden="false"/>
    </xf>
    <xf numFmtId="167" fontId="40" fillId="21" borderId="1" xfId="0" applyFont="true" applyBorder="true" applyAlignment="true" applyProtection="false">
      <alignment horizontal="center" vertical="center" textRotation="0" wrapText="false" indent="0" shrinkToFit="false"/>
      <protection locked="true" hidden="false"/>
    </xf>
    <xf numFmtId="164" fontId="10" fillId="19" borderId="1" xfId="0" applyFont="true" applyBorder="true" applyAlignment="true" applyProtection="false">
      <alignment horizontal="left" vertical="center" textRotation="0" wrapText="true" indent="1" shrinkToFit="false"/>
      <protection locked="true" hidden="false"/>
    </xf>
    <xf numFmtId="167" fontId="41" fillId="19" borderId="1" xfId="0" applyFont="true" applyBorder="true" applyAlignment="true" applyProtection="false">
      <alignment horizontal="center" vertical="center" textRotation="0" wrapText="false" indent="0" shrinkToFit="false"/>
      <protection locked="true" hidden="false"/>
    </xf>
    <xf numFmtId="164" fontId="10" fillId="16" borderId="1" xfId="0" applyFont="true" applyBorder="true" applyAlignment="true" applyProtection="false">
      <alignment horizontal="left" vertical="center" textRotation="0" wrapText="true" indent="1" shrinkToFit="false"/>
      <protection locked="true" hidden="false"/>
    </xf>
    <xf numFmtId="167" fontId="42" fillId="16" borderId="1" xfId="0" applyFont="true" applyBorder="true" applyAlignment="true" applyProtection="false">
      <alignment horizontal="center" vertical="center" textRotation="0" wrapText="false" indent="0" shrinkToFit="false"/>
      <protection locked="true" hidden="false"/>
    </xf>
    <xf numFmtId="164" fontId="10" fillId="20" borderId="1" xfId="0" applyFont="true" applyBorder="true" applyAlignment="true" applyProtection="false">
      <alignment horizontal="left" vertical="center" textRotation="0" wrapText="true" indent="1" shrinkToFit="false"/>
      <protection locked="true" hidden="false"/>
    </xf>
    <xf numFmtId="167" fontId="43" fillId="20" borderId="1" xfId="0" applyFont="true" applyBorder="true" applyAlignment="true" applyProtection="false">
      <alignment horizontal="center" vertical="center" textRotation="0" wrapText="false" indent="0" shrinkToFit="false"/>
      <protection locked="true" hidden="false"/>
    </xf>
    <xf numFmtId="164" fontId="4" fillId="10" borderId="0" xfId="0" applyFont="true" applyBorder="true" applyAlignment="true" applyProtection="false">
      <alignment horizontal="left" vertical="center" textRotation="0" wrapText="false" indent="1" shrinkToFit="false"/>
      <protection locked="true" hidden="false"/>
    </xf>
    <xf numFmtId="164" fontId="11" fillId="25" borderId="2" xfId="0" applyFont="true" applyBorder="true" applyAlignment="true" applyProtection="false">
      <alignment horizontal="center" vertical="center" textRotation="0" wrapText="true" indent="0" shrinkToFit="false"/>
      <protection locked="true" hidden="false"/>
    </xf>
    <xf numFmtId="164" fontId="23" fillId="24" borderId="1" xfId="0" applyFont="true" applyBorder="true" applyAlignment="true" applyProtection="false">
      <alignment horizontal="center" vertical="center" textRotation="0" wrapText="false" indent="0" shrinkToFit="false"/>
      <protection locked="true" hidden="false"/>
    </xf>
    <xf numFmtId="165" fontId="44" fillId="8" borderId="1" xfId="0" applyFont="true" applyBorder="true" applyAlignment="true" applyProtection="false">
      <alignment horizontal="center" vertical="center" textRotation="0" wrapText="false" indent="0" shrinkToFit="false"/>
      <protection locked="true" hidden="false"/>
    </xf>
    <xf numFmtId="164" fontId="44" fillId="8" borderId="1" xfId="0" applyFont="true" applyBorder="true" applyAlignment="true" applyProtection="false">
      <alignment horizontal="left" vertical="center" textRotation="0" wrapText="true" indent="1" shrinkToFit="false"/>
      <protection locked="true" hidden="false"/>
    </xf>
    <xf numFmtId="166" fontId="44" fillId="8" borderId="1" xfId="0" applyFont="true" applyBorder="true" applyAlignment="true" applyProtection="false">
      <alignment horizontal="center" vertical="center" textRotation="0" wrapText="false" indent="0" shrinkToFit="false"/>
      <protection locked="true" hidden="false"/>
    </xf>
    <xf numFmtId="170" fontId="44" fillId="8" borderId="1" xfId="0" applyFont="true" applyBorder="true" applyAlignment="true" applyProtection="false">
      <alignment horizontal="center" vertical="center" textRotation="0" wrapText="false" indent="0" shrinkToFit="false"/>
      <protection locked="true" hidden="false"/>
    </xf>
    <xf numFmtId="165" fontId="10" fillId="24" borderId="1" xfId="0" applyFont="true" applyBorder="true" applyAlignment="true" applyProtection="false">
      <alignment horizontal="center" vertical="center" textRotation="0" wrapText="false" indent="0" shrinkToFit="false"/>
      <protection locked="true" hidden="false"/>
    </xf>
    <xf numFmtId="170" fontId="10" fillId="24" borderId="1" xfId="0" applyFont="true" applyBorder="true" applyAlignment="true" applyProtection="false">
      <alignment horizontal="center" vertical="center" textRotation="0" wrapText="false" indent="0" shrinkToFit="false"/>
      <protection locked="true" hidden="false"/>
    </xf>
    <xf numFmtId="164" fontId="10" fillId="24" borderId="1" xfId="0" applyFont="true" applyBorder="true" applyAlignment="true" applyProtection="false">
      <alignment horizontal="left" vertical="center" textRotation="0" wrapText="true" indent="1" shrinkToFit="false"/>
      <protection locked="true" hidden="false"/>
    </xf>
    <xf numFmtId="165" fontId="44" fillId="9" borderId="1" xfId="0" applyFont="true" applyBorder="true" applyAlignment="true" applyProtection="false">
      <alignment horizontal="center" vertical="center" textRotation="0" wrapText="false" indent="0" shrinkToFit="false"/>
      <protection locked="true" hidden="false"/>
    </xf>
    <xf numFmtId="164" fontId="44" fillId="9" borderId="1" xfId="0" applyFont="true" applyBorder="true" applyAlignment="true" applyProtection="false">
      <alignment horizontal="left" vertical="center" textRotation="0" wrapText="true" indent="1" shrinkToFit="false"/>
      <protection locked="true" hidden="false"/>
    </xf>
    <xf numFmtId="166" fontId="44" fillId="9" borderId="1" xfId="0" applyFont="true" applyBorder="true" applyAlignment="true" applyProtection="false">
      <alignment horizontal="center" vertical="center" textRotation="0" wrapText="false" indent="0" shrinkToFit="false"/>
      <protection locked="true" hidden="false"/>
    </xf>
    <xf numFmtId="170" fontId="44" fillId="9" borderId="1" xfId="0" applyFont="true" applyBorder="true" applyAlignment="true" applyProtection="false">
      <alignment horizontal="center" vertical="center" textRotation="0" wrapText="false" indent="0" shrinkToFit="false"/>
      <protection locked="true" hidden="false"/>
    </xf>
    <xf numFmtId="164" fontId="4" fillId="11" borderId="0" xfId="0" applyFont="true" applyBorder="true" applyAlignment="true" applyProtection="false">
      <alignment horizontal="left" vertical="center" textRotation="0" wrapText="false" indent="1" shrinkToFit="false"/>
      <protection locked="true" hidden="false"/>
    </xf>
    <xf numFmtId="164" fontId="44" fillId="8" borderId="1" xfId="0" applyFont="true" applyBorder="true" applyAlignment="true" applyProtection="false">
      <alignment horizontal="center" vertical="center" textRotation="0" wrapText="false" indent="0" shrinkToFit="false"/>
      <protection locked="true" hidden="false"/>
    </xf>
    <xf numFmtId="164" fontId="44" fillId="9" borderId="1" xfId="0" applyFont="true" applyBorder="true" applyAlignment="true" applyProtection="false">
      <alignment horizontal="center" vertical="center" textRotation="0" wrapText="false" indent="0" shrinkToFit="false"/>
      <protection locked="true" hidden="false"/>
    </xf>
    <xf numFmtId="164" fontId="4" fillId="12" borderId="0" xfId="0" applyFont="true" applyBorder="true" applyAlignment="true" applyProtection="false">
      <alignment horizontal="left" vertical="center" textRotation="0" wrapText="false" indent="1" shrinkToFit="false"/>
      <protection locked="true" hidden="false"/>
    </xf>
    <xf numFmtId="164" fontId="11" fillId="8" borderId="1" xfId="0" applyFont="true" applyBorder="true" applyAlignment="true" applyProtection="false">
      <alignment horizontal="center" vertical="center" textRotation="0" wrapText="false" indent="0" shrinkToFit="false"/>
      <protection locked="true" hidden="false"/>
    </xf>
    <xf numFmtId="164" fontId="10" fillId="24" borderId="1" xfId="0" applyFont="true" applyBorder="true" applyAlignment="true" applyProtection="false">
      <alignment horizontal="center" vertical="center" textRotation="0" wrapText="false" indent="0" shrinkToFit="false"/>
      <protection locked="true" hidden="false"/>
    </xf>
    <xf numFmtId="164" fontId="11" fillId="9" borderId="1" xfId="0" applyFont="true" applyBorder="true" applyAlignment="true" applyProtection="false">
      <alignment horizontal="center" vertical="center" textRotation="0" wrapText="false" indent="0" shrinkToFit="false"/>
      <protection locked="true" hidden="false"/>
    </xf>
    <xf numFmtId="164" fontId="4" fillId="13" borderId="0" xfId="0" applyFont="true" applyBorder="true" applyAlignment="true" applyProtection="false">
      <alignment horizontal="left" vertical="center" textRotation="0" wrapText="false" indent="1" shrinkToFit="false"/>
      <protection locked="true" hidden="false"/>
    </xf>
    <xf numFmtId="164" fontId="19" fillId="21" borderId="1" xfId="0" applyFont="true" applyBorder="true" applyAlignment="true" applyProtection="false">
      <alignment horizontal="left" vertical="center" textRotation="0" wrapText="true" indent="1" shrinkToFit="false"/>
      <protection locked="true" hidden="false"/>
    </xf>
    <xf numFmtId="167" fontId="44" fillId="8" borderId="1" xfId="0" applyFont="true" applyBorder="true" applyAlignment="true" applyProtection="false">
      <alignment horizontal="center" vertical="center" textRotation="0" wrapText="false" indent="0" shrinkToFit="false"/>
      <protection locked="true" hidden="false"/>
    </xf>
    <xf numFmtId="167" fontId="44" fillId="9" borderId="1" xfId="0" applyFont="true" applyBorder="true" applyAlignment="true" applyProtection="false">
      <alignment horizontal="center" vertical="center" textRotation="0" wrapText="false" indent="0" shrinkToFit="false"/>
      <protection locked="true" hidden="false"/>
    </xf>
    <xf numFmtId="164" fontId="4" fillId="14" borderId="0" xfId="0" applyFont="true" applyBorder="true" applyAlignment="true" applyProtection="false">
      <alignment horizontal="left" vertical="center" textRotation="0" wrapText="false" indent="1" shrinkToFit="false"/>
      <protection locked="true" hidden="false"/>
    </xf>
    <xf numFmtId="164" fontId="23" fillId="15"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true" indent="1" shrinkToFit="false"/>
      <protection locked="true" hidden="false"/>
    </xf>
    <xf numFmtId="164" fontId="23" fillId="5" borderId="1" xfId="0" applyFont="true" applyBorder="true" applyAlignment="true" applyProtection="false">
      <alignment horizontal="center" vertical="center" textRotation="0" wrapText="false" indent="0" shrinkToFit="false"/>
      <protection locked="true" hidden="false"/>
    </xf>
    <xf numFmtId="164" fontId="23" fillId="18" borderId="1" xfId="0" applyFont="true" applyBorder="true" applyAlignment="true" applyProtection="false">
      <alignment horizontal="center" vertical="center" textRotation="0" wrapText="false" indent="0" shrinkToFit="false"/>
      <protection locked="true" hidden="false"/>
    </xf>
    <xf numFmtId="164" fontId="45" fillId="12" borderId="1" xfId="0" applyFont="true" applyBorder="true" applyAlignment="true" applyProtection="false">
      <alignment horizontal="center" vertical="center" textRotation="0" wrapText="false" indent="0" shrinkToFit="false"/>
      <protection locked="true" hidden="false"/>
    </xf>
    <xf numFmtId="164" fontId="45" fillId="13" borderId="1" xfId="0" applyFont="true" applyBorder="true" applyAlignment="true" applyProtection="false">
      <alignment horizontal="center" vertical="center" textRotation="0" wrapText="false" indent="0" shrinkToFit="false"/>
      <protection locked="true" hidden="false"/>
    </xf>
    <xf numFmtId="164" fontId="23" fillId="22" borderId="1" xfId="0" applyFont="true" applyBorder="true" applyAlignment="true" applyProtection="false">
      <alignment horizontal="center" vertical="center" textRotation="0" wrapText="false" indent="0" shrinkToFit="false"/>
      <protection locked="true" hidden="false"/>
    </xf>
    <xf numFmtId="164" fontId="23" fillId="6" borderId="1" xfId="0" applyFont="true" applyBorder="true" applyAlignment="true" applyProtection="false">
      <alignment horizontal="left" vertical="center" textRotation="0" wrapText="false" indent="1" shrinkToFit="false"/>
      <protection locked="true" hidden="false"/>
    </xf>
    <xf numFmtId="164" fontId="11" fillId="8" borderId="1" xfId="0" applyFont="true" applyBorder="true" applyAlignment="true" applyProtection="false">
      <alignment horizontal="left" vertical="center" textRotation="0" wrapText="false" indent="1" shrinkToFit="false"/>
      <protection locked="true" hidden="false"/>
    </xf>
    <xf numFmtId="164" fontId="11" fillId="9" borderId="1" xfId="0" applyFont="true" applyBorder="true" applyAlignment="true" applyProtection="false">
      <alignment horizontal="left" vertical="center" textRotation="0" wrapText="false" indent="1" shrinkToFit="false"/>
      <protection locked="true" hidden="false"/>
    </xf>
    <xf numFmtId="164" fontId="10" fillId="8" borderId="1" xfId="0" applyFont="true" applyBorder="true" applyAlignment="true" applyProtection="false">
      <alignment horizontal="left" vertical="top" textRotation="0" wrapText="true" indent="1" shrinkToFit="false"/>
      <protection locked="true" hidden="false"/>
    </xf>
    <xf numFmtId="164" fontId="11" fillId="8" borderId="1" xfId="0" applyFont="true" applyBorder="true" applyAlignment="true" applyProtection="false">
      <alignment horizontal="left" vertical="top" textRotation="0" wrapText="true" indent="1" shrinkToFit="false"/>
      <protection locked="true" hidden="false"/>
    </xf>
    <xf numFmtId="164" fontId="10" fillId="9" borderId="1" xfId="0" applyFont="true" applyBorder="true" applyAlignment="true" applyProtection="false">
      <alignment horizontal="left" vertical="top" textRotation="0" wrapText="true" indent="1" shrinkToFit="false"/>
      <protection locked="true" hidden="false"/>
    </xf>
    <xf numFmtId="164" fontId="11" fillId="9" borderId="1" xfId="0" applyFont="true" applyBorder="true" applyAlignment="true" applyProtection="false">
      <alignment horizontal="left" vertical="top" textRotation="0" wrapText="true" indent="1" shrinkToFit="false"/>
      <protection locked="true" hidden="false"/>
    </xf>
    <xf numFmtId="164" fontId="10" fillId="17" borderId="1" xfId="0" applyFont="true" applyBorder="true" applyAlignment="true" applyProtection="false">
      <alignment horizontal="left" vertical="top" textRotation="0" wrapText="true" indent="1" shrinkToFit="false"/>
      <protection locked="true" hidden="false"/>
    </xf>
    <xf numFmtId="164" fontId="15" fillId="17" borderId="1" xfId="0" applyFont="true" applyBorder="true" applyAlignment="true" applyProtection="false">
      <alignment horizontal="left" vertical="top" textRotation="0" wrapText="true" indent="1" shrinkToFit="false"/>
      <protection locked="true" hidden="false"/>
    </xf>
    <xf numFmtId="164" fontId="11" fillId="17"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true" applyProtection="false">
      <alignment horizontal="left" vertical="center" textRotation="0" wrapText="false" indent="1" shrinkToFit="false"/>
      <protection locked="true" hidden="false"/>
    </xf>
    <xf numFmtId="164" fontId="11" fillId="24" borderId="1" xfId="0" applyFont="true" applyBorder="true" applyAlignment="true" applyProtection="false">
      <alignment horizontal="left" vertical="center" textRotation="0" wrapText="false" indent="1" shrinkToFit="false"/>
      <protection locked="true" hidden="false"/>
    </xf>
    <xf numFmtId="164" fontId="11" fillId="6" borderId="1" xfId="0" applyFont="true" applyBorder="true" applyAlignment="true" applyProtection="false">
      <alignment horizontal="left" vertical="center" textRotation="0" wrapText="false" indent="1" shrinkToFit="false"/>
      <protection locked="true" hidden="false"/>
    </xf>
    <xf numFmtId="164" fontId="11" fillId="23" borderId="1" xfId="0" applyFont="true" applyBorder="true" applyAlignment="true" applyProtection="false">
      <alignment horizontal="left" vertical="center" textRotation="0" wrapText="false" indent="1" shrinkToFit="false"/>
      <protection locked="true" hidden="false"/>
    </xf>
    <xf numFmtId="164" fontId="11" fillId="6" borderId="2"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ill>
        <patternFill>
          <bgColor rgb="FFFFF4E0"/>
        </patternFill>
      </fill>
    </dxf>
    <dxf>
      <font>
        <name val="Inter"/>
        <charset val="1"/>
        <family val="0"/>
        <b val="1"/>
        <color rgb="FFFFB547"/>
        <sz val="16"/>
      </font>
      <fill>
        <patternFill>
          <bgColor rgb="FFFFF4E0"/>
        </patternFill>
      </fill>
    </dxf>
    <dxf>
      <fill>
        <patternFill>
          <bgColor rgb="FFFDEBE9"/>
        </patternFill>
      </fill>
    </dxf>
    <dxf>
      <font>
        <name val="Inter"/>
        <charset val="1"/>
        <family val="0"/>
        <b val="1"/>
        <color rgb="FFE31B0C"/>
        <sz val="10"/>
      </font>
      <fill>
        <patternFill>
          <bgColor rgb="FFFDEBE9"/>
        </patternFill>
      </fill>
    </dxf>
    <dxf>
      <font>
        <name val="Inter"/>
        <charset val="1"/>
        <family val="0"/>
        <b val="1"/>
        <color rgb="FF1D3245"/>
        <sz val="10"/>
      </font>
      <fill>
        <patternFill>
          <bgColor rgb="FFFFF4E0"/>
        </patternFill>
      </fill>
    </dxf>
    <dxf>
      <font>
        <name val="Inter"/>
        <charset val="1"/>
        <family val="0"/>
        <b val="1"/>
        <color rgb="FFE31B0C"/>
        <sz val="9"/>
      </font>
      <fill>
        <patternFill>
          <bgColor rgb="FFFDEBE9"/>
        </patternFill>
      </fill>
    </dxf>
    <dxf>
      <font>
        <name val="Inter"/>
        <charset val="1"/>
        <family val="0"/>
        <b val="1"/>
        <color rgb="FFEC6917"/>
        <sz val="9"/>
      </font>
      <fill>
        <patternFill>
          <bgColor rgb="FFFDEBE0"/>
        </patternFill>
      </fill>
    </dxf>
    <dxf>
      <fill>
        <patternFill patternType="solid">
          <fgColor rgb="FFD3DEE9"/>
          <bgColor rgb="FF000000"/>
        </patternFill>
      </fill>
    </dxf>
    <dxf>
      <fill>
        <patternFill patternType="solid">
          <fgColor rgb="FFE8F5E9"/>
          <bgColor rgb="FF000000"/>
        </patternFill>
      </fill>
    </dxf>
    <dxf>
      <fill>
        <patternFill patternType="solid">
          <fgColor rgb="FFEEEEEE"/>
          <bgColor rgb="FF000000"/>
        </patternFill>
      </fill>
    </dxf>
    <dxf>
      <fill>
        <patternFill patternType="solid">
          <fgColor rgb="FFF6F9FC"/>
          <bgColor rgb="FF000000"/>
        </patternFill>
      </fill>
    </dxf>
    <dxf>
      <fill>
        <patternFill patternType="solid">
          <fgColor rgb="FFFDEBE0"/>
          <bgColor rgb="FF000000"/>
        </patternFill>
      </fill>
    </dxf>
    <dxf>
      <fill>
        <patternFill patternType="solid">
          <fgColor rgb="FFFDEBE9"/>
          <bgColor rgb="FF000000"/>
        </patternFill>
      </fill>
    </dxf>
    <dxf>
      <fill>
        <patternFill patternType="solid">
          <fgColor rgb="FF0D3C61"/>
          <bgColor rgb="FF000000"/>
        </patternFill>
      </fill>
    </dxf>
    <dxf>
      <fill>
        <patternFill patternType="solid">
          <fgColor rgb="FF1D3245"/>
          <bgColor rgb="FF000000"/>
        </patternFill>
      </fill>
    </dxf>
    <dxf>
      <fill>
        <patternFill patternType="solid">
          <fgColor rgb="FFDCE9F4"/>
          <bgColor rgb="FF000000"/>
        </patternFill>
      </fill>
    </dxf>
    <dxf>
      <fill>
        <patternFill patternType="solid">
          <fgColor rgb="FFF5F5F5"/>
          <bgColor rgb="FF000000"/>
        </patternFill>
      </fill>
    </dxf>
    <dxf>
      <fill>
        <patternFill patternType="solid">
          <fgColor rgb="FFFFFFFF"/>
          <bgColor rgb="FF000000"/>
        </patternFill>
      </fill>
    </dxf>
    <dxf>
      <fill>
        <patternFill>
          <bgColor rgb="FFEEEEEE"/>
        </patternFill>
      </fill>
    </dxf>
    <dxf>
      <fill>
        <patternFill>
          <bgColor rgb="FFE8F5E9"/>
        </patternFill>
      </fill>
    </dxf>
    <dxf>
      <fill>
        <patternFill>
          <bgColor rgb="FFFDEBE0"/>
        </patternFill>
      </fill>
    </dxf>
    <dxf>
      <fill>
        <patternFill patternType="solid">
          <fgColor rgb="FFFFF4E0"/>
          <bgColor rgb="FF000000"/>
        </patternFill>
      </fill>
    </dxf>
    <dxf>
      <fill>
        <patternFill patternType="solid">
          <fgColor rgb="FF8E98A2"/>
          <bgColor rgb="FF000000"/>
        </patternFill>
      </fill>
    </dxf>
    <dxf>
      <font>
        <name val="Inter"/>
        <charset val="1"/>
        <family val="0"/>
        <color rgb="FF8E98A2"/>
        <sz val="9"/>
      </font>
      <fill>
        <patternFill>
          <bgColor rgb="FFEEEEEE"/>
        </patternFill>
      </fill>
    </dxf>
  </dxfs>
  <colors>
    <indexedColors>
      <rgbColor rgb="FF000000"/>
      <rgbColor rgb="FFFFFFFF"/>
      <rgbColor rgb="FFE31B0C"/>
      <rgbColor rgb="FF00FF00"/>
      <rgbColor rgb="FF0000FF"/>
      <rgbColor rgb="FFF6F9FC"/>
      <rgbColor rgb="FFFF00FF"/>
      <rgbColor rgb="FF00FFFF"/>
      <rgbColor rgb="FF800000"/>
      <rgbColor rgb="FF008000"/>
      <rgbColor rgb="FF000080"/>
      <rgbColor rgb="FF808000"/>
      <rgbColor rgb="FF800080"/>
      <rgbColor rgb="FF008080"/>
      <rgbColor rgb="FFE0E0E0"/>
      <rgbColor rgb="FF808080"/>
      <rgbColor rgb="FF9999FF"/>
      <rgbColor rgb="FF993366"/>
      <rgbColor rgb="FFFFF4E0"/>
      <rgbColor rgb="FFE3F0FA"/>
      <rgbColor rgb="FF660066"/>
      <rgbColor rgb="FFFF8080"/>
      <rgbColor rgb="FF0B79D0"/>
      <rgbColor rgb="FFD3DEE9"/>
      <rgbColor rgb="FF000080"/>
      <rgbColor rgb="FFFF00FF"/>
      <rgbColor rgb="FFFFFF00"/>
      <rgbColor rgb="FF00FFFF"/>
      <rgbColor rgb="FF800080"/>
      <rgbColor rgb="FF800000"/>
      <rgbColor rgb="FF008080"/>
      <rgbColor rgb="FF0000FF"/>
      <rgbColor rgb="FF039BE5"/>
      <rgbColor rgb="FFE8F5E9"/>
      <rgbColor rgb="FFDCE9F4"/>
      <rgbColor rgb="FFFDEBE0"/>
      <rgbColor rgb="FF64B6F7"/>
      <rgbColor rgb="FFEEEEEE"/>
      <rgbColor rgb="FFF5F5F5"/>
      <rgbColor rgb="FFFDEBE9"/>
      <rgbColor rgb="FF3480BC"/>
      <rgbColor rgb="FF33CCCC"/>
      <rgbColor rgb="FF99CC00"/>
      <rgbColor rgb="FFFFB547"/>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95400</xdr:colOff>
      <xdr:row>0</xdr:row>
      <xdr:rowOff>114480</xdr:rowOff>
    </xdr:from>
    <xdr:to>
      <xdr:col>2</xdr:col>
      <xdr:colOff>1413000</xdr:colOff>
      <xdr:row>0</xdr:row>
      <xdr:rowOff>590400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50200" y="114480"/>
          <a:ext cx="1599840" cy="475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176760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176760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7"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3245"/>
    <pageSetUpPr fitToPage="true"/>
  </sheetPr>
  <dimension ref="B1:G1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
    <col collapsed="false" customWidth="true" hidden="false" outlineLevel="0" max="3" min="3" style="0" width="30"/>
    <col collapsed="false" customWidth="true" hidden="false" outlineLevel="0" max="4" min="4" style="0" width="22"/>
    <col collapsed="false" customWidth="true" hidden="false" outlineLevel="0" max="5" min="5" style="0" width="20"/>
    <col collapsed="false" customWidth="true" hidden="false" outlineLevel="0" max="6" min="6" style="0" width="16"/>
    <col collapsed="false" customWidth="true" hidden="false" outlineLevel="0" max="7" min="7" style="0" width="12"/>
    <col collapsed="false" customWidth="true" hidden="false" outlineLevel="0" max="8" min="8" style="0" width="2.2"/>
  </cols>
  <sheetData>
    <row r="1" customFormat="false" ht="51.75" hidden="false" customHeight="true" outlineLevel="0" collapsed="false">
      <c r="B1" s="1"/>
      <c r="C1" s="1"/>
      <c r="D1" s="1"/>
      <c r="E1" s="1"/>
      <c r="F1" s="1"/>
      <c r="G1" s="1"/>
    </row>
    <row r="2" customFormat="false" ht="4.5" hidden="false" customHeight="true" outlineLevel="0" collapsed="false">
      <c r="B2" s="2"/>
      <c r="C2" s="2"/>
      <c r="D2" s="2"/>
      <c r="E2" s="2"/>
      <c r="F2" s="2"/>
      <c r="G2" s="2"/>
    </row>
    <row r="4" customFormat="false" ht="37.5" hidden="false" customHeight="true" outlineLevel="0" collapsed="false">
      <c r="B4" s="3" t="s">
        <v>0</v>
      </c>
      <c r="C4" s="3"/>
      <c r="D4" s="3"/>
      <c r="E4" s="3"/>
      <c r="F4" s="3"/>
      <c r="G4" s="3"/>
    </row>
    <row r="5" customFormat="false" ht="21.75" hidden="false" customHeight="true" outlineLevel="0" collapsed="false">
      <c r="B5" s="4" t="s">
        <v>1</v>
      </c>
      <c r="C5" s="4"/>
      <c r="D5" s="4"/>
      <c r="E5" s="4"/>
      <c r="F5" s="4"/>
      <c r="G5" s="4"/>
    </row>
    <row r="7" customFormat="false" ht="15" hidden="false" customHeight="true" outlineLevel="0" collapsed="false">
      <c r="B7" s="5" t="s">
        <v>2</v>
      </c>
      <c r="C7" s="5"/>
      <c r="D7" s="5"/>
      <c r="E7" s="5"/>
      <c r="F7" s="5"/>
      <c r="G7" s="5"/>
    </row>
    <row r="8" customFormat="false" ht="15" hidden="false" customHeight="true" outlineLevel="0" collapsed="false">
      <c r="B8" s="5"/>
      <c r="C8" s="5"/>
      <c r="D8" s="5"/>
      <c r="E8" s="5"/>
      <c r="F8" s="5"/>
      <c r="G8" s="5"/>
    </row>
    <row r="9" customFormat="false" ht="15" hidden="false" customHeight="true" outlineLevel="0" collapsed="false">
      <c r="B9" s="5"/>
      <c r="C9" s="5"/>
      <c r="D9" s="5"/>
      <c r="E9" s="5"/>
      <c r="F9" s="5"/>
      <c r="G9" s="5"/>
    </row>
    <row r="10" customFormat="false" ht="15" hidden="false" customHeight="true" outlineLevel="0" collapsed="false">
      <c r="B10" s="5"/>
      <c r="C10" s="5"/>
      <c r="D10" s="5"/>
      <c r="E10" s="5"/>
      <c r="F10" s="5"/>
      <c r="G10" s="5"/>
    </row>
    <row r="12" customFormat="false" ht="24" hidden="false" customHeight="true" outlineLevel="0" collapsed="false">
      <c r="B12" s="6" t="s">
        <v>3</v>
      </c>
      <c r="C12" s="6"/>
      <c r="D12" s="6"/>
      <c r="E12" s="6"/>
      <c r="F12" s="6"/>
      <c r="G12" s="6"/>
    </row>
    <row r="13" customFormat="false" ht="13.5" hidden="false" customHeight="true" outlineLevel="0" collapsed="false">
      <c r="B13" s="7" t="s">
        <v>4</v>
      </c>
      <c r="C13" s="8" t="s">
        <v>5</v>
      </c>
      <c r="D13" s="9" t="s">
        <v>6</v>
      </c>
      <c r="E13" s="9"/>
      <c r="F13" s="9"/>
      <c r="G13" s="9"/>
    </row>
    <row r="14" customFormat="false" ht="13.5" hidden="false" customHeight="true" outlineLevel="0" collapsed="false">
      <c r="C14" s="8"/>
      <c r="D14" s="8"/>
      <c r="E14" s="9"/>
      <c r="F14" s="9"/>
      <c r="G14" s="9"/>
    </row>
    <row r="15" customFormat="false" ht="13.5" hidden="false" customHeight="true" outlineLevel="0" collapsed="false">
      <c r="C15" s="8"/>
      <c r="D15" s="8"/>
      <c r="E15" s="9"/>
      <c r="F15" s="9"/>
      <c r="G15" s="9"/>
    </row>
    <row r="16" customFormat="false" ht="13.5" hidden="false" customHeight="true" outlineLevel="0" collapsed="false">
      <c r="C16" s="8"/>
      <c r="D16" s="8"/>
      <c r="E16" s="9"/>
      <c r="F16" s="9"/>
      <c r="G16" s="9"/>
    </row>
    <row r="18" customFormat="false" ht="13.5" hidden="false" customHeight="true" outlineLevel="0" collapsed="false">
      <c r="B18" s="7" t="s">
        <v>7</v>
      </c>
      <c r="C18" s="8" t="s">
        <v>8</v>
      </c>
      <c r="D18" s="9" t="s">
        <v>9</v>
      </c>
      <c r="E18" s="9"/>
      <c r="F18" s="9"/>
      <c r="G18" s="9"/>
    </row>
    <row r="19" customFormat="false" ht="13.5" hidden="false" customHeight="true" outlineLevel="0" collapsed="false">
      <c r="C19" s="8"/>
      <c r="D19" s="8"/>
      <c r="E19" s="9"/>
      <c r="F19" s="9"/>
      <c r="G19" s="9"/>
    </row>
    <row r="20" customFormat="false" ht="13.5" hidden="false" customHeight="true" outlineLevel="0" collapsed="false">
      <c r="C20" s="8"/>
      <c r="D20" s="8"/>
      <c r="E20" s="9"/>
      <c r="F20" s="9"/>
      <c r="G20" s="9"/>
    </row>
    <row r="21" customFormat="false" ht="13.5" hidden="false" customHeight="true" outlineLevel="0" collapsed="false">
      <c r="C21" s="8"/>
      <c r="D21" s="8"/>
      <c r="E21" s="9"/>
      <c r="F21" s="9"/>
      <c r="G21" s="9"/>
    </row>
    <row r="23" customFormat="false" ht="13.5" hidden="false" customHeight="true" outlineLevel="0" collapsed="false">
      <c r="B23" s="7" t="s">
        <v>10</v>
      </c>
      <c r="C23" s="8" t="s">
        <v>11</v>
      </c>
      <c r="D23" s="9" t="s">
        <v>12</v>
      </c>
      <c r="E23" s="9"/>
      <c r="F23" s="9"/>
      <c r="G23" s="9"/>
    </row>
    <row r="24" customFormat="false" ht="13.5" hidden="false" customHeight="true" outlineLevel="0" collapsed="false">
      <c r="C24" s="8"/>
      <c r="D24" s="8"/>
      <c r="E24" s="9"/>
      <c r="F24" s="9"/>
      <c r="G24" s="9"/>
    </row>
    <row r="25" customFormat="false" ht="13.5" hidden="false" customHeight="true" outlineLevel="0" collapsed="false">
      <c r="C25" s="8"/>
      <c r="D25" s="8"/>
      <c r="E25" s="9"/>
      <c r="F25" s="9"/>
      <c r="G25" s="9"/>
    </row>
    <row r="26" customFormat="false" ht="13.5" hidden="false" customHeight="true" outlineLevel="0" collapsed="false">
      <c r="C26" s="8"/>
      <c r="D26" s="8"/>
      <c r="E26" s="9"/>
      <c r="F26" s="9"/>
      <c r="G26" s="9"/>
    </row>
    <row r="28" customFormat="false" ht="13.5" hidden="false" customHeight="true" outlineLevel="0" collapsed="false">
      <c r="B28" s="7" t="s">
        <v>13</v>
      </c>
      <c r="C28" s="8" t="s">
        <v>14</v>
      </c>
      <c r="D28" s="9" t="s">
        <v>15</v>
      </c>
      <c r="E28" s="9"/>
      <c r="F28" s="9"/>
      <c r="G28" s="9"/>
    </row>
    <row r="29" customFormat="false" ht="13.5" hidden="false" customHeight="true" outlineLevel="0" collapsed="false">
      <c r="C29" s="8"/>
      <c r="D29" s="8"/>
      <c r="E29" s="9"/>
      <c r="F29" s="9"/>
      <c r="G29" s="9"/>
    </row>
    <row r="30" customFormat="false" ht="13.5" hidden="false" customHeight="true" outlineLevel="0" collapsed="false">
      <c r="C30" s="8"/>
      <c r="D30" s="8"/>
      <c r="E30" s="9"/>
      <c r="F30" s="9"/>
      <c r="G30" s="9"/>
    </row>
    <row r="31" customFormat="false" ht="13.5" hidden="false" customHeight="true" outlineLevel="0" collapsed="false">
      <c r="C31" s="8"/>
      <c r="D31" s="8"/>
      <c r="E31" s="9"/>
      <c r="F31" s="9"/>
      <c r="G31" s="9"/>
    </row>
    <row r="33" customFormat="false" ht="13.5" hidden="false" customHeight="true" outlineLevel="0" collapsed="false">
      <c r="B33" s="7" t="s">
        <v>16</v>
      </c>
      <c r="C33" s="8" t="s">
        <v>17</v>
      </c>
      <c r="D33" s="9" t="s">
        <v>18</v>
      </c>
      <c r="E33" s="9"/>
      <c r="F33" s="9"/>
      <c r="G33" s="9"/>
    </row>
    <row r="34" customFormat="false" ht="13.5" hidden="false" customHeight="true" outlineLevel="0" collapsed="false">
      <c r="C34" s="8"/>
      <c r="D34" s="8"/>
      <c r="E34" s="9"/>
      <c r="F34" s="9"/>
      <c r="G34" s="9"/>
    </row>
    <row r="35" customFormat="false" ht="13.5" hidden="false" customHeight="true" outlineLevel="0" collapsed="false">
      <c r="C35" s="8"/>
      <c r="D35" s="8"/>
      <c r="E35" s="9"/>
      <c r="F35" s="9"/>
      <c r="G35" s="9"/>
    </row>
    <row r="36" customFormat="false" ht="13.5" hidden="false" customHeight="true" outlineLevel="0" collapsed="false">
      <c r="C36" s="8"/>
      <c r="D36" s="8"/>
      <c r="E36" s="9"/>
      <c r="F36" s="9"/>
      <c r="G36" s="9"/>
    </row>
    <row r="38" customFormat="false" ht="13.5" hidden="false" customHeight="true" outlineLevel="0" collapsed="false">
      <c r="B38" s="7" t="s">
        <v>19</v>
      </c>
      <c r="C38" s="8" t="s">
        <v>20</v>
      </c>
      <c r="D38" s="9" t="s">
        <v>21</v>
      </c>
      <c r="E38" s="9"/>
      <c r="F38" s="9"/>
      <c r="G38" s="9"/>
    </row>
    <row r="39" customFormat="false" ht="13.5" hidden="false" customHeight="true" outlineLevel="0" collapsed="false">
      <c r="C39" s="8"/>
      <c r="D39" s="8"/>
      <c r="E39" s="9"/>
      <c r="F39" s="9"/>
      <c r="G39" s="9"/>
    </row>
    <row r="40" customFormat="false" ht="13.5" hidden="false" customHeight="true" outlineLevel="0" collapsed="false">
      <c r="C40" s="8"/>
      <c r="D40" s="8"/>
      <c r="E40" s="9"/>
      <c r="F40" s="9"/>
      <c r="G40" s="9"/>
    </row>
    <row r="41" customFormat="false" ht="13.5" hidden="false" customHeight="true" outlineLevel="0" collapsed="false">
      <c r="C41" s="8"/>
      <c r="D41" s="8"/>
      <c r="E41" s="9"/>
      <c r="F41" s="9"/>
      <c r="G41" s="9"/>
    </row>
    <row r="43" customFormat="false" ht="13.5" hidden="false" customHeight="true" outlineLevel="0" collapsed="false">
      <c r="B43" s="7" t="s">
        <v>22</v>
      </c>
      <c r="C43" s="8" t="s">
        <v>23</v>
      </c>
      <c r="D43" s="9" t="s">
        <v>24</v>
      </c>
      <c r="E43" s="9"/>
      <c r="F43" s="9"/>
      <c r="G43" s="9"/>
    </row>
    <row r="44" customFormat="false" ht="13.5" hidden="false" customHeight="true" outlineLevel="0" collapsed="false">
      <c r="C44" s="8"/>
      <c r="D44" s="8"/>
      <c r="E44" s="9"/>
      <c r="F44" s="9"/>
      <c r="G44" s="9"/>
    </row>
    <row r="45" customFormat="false" ht="13.5" hidden="false" customHeight="true" outlineLevel="0" collapsed="false">
      <c r="C45" s="8"/>
      <c r="D45" s="8"/>
      <c r="E45" s="9"/>
      <c r="F45" s="9"/>
      <c r="G45" s="9"/>
    </row>
    <row r="46" customFormat="false" ht="13.5" hidden="false" customHeight="true" outlineLevel="0" collapsed="false">
      <c r="C46" s="8"/>
      <c r="D46" s="8"/>
      <c r="E46" s="9"/>
      <c r="F46" s="9"/>
      <c r="G46" s="9"/>
    </row>
    <row r="49" customFormat="false" ht="24" hidden="false" customHeight="true" outlineLevel="0" collapsed="false">
      <c r="B49" s="6" t="s">
        <v>25</v>
      </c>
      <c r="C49" s="6"/>
      <c r="D49" s="6"/>
      <c r="E49" s="6"/>
      <c r="F49" s="6"/>
      <c r="G49" s="6"/>
    </row>
    <row r="50" customFormat="false" ht="18.75" hidden="false" customHeight="true" outlineLevel="0" collapsed="false">
      <c r="B50" s="10"/>
      <c r="C50" s="10" t="s">
        <v>26</v>
      </c>
      <c r="D50" s="10" t="s">
        <v>27</v>
      </c>
      <c r="E50" s="10"/>
      <c r="F50" s="10"/>
      <c r="G50" s="10"/>
    </row>
    <row r="51" customFormat="false" ht="30" hidden="false" customHeight="true" outlineLevel="0" collapsed="false">
      <c r="B51" s="11"/>
      <c r="C51" s="12" t="s">
        <v>28</v>
      </c>
      <c r="D51" s="13" t="s">
        <v>29</v>
      </c>
      <c r="E51" s="13"/>
      <c r="F51" s="13"/>
      <c r="G51" s="13"/>
    </row>
    <row r="52" customFormat="false" ht="30" hidden="false" customHeight="true" outlineLevel="0" collapsed="false">
      <c r="B52" s="14"/>
      <c r="C52" s="15" t="s">
        <v>30</v>
      </c>
      <c r="D52" s="16" t="s">
        <v>31</v>
      </c>
      <c r="E52" s="16"/>
      <c r="F52" s="16"/>
      <c r="G52" s="16"/>
    </row>
    <row r="53" customFormat="false" ht="30" hidden="false" customHeight="true" outlineLevel="0" collapsed="false">
      <c r="B53" s="17"/>
      <c r="C53" s="12" t="s">
        <v>0</v>
      </c>
      <c r="D53" s="13" t="s">
        <v>32</v>
      </c>
      <c r="E53" s="13"/>
      <c r="F53" s="13"/>
      <c r="G53" s="13"/>
    </row>
    <row r="54" customFormat="false" ht="30" hidden="false" customHeight="true" outlineLevel="0" collapsed="false">
      <c r="B54" s="18"/>
      <c r="C54" s="15" t="s">
        <v>33</v>
      </c>
      <c r="D54" s="16" t="s">
        <v>34</v>
      </c>
      <c r="E54" s="16"/>
      <c r="F54" s="16"/>
      <c r="G54" s="16"/>
    </row>
    <row r="55" customFormat="false" ht="30" hidden="false" customHeight="true" outlineLevel="0" collapsed="false">
      <c r="B55" s="19"/>
      <c r="C55" s="12" t="s">
        <v>35</v>
      </c>
      <c r="D55" s="13" t="s">
        <v>36</v>
      </c>
      <c r="E55" s="13"/>
      <c r="F55" s="13"/>
      <c r="G55" s="13"/>
    </row>
    <row r="56" customFormat="false" ht="30" hidden="false" customHeight="true" outlineLevel="0" collapsed="false">
      <c r="B56" s="20"/>
      <c r="C56" s="15" t="s">
        <v>37</v>
      </c>
      <c r="D56" s="16" t="s">
        <v>38</v>
      </c>
      <c r="E56" s="16"/>
      <c r="F56" s="16"/>
      <c r="G56" s="16"/>
    </row>
    <row r="57" customFormat="false" ht="30" hidden="false" customHeight="true" outlineLevel="0" collapsed="false">
      <c r="B57" s="21"/>
      <c r="C57" s="12" t="s">
        <v>39</v>
      </c>
      <c r="D57" s="13" t="s">
        <v>40</v>
      </c>
      <c r="E57" s="13"/>
      <c r="F57" s="13"/>
      <c r="G57" s="13"/>
    </row>
    <row r="59" customFormat="false" ht="24" hidden="false" customHeight="true" outlineLevel="0" collapsed="false">
      <c r="B59" s="6" t="s">
        <v>41</v>
      </c>
      <c r="C59" s="6"/>
      <c r="D59" s="6"/>
      <c r="E59" s="6"/>
      <c r="F59" s="6"/>
      <c r="G59" s="6"/>
    </row>
    <row r="60" customFormat="false" ht="24" hidden="false" customHeight="true" outlineLevel="0" collapsed="false">
      <c r="B60" s="22"/>
      <c r="C60" s="23" t="s">
        <v>42</v>
      </c>
      <c r="D60" s="24" t="s">
        <v>43</v>
      </c>
      <c r="E60" s="24"/>
      <c r="F60" s="24"/>
      <c r="G60" s="24"/>
    </row>
    <row r="61" customFormat="false" ht="24" hidden="false" customHeight="true" outlineLevel="0" collapsed="false">
      <c r="B61" s="25"/>
      <c r="C61" s="26" t="s">
        <v>44</v>
      </c>
      <c r="D61" s="24" t="s">
        <v>45</v>
      </c>
      <c r="E61" s="24"/>
      <c r="F61" s="24"/>
      <c r="G61" s="24"/>
    </row>
    <row r="62" customFormat="false" ht="24" hidden="false" customHeight="true" outlineLevel="0" collapsed="false">
      <c r="B62" s="27"/>
      <c r="C62" s="28" t="s">
        <v>46</v>
      </c>
      <c r="D62" s="24" t="s">
        <v>47</v>
      </c>
      <c r="E62" s="24"/>
      <c r="F62" s="24"/>
      <c r="G62" s="24"/>
    </row>
    <row r="63" customFormat="false" ht="24" hidden="false" customHeight="true" outlineLevel="0" collapsed="false">
      <c r="B63" s="29"/>
      <c r="C63" s="30" t="s">
        <v>48</v>
      </c>
      <c r="D63" s="24" t="s">
        <v>49</v>
      </c>
      <c r="E63" s="24"/>
      <c r="F63" s="24"/>
      <c r="G63" s="24"/>
    </row>
    <row r="64" customFormat="false" ht="24" hidden="false" customHeight="true" outlineLevel="0" collapsed="false">
      <c r="B64" s="31"/>
      <c r="C64" s="32" t="s">
        <v>50</v>
      </c>
      <c r="D64" s="24" t="s">
        <v>51</v>
      </c>
      <c r="E64" s="24"/>
      <c r="F64" s="24"/>
      <c r="G64" s="24"/>
    </row>
    <row r="65" customFormat="false" ht="24" hidden="false" customHeight="true" outlineLevel="0" collapsed="false">
      <c r="B65" s="33"/>
      <c r="C65" s="34" t="s">
        <v>52</v>
      </c>
      <c r="D65" s="24" t="s">
        <v>53</v>
      </c>
      <c r="E65" s="24"/>
      <c r="F65" s="24"/>
      <c r="G65" s="24"/>
    </row>
    <row r="67" customFormat="false" ht="24" hidden="false" customHeight="true" outlineLevel="0" collapsed="false">
      <c r="B67" s="6" t="s">
        <v>54</v>
      </c>
      <c r="C67" s="6"/>
      <c r="D67" s="6"/>
      <c r="E67" s="6"/>
      <c r="F67" s="6"/>
      <c r="G67" s="6"/>
    </row>
    <row r="68" customFormat="false" ht="13.5" hidden="false" customHeight="true" outlineLevel="0" collapsed="false">
      <c r="C68" s="8" t="s">
        <v>55</v>
      </c>
      <c r="D68" s="9" t="s">
        <v>56</v>
      </c>
      <c r="E68" s="9"/>
      <c r="F68" s="9"/>
      <c r="G68" s="9"/>
    </row>
    <row r="69" customFormat="false" ht="13.5" hidden="false" customHeight="true" outlineLevel="0" collapsed="false">
      <c r="C69" s="8"/>
      <c r="D69" s="8"/>
      <c r="E69" s="9"/>
      <c r="F69" s="9"/>
      <c r="G69" s="9"/>
    </row>
    <row r="70" customFormat="false" ht="13.5" hidden="false" customHeight="true" outlineLevel="0" collapsed="false">
      <c r="C70" s="8"/>
      <c r="D70" s="8"/>
      <c r="E70" s="9"/>
      <c r="F70" s="9"/>
      <c r="G70" s="9"/>
    </row>
    <row r="71" customFormat="false" ht="13.5" hidden="false" customHeight="true" outlineLevel="0" collapsed="false">
      <c r="C71" s="8"/>
      <c r="D71" s="8"/>
      <c r="E71" s="9"/>
      <c r="F71" s="9"/>
      <c r="G71" s="9"/>
    </row>
    <row r="73" customFormat="false" ht="13.5" hidden="false" customHeight="true" outlineLevel="0" collapsed="false">
      <c r="C73" s="8" t="s">
        <v>57</v>
      </c>
      <c r="D73" s="9" t="s">
        <v>58</v>
      </c>
      <c r="E73" s="9"/>
      <c r="F73" s="9"/>
      <c r="G73" s="9"/>
    </row>
    <row r="74" customFormat="false" ht="13.5" hidden="false" customHeight="true" outlineLevel="0" collapsed="false">
      <c r="C74" s="8"/>
      <c r="D74" s="8"/>
      <c r="E74" s="9"/>
      <c r="F74" s="9"/>
      <c r="G74" s="9"/>
    </row>
    <row r="75" customFormat="false" ht="13.5" hidden="false" customHeight="true" outlineLevel="0" collapsed="false">
      <c r="C75" s="8"/>
      <c r="D75" s="8"/>
      <c r="E75" s="9"/>
      <c r="F75" s="9"/>
      <c r="G75" s="9"/>
    </row>
    <row r="76" customFormat="false" ht="13.5" hidden="false" customHeight="true" outlineLevel="0" collapsed="false">
      <c r="C76" s="8"/>
      <c r="D76" s="8"/>
      <c r="E76" s="9"/>
      <c r="F76" s="9"/>
      <c r="G76" s="9"/>
    </row>
    <row r="78" customFormat="false" ht="13.5" hidden="false" customHeight="true" outlineLevel="0" collapsed="false">
      <c r="C78" s="8" t="s">
        <v>59</v>
      </c>
      <c r="D78" s="9" t="s">
        <v>60</v>
      </c>
      <c r="E78" s="9"/>
      <c r="F78" s="9"/>
      <c r="G78" s="9"/>
    </row>
    <row r="79" customFormat="false" ht="13.5" hidden="false" customHeight="true" outlineLevel="0" collapsed="false">
      <c r="C79" s="8"/>
      <c r="D79" s="8"/>
      <c r="E79" s="9"/>
      <c r="F79" s="9"/>
      <c r="G79" s="9"/>
    </row>
    <row r="80" customFormat="false" ht="13.5" hidden="false" customHeight="true" outlineLevel="0" collapsed="false">
      <c r="C80" s="8"/>
      <c r="D80" s="8"/>
      <c r="E80" s="9"/>
      <c r="F80" s="9"/>
      <c r="G80" s="9"/>
    </row>
    <row r="81" customFormat="false" ht="13.5" hidden="false" customHeight="true" outlineLevel="0" collapsed="false">
      <c r="C81" s="8"/>
      <c r="D81" s="8"/>
      <c r="E81" s="9"/>
      <c r="F81" s="9"/>
      <c r="G81" s="9"/>
    </row>
    <row r="83" customFormat="false" ht="13.5" hidden="false" customHeight="true" outlineLevel="0" collapsed="false">
      <c r="C83" s="8" t="s">
        <v>61</v>
      </c>
      <c r="D83" s="9" t="s">
        <v>62</v>
      </c>
      <c r="E83" s="9"/>
      <c r="F83" s="9"/>
      <c r="G83" s="9"/>
    </row>
    <row r="84" customFormat="false" ht="13.5" hidden="false" customHeight="true" outlineLevel="0" collapsed="false">
      <c r="C84" s="8"/>
      <c r="D84" s="8"/>
      <c r="E84" s="9"/>
      <c r="F84" s="9"/>
      <c r="G84" s="9"/>
    </row>
    <row r="85" customFormat="false" ht="13.5" hidden="false" customHeight="true" outlineLevel="0" collapsed="false">
      <c r="C85" s="8"/>
      <c r="D85" s="8"/>
      <c r="E85" s="9"/>
      <c r="F85" s="9"/>
      <c r="G85" s="9"/>
    </row>
    <row r="86" customFormat="false" ht="13.5" hidden="false" customHeight="true" outlineLevel="0" collapsed="false">
      <c r="C86" s="8"/>
      <c r="D86" s="8"/>
      <c r="E86" s="9"/>
      <c r="F86" s="9"/>
      <c r="G86" s="9"/>
    </row>
    <row r="88" customFormat="false" ht="13.5" hidden="false" customHeight="true" outlineLevel="0" collapsed="false">
      <c r="C88" s="8" t="s">
        <v>63</v>
      </c>
      <c r="D88" s="9" t="s">
        <v>64</v>
      </c>
      <c r="E88" s="9"/>
      <c r="F88" s="9"/>
      <c r="G88" s="9"/>
    </row>
    <row r="89" customFormat="false" ht="13.5" hidden="false" customHeight="true" outlineLevel="0" collapsed="false">
      <c r="C89" s="8"/>
      <c r="D89" s="8"/>
      <c r="E89" s="9"/>
      <c r="F89" s="9"/>
      <c r="G89" s="9"/>
    </row>
    <row r="90" customFormat="false" ht="13.5" hidden="false" customHeight="true" outlineLevel="0" collapsed="false">
      <c r="C90" s="8"/>
      <c r="D90" s="8"/>
      <c r="E90" s="9"/>
      <c r="F90" s="9"/>
      <c r="G90" s="9"/>
    </row>
    <row r="91" customFormat="false" ht="13.5" hidden="false" customHeight="true" outlineLevel="0" collapsed="false">
      <c r="C91" s="8"/>
      <c r="D91" s="8"/>
      <c r="E91" s="9"/>
      <c r="F91" s="9"/>
      <c r="G91" s="9"/>
    </row>
    <row r="93" customFormat="false" ht="13.5" hidden="false" customHeight="true" outlineLevel="0" collapsed="false">
      <c r="C93" s="8" t="s">
        <v>65</v>
      </c>
      <c r="D93" s="9" t="s">
        <v>66</v>
      </c>
      <c r="E93" s="9"/>
      <c r="F93" s="9"/>
      <c r="G93" s="9"/>
    </row>
    <row r="94" customFormat="false" ht="13.5" hidden="false" customHeight="true" outlineLevel="0" collapsed="false">
      <c r="C94" s="8"/>
      <c r="D94" s="8"/>
      <c r="E94" s="9"/>
      <c r="F94" s="9"/>
      <c r="G94" s="9"/>
    </row>
    <row r="95" customFormat="false" ht="13.5" hidden="false" customHeight="true" outlineLevel="0" collapsed="false">
      <c r="C95" s="8"/>
      <c r="D95" s="8"/>
      <c r="E95" s="9"/>
      <c r="F95" s="9"/>
      <c r="G95" s="9"/>
    </row>
    <row r="96" customFormat="false" ht="13.5" hidden="false" customHeight="true" outlineLevel="0" collapsed="false">
      <c r="C96" s="8"/>
      <c r="D96" s="8"/>
      <c r="E96" s="9"/>
      <c r="F96" s="9"/>
      <c r="G96" s="9"/>
    </row>
    <row r="98" customFormat="false" ht="13.5" hidden="false" customHeight="true" outlineLevel="0" collapsed="false">
      <c r="C98" s="8" t="s">
        <v>67</v>
      </c>
      <c r="D98" s="9" t="s">
        <v>68</v>
      </c>
      <c r="E98" s="9"/>
      <c r="F98" s="9"/>
      <c r="G98" s="9"/>
    </row>
    <row r="99" customFormat="false" ht="13.5" hidden="false" customHeight="true" outlineLevel="0" collapsed="false">
      <c r="C99" s="8"/>
      <c r="D99" s="8"/>
      <c r="E99" s="9"/>
      <c r="F99" s="9"/>
      <c r="G99" s="9"/>
    </row>
    <row r="100" customFormat="false" ht="13.5" hidden="false" customHeight="true" outlineLevel="0" collapsed="false">
      <c r="C100" s="8"/>
      <c r="D100" s="8"/>
      <c r="E100" s="9"/>
      <c r="F100" s="9"/>
      <c r="G100" s="9"/>
    </row>
    <row r="101" customFormat="false" ht="13.5" hidden="false" customHeight="true" outlineLevel="0" collapsed="false">
      <c r="C101" s="8"/>
      <c r="D101" s="8"/>
      <c r="E101" s="9"/>
      <c r="F101" s="9"/>
      <c r="G101" s="9"/>
    </row>
    <row r="103" customFormat="false" ht="24" hidden="false" customHeight="true" outlineLevel="0" collapsed="false">
      <c r="B103" s="6" t="s">
        <v>69</v>
      </c>
      <c r="C103" s="6"/>
      <c r="D103" s="6"/>
      <c r="E103" s="6"/>
      <c r="F103" s="6"/>
      <c r="G103" s="6"/>
    </row>
    <row r="104" customFormat="false" ht="15" hidden="false" customHeight="true" outlineLevel="0" collapsed="false">
      <c r="C104" s="8" t="s">
        <v>70</v>
      </c>
      <c r="D104" s="9" t="s">
        <v>71</v>
      </c>
      <c r="E104" s="9"/>
      <c r="F104" s="9"/>
      <c r="G104" s="9"/>
    </row>
    <row r="105" customFormat="false" ht="15" hidden="false" customHeight="true" outlineLevel="0" collapsed="false">
      <c r="C105" s="8"/>
      <c r="D105" s="8"/>
      <c r="E105" s="9"/>
      <c r="F105" s="9"/>
      <c r="G105" s="9"/>
    </row>
    <row r="106" customFormat="false" ht="15" hidden="false" customHeight="true" outlineLevel="0" collapsed="false">
      <c r="C106" s="8"/>
      <c r="D106" s="8"/>
      <c r="E106" s="9"/>
      <c r="F106" s="9"/>
      <c r="G106" s="9"/>
    </row>
    <row r="108" customFormat="false" ht="15" hidden="false" customHeight="true" outlineLevel="0" collapsed="false">
      <c r="C108" s="8" t="s">
        <v>72</v>
      </c>
      <c r="D108" s="9" t="s">
        <v>73</v>
      </c>
      <c r="E108" s="9"/>
      <c r="F108" s="9"/>
      <c r="G108" s="9"/>
    </row>
    <row r="109" customFormat="false" ht="15" hidden="false" customHeight="true" outlineLevel="0" collapsed="false">
      <c r="C109" s="8"/>
      <c r="D109" s="8"/>
      <c r="E109" s="9"/>
      <c r="F109" s="9"/>
      <c r="G109" s="9"/>
    </row>
    <row r="110" customFormat="false" ht="15" hidden="false" customHeight="true" outlineLevel="0" collapsed="false">
      <c r="C110" s="8"/>
      <c r="D110" s="8"/>
      <c r="E110" s="9"/>
      <c r="F110" s="9"/>
      <c r="G110" s="9"/>
    </row>
    <row r="112" customFormat="false" ht="15" hidden="false" customHeight="true" outlineLevel="0" collapsed="false">
      <c r="C112" s="8" t="s">
        <v>74</v>
      </c>
      <c r="D112" s="9" t="s">
        <v>75</v>
      </c>
      <c r="E112" s="9"/>
      <c r="F112" s="9"/>
      <c r="G112" s="9"/>
    </row>
    <row r="113" customFormat="false" ht="15" hidden="false" customHeight="true" outlineLevel="0" collapsed="false">
      <c r="C113" s="8"/>
      <c r="D113" s="8"/>
      <c r="E113" s="9"/>
      <c r="F113" s="9"/>
      <c r="G113" s="9"/>
    </row>
    <row r="114" customFormat="false" ht="15" hidden="false" customHeight="true" outlineLevel="0" collapsed="false">
      <c r="C114" s="8"/>
      <c r="D114" s="8"/>
      <c r="E114" s="9"/>
      <c r="F114" s="9"/>
      <c r="G114" s="9"/>
    </row>
    <row r="116" customFormat="false" ht="15" hidden="false" customHeight="true" outlineLevel="0" collapsed="false">
      <c r="C116" s="8" t="s">
        <v>76</v>
      </c>
      <c r="D116" s="9" t="s">
        <v>77</v>
      </c>
      <c r="E116" s="9"/>
      <c r="F116" s="9"/>
      <c r="G116" s="9"/>
    </row>
    <row r="117" customFormat="false" ht="15" hidden="false" customHeight="true" outlineLevel="0" collapsed="false">
      <c r="C117" s="8"/>
      <c r="D117" s="8"/>
      <c r="E117" s="9"/>
      <c r="F117" s="9"/>
      <c r="G117" s="9"/>
    </row>
    <row r="118" customFormat="false" ht="15" hidden="false" customHeight="true" outlineLevel="0" collapsed="false">
      <c r="C118" s="8"/>
      <c r="D118" s="8"/>
      <c r="E118" s="9"/>
      <c r="F118" s="9"/>
      <c r="G118" s="9"/>
    </row>
    <row r="120" customFormat="false" ht="15" hidden="false" customHeight="true" outlineLevel="0" collapsed="false">
      <c r="C120" s="8" t="s">
        <v>78</v>
      </c>
      <c r="D120" s="9" t="s">
        <v>79</v>
      </c>
      <c r="E120" s="9"/>
      <c r="F120" s="9"/>
      <c r="G120" s="9"/>
    </row>
    <row r="121" customFormat="false" ht="15" hidden="false" customHeight="true" outlineLevel="0" collapsed="false">
      <c r="C121" s="8"/>
      <c r="D121" s="8"/>
      <c r="E121" s="9"/>
      <c r="F121" s="9"/>
      <c r="G121" s="9"/>
    </row>
    <row r="122" customFormat="false" ht="15" hidden="false" customHeight="true" outlineLevel="0" collapsed="false">
      <c r="C122" s="8"/>
      <c r="D122" s="8"/>
      <c r="E122" s="9"/>
      <c r="F122" s="9"/>
      <c r="G122" s="9"/>
    </row>
    <row r="124" customFormat="false" ht="15" hidden="false" customHeight="true" outlineLevel="0" collapsed="false">
      <c r="C124" s="8" t="s">
        <v>80</v>
      </c>
      <c r="D124" s="9" t="s">
        <v>81</v>
      </c>
      <c r="E124" s="9"/>
      <c r="F124" s="9"/>
      <c r="G124" s="9"/>
    </row>
    <row r="125" customFormat="false" ht="15" hidden="false" customHeight="true" outlineLevel="0" collapsed="false">
      <c r="C125" s="8"/>
      <c r="D125" s="8"/>
      <c r="E125" s="9"/>
      <c r="F125" s="9"/>
      <c r="G125" s="9"/>
    </row>
    <row r="126" customFormat="false" ht="15" hidden="false" customHeight="true" outlineLevel="0" collapsed="false">
      <c r="C126" s="8"/>
      <c r="D126" s="8"/>
      <c r="E126" s="9"/>
      <c r="F126" s="9"/>
      <c r="G126" s="9"/>
    </row>
    <row r="128" customFormat="false" ht="15" hidden="false" customHeight="false" outlineLevel="0" collapsed="false">
      <c r="B128" s="35" t="s">
        <v>82</v>
      </c>
      <c r="C128" s="35"/>
      <c r="D128" s="35"/>
      <c r="E128" s="35"/>
      <c r="F128" s="35"/>
      <c r="G128" s="35"/>
    </row>
    <row r="129" customFormat="false" ht="15" hidden="false" customHeight="true" outlineLevel="0" collapsed="false">
      <c r="B129" s="36" t="s">
        <v>83</v>
      </c>
      <c r="C129" s="36"/>
      <c r="D129" s="36"/>
      <c r="E129" s="36"/>
      <c r="F129" s="36"/>
      <c r="G129" s="36"/>
    </row>
    <row r="130" customFormat="false" ht="15" hidden="false" customHeight="true" outlineLevel="0" collapsed="false">
      <c r="B130" s="36"/>
      <c r="C130" s="36"/>
      <c r="D130" s="36"/>
      <c r="E130" s="36"/>
      <c r="F130" s="36"/>
      <c r="G130" s="36"/>
    </row>
    <row r="131" customFormat="false" ht="15" hidden="false" customHeight="true" outlineLevel="0" collapsed="false">
      <c r="B131" s="36"/>
      <c r="C131" s="36"/>
      <c r="D131" s="36"/>
      <c r="E131" s="36"/>
      <c r="F131" s="36"/>
      <c r="G131" s="36"/>
    </row>
    <row r="132" customFormat="false" ht="15" hidden="false" customHeight="true" outlineLevel="0" collapsed="false">
      <c r="B132" s="36"/>
      <c r="C132" s="36"/>
      <c r="D132" s="36"/>
      <c r="E132" s="36"/>
      <c r="F132" s="36"/>
      <c r="G132" s="36"/>
    </row>
    <row r="134" customFormat="false" ht="19.5" hidden="false" customHeight="true" outlineLevel="0" collapsed="false">
      <c r="B134" s="37" t="s">
        <v>84</v>
      </c>
      <c r="C134" s="37"/>
      <c r="D134" s="37"/>
      <c r="E134" s="37"/>
      <c r="F134" s="37"/>
      <c r="G134" s="37"/>
    </row>
  </sheetData>
  <mergeCells count="67">
    <mergeCell ref="B1:G1"/>
    <mergeCell ref="B2:G2"/>
    <mergeCell ref="B4:G4"/>
    <mergeCell ref="B5:G5"/>
    <mergeCell ref="B7:G10"/>
    <mergeCell ref="B12:G12"/>
    <mergeCell ref="C13:C16"/>
    <mergeCell ref="D13:G16"/>
    <mergeCell ref="C18:C21"/>
    <mergeCell ref="D18:G21"/>
    <mergeCell ref="C23:C26"/>
    <mergeCell ref="D23:G26"/>
    <mergeCell ref="C28:C31"/>
    <mergeCell ref="D28:G31"/>
    <mergeCell ref="C33:C36"/>
    <mergeCell ref="D33:G36"/>
    <mergeCell ref="C38:C41"/>
    <mergeCell ref="D38:G41"/>
    <mergeCell ref="C43:C46"/>
    <mergeCell ref="D43:G46"/>
    <mergeCell ref="B49:G49"/>
    <mergeCell ref="D50:G50"/>
    <mergeCell ref="D51:G51"/>
    <mergeCell ref="D52:G52"/>
    <mergeCell ref="D53:G53"/>
    <mergeCell ref="D54:G54"/>
    <mergeCell ref="D55:G55"/>
    <mergeCell ref="D56:G56"/>
    <mergeCell ref="D57:G57"/>
    <mergeCell ref="B59:G59"/>
    <mergeCell ref="D60:G60"/>
    <mergeCell ref="D61:G61"/>
    <mergeCell ref="D62:G62"/>
    <mergeCell ref="D63:G63"/>
    <mergeCell ref="D64:G64"/>
    <mergeCell ref="D65:G65"/>
    <mergeCell ref="B67:G67"/>
    <mergeCell ref="C68:C71"/>
    <mergeCell ref="D68:G71"/>
    <mergeCell ref="C73:C76"/>
    <mergeCell ref="D73:G76"/>
    <mergeCell ref="C78:C81"/>
    <mergeCell ref="D78:G81"/>
    <mergeCell ref="C83:C86"/>
    <mergeCell ref="D83:G86"/>
    <mergeCell ref="C88:C91"/>
    <mergeCell ref="D88:G91"/>
    <mergeCell ref="C93:C96"/>
    <mergeCell ref="D93:G96"/>
    <mergeCell ref="C98:C101"/>
    <mergeCell ref="D98:G101"/>
    <mergeCell ref="B103:G103"/>
    <mergeCell ref="C104:C106"/>
    <mergeCell ref="D104:G106"/>
    <mergeCell ref="C108:C110"/>
    <mergeCell ref="D108:G110"/>
    <mergeCell ref="C112:C114"/>
    <mergeCell ref="D112:G114"/>
    <mergeCell ref="C116:C118"/>
    <mergeCell ref="D116:G118"/>
    <mergeCell ref="C120:C122"/>
    <mergeCell ref="D120:G122"/>
    <mergeCell ref="C124:C126"/>
    <mergeCell ref="D124:G126"/>
    <mergeCell ref="B128:G128"/>
    <mergeCell ref="B129:G132"/>
    <mergeCell ref="B134:G134"/>
  </mergeCells>
  <hyperlinks>
    <hyperlink ref="C51" location="'Setup'!A1" display="Setup"/>
    <hyperlink ref="C52" location="'Issue Summary'!A1" display="Issue Summary"/>
    <hyperlink ref="C53" location="'Issue Register'!A1" display="Issue Register"/>
    <hyperlink ref="C54" location="'Updates Log'!A1" display="Updates Log"/>
    <hyperlink ref="C55" location="'Escalations'!A1" display="Escalations"/>
    <hyperlink ref="C56" location="'Notices &amp; Early Warnings'!A1" display="Notices &amp; Early Warnings"/>
    <hyperlink ref="C57" location="'Reference'!A1" display="Reference"/>
    <hyperlink ref="B134" r:id="rId1" display="Built for teams delivering capital projects, programs and portfolios  ·  mastt.com"/>
  </hyperlinks>
  <printOptions headings="false" gridLines="false" gridLinesSet="true" horizontalCentered="false" verticalCentered="false"/>
  <pageMargins left="0.3" right="0.3"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3" manualBreakCount="3">
    <brk id="48" man="true" max="16383" min="0"/>
    <brk id="66" man="true" max="16383" min="0"/>
    <brk id="102" man="true" max="16383" min="0"/>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H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4"/>
    <col collapsed="false" customWidth="true" hidden="false" outlineLevel="0" max="4" min="4" style="0" width="30"/>
    <col collapsed="false" customWidth="true" hidden="false" outlineLevel="0" max="5" min="5" style="0" width="22"/>
    <col collapsed="false" customWidth="true" hidden="false" outlineLevel="0" max="7" min="6" style="0" width="16"/>
    <col collapsed="false" customWidth="true" hidden="false" outlineLevel="0" max="8" min="8" style="0" width="20"/>
    <col collapsed="false" customWidth="true" hidden="false" outlineLevel="0" max="9" min="9" style="0" width="2.2"/>
  </cols>
  <sheetData>
    <row r="1" customFormat="false" ht="33.75" hidden="false" customHeight="true" outlineLevel="0" collapsed="false">
      <c r="B1" s="38" t="s">
        <v>85</v>
      </c>
      <c r="C1" s="38"/>
      <c r="D1" s="38"/>
      <c r="E1" s="38"/>
      <c r="F1" s="38"/>
      <c r="G1" s="38"/>
      <c r="H1" s="38"/>
    </row>
    <row r="2" customFormat="false" ht="4.5" hidden="false" customHeight="true" outlineLevel="0" collapsed="false">
      <c r="B2" s="39"/>
      <c r="C2" s="39"/>
      <c r="D2" s="39"/>
      <c r="E2" s="39"/>
      <c r="F2" s="39"/>
      <c r="G2" s="39"/>
      <c r="H2" s="39"/>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row>
    <row r="4" customFormat="false" ht="25.5" hidden="false" customHeight="true" outlineLevel="0" collapsed="false">
      <c r="B4" s="41" t="s">
        <v>86</v>
      </c>
      <c r="C4" s="41"/>
      <c r="D4" s="41"/>
      <c r="E4" s="41"/>
      <c r="F4" s="41"/>
      <c r="G4" s="41"/>
      <c r="H4" s="41"/>
    </row>
    <row r="6" customFormat="false" ht="21.75" hidden="false" customHeight="true" outlineLevel="0" collapsed="false">
      <c r="B6" s="6" t="s">
        <v>87</v>
      </c>
      <c r="C6" s="6"/>
      <c r="D6" s="6"/>
      <c r="E6" s="6"/>
      <c r="F6" s="6"/>
      <c r="G6" s="6"/>
      <c r="H6" s="6"/>
    </row>
    <row r="7" customFormat="false" ht="21.75" hidden="false" customHeight="true" outlineLevel="0" collapsed="false">
      <c r="B7" s="42" t="s">
        <v>88</v>
      </c>
      <c r="C7" s="42"/>
      <c r="D7" s="43" t="s">
        <v>89</v>
      </c>
    </row>
    <row r="8" customFormat="false" ht="21.75" hidden="false" customHeight="true" outlineLevel="0" collapsed="false">
      <c r="B8" s="42" t="s">
        <v>90</v>
      </c>
      <c r="C8" s="42"/>
      <c r="D8" s="43" t="s">
        <v>91</v>
      </c>
    </row>
    <row r="9" customFormat="false" ht="21.75" hidden="false" customHeight="true" outlineLevel="0" collapsed="false">
      <c r="B9" s="42" t="s">
        <v>92</v>
      </c>
      <c r="C9" s="42"/>
      <c r="D9" s="43" t="s">
        <v>93</v>
      </c>
    </row>
    <row r="10" customFormat="false" ht="21.75" hidden="false" customHeight="true" outlineLevel="0" collapsed="false">
      <c r="B10" s="42" t="s">
        <v>94</v>
      </c>
      <c r="C10" s="42"/>
      <c r="D10" s="43" t="s">
        <v>95</v>
      </c>
      <c r="E10" s="41" t="s">
        <v>96</v>
      </c>
      <c r="F10" s="41"/>
      <c r="G10" s="41"/>
      <c r="H10" s="41"/>
    </row>
    <row r="11" customFormat="false" ht="21.75" hidden="false" customHeight="true" outlineLevel="0" collapsed="false">
      <c r="B11" s="42" t="s">
        <v>97</v>
      </c>
      <c r="C11" s="42"/>
      <c r="D11" s="44" t="n">
        <f aca="true">TODAY()-120</f>
        <v>46131</v>
      </c>
    </row>
    <row r="12" customFormat="false" ht="21.75" hidden="false" customHeight="true" outlineLevel="0" collapsed="false">
      <c r="B12" s="42" t="s">
        <v>98</v>
      </c>
      <c r="C12" s="42"/>
      <c r="D12" s="45" t="n">
        <f aca="true">TODAY()</f>
        <v>46251</v>
      </c>
      <c r="E12" s="41" t="s">
        <v>99</v>
      </c>
      <c r="F12" s="41"/>
      <c r="G12" s="41"/>
      <c r="H12" s="41"/>
    </row>
    <row r="14" customFormat="false" ht="21.75" hidden="false" customHeight="true" outlineLevel="0" collapsed="false">
      <c r="B14" s="6" t="s">
        <v>100</v>
      </c>
      <c r="C14" s="6"/>
      <c r="D14" s="6"/>
      <c r="E14" s="6"/>
      <c r="F14" s="6"/>
      <c r="G14" s="6"/>
      <c r="H14" s="6"/>
    </row>
    <row r="15" customFormat="false" ht="12.75" hidden="false" customHeight="true" outlineLevel="0" collapsed="false">
      <c r="B15" s="41" t="s">
        <v>101</v>
      </c>
      <c r="C15" s="41"/>
      <c r="D15" s="41"/>
      <c r="E15" s="41"/>
      <c r="F15" s="41"/>
      <c r="G15" s="41"/>
      <c r="H15" s="41"/>
    </row>
    <row r="16" customFormat="false" ht="12.75" hidden="false" customHeight="true" outlineLevel="0" collapsed="false">
      <c r="B16" s="41"/>
      <c r="C16" s="41"/>
      <c r="D16" s="41"/>
      <c r="E16" s="41"/>
      <c r="F16" s="41"/>
      <c r="G16" s="41"/>
      <c r="H16" s="41"/>
    </row>
    <row r="17" customFormat="false" ht="12.75" hidden="false" customHeight="true" outlineLevel="0" collapsed="false">
      <c r="B17" s="41"/>
      <c r="C17" s="41"/>
      <c r="D17" s="41"/>
      <c r="E17" s="41"/>
      <c r="F17" s="41"/>
      <c r="G17" s="41"/>
      <c r="H17" s="41"/>
    </row>
    <row r="18" customFormat="false" ht="21.75" hidden="false" customHeight="true" outlineLevel="0" collapsed="false">
      <c r="B18" s="42" t="s">
        <v>102</v>
      </c>
      <c r="C18" s="42"/>
      <c r="D18" s="46" t="n">
        <v>100000</v>
      </c>
      <c r="E18" s="41" t="s">
        <v>103</v>
      </c>
      <c r="F18" s="41"/>
      <c r="G18" s="41"/>
      <c r="H18" s="41"/>
    </row>
    <row r="19" customFormat="false" ht="21.75" hidden="false" customHeight="true" outlineLevel="0" collapsed="false">
      <c r="B19" s="42" t="s">
        <v>104</v>
      </c>
      <c r="C19" s="42"/>
      <c r="D19" s="47" t="n">
        <v>14</v>
      </c>
      <c r="E19" s="41" t="s">
        <v>105</v>
      </c>
      <c r="F19" s="41"/>
      <c r="G19" s="41"/>
      <c r="H19" s="41"/>
    </row>
    <row r="20" customFormat="false" ht="21.75" hidden="false" customHeight="true" outlineLevel="0" collapsed="false">
      <c r="B20" s="42" t="s">
        <v>106</v>
      </c>
      <c r="C20" s="42"/>
      <c r="D20" s="43" t="s">
        <v>107</v>
      </c>
      <c r="E20" s="41" t="s">
        <v>108</v>
      </c>
      <c r="F20" s="41"/>
      <c r="G20" s="41"/>
      <c r="H20" s="41"/>
    </row>
    <row r="21" customFormat="false" ht="21.75" hidden="false" customHeight="true" outlineLevel="0" collapsed="false">
      <c r="B21" s="42" t="s">
        <v>109</v>
      </c>
      <c r="C21" s="42"/>
      <c r="D21" s="47" t="n">
        <v>10</v>
      </c>
      <c r="E21" s="41" t="s">
        <v>110</v>
      </c>
      <c r="F21" s="41"/>
      <c r="G21" s="41"/>
      <c r="H21" s="41"/>
    </row>
    <row r="23" customFormat="false" ht="21.75" hidden="false" customHeight="true" outlineLevel="0" collapsed="false">
      <c r="B23" s="6" t="s">
        <v>111</v>
      </c>
      <c r="C23" s="6"/>
      <c r="D23" s="6"/>
      <c r="E23" s="6"/>
      <c r="F23" s="6"/>
      <c r="G23" s="6"/>
      <c r="H23" s="6"/>
    </row>
    <row r="24" customFormat="false" ht="12.75" hidden="false" customHeight="true" outlineLevel="0" collapsed="false">
      <c r="B24" s="41" t="s">
        <v>112</v>
      </c>
      <c r="C24" s="41"/>
      <c r="D24" s="41"/>
      <c r="E24" s="41"/>
      <c r="F24" s="41"/>
      <c r="G24" s="41"/>
      <c r="H24" s="41"/>
    </row>
    <row r="25" customFormat="false" ht="12.75" hidden="false" customHeight="true" outlineLevel="0" collapsed="false">
      <c r="B25" s="41"/>
      <c r="C25" s="41"/>
      <c r="D25" s="41"/>
      <c r="E25" s="41"/>
      <c r="F25" s="41"/>
      <c r="G25" s="41"/>
      <c r="H25" s="41"/>
    </row>
    <row r="26" customFormat="false" ht="19.5" hidden="false" customHeight="true" outlineLevel="0" collapsed="false">
      <c r="B26" s="10" t="s">
        <v>113</v>
      </c>
      <c r="C26" s="10"/>
      <c r="D26" s="10" t="s">
        <v>114</v>
      </c>
      <c r="E26" s="10" t="s">
        <v>115</v>
      </c>
      <c r="F26" s="10"/>
      <c r="G26" s="10"/>
      <c r="H26" s="10"/>
    </row>
    <row r="27" customFormat="false" ht="21" hidden="false" customHeight="true" outlineLevel="0" collapsed="false">
      <c r="B27" s="48" t="s">
        <v>116</v>
      </c>
      <c r="C27" s="48"/>
      <c r="D27" s="49" t="n">
        <v>5</v>
      </c>
      <c r="E27" s="50" t="s">
        <v>117</v>
      </c>
      <c r="F27" s="50"/>
      <c r="G27" s="50"/>
      <c r="H27" s="50"/>
    </row>
    <row r="28" customFormat="false" ht="21" hidden="false" customHeight="true" outlineLevel="0" collapsed="false">
      <c r="B28" s="51" t="s">
        <v>118</v>
      </c>
      <c r="C28" s="51"/>
      <c r="D28" s="49" t="n">
        <v>15</v>
      </c>
      <c r="E28" s="52" t="s">
        <v>119</v>
      </c>
      <c r="F28" s="52"/>
      <c r="G28" s="52"/>
      <c r="H28" s="52"/>
    </row>
    <row r="29" customFormat="false" ht="21" hidden="false" customHeight="true" outlineLevel="0" collapsed="false">
      <c r="B29" s="53" t="s">
        <v>120</v>
      </c>
      <c r="C29" s="53"/>
      <c r="D29" s="49" t="n">
        <v>30</v>
      </c>
      <c r="E29" s="50" t="s">
        <v>121</v>
      </c>
      <c r="F29" s="50"/>
      <c r="G29" s="50"/>
      <c r="H29" s="50"/>
    </row>
    <row r="30" customFormat="false" ht="21" hidden="false" customHeight="true" outlineLevel="0" collapsed="false">
      <c r="B30" s="54" t="s">
        <v>122</v>
      </c>
      <c r="C30" s="54"/>
      <c r="D30" s="49" t="n">
        <v>60</v>
      </c>
      <c r="E30" s="52" t="s">
        <v>123</v>
      </c>
      <c r="F30" s="52"/>
      <c r="G30" s="52"/>
      <c r="H30" s="52"/>
    </row>
    <row r="32" customFormat="false" ht="21.75" hidden="false" customHeight="true" outlineLevel="0" collapsed="false">
      <c r="B32" s="6" t="s">
        <v>124</v>
      </c>
      <c r="C32" s="6"/>
      <c r="D32" s="6"/>
      <c r="E32" s="6"/>
      <c r="F32" s="6"/>
      <c r="G32" s="6"/>
      <c r="H32" s="6"/>
    </row>
    <row r="33" customFormat="false" ht="33.75" hidden="false" customHeight="true" outlineLevel="0" collapsed="false">
      <c r="B33" s="42" t="s">
        <v>125</v>
      </c>
      <c r="C33" s="42"/>
      <c r="D33" s="47" t="n">
        <v>28</v>
      </c>
      <c r="E33" s="41" t="s">
        <v>126</v>
      </c>
      <c r="F33" s="41"/>
      <c r="G33" s="41"/>
      <c r="H33" s="41"/>
    </row>
    <row r="34" customFormat="false" ht="21.75" hidden="false" customHeight="true" outlineLevel="0" collapsed="false">
      <c r="B34" s="42" t="s">
        <v>127</v>
      </c>
      <c r="C34" s="42"/>
      <c r="D34" s="47" t="n">
        <v>14</v>
      </c>
      <c r="E34" s="41" t="s">
        <v>128</v>
      </c>
      <c r="F34" s="41"/>
      <c r="G34" s="41"/>
      <c r="H34" s="41"/>
    </row>
    <row r="35" customFormat="false" ht="21.75" hidden="false" customHeight="true" outlineLevel="0" collapsed="false">
      <c r="B35" s="42" t="s">
        <v>129</v>
      </c>
      <c r="C35" s="42"/>
      <c r="D35" s="47" t="n">
        <v>5</v>
      </c>
      <c r="E35" s="41" t="s">
        <v>130</v>
      </c>
      <c r="F35" s="41"/>
      <c r="G35" s="41"/>
      <c r="H35" s="41"/>
    </row>
    <row r="36" customFormat="false" ht="21.75" hidden="false" customHeight="true" outlineLevel="0" collapsed="false">
      <c r="B36" s="42" t="s">
        <v>131</v>
      </c>
      <c r="C36" s="42"/>
      <c r="D36" s="47" t="n">
        <v>5</v>
      </c>
      <c r="E36" s="41" t="s">
        <v>132</v>
      </c>
      <c r="F36" s="41"/>
      <c r="G36" s="41"/>
      <c r="H36" s="41"/>
    </row>
    <row r="38" customFormat="false" ht="21.75" hidden="false" customHeight="true" outlineLevel="0" collapsed="false">
      <c r="B38" s="6" t="s">
        <v>133</v>
      </c>
      <c r="C38" s="6"/>
      <c r="D38" s="6"/>
      <c r="E38" s="6"/>
      <c r="F38" s="6"/>
      <c r="G38" s="6"/>
      <c r="H38" s="6"/>
    </row>
    <row r="39" customFormat="false" ht="19.5" hidden="false" customHeight="true" outlineLevel="0" collapsed="false">
      <c r="B39" s="10" t="s">
        <v>134</v>
      </c>
      <c r="C39" s="10"/>
      <c r="D39" s="10" t="s">
        <v>135</v>
      </c>
      <c r="E39" s="10" t="s">
        <v>136</v>
      </c>
      <c r="F39" s="10"/>
      <c r="G39" s="10"/>
      <c r="H39" s="10"/>
    </row>
    <row r="40" customFormat="false" ht="24" hidden="false" customHeight="true" outlineLevel="0" collapsed="false">
      <c r="B40" s="55" t="s">
        <v>137</v>
      </c>
      <c r="C40" s="55"/>
      <c r="D40" s="43" t="s">
        <v>138</v>
      </c>
      <c r="E40" s="13" t="s">
        <v>139</v>
      </c>
      <c r="F40" s="13"/>
      <c r="G40" s="13"/>
      <c r="H40" s="13"/>
    </row>
    <row r="41" customFormat="false" ht="24" hidden="false" customHeight="true" outlineLevel="0" collapsed="false">
      <c r="B41" s="56" t="s">
        <v>140</v>
      </c>
      <c r="C41" s="56"/>
      <c r="D41" s="43" t="s">
        <v>141</v>
      </c>
      <c r="E41" s="16" t="s">
        <v>142</v>
      </c>
      <c r="F41" s="16"/>
      <c r="G41" s="16"/>
      <c r="H41" s="16"/>
    </row>
    <row r="42" customFormat="false" ht="24" hidden="false" customHeight="true" outlineLevel="0" collapsed="false">
      <c r="B42" s="55" t="s">
        <v>143</v>
      </c>
      <c r="C42" s="55"/>
      <c r="D42" s="43" t="s">
        <v>144</v>
      </c>
      <c r="E42" s="13" t="s">
        <v>145</v>
      </c>
      <c r="F42" s="13"/>
      <c r="G42" s="13"/>
      <c r="H42" s="13"/>
    </row>
    <row r="43" customFormat="false" ht="24" hidden="false" customHeight="true" outlineLevel="0" collapsed="false">
      <c r="B43" s="56" t="s">
        <v>146</v>
      </c>
      <c r="C43" s="56"/>
      <c r="D43" s="43" t="s">
        <v>147</v>
      </c>
      <c r="E43" s="16" t="s">
        <v>148</v>
      </c>
      <c r="F43" s="16"/>
      <c r="G43" s="16"/>
      <c r="H43" s="16"/>
    </row>
    <row r="45" customFormat="false" ht="21.75" hidden="false" customHeight="true" outlineLevel="0" collapsed="false">
      <c r="B45" s="6" t="s">
        <v>149</v>
      </c>
      <c r="C45" s="6"/>
      <c r="D45" s="6"/>
      <c r="E45" s="6"/>
      <c r="F45" s="6"/>
      <c r="G45" s="6"/>
      <c r="H45" s="6"/>
    </row>
    <row r="46" customFormat="false" ht="27.75" hidden="false" customHeight="true" outlineLevel="0" collapsed="false">
      <c r="B46" s="57" t="s">
        <v>150</v>
      </c>
      <c r="C46" s="57"/>
      <c r="D46" s="58" t="n">
        <f aca="false">(IF($D7="",0,1)+IF($D8="",0,1)+IF($D9="",0,1)+IF($D10="",0,1)+IF($D18="",0,1)+IF($D19="",0,1)+IF($D33="",0,1)+IF($D35="",0,1))/8</f>
        <v>1</v>
      </c>
      <c r="E46" s="41" t="s">
        <v>151</v>
      </c>
      <c r="F46" s="41"/>
      <c r="G46" s="41"/>
      <c r="H46" s="41"/>
    </row>
    <row r="48" customFormat="false" ht="18" hidden="false" customHeight="true" outlineLevel="0" collapsed="false">
      <c r="B48" s="59" t="s">
        <v>152</v>
      </c>
      <c r="C48" s="59"/>
      <c r="D48" s="59"/>
      <c r="E48" s="59"/>
      <c r="F48" s="59"/>
      <c r="G48" s="59"/>
      <c r="H48" s="59"/>
    </row>
  </sheetData>
  <mergeCells count="59">
    <mergeCell ref="B1:H1"/>
    <mergeCell ref="B2:H2"/>
    <mergeCell ref="B3:H3"/>
    <mergeCell ref="B4:H4"/>
    <mergeCell ref="B6:H6"/>
    <mergeCell ref="B7:C7"/>
    <mergeCell ref="B8:C8"/>
    <mergeCell ref="B9:C9"/>
    <mergeCell ref="B10:C10"/>
    <mergeCell ref="E10:H10"/>
    <mergeCell ref="B11:C11"/>
    <mergeCell ref="B12:C12"/>
    <mergeCell ref="E12:H12"/>
    <mergeCell ref="B14:H14"/>
    <mergeCell ref="B15:H17"/>
    <mergeCell ref="B18:C18"/>
    <mergeCell ref="E18:H18"/>
    <mergeCell ref="B19:C19"/>
    <mergeCell ref="E19:H19"/>
    <mergeCell ref="B20:C20"/>
    <mergeCell ref="E20:H20"/>
    <mergeCell ref="B21:C21"/>
    <mergeCell ref="E21:H21"/>
    <mergeCell ref="B23:H23"/>
    <mergeCell ref="B24:H25"/>
    <mergeCell ref="B26:C26"/>
    <mergeCell ref="E26:H26"/>
    <mergeCell ref="B27:C27"/>
    <mergeCell ref="E27:H27"/>
    <mergeCell ref="B28:C28"/>
    <mergeCell ref="E28:H28"/>
    <mergeCell ref="B29:C29"/>
    <mergeCell ref="E29:H29"/>
    <mergeCell ref="B30:C30"/>
    <mergeCell ref="E30:H30"/>
    <mergeCell ref="B32:H32"/>
    <mergeCell ref="B33:C33"/>
    <mergeCell ref="E33:H33"/>
    <mergeCell ref="B34:C34"/>
    <mergeCell ref="E34:H34"/>
    <mergeCell ref="B35:C35"/>
    <mergeCell ref="E35:H35"/>
    <mergeCell ref="B36:C36"/>
    <mergeCell ref="E36:H36"/>
    <mergeCell ref="B38:H38"/>
    <mergeCell ref="B39:C39"/>
    <mergeCell ref="E39:H39"/>
    <mergeCell ref="B40:C40"/>
    <mergeCell ref="E40:H40"/>
    <mergeCell ref="B41:C41"/>
    <mergeCell ref="E41:H41"/>
    <mergeCell ref="B42:C42"/>
    <mergeCell ref="E42:H42"/>
    <mergeCell ref="B43:C43"/>
    <mergeCell ref="E43:H43"/>
    <mergeCell ref="B45:H45"/>
    <mergeCell ref="B46:C46"/>
    <mergeCell ref="E46:H46"/>
    <mergeCell ref="B48:H48"/>
  </mergeCells>
  <conditionalFormatting sqref="B3:H3">
    <cfRule type="expression" priority="2" aboveAverage="0" equalAverage="0" bottom="0" percent="0" rank="0" text="" dxfId="0">
      <formula>LEN($B$3)&gt;0</formula>
    </cfRule>
  </conditionalFormatting>
  <conditionalFormatting sqref="D46">
    <cfRule type="expression" priority="3" aboveAverage="0" equalAverage="0" bottom="0" percent="0" rank="0" text="" dxfId="1">
      <formula>$D46&lt;1</formula>
    </cfRule>
  </conditionalFormatting>
  <dataValidations count="1">
    <dataValidation allowBlank="true" errorStyle="stop" operator="between" showDropDown="false" showErrorMessage="false" showInputMessage="false" sqref="D20" type="list">
      <formula1>Reference!$E$98:$E$99</formula1>
      <formula2>0</formula2>
    </dataValidation>
  </dataValidations>
  <hyperlinks>
    <hyperlink ref="B48" r:id="rId1" display="Visit mastt.com"/>
  </hyperlinks>
  <printOptions headings="false" gridLines="false" gridLinesSet="true" horizontalCentered="false" verticalCentered="false"/>
  <pageMargins left="0.3" right="0.3"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I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9" min="2" style="0" width="20"/>
    <col collapsed="false" customWidth="true" hidden="false" outlineLevel="0" max="10" min="10" style="0" width="2.2"/>
  </cols>
  <sheetData>
    <row r="1" customFormat="false" ht="33.75" hidden="false" customHeight="true" outlineLevel="0" collapsed="false">
      <c r="B1" s="38" t="s">
        <v>153</v>
      </c>
      <c r="C1" s="38"/>
      <c r="D1" s="38"/>
      <c r="E1" s="38"/>
      <c r="F1" s="38"/>
      <c r="G1" s="38"/>
      <c r="H1" s="38"/>
      <c r="I1" s="38"/>
    </row>
    <row r="2" customFormat="false" ht="4.5" hidden="false" customHeight="true" outlineLevel="0" collapsed="false">
      <c r="B2" s="6"/>
      <c r="C2" s="6"/>
      <c r="D2" s="6"/>
      <c r="E2" s="6"/>
      <c r="F2" s="6"/>
      <c r="G2" s="6"/>
      <c r="H2" s="6"/>
      <c r="I2" s="6"/>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c r="I3" s="40"/>
    </row>
    <row r="4" customFormat="false" ht="25.5" hidden="false" customHeight="true" outlineLevel="0" collapsed="false">
      <c r="B4" s="41" t="s">
        <v>154</v>
      </c>
      <c r="C4" s="41"/>
      <c r="D4" s="41"/>
      <c r="E4" s="41"/>
      <c r="F4" s="41"/>
      <c r="G4" s="41"/>
      <c r="H4" s="41"/>
      <c r="I4" s="41"/>
    </row>
    <row r="6" customFormat="false" ht="21.75" hidden="false" customHeight="true" outlineLevel="0" collapsed="false">
      <c r="B6" s="6" t="s">
        <v>155</v>
      </c>
      <c r="C6" s="6"/>
      <c r="D6" s="6"/>
      <c r="E6" s="6"/>
      <c r="F6" s="6"/>
      <c r="G6" s="6"/>
      <c r="H6" s="6"/>
      <c r="I6" s="6"/>
    </row>
    <row r="7" customFormat="false" ht="25.5" hidden="false" customHeight="true" outlineLevel="0" collapsed="false">
      <c r="B7" s="60" t="s">
        <v>156</v>
      </c>
      <c r="C7" s="60"/>
      <c r="D7" s="61" t="s">
        <v>50</v>
      </c>
      <c r="E7" s="61"/>
      <c r="F7" s="62" t="s">
        <v>157</v>
      </c>
      <c r="G7" s="62"/>
      <c r="H7" s="61" t="s">
        <v>158</v>
      </c>
      <c r="I7" s="61"/>
    </row>
    <row r="8" customFormat="false" ht="30" hidden="false" customHeight="true" outlineLevel="0" collapsed="false">
      <c r="B8" s="63" t="n">
        <f aca="false">COUNTIFS('Issue Register'!$E$7:$E$41,"&lt;&gt;",'Issue Register'!$Y$7:$Y$41,"&lt;&gt;Closed",'Issue Register'!$Y$7:$Y$41,"&lt;&gt;Void")</f>
        <v>11</v>
      </c>
      <c r="C8" s="63"/>
      <c r="D8" s="64" t="n">
        <f aca="false">COUNTIF('Issue Register'!$Y$7:$Y$41,"Overdue")</f>
        <v>6</v>
      </c>
      <c r="E8" s="64"/>
      <c r="F8" s="65" t="n">
        <f aca="false">COUNTIF('Issue Register'!$Z$7:$Z$41,"Refer up*")+COUNTIF('Issue Register'!$Z$7:$Z$41,"Escalated*")-COUNTIF('Issue Register'!$Z$7:$Z$41,"Escalated - decided")</f>
        <v>5</v>
      </c>
      <c r="G8" s="65"/>
      <c r="H8" s="64" t="n">
        <f aca="false">COUNTIF('Issue Register'!$P$7:$P$41,"Required - not served")</f>
        <v>3</v>
      </c>
      <c r="I8" s="64"/>
    </row>
    <row r="10" customFormat="false" ht="25.5" hidden="false" customHeight="true" outlineLevel="0" collapsed="false">
      <c r="B10" s="66" t="s">
        <v>159</v>
      </c>
      <c r="C10" s="66"/>
      <c r="D10" s="62" t="s">
        <v>160</v>
      </c>
      <c r="E10" s="62"/>
      <c r="F10" s="67" t="s">
        <v>161</v>
      </c>
      <c r="G10" s="67"/>
      <c r="H10" s="68" t="s">
        <v>162</v>
      </c>
      <c r="I10" s="68"/>
    </row>
    <row r="11" customFormat="false" ht="30" hidden="false" customHeight="true" outlineLevel="0" collapsed="false">
      <c r="B11" s="69" t="n">
        <f aca="false">SUMIFS('Issue Register'!$N$7:$N$41,'Issue Register'!$E$7:$E$41,"&lt;&gt;",'Issue Register'!$Y$7:$Y$41,"&lt;&gt;Closed",'Issue Register'!$Y$7:$Y$41,"&lt;&gt;Void")</f>
        <v>325000</v>
      </c>
      <c r="C11" s="69"/>
      <c r="D11" s="65" t="n">
        <f aca="false">COUNTIFS('Issue Register'!$E$7:$E$41,"&lt;&gt;",'Issue Register'!$Y$7:$Y$41,"&lt;&gt;Closed",'Issue Register'!$Y$7:$Y$41,"&lt;&gt;Void",'Issue Register'!$I$7:$I$41,"")</f>
        <v>1</v>
      </c>
      <c r="E11" s="65"/>
      <c r="F11" s="70" t="n">
        <f aca="false">IF(COUNTIF('Issue Register'!$Y$7:$Y$41,"Closed")=0,"",COUNTIFS('Issue Register'!$Y$7:$Y$41,"Closed",'Issue Register'!$U$7:$U$41,"&lt;&gt;")/COUNTIF('Issue Register'!$Y$7:$Y$41,"Closed"))</f>
        <v>0.666666666666667</v>
      </c>
      <c r="G11" s="70"/>
      <c r="H11" s="71" t="n">
        <f aca="false">IFERROR(AVERAGEIFS('Issue Register'!$X$7:$X$41,'Issue Register'!$Y$7:$Y$41,"Closed"),"")</f>
        <v>21.3333333333333</v>
      </c>
      <c r="I11" s="71"/>
    </row>
    <row r="13" customFormat="false" ht="25.5" hidden="false" customHeight="true" outlineLevel="0" collapsed="false">
      <c r="B13" s="24" t="s">
        <v>163</v>
      </c>
      <c r="C13" s="24"/>
      <c r="D13" s="24"/>
      <c r="E13" s="72" t="n">
        <f aca="false">IF(COUNTIFS('Issue Register'!$C$7:$C$41,"&lt;&gt;",'Issue Register'!$D$7:$D$41,"&lt;&gt;")=0,"",SUMPRODUCT(('Issue Register'!$C$7:$C$41&lt;&gt;"")*('Issue Register'!$D$7:$D$41&lt;&gt;"")*('Issue Register'!$D$7:$D$41-'Issue Register'!$C$7:$C$41))/COUNTIFS('Issue Register'!$C$7:$C$41,"&lt;&gt;",'Issue Register'!$D$7:$D$41,"&lt;&gt;"))</f>
        <v>2.42857142857143</v>
      </c>
      <c r="F13" s="41" t="s">
        <v>164</v>
      </c>
      <c r="G13" s="41"/>
      <c r="H13" s="41"/>
      <c r="I13" s="41"/>
    </row>
    <row r="14" customFormat="false" ht="25.5" hidden="false" customHeight="true" outlineLevel="0" collapsed="false">
      <c r="B14" s="24" t="s">
        <v>165</v>
      </c>
      <c r="C14" s="24"/>
      <c r="D14" s="24"/>
      <c r="E14" s="73" t="n">
        <f aca="false">COUNTIF('Issue Register'!$Y$7:$Y$41,"Incomplete entry")</f>
        <v>1</v>
      </c>
      <c r="F14" s="41" t="s">
        <v>166</v>
      </c>
      <c r="G14" s="41"/>
      <c r="H14" s="41"/>
      <c r="I14" s="41"/>
    </row>
    <row r="16" customFormat="false" ht="21.75" hidden="false" customHeight="true" outlineLevel="0" collapsed="false">
      <c r="B16" s="6" t="s">
        <v>167</v>
      </c>
      <c r="C16" s="6"/>
      <c r="D16" s="6"/>
      <c r="E16" s="6"/>
      <c r="F16" s="6"/>
      <c r="G16" s="6"/>
      <c r="H16" s="6"/>
      <c r="I16" s="6"/>
    </row>
    <row r="17" customFormat="false" ht="12.75" hidden="false" customHeight="true" outlineLevel="0" collapsed="false">
      <c r="B17" s="41" t="s">
        <v>168</v>
      </c>
      <c r="C17" s="41"/>
      <c r="D17" s="41"/>
      <c r="E17" s="41"/>
      <c r="F17" s="41"/>
      <c r="G17" s="41"/>
      <c r="H17" s="41"/>
      <c r="I17" s="41"/>
    </row>
    <row r="18" customFormat="false" ht="12.75" hidden="false" customHeight="true" outlineLevel="0" collapsed="false">
      <c r="B18" s="41"/>
      <c r="C18" s="41"/>
      <c r="D18" s="41"/>
      <c r="E18" s="41"/>
      <c r="F18" s="41"/>
      <c r="G18" s="41"/>
      <c r="H18" s="41"/>
      <c r="I18" s="41"/>
    </row>
    <row r="19" customFormat="false" ht="21.75" hidden="false" customHeight="true" outlineLevel="0" collapsed="false">
      <c r="B19" s="10" t="s">
        <v>113</v>
      </c>
      <c r="C19" s="10" t="s">
        <v>169</v>
      </c>
      <c r="D19" s="10" t="s">
        <v>170</v>
      </c>
      <c r="E19" s="10" t="s">
        <v>171</v>
      </c>
      <c r="F19" s="10" t="s">
        <v>172</v>
      </c>
      <c r="G19" s="10" t="s">
        <v>173</v>
      </c>
      <c r="H19" s="10" t="s">
        <v>44</v>
      </c>
      <c r="I19" s="10" t="s">
        <v>174</v>
      </c>
    </row>
    <row r="20" customFormat="false" ht="24" hidden="false" customHeight="true" outlineLevel="0" collapsed="false">
      <c r="B20" s="74" t="s">
        <v>116</v>
      </c>
      <c r="C20" s="75" t="n">
        <f aca="false">COUNTIFS('Issue Register'!$M$7:$M$41,"P1",'Issue Register'!$Y$7:$Y$41,"&lt;&gt;Closed",'Issue Register'!$Y$7:$Y$41,"&lt;&gt;Void",'Issue Register'!$E$7:$E$41,"&lt;&gt;",'Issue Register'!$X$7:$X$41,"&gt;=0",'Issue Register'!$X$7:$X$41,"&lt;=7")</f>
        <v>1</v>
      </c>
      <c r="D20" s="75" t="n">
        <f aca="false">COUNTIFS('Issue Register'!$M$7:$M$41,"P1",'Issue Register'!$Y$7:$Y$41,"&lt;&gt;Closed",'Issue Register'!$Y$7:$Y$41,"&lt;&gt;Void",'Issue Register'!$E$7:$E$41,"&lt;&gt;",'Issue Register'!$X$7:$X$41,"&gt;=8",'Issue Register'!$X$7:$X$41,"&lt;=14")</f>
        <v>0</v>
      </c>
      <c r="E20" s="75" t="n">
        <f aca="false">COUNTIFS('Issue Register'!$M$7:$M$41,"P1",'Issue Register'!$Y$7:$Y$41,"&lt;&gt;Closed",'Issue Register'!$Y$7:$Y$41,"&lt;&gt;Void",'Issue Register'!$E$7:$E$41,"&lt;&gt;",'Issue Register'!$X$7:$X$41,"&gt;=15",'Issue Register'!$X$7:$X$41,"&lt;=30")</f>
        <v>0</v>
      </c>
      <c r="F20" s="75" t="n">
        <f aca="false">COUNTIFS('Issue Register'!$M$7:$M$41,"P1",'Issue Register'!$Y$7:$Y$41,"&lt;&gt;Closed",'Issue Register'!$Y$7:$Y$41,"&lt;&gt;Void",'Issue Register'!$E$7:$E$41,"&lt;&gt;",'Issue Register'!$X$7:$X$41,"&gt;=31",'Issue Register'!$X$7:$X$41,"&lt;=60")</f>
        <v>0</v>
      </c>
      <c r="G20" s="75" t="n">
        <f aca="false">COUNTIFS('Issue Register'!$M$7:$M$41,"P1",'Issue Register'!$Y$7:$Y$41,"&lt;&gt;Closed",'Issue Register'!$Y$7:$Y$41,"&lt;&gt;Void",'Issue Register'!$E$7:$E$41,"&lt;&gt;",'Issue Register'!$X$7:$X$41,"&gt;=61",'Issue Register'!$X$7:$X$41,"&lt;=100000")</f>
        <v>2</v>
      </c>
      <c r="H20" s="76" t="n">
        <f aca="false">COUNTIFS('Issue Register'!$M$7:$M$41,"P1",'Issue Register'!$Y$7:$Y$41,"&lt;&gt;Closed",'Issue Register'!$Y$7:$Y$41,"&lt;&gt;Void",'Issue Register'!$E$7:$E$41,"&lt;&gt;")</f>
        <v>3</v>
      </c>
      <c r="I20" s="77" t="n">
        <f aca="false">SUMIFS('Issue Register'!$N$7:$N$41,'Issue Register'!$M$7:$M$41,"P1",'Issue Register'!$Y$7:$Y$41,"&lt;&gt;Closed",'Issue Register'!$Y$7:$Y$41,"&lt;&gt;Void",'Issue Register'!$E$7:$E$41,"&lt;&gt;")</f>
        <v>380000</v>
      </c>
    </row>
    <row r="21" customFormat="false" ht="24" hidden="false" customHeight="true" outlineLevel="0" collapsed="false">
      <c r="B21" s="78" t="s">
        <v>118</v>
      </c>
      <c r="C21" s="75" t="n">
        <f aca="false">COUNTIFS('Issue Register'!$M$7:$M$41,"P2",'Issue Register'!$Y$7:$Y$41,"&lt;&gt;Closed",'Issue Register'!$Y$7:$Y$41,"&lt;&gt;Void",'Issue Register'!$E$7:$E$41,"&lt;&gt;",'Issue Register'!$X$7:$X$41,"&gt;=0",'Issue Register'!$X$7:$X$41,"&lt;=7")</f>
        <v>0</v>
      </c>
      <c r="D21" s="75" t="n">
        <f aca="false">COUNTIFS('Issue Register'!$M$7:$M$41,"P2",'Issue Register'!$Y$7:$Y$41,"&lt;&gt;Closed",'Issue Register'!$Y$7:$Y$41,"&lt;&gt;Void",'Issue Register'!$E$7:$E$41,"&lt;&gt;",'Issue Register'!$X$7:$X$41,"&gt;=8",'Issue Register'!$X$7:$X$41,"&lt;=14")</f>
        <v>0</v>
      </c>
      <c r="E21" s="75" t="n">
        <f aca="false">COUNTIFS('Issue Register'!$M$7:$M$41,"P2",'Issue Register'!$Y$7:$Y$41,"&lt;&gt;Closed",'Issue Register'!$Y$7:$Y$41,"&lt;&gt;Void",'Issue Register'!$E$7:$E$41,"&lt;&gt;",'Issue Register'!$X$7:$X$41,"&gt;=15",'Issue Register'!$X$7:$X$41,"&lt;=30")</f>
        <v>2</v>
      </c>
      <c r="F21" s="75" t="n">
        <f aca="false">COUNTIFS('Issue Register'!$M$7:$M$41,"P2",'Issue Register'!$Y$7:$Y$41,"&lt;&gt;Closed",'Issue Register'!$Y$7:$Y$41,"&lt;&gt;Void",'Issue Register'!$E$7:$E$41,"&lt;&gt;",'Issue Register'!$X$7:$X$41,"&gt;=31",'Issue Register'!$X$7:$X$41,"&lt;=60")</f>
        <v>0</v>
      </c>
      <c r="G21" s="75" t="n">
        <f aca="false">COUNTIFS('Issue Register'!$M$7:$M$41,"P2",'Issue Register'!$Y$7:$Y$41,"&lt;&gt;Closed",'Issue Register'!$Y$7:$Y$41,"&lt;&gt;Void",'Issue Register'!$E$7:$E$41,"&lt;&gt;",'Issue Register'!$X$7:$X$41,"&gt;=61",'Issue Register'!$X$7:$X$41,"&lt;=100000")</f>
        <v>2</v>
      </c>
      <c r="H21" s="76" t="n">
        <f aca="false">COUNTIFS('Issue Register'!$M$7:$M$41,"P2",'Issue Register'!$Y$7:$Y$41,"&lt;&gt;Closed",'Issue Register'!$Y$7:$Y$41,"&lt;&gt;Void",'Issue Register'!$E$7:$E$41,"&lt;&gt;")</f>
        <v>4</v>
      </c>
      <c r="I21" s="77" t="n">
        <f aca="false">SUMIFS('Issue Register'!$N$7:$N$41,'Issue Register'!$M$7:$M$41,"P2",'Issue Register'!$Y$7:$Y$41,"&lt;&gt;Closed",'Issue Register'!$Y$7:$Y$41,"&lt;&gt;Void",'Issue Register'!$E$7:$E$41,"&lt;&gt;")</f>
        <v>-40000</v>
      </c>
    </row>
    <row r="22" customFormat="false" ht="24" hidden="false" customHeight="true" outlineLevel="0" collapsed="false">
      <c r="B22" s="79" t="s">
        <v>120</v>
      </c>
      <c r="C22" s="75" t="n">
        <f aca="false">COUNTIFS('Issue Register'!$M$7:$M$41,"P3",'Issue Register'!$Y$7:$Y$41,"&lt;&gt;Closed",'Issue Register'!$Y$7:$Y$41,"&lt;&gt;Void",'Issue Register'!$E$7:$E$41,"&lt;&gt;",'Issue Register'!$X$7:$X$41,"&gt;=0",'Issue Register'!$X$7:$X$41,"&lt;=7")</f>
        <v>0</v>
      </c>
      <c r="D22" s="75" t="n">
        <f aca="false">COUNTIFS('Issue Register'!$M$7:$M$41,"P3",'Issue Register'!$Y$7:$Y$41,"&lt;&gt;Closed",'Issue Register'!$Y$7:$Y$41,"&lt;&gt;Void",'Issue Register'!$E$7:$E$41,"&lt;&gt;",'Issue Register'!$X$7:$X$41,"&gt;=8",'Issue Register'!$X$7:$X$41,"&lt;=14")</f>
        <v>1</v>
      </c>
      <c r="E22" s="75" t="n">
        <f aca="false">COUNTIFS('Issue Register'!$M$7:$M$41,"P3",'Issue Register'!$Y$7:$Y$41,"&lt;&gt;Closed",'Issue Register'!$Y$7:$Y$41,"&lt;&gt;Void",'Issue Register'!$E$7:$E$41,"&lt;&gt;",'Issue Register'!$X$7:$X$41,"&gt;=15",'Issue Register'!$X$7:$X$41,"&lt;=30")</f>
        <v>0</v>
      </c>
      <c r="F22" s="75" t="n">
        <f aca="false">COUNTIFS('Issue Register'!$M$7:$M$41,"P3",'Issue Register'!$Y$7:$Y$41,"&lt;&gt;Closed",'Issue Register'!$Y$7:$Y$41,"&lt;&gt;Void",'Issue Register'!$E$7:$E$41,"&lt;&gt;",'Issue Register'!$X$7:$X$41,"&gt;=31",'Issue Register'!$X$7:$X$41,"&lt;=60")</f>
        <v>1</v>
      </c>
      <c r="G22" s="75" t="n">
        <f aca="false">COUNTIFS('Issue Register'!$M$7:$M$41,"P3",'Issue Register'!$Y$7:$Y$41,"&lt;&gt;Closed",'Issue Register'!$Y$7:$Y$41,"&lt;&gt;Void",'Issue Register'!$E$7:$E$41,"&lt;&gt;",'Issue Register'!$X$7:$X$41,"&gt;=61",'Issue Register'!$X$7:$X$41,"&lt;=100000")</f>
        <v>0</v>
      </c>
      <c r="H22" s="76" t="n">
        <f aca="false">COUNTIFS('Issue Register'!$M$7:$M$41,"P3",'Issue Register'!$Y$7:$Y$41,"&lt;&gt;Closed",'Issue Register'!$Y$7:$Y$41,"&lt;&gt;Void",'Issue Register'!$E$7:$E$41,"&lt;&gt;")</f>
        <v>2</v>
      </c>
      <c r="I22" s="77" t="n">
        <f aca="false">SUMIFS('Issue Register'!$N$7:$N$41,'Issue Register'!$M$7:$M$41,"P3",'Issue Register'!$Y$7:$Y$41,"&lt;&gt;Closed",'Issue Register'!$Y$7:$Y$41,"&lt;&gt;Void",'Issue Register'!$E$7:$E$41,"&lt;&gt;")</f>
        <v>0</v>
      </c>
    </row>
    <row r="23" customFormat="false" ht="24" hidden="false" customHeight="true" outlineLevel="0" collapsed="false">
      <c r="B23" s="80" t="s">
        <v>122</v>
      </c>
      <c r="C23" s="75" t="n">
        <f aca="false">COUNTIFS('Issue Register'!$M$7:$M$41,"P4",'Issue Register'!$Y$7:$Y$41,"&lt;&gt;Closed",'Issue Register'!$Y$7:$Y$41,"&lt;&gt;Void",'Issue Register'!$E$7:$E$41,"&lt;&gt;",'Issue Register'!$X$7:$X$41,"&gt;=0",'Issue Register'!$X$7:$X$41,"&lt;=7")</f>
        <v>0</v>
      </c>
      <c r="D23" s="75" t="n">
        <f aca="false">COUNTIFS('Issue Register'!$M$7:$M$41,"P4",'Issue Register'!$Y$7:$Y$41,"&lt;&gt;Closed",'Issue Register'!$Y$7:$Y$41,"&lt;&gt;Void",'Issue Register'!$E$7:$E$41,"&lt;&gt;",'Issue Register'!$X$7:$X$41,"&gt;=8",'Issue Register'!$X$7:$X$41,"&lt;=14")</f>
        <v>0</v>
      </c>
      <c r="E23" s="75" t="n">
        <f aca="false">COUNTIFS('Issue Register'!$M$7:$M$41,"P4",'Issue Register'!$Y$7:$Y$41,"&lt;&gt;Closed",'Issue Register'!$Y$7:$Y$41,"&lt;&gt;Void",'Issue Register'!$E$7:$E$41,"&lt;&gt;",'Issue Register'!$X$7:$X$41,"&gt;=15",'Issue Register'!$X$7:$X$41,"&lt;=30")</f>
        <v>2</v>
      </c>
      <c r="F23" s="75" t="n">
        <f aca="false">COUNTIFS('Issue Register'!$M$7:$M$41,"P4",'Issue Register'!$Y$7:$Y$41,"&lt;&gt;Closed",'Issue Register'!$Y$7:$Y$41,"&lt;&gt;Void",'Issue Register'!$E$7:$E$41,"&lt;&gt;",'Issue Register'!$X$7:$X$41,"&gt;=31",'Issue Register'!$X$7:$X$41,"&lt;=60")</f>
        <v>0</v>
      </c>
      <c r="G23" s="75" t="n">
        <f aca="false">COUNTIFS('Issue Register'!$M$7:$M$41,"P4",'Issue Register'!$Y$7:$Y$41,"&lt;&gt;Closed",'Issue Register'!$Y$7:$Y$41,"&lt;&gt;Void",'Issue Register'!$E$7:$E$41,"&lt;&gt;",'Issue Register'!$X$7:$X$41,"&gt;=61",'Issue Register'!$X$7:$X$41,"&lt;=100000")</f>
        <v>0</v>
      </c>
      <c r="H23" s="76" t="n">
        <f aca="false">COUNTIFS('Issue Register'!$M$7:$M$41,"P4",'Issue Register'!$Y$7:$Y$41,"&lt;&gt;Closed",'Issue Register'!$Y$7:$Y$41,"&lt;&gt;Void",'Issue Register'!$E$7:$E$41,"&lt;&gt;")</f>
        <v>2</v>
      </c>
      <c r="I23" s="77" t="n">
        <f aca="false">SUMIFS('Issue Register'!$N$7:$N$41,'Issue Register'!$M$7:$M$41,"P4",'Issue Register'!$Y$7:$Y$41,"&lt;&gt;Closed",'Issue Register'!$Y$7:$Y$41,"&lt;&gt;Void",'Issue Register'!$E$7:$E$41,"&lt;&gt;")</f>
        <v>-15000</v>
      </c>
    </row>
    <row r="25" customFormat="false" ht="21.75" hidden="false" customHeight="true" outlineLevel="0" collapsed="false">
      <c r="B25" s="6" t="s">
        <v>175</v>
      </c>
      <c r="C25" s="6"/>
      <c r="D25" s="6"/>
      <c r="E25" s="6"/>
      <c r="F25" s="6"/>
      <c r="G25" s="6"/>
      <c r="H25" s="6"/>
      <c r="I25" s="6"/>
    </row>
    <row r="26" customFormat="false" ht="21.75" hidden="false" customHeight="true" outlineLevel="0" collapsed="false">
      <c r="B26" s="10" t="s">
        <v>176</v>
      </c>
      <c r="C26" s="10"/>
      <c r="D26" s="10" t="s">
        <v>44</v>
      </c>
      <c r="E26" s="10" t="s">
        <v>50</v>
      </c>
      <c r="F26" s="10" t="s">
        <v>177</v>
      </c>
      <c r="G26" s="10" t="s">
        <v>42</v>
      </c>
      <c r="H26" s="10" t="s">
        <v>174</v>
      </c>
      <c r="I26" s="10"/>
    </row>
    <row r="27" customFormat="false" ht="19.5" hidden="false" customHeight="true" outlineLevel="0" collapsed="false">
      <c r="B27" s="50" t="s">
        <v>178</v>
      </c>
      <c r="C27" s="50"/>
      <c r="D27" s="81" t="n">
        <f aca="false">COUNTIFS('Issue Register'!$F$7:$F$41,$B27,'Issue Register'!$Y$7:$Y$41,"&lt;&gt;Closed",'Issue Register'!$Y$7:$Y$41,"&lt;&gt;Void",'Issue Register'!$E$7:$E$41,"&lt;&gt;")</f>
        <v>1</v>
      </c>
      <c r="E27" s="81" t="n">
        <f aca="false">COUNTIFS('Issue Register'!$F$7:$F$41,$B27,'Issue Register'!$Y$7:$Y$41,"Overdue")</f>
        <v>1</v>
      </c>
      <c r="F27" s="81" t="n">
        <f aca="false">COUNTIFS('Issue Register'!$F$7:$F$41,$B27,'Issue Register'!$Z$7:$Z$41,"Refer up*")+COUNTIFS('Issue Register'!$F$7:$F$41,$B27,'Issue Register'!$Z$7:$Z$41,"Escalated*")-COUNTIFS('Issue Register'!$F$7:$F$41,$B27,'Issue Register'!$Z$7:$Z$41,"Escalated - decided")</f>
        <v>1</v>
      </c>
      <c r="G27" s="81" t="n">
        <f aca="false">COUNTIFS('Issue Register'!$F$7:$F$41,$B27,'Issue Register'!$Y$7:$Y$41,"Closed")</f>
        <v>1</v>
      </c>
      <c r="H27" s="82" t="n">
        <f aca="false">SUMIFS('Issue Register'!$N$7:$N$41,'Issue Register'!$F$7:$F$41,$B27,'Issue Register'!$Y$7:$Y$41,"&lt;&gt;Closed",'Issue Register'!$Y$7:$Y$41,"&lt;&gt;Void",'Issue Register'!$E$7:$E$41,"&lt;&gt;")</f>
        <v>45000</v>
      </c>
      <c r="I27" s="82"/>
    </row>
    <row r="28" customFormat="false" ht="19.5" hidden="false" customHeight="true" outlineLevel="0" collapsed="false">
      <c r="B28" s="52" t="s">
        <v>179</v>
      </c>
      <c r="C28" s="52"/>
      <c r="D28" s="81" t="n">
        <f aca="false">COUNTIFS('Issue Register'!$F$7:$F$41,$B28,'Issue Register'!$Y$7:$Y$41,"&lt;&gt;Closed",'Issue Register'!$Y$7:$Y$41,"&lt;&gt;Void",'Issue Register'!$E$7:$E$41,"&lt;&gt;")</f>
        <v>1</v>
      </c>
      <c r="E28" s="81" t="n">
        <f aca="false">COUNTIFS('Issue Register'!$F$7:$F$41,$B28,'Issue Register'!$Y$7:$Y$41,"Overdue")</f>
        <v>1</v>
      </c>
      <c r="F28" s="81" t="n">
        <f aca="false">COUNTIFS('Issue Register'!$F$7:$F$41,$B28,'Issue Register'!$Z$7:$Z$41,"Refer up*")+COUNTIFS('Issue Register'!$F$7:$F$41,$B28,'Issue Register'!$Z$7:$Z$41,"Escalated*")-COUNTIFS('Issue Register'!$F$7:$F$41,$B28,'Issue Register'!$Z$7:$Z$41,"Escalated - decided")</f>
        <v>1</v>
      </c>
      <c r="G28" s="81" t="n">
        <f aca="false">COUNTIFS('Issue Register'!$F$7:$F$41,$B28,'Issue Register'!$Y$7:$Y$41,"Closed")</f>
        <v>0</v>
      </c>
      <c r="H28" s="82" t="n">
        <f aca="false">SUMIFS('Issue Register'!$N$7:$N$41,'Issue Register'!$F$7:$F$41,$B28,'Issue Register'!$Y$7:$Y$41,"&lt;&gt;Closed",'Issue Register'!$Y$7:$Y$41,"&lt;&gt;Void",'Issue Register'!$E$7:$E$41,"&lt;&gt;")</f>
        <v>0</v>
      </c>
      <c r="I28" s="82"/>
    </row>
    <row r="29" customFormat="false" ht="19.5" hidden="false" customHeight="true" outlineLevel="0" collapsed="false">
      <c r="B29" s="50" t="s">
        <v>180</v>
      </c>
      <c r="C29" s="50"/>
      <c r="D29" s="81" t="n">
        <f aca="false">COUNTIFS('Issue Register'!$F$7:$F$41,$B29,'Issue Register'!$Y$7:$Y$41,"&lt;&gt;Closed",'Issue Register'!$Y$7:$Y$41,"&lt;&gt;Void",'Issue Register'!$E$7:$E$41,"&lt;&gt;")</f>
        <v>0</v>
      </c>
      <c r="E29" s="81" t="n">
        <f aca="false">COUNTIFS('Issue Register'!$F$7:$F$41,$B29,'Issue Register'!$Y$7:$Y$41,"Overdue")</f>
        <v>0</v>
      </c>
      <c r="F29" s="81" t="n">
        <f aca="false">COUNTIFS('Issue Register'!$F$7:$F$41,$B29,'Issue Register'!$Z$7:$Z$41,"Refer up*")+COUNTIFS('Issue Register'!$F$7:$F$41,$B29,'Issue Register'!$Z$7:$Z$41,"Escalated*")-COUNTIFS('Issue Register'!$F$7:$F$41,$B29,'Issue Register'!$Z$7:$Z$41,"Escalated - decided")</f>
        <v>0</v>
      </c>
      <c r="G29" s="81" t="n">
        <f aca="false">COUNTIFS('Issue Register'!$F$7:$F$41,$B29,'Issue Register'!$Y$7:$Y$41,"Closed")</f>
        <v>0</v>
      </c>
      <c r="H29" s="82" t="n">
        <f aca="false">SUMIFS('Issue Register'!$N$7:$N$41,'Issue Register'!$F$7:$F$41,$B29,'Issue Register'!$Y$7:$Y$41,"&lt;&gt;Closed",'Issue Register'!$Y$7:$Y$41,"&lt;&gt;Void",'Issue Register'!$E$7:$E$41,"&lt;&gt;")</f>
        <v>0</v>
      </c>
      <c r="I29" s="82"/>
    </row>
    <row r="30" customFormat="false" ht="19.5" hidden="false" customHeight="true" outlineLevel="0" collapsed="false">
      <c r="B30" s="52" t="s">
        <v>181</v>
      </c>
      <c r="C30" s="52"/>
      <c r="D30" s="81" t="n">
        <f aca="false">COUNTIFS('Issue Register'!$F$7:$F$41,$B30,'Issue Register'!$Y$7:$Y$41,"&lt;&gt;Closed",'Issue Register'!$Y$7:$Y$41,"&lt;&gt;Void",'Issue Register'!$E$7:$E$41,"&lt;&gt;")</f>
        <v>1</v>
      </c>
      <c r="E30" s="81" t="n">
        <f aca="false">COUNTIFS('Issue Register'!$F$7:$F$41,$B30,'Issue Register'!$Y$7:$Y$41,"Overdue")</f>
        <v>1</v>
      </c>
      <c r="F30" s="81" t="n">
        <f aca="false">COUNTIFS('Issue Register'!$F$7:$F$41,$B30,'Issue Register'!$Z$7:$Z$41,"Refer up*")+COUNTIFS('Issue Register'!$F$7:$F$41,$B30,'Issue Register'!$Z$7:$Z$41,"Escalated*")-COUNTIFS('Issue Register'!$F$7:$F$41,$B30,'Issue Register'!$Z$7:$Z$41,"Escalated - decided")</f>
        <v>0</v>
      </c>
      <c r="G30" s="81" t="n">
        <f aca="false">COUNTIFS('Issue Register'!$F$7:$F$41,$B30,'Issue Register'!$Y$7:$Y$41,"Closed")</f>
        <v>0</v>
      </c>
      <c r="H30" s="82" t="n">
        <f aca="false">SUMIFS('Issue Register'!$N$7:$N$41,'Issue Register'!$F$7:$F$41,$B30,'Issue Register'!$Y$7:$Y$41,"&lt;&gt;Closed",'Issue Register'!$Y$7:$Y$41,"&lt;&gt;Void",'Issue Register'!$E$7:$E$41,"&lt;&gt;")</f>
        <v>0</v>
      </c>
      <c r="I30" s="82"/>
    </row>
    <row r="31" customFormat="false" ht="19.5" hidden="false" customHeight="true" outlineLevel="0" collapsed="false">
      <c r="B31" s="50" t="s">
        <v>182</v>
      </c>
      <c r="C31" s="50"/>
      <c r="D31" s="81" t="n">
        <f aca="false">COUNTIFS('Issue Register'!$F$7:$F$41,$B31,'Issue Register'!$Y$7:$Y$41,"&lt;&gt;Closed",'Issue Register'!$Y$7:$Y$41,"&lt;&gt;Void",'Issue Register'!$E$7:$E$41,"&lt;&gt;")</f>
        <v>1</v>
      </c>
      <c r="E31" s="81" t="n">
        <f aca="false">COUNTIFS('Issue Register'!$F$7:$F$41,$B31,'Issue Register'!$Y$7:$Y$41,"Overdue")</f>
        <v>0</v>
      </c>
      <c r="F31" s="81" t="n">
        <f aca="false">COUNTIFS('Issue Register'!$F$7:$F$41,$B31,'Issue Register'!$Z$7:$Z$41,"Refer up*")+COUNTIFS('Issue Register'!$F$7:$F$41,$B31,'Issue Register'!$Z$7:$Z$41,"Escalated*")-COUNTIFS('Issue Register'!$F$7:$F$41,$B31,'Issue Register'!$Z$7:$Z$41,"Escalated - decided")</f>
        <v>1</v>
      </c>
      <c r="G31" s="81" t="n">
        <f aca="false">COUNTIFS('Issue Register'!$F$7:$F$41,$B31,'Issue Register'!$Y$7:$Y$41,"Closed")</f>
        <v>1</v>
      </c>
      <c r="H31" s="82" t="n">
        <f aca="false">SUMIFS('Issue Register'!$N$7:$N$41,'Issue Register'!$F$7:$F$41,$B31,'Issue Register'!$Y$7:$Y$41,"&lt;&gt;Closed",'Issue Register'!$Y$7:$Y$41,"&lt;&gt;Void",'Issue Register'!$E$7:$E$41,"&lt;&gt;")</f>
        <v>0</v>
      </c>
      <c r="I31" s="82"/>
    </row>
    <row r="32" customFormat="false" ht="19.5" hidden="false" customHeight="true" outlineLevel="0" collapsed="false">
      <c r="B32" s="52" t="s">
        <v>183</v>
      </c>
      <c r="C32" s="52"/>
      <c r="D32" s="81" t="n">
        <f aca="false">COUNTIFS('Issue Register'!$F$7:$F$41,$B32,'Issue Register'!$Y$7:$Y$41,"&lt;&gt;Closed",'Issue Register'!$Y$7:$Y$41,"&lt;&gt;Void",'Issue Register'!$E$7:$E$41,"&lt;&gt;")</f>
        <v>1</v>
      </c>
      <c r="E32" s="81" t="n">
        <f aca="false">COUNTIFS('Issue Register'!$F$7:$F$41,$B32,'Issue Register'!$Y$7:$Y$41,"Overdue")</f>
        <v>1</v>
      </c>
      <c r="F32" s="81" t="n">
        <f aca="false">COUNTIFS('Issue Register'!$F$7:$F$41,$B32,'Issue Register'!$Z$7:$Z$41,"Refer up*")+COUNTIFS('Issue Register'!$F$7:$F$41,$B32,'Issue Register'!$Z$7:$Z$41,"Escalated*")-COUNTIFS('Issue Register'!$F$7:$F$41,$B32,'Issue Register'!$Z$7:$Z$41,"Escalated - decided")</f>
        <v>0</v>
      </c>
      <c r="G32" s="81" t="n">
        <f aca="false">COUNTIFS('Issue Register'!$F$7:$F$41,$B32,'Issue Register'!$Y$7:$Y$41,"Closed")</f>
        <v>0</v>
      </c>
      <c r="H32" s="82" t="n">
        <f aca="false">SUMIFS('Issue Register'!$N$7:$N$41,'Issue Register'!$F$7:$F$41,$B32,'Issue Register'!$Y$7:$Y$41,"&lt;&gt;Closed",'Issue Register'!$Y$7:$Y$41,"&lt;&gt;Void",'Issue Register'!$E$7:$E$41,"&lt;&gt;")</f>
        <v>60000</v>
      </c>
      <c r="I32" s="82"/>
    </row>
    <row r="33" customFormat="false" ht="19.5" hidden="false" customHeight="true" outlineLevel="0" collapsed="false">
      <c r="B33" s="50" t="s">
        <v>184</v>
      </c>
      <c r="C33" s="50"/>
      <c r="D33" s="81" t="n">
        <f aca="false">COUNTIFS('Issue Register'!$F$7:$F$41,$B33,'Issue Register'!$Y$7:$Y$41,"&lt;&gt;Closed",'Issue Register'!$Y$7:$Y$41,"&lt;&gt;Void",'Issue Register'!$E$7:$E$41,"&lt;&gt;")</f>
        <v>1</v>
      </c>
      <c r="E33" s="81" t="n">
        <f aca="false">COUNTIFS('Issue Register'!$F$7:$F$41,$B33,'Issue Register'!$Y$7:$Y$41,"Overdue")</f>
        <v>0</v>
      </c>
      <c r="F33" s="81" t="n">
        <f aca="false">COUNTIFS('Issue Register'!$F$7:$F$41,$B33,'Issue Register'!$Z$7:$Z$41,"Refer up*")+COUNTIFS('Issue Register'!$F$7:$F$41,$B33,'Issue Register'!$Z$7:$Z$41,"Escalated*")-COUNTIFS('Issue Register'!$F$7:$F$41,$B33,'Issue Register'!$Z$7:$Z$41,"Escalated - decided")</f>
        <v>0</v>
      </c>
      <c r="G33" s="81" t="n">
        <f aca="false">COUNTIFS('Issue Register'!$F$7:$F$41,$B33,'Issue Register'!$Y$7:$Y$41,"Closed")</f>
        <v>0</v>
      </c>
      <c r="H33" s="82" t="n">
        <f aca="false">SUMIFS('Issue Register'!$N$7:$N$41,'Issue Register'!$F$7:$F$41,$B33,'Issue Register'!$Y$7:$Y$41,"&lt;&gt;Closed",'Issue Register'!$Y$7:$Y$41,"&lt;&gt;Void",'Issue Register'!$E$7:$E$41,"&lt;&gt;")</f>
        <v>25000</v>
      </c>
      <c r="I33" s="82"/>
    </row>
    <row r="34" customFormat="false" ht="19.5" hidden="false" customHeight="true" outlineLevel="0" collapsed="false">
      <c r="B34" s="52" t="s">
        <v>185</v>
      </c>
      <c r="C34" s="52"/>
      <c r="D34" s="81" t="n">
        <f aca="false">COUNTIFS('Issue Register'!$F$7:$F$41,$B34,'Issue Register'!$Y$7:$Y$41,"&lt;&gt;Closed",'Issue Register'!$Y$7:$Y$41,"&lt;&gt;Void",'Issue Register'!$E$7:$E$41,"&lt;&gt;")</f>
        <v>1</v>
      </c>
      <c r="E34" s="81" t="n">
        <f aca="false">COUNTIFS('Issue Register'!$F$7:$F$41,$B34,'Issue Register'!$Y$7:$Y$41,"Overdue")</f>
        <v>0</v>
      </c>
      <c r="F34" s="81" t="n">
        <f aca="false">COUNTIFS('Issue Register'!$F$7:$F$41,$B34,'Issue Register'!$Z$7:$Z$41,"Refer up*")+COUNTIFS('Issue Register'!$F$7:$F$41,$B34,'Issue Register'!$Z$7:$Z$41,"Escalated*")-COUNTIFS('Issue Register'!$F$7:$F$41,$B34,'Issue Register'!$Z$7:$Z$41,"Escalated - decided")</f>
        <v>1</v>
      </c>
      <c r="G34" s="81" t="n">
        <f aca="false">COUNTIFS('Issue Register'!$F$7:$F$41,$B34,'Issue Register'!$Y$7:$Y$41,"Closed")</f>
        <v>0</v>
      </c>
      <c r="H34" s="82" t="n">
        <f aca="false">SUMIFS('Issue Register'!$N$7:$N$41,'Issue Register'!$F$7:$F$41,$B34,'Issue Register'!$Y$7:$Y$41,"&lt;&gt;Closed",'Issue Register'!$Y$7:$Y$41,"&lt;&gt;Void",'Issue Register'!$E$7:$E$41,"&lt;&gt;")</f>
        <v>-85000</v>
      </c>
      <c r="I34" s="82"/>
    </row>
    <row r="35" customFormat="false" ht="19.5" hidden="false" customHeight="true" outlineLevel="0" collapsed="false">
      <c r="B35" s="50" t="s">
        <v>186</v>
      </c>
      <c r="C35" s="50"/>
      <c r="D35" s="81" t="n">
        <f aca="false">COUNTIFS('Issue Register'!$F$7:$F$41,$B35,'Issue Register'!$Y$7:$Y$41,"&lt;&gt;Closed",'Issue Register'!$Y$7:$Y$41,"&lt;&gt;Void",'Issue Register'!$E$7:$E$41,"&lt;&gt;")</f>
        <v>1</v>
      </c>
      <c r="E35" s="81" t="n">
        <f aca="false">COUNTIFS('Issue Register'!$F$7:$F$41,$B35,'Issue Register'!$Y$7:$Y$41,"Overdue")</f>
        <v>0</v>
      </c>
      <c r="F35" s="81" t="n">
        <f aca="false">COUNTIFS('Issue Register'!$F$7:$F$41,$B35,'Issue Register'!$Z$7:$Z$41,"Refer up*")+COUNTIFS('Issue Register'!$F$7:$F$41,$B35,'Issue Register'!$Z$7:$Z$41,"Escalated*")-COUNTIFS('Issue Register'!$F$7:$F$41,$B35,'Issue Register'!$Z$7:$Z$41,"Escalated - decided")</f>
        <v>0</v>
      </c>
      <c r="G35" s="81" t="n">
        <f aca="false">COUNTIFS('Issue Register'!$F$7:$F$41,$B35,'Issue Register'!$Y$7:$Y$41,"Closed")</f>
        <v>0</v>
      </c>
      <c r="H35" s="82" t="n">
        <f aca="false">SUMIFS('Issue Register'!$N$7:$N$41,'Issue Register'!$F$7:$F$41,$B35,'Issue Register'!$Y$7:$Y$41,"&lt;&gt;Closed",'Issue Register'!$Y$7:$Y$41,"&lt;&gt;Void",'Issue Register'!$E$7:$E$41,"&lt;&gt;")</f>
        <v>-40000</v>
      </c>
      <c r="I35" s="82"/>
    </row>
    <row r="36" customFormat="false" ht="19.5" hidden="false" customHeight="true" outlineLevel="0" collapsed="false">
      <c r="B36" s="52" t="s">
        <v>187</v>
      </c>
      <c r="C36" s="52"/>
      <c r="D36" s="81" t="n">
        <f aca="false">COUNTIFS('Issue Register'!$F$7:$F$41,$B36,'Issue Register'!$Y$7:$Y$41,"&lt;&gt;Closed",'Issue Register'!$Y$7:$Y$41,"&lt;&gt;Void",'Issue Register'!$E$7:$E$41,"&lt;&gt;")</f>
        <v>0</v>
      </c>
      <c r="E36" s="81" t="n">
        <f aca="false">COUNTIFS('Issue Register'!$F$7:$F$41,$B36,'Issue Register'!$Y$7:$Y$41,"Overdue")</f>
        <v>0</v>
      </c>
      <c r="F36" s="81" t="n">
        <f aca="false">COUNTIFS('Issue Register'!$F$7:$F$41,$B36,'Issue Register'!$Z$7:$Z$41,"Refer up*")+COUNTIFS('Issue Register'!$F$7:$F$41,$B36,'Issue Register'!$Z$7:$Z$41,"Escalated*")-COUNTIFS('Issue Register'!$F$7:$F$41,$B36,'Issue Register'!$Z$7:$Z$41,"Escalated - decided")</f>
        <v>0</v>
      </c>
      <c r="G36" s="81" t="n">
        <f aca="false">COUNTIFS('Issue Register'!$F$7:$F$41,$B36,'Issue Register'!$Y$7:$Y$41,"Closed")</f>
        <v>1</v>
      </c>
      <c r="H36" s="82" t="n">
        <f aca="false">SUMIFS('Issue Register'!$N$7:$N$41,'Issue Register'!$F$7:$F$41,$B36,'Issue Register'!$Y$7:$Y$41,"&lt;&gt;Closed",'Issue Register'!$Y$7:$Y$41,"&lt;&gt;Void",'Issue Register'!$E$7:$E$41,"&lt;&gt;")</f>
        <v>0</v>
      </c>
      <c r="I36" s="82"/>
    </row>
    <row r="37" customFormat="false" ht="19.5" hidden="false" customHeight="true" outlineLevel="0" collapsed="false">
      <c r="B37" s="50" t="s">
        <v>188</v>
      </c>
      <c r="C37" s="50"/>
      <c r="D37" s="81" t="n">
        <f aca="false">COUNTIFS('Issue Register'!$F$7:$F$41,$B37,'Issue Register'!$Y$7:$Y$41,"&lt;&gt;Closed",'Issue Register'!$Y$7:$Y$41,"&lt;&gt;Void",'Issue Register'!$E$7:$E$41,"&lt;&gt;")</f>
        <v>0</v>
      </c>
      <c r="E37" s="81" t="n">
        <f aca="false">COUNTIFS('Issue Register'!$F$7:$F$41,$B37,'Issue Register'!$Y$7:$Y$41,"Overdue")</f>
        <v>0</v>
      </c>
      <c r="F37" s="81" t="n">
        <f aca="false">COUNTIFS('Issue Register'!$F$7:$F$41,$B37,'Issue Register'!$Z$7:$Z$41,"Refer up*")+COUNTIFS('Issue Register'!$F$7:$F$41,$B37,'Issue Register'!$Z$7:$Z$41,"Escalated*")-COUNTIFS('Issue Register'!$F$7:$F$41,$B37,'Issue Register'!$Z$7:$Z$41,"Escalated - decided")</f>
        <v>0</v>
      </c>
      <c r="G37" s="81" t="n">
        <f aca="false">COUNTIFS('Issue Register'!$F$7:$F$41,$B37,'Issue Register'!$Y$7:$Y$41,"Closed")</f>
        <v>0</v>
      </c>
      <c r="H37" s="82" t="n">
        <f aca="false">SUMIFS('Issue Register'!$N$7:$N$41,'Issue Register'!$F$7:$F$41,$B37,'Issue Register'!$Y$7:$Y$41,"&lt;&gt;Closed",'Issue Register'!$Y$7:$Y$41,"&lt;&gt;Void",'Issue Register'!$E$7:$E$41,"&lt;&gt;")</f>
        <v>0</v>
      </c>
      <c r="I37" s="82"/>
    </row>
    <row r="38" customFormat="false" ht="19.5" hidden="false" customHeight="true" outlineLevel="0" collapsed="false">
      <c r="B38" s="52" t="s">
        <v>189</v>
      </c>
      <c r="C38" s="52"/>
      <c r="D38" s="81" t="n">
        <f aca="false">COUNTIFS('Issue Register'!$F$7:$F$41,$B38,'Issue Register'!$Y$7:$Y$41,"&lt;&gt;Closed",'Issue Register'!$Y$7:$Y$41,"&lt;&gt;Void",'Issue Register'!$E$7:$E$41,"&lt;&gt;")</f>
        <v>1</v>
      </c>
      <c r="E38" s="81" t="n">
        <f aca="false">COUNTIFS('Issue Register'!$F$7:$F$41,$B38,'Issue Register'!$Y$7:$Y$41,"Overdue")</f>
        <v>1</v>
      </c>
      <c r="F38" s="81" t="n">
        <f aca="false">COUNTIFS('Issue Register'!$F$7:$F$41,$B38,'Issue Register'!$Z$7:$Z$41,"Refer up*")+COUNTIFS('Issue Register'!$F$7:$F$41,$B38,'Issue Register'!$Z$7:$Z$41,"Escalated*")-COUNTIFS('Issue Register'!$F$7:$F$41,$B38,'Issue Register'!$Z$7:$Z$41,"Escalated - decided")</f>
        <v>0</v>
      </c>
      <c r="G38" s="81" t="n">
        <f aca="false">COUNTIFS('Issue Register'!$F$7:$F$41,$B38,'Issue Register'!$Y$7:$Y$41,"Closed")</f>
        <v>0</v>
      </c>
      <c r="H38" s="82" t="n">
        <f aca="false">SUMIFS('Issue Register'!$N$7:$N$41,'Issue Register'!$F$7:$F$41,$B38,'Issue Register'!$Y$7:$Y$41,"&lt;&gt;Closed",'Issue Register'!$Y$7:$Y$41,"&lt;&gt;Void",'Issue Register'!$E$7:$E$41,"&lt;&gt;")</f>
        <v>320000</v>
      </c>
      <c r="I38" s="82"/>
    </row>
    <row r="39" customFormat="false" ht="19.5" hidden="false" customHeight="true" outlineLevel="0" collapsed="false">
      <c r="B39" s="50" t="s">
        <v>190</v>
      </c>
      <c r="C39" s="50"/>
      <c r="D39" s="81" t="n">
        <f aca="false">COUNTIFS('Issue Register'!$F$7:$F$41,$B39,'Issue Register'!$Y$7:$Y$41,"&lt;&gt;Closed",'Issue Register'!$Y$7:$Y$41,"&lt;&gt;Void",'Issue Register'!$E$7:$E$41,"&lt;&gt;")</f>
        <v>1</v>
      </c>
      <c r="E39" s="81" t="n">
        <f aca="false">COUNTIFS('Issue Register'!$F$7:$F$41,$B39,'Issue Register'!$Y$7:$Y$41,"Overdue")</f>
        <v>0</v>
      </c>
      <c r="F39" s="81" t="n">
        <f aca="false">COUNTIFS('Issue Register'!$F$7:$F$41,$B39,'Issue Register'!$Z$7:$Z$41,"Refer up*")+COUNTIFS('Issue Register'!$F$7:$F$41,$B39,'Issue Register'!$Z$7:$Z$41,"Escalated*")-COUNTIFS('Issue Register'!$F$7:$F$41,$B39,'Issue Register'!$Z$7:$Z$41,"Escalated - decided")</f>
        <v>0</v>
      </c>
      <c r="G39" s="81" t="n">
        <f aca="false">COUNTIFS('Issue Register'!$F$7:$F$41,$B39,'Issue Register'!$Y$7:$Y$41,"Closed")</f>
        <v>0</v>
      </c>
      <c r="H39" s="82" t="n">
        <f aca="false">SUMIFS('Issue Register'!$N$7:$N$41,'Issue Register'!$F$7:$F$41,$B39,'Issue Register'!$Y$7:$Y$41,"&lt;&gt;Closed",'Issue Register'!$Y$7:$Y$41,"&lt;&gt;Void",'Issue Register'!$E$7:$E$41,"&lt;&gt;")</f>
        <v>0</v>
      </c>
      <c r="I39" s="82"/>
    </row>
    <row r="40" customFormat="false" ht="19.5" hidden="false" customHeight="true" outlineLevel="0" collapsed="false">
      <c r="B40" s="52" t="s">
        <v>191</v>
      </c>
      <c r="C40" s="52"/>
      <c r="D40" s="81" t="n">
        <f aca="false">COUNTIFS('Issue Register'!$F$7:$F$41,$B40,'Issue Register'!$Y$7:$Y$41,"&lt;&gt;Closed",'Issue Register'!$Y$7:$Y$41,"&lt;&gt;Void",'Issue Register'!$E$7:$E$41,"&lt;&gt;")</f>
        <v>1</v>
      </c>
      <c r="E40" s="81" t="n">
        <f aca="false">COUNTIFS('Issue Register'!$F$7:$F$41,$B40,'Issue Register'!$Y$7:$Y$41,"Overdue")</f>
        <v>1</v>
      </c>
      <c r="F40" s="81" t="n">
        <f aca="false">COUNTIFS('Issue Register'!$F$7:$F$41,$B40,'Issue Register'!$Z$7:$Z$41,"Refer up*")+COUNTIFS('Issue Register'!$F$7:$F$41,$B40,'Issue Register'!$Z$7:$Z$41,"Escalated*")-COUNTIFS('Issue Register'!$F$7:$F$41,$B40,'Issue Register'!$Z$7:$Z$41,"Escalated - decided")</f>
        <v>1</v>
      </c>
      <c r="G40" s="81" t="n">
        <f aca="false">COUNTIFS('Issue Register'!$F$7:$F$41,$B40,'Issue Register'!$Y$7:$Y$41,"Closed")</f>
        <v>0</v>
      </c>
      <c r="H40" s="82" t="n">
        <f aca="false">SUMIFS('Issue Register'!$N$7:$N$41,'Issue Register'!$F$7:$F$41,$B40,'Issue Register'!$Y$7:$Y$41,"&lt;&gt;Closed",'Issue Register'!$Y$7:$Y$41,"&lt;&gt;Void",'Issue Register'!$E$7:$E$41,"&lt;&gt;")</f>
        <v>0</v>
      </c>
      <c r="I40" s="82"/>
    </row>
    <row r="42" customFormat="false" ht="21.75" hidden="false" customHeight="true" outlineLevel="0" collapsed="false">
      <c r="B42" s="6" t="s">
        <v>192</v>
      </c>
      <c r="C42" s="6"/>
      <c r="D42" s="6"/>
      <c r="E42" s="6"/>
      <c r="F42" s="6"/>
      <c r="G42" s="6"/>
      <c r="H42" s="6"/>
      <c r="I42" s="6"/>
    </row>
    <row r="43" customFormat="false" ht="12.75" hidden="false" customHeight="true" outlineLevel="0" collapsed="false">
      <c r="B43" s="41" t="s">
        <v>193</v>
      </c>
      <c r="C43" s="41"/>
      <c r="D43" s="41"/>
      <c r="E43" s="41"/>
      <c r="F43" s="41"/>
      <c r="G43" s="41"/>
      <c r="H43" s="41"/>
      <c r="I43" s="41"/>
    </row>
    <row r="44" customFormat="false" ht="12.75" hidden="false" customHeight="true" outlineLevel="0" collapsed="false">
      <c r="B44" s="41"/>
      <c r="C44" s="41"/>
      <c r="D44" s="41"/>
      <c r="E44" s="41"/>
      <c r="F44" s="41"/>
      <c r="G44" s="41"/>
      <c r="H44" s="41"/>
      <c r="I44" s="41"/>
    </row>
    <row r="45" customFormat="false" ht="21.75" hidden="false" customHeight="true" outlineLevel="0" collapsed="false">
      <c r="B45" s="10" t="s">
        <v>194</v>
      </c>
      <c r="C45" s="10"/>
      <c r="D45" s="10" t="s">
        <v>44</v>
      </c>
      <c r="E45" s="10" t="s">
        <v>50</v>
      </c>
      <c r="F45" s="10" t="s">
        <v>195</v>
      </c>
      <c r="G45" s="10"/>
      <c r="H45" s="10" t="s">
        <v>174</v>
      </c>
      <c r="I45" s="10"/>
    </row>
    <row r="46" customFormat="false" ht="19.5" hidden="false" customHeight="true" outlineLevel="0" collapsed="false">
      <c r="B46" s="50" t="s">
        <v>196</v>
      </c>
      <c r="C46" s="50"/>
      <c r="D46" s="81" t="n">
        <f aca="false">COUNTIFS('Issue Register'!$J$7:$J$41,$B46,'Issue Register'!$Y$7:$Y$41,"&lt;&gt;Closed",'Issue Register'!$Y$7:$Y$41,"&lt;&gt;Void",'Issue Register'!$E$7:$E$41,"&lt;&gt;")</f>
        <v>6</v>
      </c>
      <c r="E46" s="81" t="n">
        <f aca="false">COUNTIFS('Issue Register'!$J$7:$J$41,$B46,'Issue Register'!$Y$7:$Y$41,"Overdue")</f>
        <v>3</v>
      </c>
      <c r="F46" s="81" t="n">
        <f aca="false">IF($D46=0,"",SUMPRODUCT(MAX(('Issue Register'!$J$7:$J$41=$B46)*('Issue Register'!$Y$7:$Y$41&lt;&gt;"Closed")*('Issue Register'!$Y$7:$Y$41&lt;&gt;"Void")*('Issue Register'!$E$7:$E$41&lt;&gt;"")*('Issue Register'!$D$7:$D$41&lt;&gt;"")*(Setup!$D$12-'Issue Register'!$D$7:$D$41))))</f>
        <v>70</v>
      </c>
      <c r="G46" s="81"/>
      <c r="H46" s="82" t="n">
        <f aca="false">SUMIFS('Issue Register'!$N$7:$N$41,'Issue Register'!$J$7:$J$41,$B46,'Issue Register'!$Y$7:$Y$41,"&lt;&gt;Closed",'Issue Register'!$Y$7:$Y$41,"&lt;&gt;Void",'Issue Register'!$E$7:$E$41,"&lt;&gt;")</f>
        <v>0</v>
      </c>
      <c r="I46" s="82"/>
    </row>
    <row r="47" customFormat="false" ht="19.5" hidden="false" customHeight="true" outlineLevel="0" collapsed="false">
      <c r="B47" s="52" t="s">
        <v>197</v>
      </c>
      <c r="C47" s="52"/>
      <c r="D47" s="81" t="n">
        <f aca="false">COUNTIFS('Issue Register'!$J$7:$J$41,$B47,'Issue Register'!$Y$7:$Y$41,"&lt;&gt;Closed",'Issue Register'!$Y$7:$Y$41,"&lt;&gt;Void",'Issue Register'!$E$7:$E$41,"&lt;&gt;")</f>
        <v>2</v>
      </c>
      <c r="E47" s="81" t="n">
        <f aca="false">COUNTIFS('Issue Register'!$J$7:$J$41,$B47,'Issue Register'!$Y$7:$Y$41,"Overdue")</f>
        <v>1</v>
      </c>
      <c r="F47" s="81" t="n">
        <f aca="false">IF($D47=0,"",SUMPRODUCT(MAX(('Issue Register'!$J$7:$J$41=$B47)*('Issue Register'!$Y$7:$Y$41&lt;&gt;"Closed")*('Issue Register'!$Y$7:$Y$41&lt;&gt;"Void")*('Issue Register'!$E$7:$E$41&lt;&gt;"")*('Issue Register'!$D$7:$D$41&lt;&gt;"")*(Setup!$D$12-'Issue Register'!$D$7:$D$41))))</f>
        <v>94</v>
      </c>
      <c r="G47" s="81"/>
      <c r="H47" s="82" t="n">
        <f aca="false">SUMIFS('Issue Register'!$N$7:$N$41,'Issue Register'!$J$7:$J$41,$B47,'Issue Register'!$Y$7:$Y$41,"&lt;&gt;Closed",'Issue Register'!$Y$7:$Y$41,"&lt;&gt;Void",'Issue Register'!$E$7:$E$41,"&lt;&gt;")</f>
        <v>320000</v>
      </c>
      <c r="I47" s="82"/>
    </row>
    <row r="48" customFormat="false" ht="19.5" hidden="false" customHeight="true" outlineLevel="0" collapsed="false">
      <c r="B48" s="50" t="s">
        <v>198</v>
      </c>
      <c r="C48" s="50"/>
      <c r="D48" s="81" t="n">
        <f aca="false">COUNTIFS('Issue Register'!$J$7:$J$41,$B48,'Issue Register'!$Y$7:$Y$41,"&lt;&gt;Closed",'Issue Register'!$Y$7:$Y$41,"&lt;&gt;Void",'Issue Register'!$E$7:$E$41,"&lt;&gt;")</f>
        <v>3</v>
      </c>
      <c r="E48" s="81" t="n">
        <f aca="false">COUNTIFS('Issue Register'!$J$7:$J$41,$B48,'Issue Register'!$Y$7:$Y$41,"Overdue")</f>
        <v>2</v>
      </c>
      <c r="F48" s="81" t="n">
        <f aca="false">IF($D48=0,"",SUMPRODUCT(MAX(('Issue Register'!$J$7:$J$41=$B48)*('Issue Register'!$Y$7:$Y$41&lt;&gt;"Closed")*('Issue Register'!$Y$7:$Y$41&lt;&gt;"Void")*('Issue Register'!$E$7:$E$41&lt;&gt;"")*('Issue Register'!$D$7:$D$41&lt;&gt;"")*(Setup!$D$12-'Issue Register'!$D$7:$D$41))))</f>
        <v>74</v>
      </c>
      <c r="G48" s="81"/>
      <c r="H48" s="82" t="n">
        <f aca="false">SUMIFS('Issue Register'!$N$7:$N$41,'Issue Register'!$J$7:$J$41,$B48,'Issue Register'!$Y$7:$Y$41,"&lt;&gt;Closed",'Issue Register'!$Y$7:$Y$41,"&lt;&gt;Void",'Issue Register'!$E$7:$E$41,"&lt;&gt;")</f>
        <v>5000</v>
      </c>
      <c r="I48" s="82"/>
    </row>
    <row r="49" customFormat="false" ht="19.5" hidden="false" customHeight="true" outlineLevel="0" collapsed="false">
      <c r="B49" s="52" t="s">
        <v>199</v>
      </c>
      <c r="C49" s="52"/>
      <c r="D49" s="81" t="n">
        <f aca="false">COUNTIFS('Issue Register'!$J$7:$J$41,$B49,'Issue Register'!$Y$7:$Y$41,"&lt;&gt;Closed",'Issue Register'!$Y$7:$Y$41,"&lt;&gt;Void",'Issue Register'!$E$7:$E$41,"&lt;&gt;")</f>
        <v>0</v>
      </c>
      <c r="E49" s="81" t="n">
        <f aca="false">COUNTIFS('Issue Register'!$J$7:$J$41,$B49,'Issue Register'!$Y$7:$Y$41,"Overdue")</f>
        <v>0</v>
      </c>
      <c r="F49" s="81" t="str">
        <f aca="false">IF($D49=0,"",SUMPRODUCT(MAX(('Issue Register'!$J$7:$J$41=$B49)*('Issue Register'!$Y$7:$Y$41&lt;&gt;"Closed")*('Issue Register'!$Y$7:$Y$41&lt;&gt;"Void")*('Issue Register'!$E$7:$E$41&lt;&gt;"")*('Issue Register'!$D$7:$D$41&lt;&gt;"")*(Setup!$D$12-'Issue Register'!$D$7:$D$41))))</f>
        <v/>
      </c>
      <c r="G49" s="81"/>
      <c r="H49" s="82" t="n">
        <f aca="false">SUMIFS('Issue Register'!$N$7:$N$41,'Issue Register'!$J$7:$J$41,$B49,'Issue Register'!$Y$7:$Y$41,"&lt;&gt;Closed",'Issue Register'!$Y$7:$Y$41,"&lt;&gt;Void",'Issue Register'!$E$7:$E$41,"&lt;&gt;")</f>
        <v>0</v>
      </c>
      <c r="I49" s="82"/>
    </row>
    <row r="50" customFormat="false" ht="19.5" hidden="false" customHeight="true" outlineLevel="0" collapsed="false">
      <c r="B50" s="50" t="s">
        <v>200</v>
      </c>
      <c r="C50" s="50"/>
      <c r="D50" s="81" t="n">
        <f aca="false">COUNTIFS('Issue Register'!$J$7:$J$41,$B50,'Issue Register'!$Y$7:$Y$41,"&lt;&gt;Closed",'Issue Register'!$Y$7:$Y$41,"&lt;&gt;Void",'Issue Register'!$E$7:$E$41,"&lt;&gt;")</f>
        <v>0</v>
      </c>
      <c r="E50" s="81" t="n">
        <f aca="false">COUNTIFS('Issue Register'!$J$7:$J$41,$B50,'Issue Register'!$Y$7:$Y$41,"Overdue")</f>
        <v>0</v>
      </c>
      <c r="F50" s="81" t="str">
        <f aca="false">IF($D50=0,"",SUMPRODUCT(MAX(('Issue Register'!$J$7:$J$41=$B50)*('Issue Register'!$Y$7:$Y$41&lt;&gt;"Closed")*('Issue Register'!$Y$7:$Y$41&lt;&gt;"Void")*('Issue Register'!$E$7:$E$41&lt;&gt;"")*('Issue Register'!$D$7:$D$41&lt;&gt;"")*(Setup!$D$12-'Issue Register'!$D$7:$D$41))))</f>
        <v/>
      </c>
      <c r="G50" s="81"/>
      <c r="H50" s="82" t="n">
        <f aca="false">SUMIFS('Issue Register'!$N$7:$N$41,'Issue Register'!$J$7:$J$41,$B50,'Issue Register'!$Y$7:$Y$41,"&lt;&gt;Closed",'Issue Register'!$Y$7:$Y$41,"&lt;&gt;Void",'Issue Register'!$E$7:$E$41,"&lt;&gt;")</f>
        <v>0</v>
      </c>
      <c r="I50" s="82"/>
    </row>
    <row r="51" customFormat="false" ht="19.5" hidden="false" customHeight="true" outlineLevel="0" collapsed="false">
      <c r="B51" s="52" t="s">
        <v>201</v>
      </c>
      <c r="C51" s="52"/>
      <c r="D51" s="81" t="n">
        <f aca="false">COUNTIFS('Issue Register'!$J$7:$J$41,$B51,'Issue Register'!$Y$7:$Y$41,"&lt;&gt;Closed",'Issue Register'!$Y$7:$Y$41,"&lt;&gt;Void",'Issue Register'!$E$7:$E$41,"&lt;&gt;")</f>
        <v>0</v>
      </c>
      <c r="E51" s="81" t="n">
        <f aca="false">COUNTIFS('Issue Register'!$J$7:$J$41,$B51,'Issue Register'!$Y$7:$Y$41,"Overdue")</f>
        <v>0</v>
      </c>
      <c r="F51" s="81" t="str">
        <f aca="false">IF($D51=0,"",SUMPRODUCT(MAX(('Issue Register'!$J$7:$J$41=$B51)*('Issue Register'!$Y$7:$Y$41&lt;&gt;"Closed")*('Issue Register'!$Y$7:$Y$41&lt;&gt;"Void")*('Issue Register'!$E$7:$E$41&lt;&gt;"")*('Issue Register'!$D$7:$D$41&lt;&gt;"")*(Setup!$D$12-'Issue Register'!$D$7:$D$41))))</f>
        <v/>
      </c>
      <c r="G51" s="81"/>
      <c r="H51" s="82" t="n">
        <f aca="false">SUMIFS('Issue Register'!$N$7:$N$41,'Issue Register'!$J$7:$J$41,$B51,'Issue Register'!$Y$7:$Y$41,"&lt;&gt;Closed",'Issue Register'!$Y$7:$Y$41,"&lt;&gt;Void",'Issue Register'!$E$7:$E$41,"&lt;&gt;")</f>
        <v>0</v>
      </c>
      <c r="I51" s="82"/>
    </row>
    <row r="53" customFormat="false" ht="21.75" hidden="false" customHeight="true" outlineLevel="0" collapsed="false">
      <c r="B53" s="6" t="s">
        <v>202</v>
      </c>
      <c r="C53" s="6"/>
      <c r="D53" s="6"/>
      <c r="E53" s="6"/>
      <c r="F53" s="6"/>
      <c r="G53" s="6"/>
      <c r="H53" s="6"/>
      <c r="I53" s="6"/>
    </row>
    <row r="54" customFormat="false" ht="21.75" hidden="false" customHeight="true" outlineLevel="0" collapsed="false">
      <c r="B54" s="83" t="s">
        <v>203</v>
      </c>
      <c r="C54" s="83"/>
      <c r="D54" s="83"/>
      <c r="E54" s="83"/>
      <c r="F54" s="83"/>
      <c r="G54" s="84" t="n">
        <f aca="false">COUNTIF('Issue Register'!$P$7:$P$41,"Required - not served")</f>
        <v>3</v>
      </c>
      <c r="H54" s="84"/>
      <c r="I54" s="84"/>
    </row>
    <row r="55" customFormat="false" ht="21.75" hidden="false" customHeight="true" outlineLevel="0" collapsed="false">
      <c r="B55" s="83" t="s">
        <v>204</v>
      </c>
      <c r="C55" s="83"/>
      <c r="D55" s="83"/>
      <c r="E55" s="83"/>
      <c r="F55" s="83"/>
      <c r="G55" s="84" t="n">
        <f aca="false">COUNTIF('Notices &amp; Early Warnings'!$N$7:$N$30,"OVERDUE*")</f>
        <v>2</v>
      </c>
      <c r="H55" s="84"/>
      <c r="I55" s="84"/>
    </row>
    <row r="56" customFormat="false" ht="21.75" hidden="false" customHeight="true" outlineLevel="0" collapsed="false">
      <c r="B56" s="85" t="s">
        <v>205</v>
      </c>
      <c r="C56" s="85"/>
      <c r="D56" s="85"/>
      <c r="E56" s="85"/>
      <c r="F56" s="85"/>
      <c r="G56" s="86" t="n">
        <f aca="false">COUNTIF('Notices &amp; Early Warnings'!$N$7:$N$30,"Awaiting response")+COUNTIF('Notices &amp; Early Warnings'!$N$7:$N$30,"Response overdue")</f>
        <v>1</v>
      </c>
      <c r="H56" s="86"/>
      <c r="I56" s="86"/>
    </row>
    <row r="57" customFormat="false" ht="21.75" hidden="false" customHeight="true" outlineLevel="0" collapsed="false">
      <c r="B57" s="87" t="s">
        <v>206</v>
      </c>
      <c r="C57" s="87"/>
      <c r="D57" s="87"/>
      <c r="E57" s="87"/>
      <c r="F57" s="87"/>
      <c r="G57" s="88" t="n">
        <f aca="false">COUNTIF('Notices &amp; Early Warnings'!$N$7:$N$30,"Closed out")</f>
        <v>2</v>
      </c>
      <c r="H57" s="88"/>
      <c r="I57" s="88"/>
    </row>
    <row r="58" customFormat="false" ht="21.75" hidden="false" customHeight="true" outlineLevel="0" collapsed="false">
      <c r="B58" s="89" t="s">
        <v>207</v>
      </c>
      <c r="C58" s="89"/>
      <c r="D58" s="89"/>
      <c r="E58" s="89"/>
      <c r="F58" s="89"/>
      <c r="G58" s="90" t="n">
        <f aca="false">SUMPRODUCT(('Issue Register'!$P$7:$P$41="Required - not served")*(COUNTIF('Notices &amp; Early Warnings'!$B$7:$B$30,'Issue Register'!$B$7:$B$41)=0))</f>
        <v>1</v>
      </c>
      <c r="H58" s="90"/>
      <c r="I58" s="90"/>
    </row>
    <row r="60" customFormat="false" ht="18" hidden="false" customHeight="true" outlineLevel="0" collapsed="false">
      <c r="B60" s="59" t="s">
        <v>152</v>
      </c>
      <c r="C60" s="59"/>
      <c r="D60" s="59"/>
      <c r="E60" s="59"/>
      <c r="F60" s="59"/>
      <c r="G60" s="59"/>
      <c r="H60" s="59"/>
      <c r="I60" s="59"/>
    </row>
  </sheetData>
  <mergeCells count="93">
    <mergeCell ref="B1:I1"/>
    <mergeCell ref="B2:I2"/>
    <mergeCell ref="B3:I3"/>
    <mergeCell ref="B4:I4"/>
    <mergeCell ref="B6:I6"/>
    <mergeCell ref="B7:C7"/>
    <mergeCell ref="D7:E7"/>
    <mergeCell ref="F7:G7"/>
    <mergeCell ref="H7:I7"/>
    <mergeCell ref="B8:C8"/>
    <mergeCell ref="D8:E8"/>
    <mergeCell ref="F8:G8"/>
    <mergeCell ref="H8:I8"/>
    <mergeCell ref="B10:C10"/>
    <mergeCell ref="D10:E10"/>
    <mergeCell ref="F10:G10"/>
    <mergeCell ref="H10:I10"/>
    <mergeCell ref="B11:C11"/>
    <mergeCell ref="D11:E11"/>
    <mergeCell ref="F11:G11"/>
    <mergeCell ref="H11:I11"/>
    <mergeCell ref="B13:D13"/>
    <mergeCell ref="F13:I13"/>
    <mergeCell ref="B14:D14"/>
    <mergeCell ref="F14:I14"/>
    <mergeCell ref="B16:I16"/>
    <mergeCell ref="B17:I18"/>
    <mergeCell ref="B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 ref="B38:C38"/>
    <mergeCell ref="H38:I38"/>
    <mergeCell ref="B39:C39"/>
    <mergeCell ref="H39:I39"/>
    <mergeCell ref="B40:C40"/>
    <mergeCell ref="H40:I40"/>
    <mergeCell ref="B42:I42"/>
    <mergeCell ref="B43:I44"/>
    <mergeCell ref="B45:C45"/>
    <mergeCell ref="F45:G45"/>
    <mergeCell ref="H45:I45"/>
    <mergeCell ref="B46:C46"/>
    <mergeCell ref="F46:G46"/>
    <mergeCell ref="H46:I46"/>
    <mergeCell ref="B47:C47"/>
    <mergeCell ref="F47:G47"/>
    <mergeCell ref="H47:I47"/>
    <mergeCell ref="B48:C48"/>
    <mergeCell ref="F48:G48"/>
    <mergeCell ref="H48:I48"/>
    <mergeCell ref="B49:C49"/>
    <mergeCell ref="F49:G49"/>
    <mergeCell ref="H49:I49"/>
    <mergeCell ref="B50:C50"/>
    <mergeCell ref="F50:G50"/>
    <mergeCell ref="H50:I50"/>
    <mergeCell ref="B51:C51"/>
    <mergeCell ref="F51:G51"/>
    <mergeCell ref="H51:I51"/>
    <mergeCell ref="B53:I53"/>
    <mergeCell ref="B54:F54"/>
    <mergeCell ref="G54:I54"/>
    <mergeCell ref="B55:F55"/>
    <mergeCell ref="G55:I55"/>
    <mergeCell ref="B56:F56"/>
    <mergeCell ref="G56:I56"/>
    <mergeCell ref="B57:F57"/>
    <mergeCell ref="G57:I57"/>
    <mergeCell ref="B58:F58"/>
    <mergeCell ref="G58:I58"/>
    <mergeCell ref="B60:I60"/>
  </mergeCells>
  <conditionalFormatting sqref="B3:I3">
    <cfRule type="expression" priority="2" aboveAverage="0" equalAverage="0" bottom="0" percent="0" rank="0" text="" dxfId="0">
      <formula>LEN($B$3)&gt;0</formula>
    </cfRule>
  </conditionalFormatting>
  <conditionalFormatting sqref="E13">
    <cfRule type="expression" priority="3" aboveAverage="0" equalAverage="0" bottom="0" percent="0" rank="0" text="" dxfId="0">
      <formula>AND($E13&lt;&gt;"",$E13&gt;Setup!$D$36)</formula>
    </cfRule>
  </conditionalFormatting>
  <conditionalFormatting sqref="E14">
    <cfRule type="expression" priority="4" aboveAverage="0" equalAverage="0" bottom="0" percent="0" rank="0" text="" dxfId="2">
      <formula>$E14&gt;0</formula>
    </cfRule>
  </conditionalFormatting>
  <conditionalFormatting sqref="C20">
    <cfRule type="expression" priority="5" aboveAverage="0" equalAverage="0" bottom="0" percent="0" rank="0" text="" dxfId="3">
      <formula>AND($C20&gt;0,0&gt;Setup!$D$27)</formula>
    </cfRule>
    <cfRule type="expression" priority="6" aboveAverage="0" equalAverage="0" bottom="0" percent="0" rank="0" text="" dxfId="4">
      <formula>AND($C20&gt;0,0&lt;=Setup!$D$27,Setup!$D$27&lt;=7)</formula>
    </cfRule>
  </conditionalFormatting>
  <conditionalFormatting sqref="D20">
    <cfRule type="expression" priority="7" aboveAverage="0" equalAverage="0" bottom="0" percent="0" rank="0" text="" dxfId="3">
      <formula>AND($D20&gt;0,8&gt;Setup!$D$27)</formula>
    </cfRule>
    <cfRule type="expression" priority="8" aboveAverage="0" equalAverage="0" bottom="0" percent="0" rank="0" text="" dxfId="4">
      <formula>AND($D20&gt;0,8&lt;=Setup!$D$27,Setup!$D$27&lt;=14)</formula>
    </cfRule>
  </conditionalFormatting>
  <conditionalFormatting sqref="E20">
    <cfRule type="expression" priority="9" aboveAverage="0" equalAverage="0" bottom="0" percent="0" rank="0" text="" dxfId="3">
      <formula>AND($E20&gt;0,15&gt;Setup!$D$27)</formula>
    </cfRule>
    <cfRule type="expression" priority="10" aboveAverage="0" equalAverage="0" bottom="0" percent="0" rank="0" text="" dxfId="4">
      <formula>AND($E20&gt;0,15&lt;=Setup!$D$27,Setup!$D$27&lt;=30)</formula>
    </cfRule>
  </conditionalFormatting>
  <conditionalFormatting sqref="F20">
    <cfRule type="expression" priority="11" aboveAverage="0" equalAverage="0" bottom="0" percent="0" rank="0" text="" dxfId="3">
      <formula>AND($F20&gt;0,31&gt;Setup!$D$27)</formula>
    </cfRule>
    <cfRule type="expression" priority="12" aboveAverage="0" equalAverage="0" bottom="0" percent="0" rank="0" text="" dxfId="4">
      <formula>AND($F20&gt;0,31&lt;=Setup!$D$27,Setup!$D$27&lt;=60)</formula>
    </cfRule>
  </conditionalFormatting>
  <conditionalFormatting sqref="G20">
    <cfRule type="expression" priority="13" aboveAverage="0" equalAverage="0" bottom="0" percent="0" rank="0" text="" dxfId="3">
      <formula>AND($G20&gt;0,61&gt;Setup!$D$27)</formula>
    </cfRule>
    <cfRule type="expression" priority="14" aboveAverage="0" equalAverage="0" bottom="0" percent="0" rank="0" text="" dxfId="4">
      <formula>AND($G20&gt;0,61&lt;=Setup!$D$27,Setup!$D$27&lt;=100000)</formula>
    </cfRule>
  </conditionalFormatting>
  <conditionalFormatting sqref="C21">
    <cfRule type="expression" priority="15" aboveAverage="0" equalAverage="0" bottom="0" percent="0" rank="0" text="" dxfId="3">
      <formula>AND($C21&gt;0,0&gt;Setup!$D$28)</formula>
    </cfRule>
    <cfRule type="expression" priority="16" aboveAverage="0" equalAverage="0" bottom="0" percent="0" rank="0" text="" dxfId="4">
      <formula>AND($C21&gt;0,0&lt;=Setup!$D$28,Setup!$D$28&lt;=7)</formula>
    </cfRule>
  </conditionalFormatting>
  <conditionalFormatting sqref="D21">
    <cfRule type="expression" priority="17" aboveAverage="0" equalAverage="0" bottom="0" percent="0" rank="0" text="" dxfId="3">
      <formula>AND($D21&gt;0,8&gt;Setup!$D$28)</formula>
    </cfRule>
    <cfRule type="expression" priority="18" aboveAverage="0" equalAverage="0" bottom="0" percent="0" rank="0" text="" dxfId="4">
      <formula>AND($D21&gt;0,8&lt;=Setup!$D$28,Setup!$D$28&lt;=14)</formula>
    </cfRule>
  </conditionalFormatting>
  <conditionalFormatting sqref="E21">
    <cfRule type="expression" priority="19" aboveAverage="0" equalAverage="0" bottom="0" percent="0" rank="0" text="" dxfId="3">
      <formula>AND($E21&gt;0,15&gt;Setup!$D$28)</formula>
    </cfRule>
    <cfRule type="expression" priority="20" aboveAverage="0" equalAverage="0" bottom="0" percent="0" rank="0" text="" dxfId="4">
      <formula>AND($E21&gt;0,15&lt;=Setup!$D$28,Setup!$D$28&lt;=30)</formula>
    </cfRule>
  </conditionalFormatting>
  <conditionalFormatting sqref="F21">
    <cfRule type="expression" priority="21" aboveAverage="0" equalAverage="0" bottom="0" percent="0" rank="0" text="" dxfId="3">
      <formula>AND($F21&gt;0,31&gt;Setup!$D$28)</formula>
    </cfRule>
    <cfRule type="expression" priority="22" aboveAverage="0" equalAverage="0" bottom="0" percent="0" rank="0" text="" dxfId="4">
      <formula>AND($F21&gt;0,31&lt;=Setup!$D$28,Setup!$D$28&lt;=60)</formula>
    </cfRule>
  </conditionalFormatting>
  <conditionalFormatting sqref="G21">
    <cfRule type="expression" priority="23" aboveAverage="0" equalAverage="0" bottom="0" percent="0" rank="0" text="" dxfId="3">
      <formula>AND($G21&gt;0,61&gt;Setup!$D$28)</formula>
    </cfRule>
    <cfRule type="expression" priority="24" aboveAverage="0" equalAverage="0" bottom="0" percent="0" rank="0" text="" dxfId="4">
      <formula>AND($G21&gt;0,61&lt;=Setup!$D$28,Setup!$D$28&lt;=100000)</formula>
    </cfRule>
  </conditionalFormatting>
  <conditionalFormatting sqref="C22">
    <cfRule type="expression" priority="25" aboveAverage="0" equalAverage="0" bottom="0" percent="0" rank="0" text="" dxfId="3">
      <formula>AND($C22&gt;0,0&gt;Setup!$D$29)</formula>
    </cfRule>
    <cfRule type="expression" priority="26" aboveAverage="0" equalAverage="0" bottom="0" percent="0" rank="0" text="" dxfId="4">
      <formula>AND($C22&gt;0,0&lt;=Setup!$D$29,Setup!$D$29&lt;=7)</formula>
    </cfRule>
  </conditionalFormatting>
  <conditionalFormatting sqref="D22">
    <cfRule type="expression" priority="27" aboveAverage="0" equalAverage="0" bottom="0" percent="0" rank="0" text="" dxfId="3">
      <formula>AND($D22&gt;0,8&gt;Setup!$D$29)</formula>
    </cfRule>
    <cfRule type="expression" priority="28" aboveAverage="0" equalAverage="0" bottom="0" percent="0" rank="0" text="" dxfId="4">
      <formula>AND($D22&gt;0,8&lt;=Setup!$D$29,Setup!$D$29&lt;=14)</formula>
    </cfRule>
  </conditionalFormatting>
  <conditionalFormatting sqref="E22">
    <cfRule type="expression" priority="29" aboveAverage="0" equalAverage="0" bottom="0" percent="0" rank="0" text="" dxfId="3">
      <formula>AND($E22&gt;0,15&gt;Setup!$D$29)</formula>
    </cfRule>
    <cfRule type="expression" priority="30" aboveAverage="0" equalAverage="0" bottom="0" percent="0" rank="0" text="" dxfId="4">
      <formula>AND($E22&gt;0,15&lt;=Setup!$D$29,Setup!$D$29&lt;=30)</formula>
    </cfRule>
  </conditionalFormatting>
  <conditionalFormatting sqref="F22">
    <cfRule type="expression" priority="31" aboveAverage="0" equalAverage="0" bottom="0" percent="0" rank="0" text="" dxfId="3">
      <formula>AND($F22&gt;0,31&gt;Setup!$D$29)</formula>
    </cfRule>
    <cfRule type="expression" priority="32" aboveAverage="0" equalAverage="0" bottom="0" percent="0" rank="0" text="" dxfId="4">
      <formula>AND($F22&gt;0,31&lt;=Setup!$D$29,Setup!$D$29&lt;=60)</formula>
    </cfRule>
  </conditionalFormatting>
  <conditionalFormatting sqref="G22">
    <cfRule type="expression" priority="33" aboveAverage="0" equalAverage="0" bottom="0" percent="0" rank="0" text="" dxfId="3">
      <formula>AND($G22&gt;0,61&gt;Setup!$D$29)</formula>
    </cfRule>
    <cfRule type="expression" priority="34" aboveAverage="0" equalAverage="0" bottom="0" percent="0" rank="0" text="" dxfId="4">
      <formula>AND($G22&gt;0,61&lt;=Setup!$D$29,Setup!$D$29&lt;=100000)</formula>
    </cfRule>
  </conditionalFormatting>
  <conditionalFormatting sqref="C23">
    <cfRule type="expression" priority="35" aboveAverage="0" equalAverage="0" bottom="0" percent="0" rank="0" text="" dxfId="3">
      <formula>AND($C23&gt;0,0&gt;Setup!$D$30)</formula>
    </cfRule>
    <cfRule type="expression" priority="36" aboveAverage="0" equalAverage="0" bottom="0" percent="0" rank="0" text="" dxfId="4">
      <formula>AND($C23&gt;0,0&lt;=Setup!$D$30,Setup!$D$30&lt;=7)</formula>
    </cfRule>
  </conditionalFormatting>
  <conditionalFormatting sqref="D23">
    <cfRule type="expression" priority="37" aboveAverage="0" equalAverage="0" bottom="0" percent="0" rank="0" text="" dxfId="3">
      <formula>AND($D23&gt;0,8&gt;Setup!$D$30)</formula>
    </cfRule>
    <cfRule type="expression" priority="38" aboveAverage="0" equalAverage="0" bottom="0" percent="0" rank="0" text="" dxfId="4">
      <formula>AND($D23&gt;0,8&lt;=Setup!$D$30,Setup!$D$30&lt;=14)</formula>
    </cfRule>
  </conditionalFormatting>
  <conditionalFormatting sqref="E23">
    <cfRule type="expression" priority="39" aboveAverage="0" equalAverage="0" bottom="0" percent="0" rank="0" text="" dxfId="3">
      <formula>AND($E23&gt;0,15&gt;Setup!$D$30)</formula>
    </cfRule>
    <cfRule type="expression" priority="40" aboveAverage="0" equalAverage="0" bottom="0" percent="0" rank="0" text="" dxfId="4">
      <formula>AND($E23&gt;0,15&lt;=Setup!$D$30,Setup!$D$30&lt;=30)</formula>
    </cfRule>
  </conditionalFormatting>
  <conditionalFormatting sqref="F23">
    <cfRule type="expression" priority="41" aboveAverage="0" equalAverage="0" bottom="0" percent="0" rank="0" text="" dxfId="3">
      <formula>AND($F23&gt;0,31&gt;Setup!$D$30)</formula>
    </cfRule>
    <cfRule type="expression" priority="42" aboveAverage="0" equalAverage="0" bottom="0" percent="0" rank="0" text="" dxfId="4">
      <formula>AND($F23&gt;0,31&lt;=Setup!$D$30,Setup!$D$30&lt;=60)</formula>
    </cfRule>
  </conditionalFormatting>
  <conditionalFormatting sqref="G23">
    <cfRule type="expression" priority="43" aboveAverage="0" equalAverage="0" bottom="0" percent="0" rank="0" text="" dxfId="3">
      <formula>AND($G23&gt;0,61&gt;Setup!$D$30)</formula>
    </cfRule>
    <cfRule type="expression" priority="44" aboveAverage="0" equalAverage="0" bottom="0" percent="0" rank="0" text="" dxfId="4">
      <formula>AND($G23&gt;0,61&lt;=Setup!$D$30,Setup!$D$30&lt;=100000)</formula>
    </cfRule>
  </conditionalFormatting>
  <conditionalFormatting sqref="H20:H23">
    <cfRule type="dataBar" priority="45">
      <dataBar showValue="1" minLength="10" maxLength="90">
        <cfvo type="num" val="0"/>
        <cfvo type="max" val="0"/>
        <color rgb="FF64B6F7"/>
      </dataBar>
      <extLst>
        <ext xmlns:x14="http://schemas.microsoft.com/office/spreadsheetml/2009/9/main" uri="{B025F937-C7B1-47D3-B67F-A62EFF666E3E}">
          <x14:id>{6120703F-EAAF-40A5-98B8-94A4AFDC967D}</x14:id>
        </ext>
      </extLst>
    </cfRule>
  </conditionalFormatting>
  <conditionalFormatting sqref="D27:D40">
    <cfRule type="dataBar" priority="46">
      <dataBar showValue="1" minLength="10" maxLength="90">
        <cfvo type="num" val="0"/>
        <cfvo type="max" val="0"/>
        <color rgb="FF64B6F7"/>
      </dataBar>
      <extLst>
        <ext xmlns:x14="http://schemas.microsoft.com/office/spreadsheetml/2009/9/main" uri="{B025F937-C7B1-47D3-B67F-A62EFF666E3E}">
          <x14:id>{BD6EBFF0-EA72-4414-8490-229E157D5A4C}</x14:id>
        </ext>
      </extLst>
    </cfRule>
  </conditionalFormatting>
  <conditionalFormatting sqref="E27:E40">
    <cfRule type="expression" priority="47" aboveAverage="0" equalAverage="0" bottom="0" percent="0" rank="0" text="" dxfId="5">
      <formula>$E27&gt;0</formula>
    </cfRule>
  </conditionalFormatting>
  <conditionalFormatting sqref="F27:F40">
    <cfRule type="expression" priority="48" aboveAverage="0" equalAverage="0" bottom="0" percent="0" rank="0" text="" dxfId="6">
      <formula>$F27&gt;0</formula>
    </cfRule>
  </conditionalFormatting>
  <conditionalFormatting sqref="D46:D51">
    <cfRule type="dataBar" priority="49">
      <dataBar showValue="1" minLength="10" maxLength="90">
        <cfvo type="num" val="0"/>
        <cfvo type="max" val="0"/>
        <color rgb="FF64B6F7"/>
      </dataBar>
      <extLst>
        <ext xmlns:x14="http://schemas.microsoft.com/office/spreadsheetml/2009/9/main" uri="{B025F937-C7B1-47D3-B67F-A62EFF666E3E}">
          <x14:id>{BF399027-C690-4544-B798-AA18491A3DAE}</x14:id>
        </ext>
      </extLst>
    </cfRule>
  </conditionalFormatting>
  <conditionalFormatting sqref="E46:E51">
    <cfRule type="expression" priority="50" aboveAverage="0" equalAverage="0" bottom="0" percent="0" rank="0" text="" dxfId="5">
      <formula>$E46&gt;0</formula>
    </cfRule>
  </conditionalFormatting>
  <hyperlinks>
    <hyperlink ref="B60"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24" man="true" max="16383" min="0"/>
  </rowBreaks>
  <drawing r:id="rId2"/>
  <extLst>
    <ext xmlns:x14="http://schemas.microsoft.com/office/spreadsheetml/2009/9/main" uri="{78C0D931-6437-407d-A8EE-F0AAD7539E65}">
      <x14:conditionalFormattings>
        <x14:conditionalFormatting xmlns:xm="http://schemas.microsoft.com/office/excel/2006/main">
          <x14:cfRule type="dataBar" id="{6120703F-EAAF-40A5-98B8-94A4AFDC967D}">
            <x14:dataBar minLength="10" maxLength="90" axisPosition="none" gradient="true">
              <x14:cfvo type="num">
                <xm:f>0</xm:f>
              </x14:cfvo>
              <x14:cfvo type="max"/>
              <x14:negativeFillColor rgb="FF64B6F7"/>
              <x14:axisColor rgb="FF000000"/>
            </x14:dataBar>
          </x14:cfRule>
          <xm:sqref>H20:H23</xm:sqref>
        </x14:conditionalFormatting>
        <x14:conditionalFormatting xmlns:xm="http://schemas.microsoft.com/office/excel/2006/main">
          <x14:cfRule type="dataBar" id="{BD6EBFF0-EA72-4414-8490-229E157D5A4C}">
            <x14:dataBar minLength="10" maxLength="90" axisPosition="none" gradient="true">
              <x14:cfvo type="num">
                <xm:f>0</xm:f>
              </x14:cfvo>
              <x14:cfvo type="max"/>
              <x14:negativeFillColor rgb="FF64B6F7"/>
              <x14:axisColor rgb="FF000000"/>
            </x14:dataBar>
          </x14:cfRule>
          <xm:sqref>D27:D40</xm:sqref>
        </x14:conditionalFormatting>
        <x14:conditionalFormatting xmlns:xm="http://schemas.microsoft.com/office/excel/2006/main">
          <x14:cfRule type="dataBar" id="{BF399027-C690-4544-B798-AA18491A3DAE}">
            <x14:dataBar minLength="10" maxLength="90" axisPosition="none" gradient="true">
              <x14:cfvo type="num">
                <xm:f>0</xm:f>
              </x14:cfvo>
              <x14:cfvo type="max"/>
              <x14:negativeFillColor rgb="FF64B6F7"/>
              <x14:axisColor rgb="FF000000"/>
            </x14:dataBar>
          </x14:cfRule>
          <xm:sqref>D46:D51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Z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6" topLeftCell="F7" activePane="bottomRight" state="frozen"/>
      <selection pane="topLeft" activeCell="A1" activeCellId="0" sqref="A1"/>
      <selection pane="topRight" activeCell="F1" activeCellId="0" sqref="F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4" min="3" style="0" width="13"/>
    <col collapsed="false" customWidth="true" hidden="false" outlineLevel="0" max="5" min="5" style="0" width="42"/>
    <col collapsed="false" customWidth="true" hidden="false" outlineLevel="0" max="6" min="6" style="0" width="15"/>
    <col collapsed="false" customWidth="true" hidden="false" outlineLevel="0" max="9" min="7" style="0" width="13"/>
    <col collapsed="false" customWidth="true" hidden="false" outlineLevel="0" max="10" min="10" style="0" width="12"/>
    <col collapsed="false" customWidth="true" hidden="false" outlineLevel="0" max="11" min="11" style="0" width="10"/>
    <col collapsed="false" customWidth="true" hidden="false" outlineLevel="0" max="12" min="12" style="0" width="11.5"/>
    <col collapsed="false" customWidth="true" hidden="false" outlineLevel="0" max="13" min="13" style="0" width="8"/>
    <col collapsed="false" customWidth="true" hidden="false" outlineLevel="0" max="14" min="14" style="0" width="11"/>
    <col collapsed="false" customWidth="true" hidden="false" outlineLevel="0" max="15" min="15" style="0" width="6.51"/>
    <col collapsed="false" customWidth="true" hidden="false" outlineLevel="0" max="17" min="16" style="0" width="12"/>
    <col collapsed="false" customWidth="true" hidden="false" outlineLevel="0" max="18" min="18" style="0" width="13"/>
    <col collapsed="false" customWidth="true" hidden="false" outlineLevel="0" max="19" min="19" style="0" width="26"/>
    <col collapsed="false" customWidth="true" hidden="false" outlineLevel="0" max="22" min="20" style="0" width="13"/>
    <col collapsed="false" customWidth="true" hidden="false" outlineLevel="0" max="23" min="23" style="0" width="11"/>
    <col collapsed="false" customWidth="true" hidden="false" outlineLevel="0" max="24" min="24" style="0" width="6.51"/>
    <col collapsed="false" customWidth="true" hidden="false" outlineLevel="0" max="25" min="25" style="0" width="13"/>
    <col collapsed="false" customWidth="true" hidden="false" outlineLevel="0" max="26" min="26" style="0" width="12"/>
    <col collapsed="false" customWidth="true" hidden="false" outlineLevel="0" max="27" min="27" style="0" width="2.2"/>
  </cols>
  <sheetData>
    <row r="1" customFormat="false" ht="33.75" hidden="false" customHeight="true" outlineLevel="0" collapsed="false">
      <c r="B1" s="38" t="s">
        <v>208</v>
      </c>
      <c r="C1" s="38"/>
      <c r="D1" s="38"/>
      <c r="E1" s="38"/>
      <c r="F1" s="38"/>
      <c r="G1" s="38"/>
      <c r="H1" s="38"/>
      <c r="I1" s="38"/>
      <c r="J1" s="38"/>
      <c r="K1" s="38"/>
      <c r="L1" s="38"/>
      <c r="M1" s="38"/>
      <c r="N1" s="38"/>
      <c r="O1" s="38"/>
      <c r="P1" s="38"/>
      <c r="Q1" s="38"/>
      <c r="R1" s="38"/>
      <c r="S1" s="38"/>
      <c r="T1" s="38"/>
      <c r="U1" s="38"/>
      <c r="V1" s="38"/>
      <c r="W1" s="38"/>
      <c r="X1" s="38"/>
      <c r="Y1" s="38"/>
      <c r="Z1" s="38"/>
    </row>
    <row r="2" customFormat="false" ht="4.5" hidden="false" customHeight="true" outlineLevel="0" collapsed="false">
      <c r="B2" s="91"/>
      <c r="C2" s="91"/>
      <c r="D2" s="91"/>
      <c r="E2" s="91"/>
      <c r="F2" s="91"/>
      <c r="G2" s="91"/>
      <c r="H2" s="91"/>
      <c r="I2" s="91"/>
      <c r="J2" s="91"/>
      <c r="K2" s="91"/>
      <c r="L2" s="91"/>
      <c r="M2" s="91"/>
      <c r="N2" s="91"/>
      <c r="O2" s="91"/>
      <c r="P2" s="91"/>
      <c r="Q2" s="91"/>
      <c r="R2" s="91"/>
      <c r="S2" s="91"/>
      <c r="T2" s="91"/>
      <c r="U2" s="91"/>
      <c r="V2" s="91"/>
      <c r="W2" s="91"/>
      <c r="X2" s="91"/>
      <c r="Y2" s="91"/>
      <c r="Z2" s="91"/>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c r="I3" s="40"/>
      <c r="J3" s="40"/>
      <c r="K3" s="40"/>
      <c r="L3" s="40"/>
      <c r="M3" s="40"/>
      <c r="N3" s="40"/>
      <c r="O3" s="40"/>
      <c r="P3" s="40"/>
      <c r="Q3" s="40"/>
      <c r="R3" s="40"/>
      <c r="S3" s="40"/>
      <c r="T3" s="40"/>
      <c r="U3" s="40"/>
      <c r="V3" s="40"/>
      <c r="W3" s="40"/>
      <c r="X3" s="40"/>
      <c r="Y3" s="40"/>
      <c r="Z3" s="40"/>
    </row>
    <row r="4" customFormat="false" ht="25.5" hidden="false" customHeight="true" outlineLevel="0" collapsed="false">
      <c r="B4" s="41" t="s">
        <v>209</v>
      </c>
      <c r="C4" s="41"/>
      <c r="D4" s="41"/>
      <c r="E4" s="41"/>
      <c r="F4" s="41"/>
      <c r="G4" s="41"/>
      <c r="H4" s="41"/>
      <c r="I4" s="41"/>
      <c r="J4" s="41"/>
      <c r="K4" s="41"/>
      <c r="L4" s="41"/>
      <c r="M4" s="41"/>
      <c r="N4" s="41"/>
      <c r="O4" s="41"/>
      <c r="P4" s="41"/>
      <c r="Q4" s="41"/>
      <c r="R4" s="41"/>
      <c r="S4" s="41"/>
      <c r="T4" s="41"/>
      <c r="U4" s="41"/>
      <c r="V4" s="41"/>
      <c r="W4" s="41"/>
      <c r="X4" s="41"/>
      <c r="Y4" s="41"/>
      <c r="Z4" s="41"/>
    </row>
    <row r="6" customFormat="false" ht="39.75" hidden="false" customHeight="true" outlineLevel="0" collapsed="false">
      <c r="B6" s="92" t="s">
        <v>210</v>
      </c>
      <c r="C6" s="10" t="s">
        <v>211</v>
      </c>
      <c r="D6" s="10" t="s">
        <v>212</v>
      </c>
      <c r="E6" s="10" t="s">
        <v>213</v>
      </c>
      <c r="F6" s="10" t="s">
        <v>176</v>
      </c>
      <c r="G6" s="10" t="s">
        <v>214</v>
      </c>
      <c r="H6" s="10" t="s">
        <v>215</v>
      </c>
      <c r="I6" s="10" t="s">
        <v>216</v>
      </c>
      <c r="J6" s="10" t="s">
        <v>194</v>
      </c>
      <c r="K6" s="10" t="s">
        <v>217</v>
      </c>
      <c r="L6" s="10" t="s">
        <v>218</v>
      </c>
      <c r="M6" s="92" t="s">
        <v>113</v>
      </c>
      <c r="N6" s="10" t="s">
        <v>219</v>
      </c>
      <c r="O6" s="10" t="s">
        <v>220</v>
      </c>
      <c r="P6" s="10" t="s">
        <v>221</v>
      </c>
      <c r="Q6" s="10" t="s">
        <v>222</v>
      </c>
      <c r="R6" s="92" t="s">
        <v>223</v>
      </c>
      <c r="S6" s="10" t="s">
        <v>224</v>
      </c>
      <c r="T6" s="10" t="s">
        <v>225</v>
      </c>
      <c r="U6" s="10" t="s">
        <v>226</v>
      </c>
      <c r="V6" s="10" t="s">
        <v>227</v>
      </c>
      <c r="W6" s="10" t="s">
        <v>52</v>
      </c>
      <c r="X6" s="92" t="s">
        <v>228</v>
      </c>
      <c r="Y6" s="92" t="s">
        <v>229</v>
      </c>
      <c r="Z6" s="92" t="s">
        <v>230</v>
      </c>
    </row>
    <row r="7" customFormat="false" ht="42" hidden="false" customHeight="true" outlineLevel="0" collapsed="false">
      <c r="B7" s="93" t="str">
        <f aca="false">IF($E7="","","ISS-"&amp;TEXT(ROW()-6,"000"))</f>
        <v>ISS-001</v>
      </c>
      <c r="C7" s="94" t="n">
        <f aca="true">TODAY()-96</f>
        <v>46155</v>
      </c>
      <c r="D7" s="94" t="n">
        <f aca="true">TODAY()-94</f>
        <v>46157</v>
      </c>
      <c r="E7" s="95" t="s">
        <v>231</v>
      </c>
      <c r="F7" s="95" t="s">
        <v>189</v>
      </c>
      <c r="G7" s="95" t="s">
        <v>232</v>
      </c>
      <c r="H7" s="95" t="s">
        <v>233</v>
      </c>
      <c r="I7" s="95" t="s">
        <v>234</v>
      </c>
      <c r="J7" s="95" t="s">
        <v>197</v>
      </c>
      <c r="K7" s="95" t="s">
        <v>235</v>
      </c>
      <c r="L7" s="95" t="s">
        <v>236</v>
      </c>
      <c r="M7" s="93" t="str">
        <f aca="false">IF(OR($K7="",$L7=""),"",IFERROR(INDEX(Reference!$C$19:$F$22,MATCH($K7,Reference!$B$19:$B$22,0),MATCH($L7,Reference!$C$18:$F$18,0)),""))</f>
        <v>P1</v>
      </c>
      <c r="N7" s="96" t="n">
        <v>320000</v>
      </c>
      <c r="O7" s="97" t="n">
        <v>25</v>
      </c>
      <c r="P7" s="95" t="s">
        <v>237</v>
      </c>
      <c r="Q7" s="95" t="s">
        <v>238</v>
      </c>
      <c r="R7" s="98" t="n">
        <f aca="false">IF(OR($D7="",$M7=""),"",$D7+IFERROR(VLOOKUP($M7,Setup!$B$27:$D$30,3,FALSE()),0))</f>
        <v>46162</v>
      </c>
      <c r="S7" s="95" t="s">
        <v>239</v>
      </c>
      <c r="T7" s="94"/>
      <c r="U7" s="95"/>
      <c r="V7" s="95"/>
      <c r="W7" s="95"/>
      <c r="X7" s="99" t="n">
        <f aca="false">IF(OR($D7="",$W7&lt;&gt;""),"",IF($T7&lt;&gt;"",$T7-$D7,Setup!$D$12-$D7))</f>
        <v>94</v>
      </c>
      <c r="Y7" s="100" t="str">
        <f aca="false">IF($E7="","",IF($W7&lt;&gt;"","Void",IF($T7&lt;&gt;"","Closed",IF(OR($C7="",$D7="",$K7="",$L7=""),"Incomplete entry",IF(Setup!$D$12&gt;$R7,"Overdue",IF($R7-Setup!$D$12&lt;=Setup!$D$35,"Due soon","Open"))))))</f>
        <v>Overdue</v>
      </c>
      <c r="Z7" s="100" t="str">
        <f aca="false">IF($E7="","",IF(OR($W7&lt;&gt;"",$T7&lt;&gt;""),"-",IF(COUNTIF(Escalations!$B$7:$B$26,$B7)&gt;0,IFERROR("Escalated - "&amp;IF(VLOOKUP($B7,Escalations!$B$7:$M$26,12,FALSE())="Decision made","decided",IF(VLOOKUP($B7,Escalations!$B$7:$M$26,12,FALSE())="Decision overdue","overdue","awaiting")),"Escalated - awaiting"),IF(ABS(N($N7))&gt;Setup!$D$18,"Refer up - value",IF(ABS(N($O7))&gt;Setup!$D$19,"Refer up - time",IF(AND(Setup!$D$20="Yes",$M7="P1"),"Refer up - P1",IF(AND($R7&lt;&gt;"",Setup!$D$12-$R7&gt;Setup!$D$21),"Refer up - age","-")))))))</f>
        <v>Escalated - decided</v>
      </c>
    </row>
    <row r="8" customFormat="false" ht="42" hidden="false" customHeight="true" outlineLevel="0" collapsed="false">
      <c r="B8" s="93" t="str">
        <f aca="false">IF($E8="","","ISS-"&amp;TEXT(ROW()-6,"000"))</f>
        <v>ISS-002</v>
      </c>
      <c r="C8" s="101" t="n">
        <f aca="true">TODAY()-88</f>
        <v>46163</v>
      </c>
      <c r="D8" s="101" t="n">
        <f aca="true">TODAY()-74</f>
        <v>46177</v>
      </c>
      <c r="E8" s="102" t="s">
        <v>240</v>
      </c>
      <c r="F8" s="102" t="s">
        <v>178</v>
      </c>
      <c r="G8" s="102" t="s">
        <v>241</v>
      </c>
      <c r="H8" s="102" t="s">
        <v>95</v>
      </c>
      <c r="I8" s="102" t="s">
        <v>242</v>
      </c>
      <c r="J8" s="102" t="s">
        <v>198</v>
      </c>
      <c r="K8" s="102" t="s">
        <v>243</v>
      </c>
      <c r="L8" s="102" t="s">
        <v>244</v>
      </c>
      <c r="M8" s="93" t="str">
        <f aca="false">IF(OR($K8="",$L8=""),"",IFERROR(INDEX(Reference!$C$19:$F$22,MATCH($K8,Reference!$B$19:$B$22,0),MATCH($L8,Reference!$C$18:$F$18,0)),""))</f>
        <v>P2</v>
      </c>
      <c r="N8" s="103" t="n">
        <v>45000</v>
      </c>
      <c r="O8" s="104" t="n">
        <v>10</v>
      </c>
      <c r="P8" s="102" t="s">
        <v>245</v>
      </c>
      <c r="Q8" s="102"/>
      <c r="R8" s="98" t="n">
        <f aca="false">IF(OR($D8="",$M8=""),"",$D8+IFERROR(VLOOKUP($M8,Setup!$B$27:$D$30,3,FALSE()),0))</f>
        <v>46192</v>
      </c>
      <c r="S8" s="102" t="s">
        <v>246</v>
      </c>
      <c r="T8" s="101"/>
      <c r="U8" s="102"/>
      <c r="V8" s="102"/>
      <c r="W8" s="102"/>
      <c r="X8" s="99" t="n">
        <f aca="false">IF(OR($D8="",$W8&lt;&gt;""),"",IF($T8&lt;&gt;"",$T8-$D8,Setup!$D$12-$D8))</f>
        <v>74</v>
      </c>
      <c r="Y8" s="100" t="str">
        <f aca="false">IF($E8="","",IF($W8&lt;&gt;"","Void",IF($T8&lt;&gt;"","Closed",IF(OR($C8="",$D8="",$K8="",$L8=""),"Incomplete entry",IF(Setup!$D$12&gt;$R8,"Overdue",IF($R8-Setup!$D$12&lt;=Setup!$D$35,"Due soon","Open"))))))</f>
        <v>Overdue</v>
      </c>
      <c r="Z8" s="100" t="str">
        <f aca="false">IF($E8="","",IF(OR($W8&lt;&gt;"",$T8&lt;&gt;""),"-",IF(COUNTIF(Escalations!$B$7:$B$26,$B8)&gt;0,IFERROR("Escalated - "&amp;IF(VLOOKUP($B8,Escalations!$B$7:$M$26,12,FALSE())="Decision made","decided",IF(VLOOKUP($B8,Escalations!$B$7:$M$26,12,FALSE())="Decision overdue","overdue","awaiting")),"Escalated - awaiting"),IF(ABS(N($N8))&gt;Setup!$D$18,"Refer up - value",IF(ABS(N($O8))&gt;Setup!$D$19,"Refer up - time",IF(AND(Setup!$D$20="Yes",$M8="P1"),"Refer up - P1",IF(AND($R8&lt;&gt;"",Setup!$D$12-$R8&gt;Setup!$D$21),"Refer up - age","-")))))))</f>
        <v>Escalated - overdue</v>
      </c>
    </row>
    <row r="9" customFormat="false" ht="42" hidden="false" customHeight="true" outlineLevel="0" collapsed="false">
      <c r="B9" s="93" t="str">
        <f aca="false">IF($E9="","","ISS-"&amp;TEXT(ROW()-6,"000"))</f>
        <v>ISS-003</v>
      </c>
      <c r="C9" s="94" t="n">
        <f aca="true">TODAY()-71</f>
        <v>46180</v>
      </c>
      <c r="D9" s="94" t="n">
        <f aca="true">TODAY()-70</f>
        <v>46181</v>
      </c>
      <c r="E9" s="95" t="s">
        <v>247</v>
      </c>
      <c r="F9" s="95" t="s">
        <v>191</v>
      </c>
      <c r="G9" s="95" t="s">
        <v>248</v>
      </c>
      <c r="H9" s="95" t="s">
        <v>95</v>
      </c>
      <c r="I9" s="95" t="s">
        <v>138</v>
      </c>
      <c r="J9" s="95" t="s">
        <v>196</v>
      </c>
      <c r="K9" s="95" t="s">
        <v>243</v>
      </c>
      <c r="L9" s="95" t="s">
        <v>244</v>
      </c>
      <c r="M9" s="93" t="str">
        <f aca="false">IF(OR($K9="",$L9=""),"",IFERROR(INDEX(Reference!$C$19:$F$22,MATCH($K9,Reference!$B$19:$B$22,0),MATCH($L9,Reference!$C$18:$F$18,0)),""))</f>
        <v>P2</v>
      </c>
      <c r="N9" s="96"/>
      <c r="O9" s="97" t="n">
        <v>30</v>
      </c>
      <c r="P9" s="95" t="s">
        <v>237</v>
      </c>
      <c r="Q9" s="95"/>
      <c r="R9" s="98" t="n">
        <f aca="false">IF(OR($D9="",$M9=""),"",$D9+IFERROR(VLOOKUP($M9,Setup!$B$27:$D$30,3,FALSE()),0))</f>
        <v>46196</v>
      </c>
      <c r="S9" s="95" t="s">
        <v>249</v>
      </c>
      <c r="T9" s="94"/>
      <c r="U9" s="95"/>
      <c r="V9" s="95"/>
      <c r="W9" s="95"/>
      <c r="X9" s="99" t="n">
        <f aca="false">IF(OR($D9="",$W9&lt;&gt;""),"",IF($T9&lt;&gt;"",$T9-$D9,Setup!$D$12-$D9))</f>
        <v>70</v>
      </c>
      <c r="Y9" s="100" t="str">
        <f aca="false">IF($E9="","",IF($W9&lt;&gt;"","Void",IF($T9&lt;&gt;"","Closed",IF(OR($C9="",$D9="",$K9="",$L9=""),"Incomplete entry",IF(Setup!$D$12&gt;$R9,"Overdue",IF($R9-Setup!$D$12&lt;=Setup!$D$35,"Due soon","Open"))))))</f>
        <v>Overdue</v>
      </c>
      <c r="Z9" s="100" t="str">
        <f aca="false">IF($E9="","",IF(OR($W9&lt;&gt;"",$T9&lt;&gt;""),"-",IF(COUNTIF(Escalations!$B$7:$B$26,$B9)&gt;0,IFERROR("Escalated - "&amp;IF(VLOOKUP($B9,Escalations!$B$7:$M$26,12,FALSE())="Decision made","decided",IF(VLOOKUP($B9,Escalations!$B$7:$M$26,12,FALSE())="Decision overdue","overdue","awaiting")),"Escalated - awaiting"),IF(ABS(N($N9))&gt;Setup!$D$18,"Refer up - value",IF(ABS(N($O9))&gt;Setup!$D$19,"Refer up - time",IF(AND(Setup!$D$20="Yes",$M9="P1"),"Refer up - P1",IF(AND($R9&lt;&gt;"",Setup!$D$12-$R9&gt;Setup!$D$21),"Refer up - age","-")))))))</f>
        <v>Escalated - overdue</v>
      </c>
    </row>
    <row r="10" customFormat="false" ht="42" hidden="false" customHeight="true" outlineLevel="0" collapsed="false">
      <c r="B10" s="93" t="str">
        <f aca="false">IF($E10="","","ISS-"&amp;TEXT(ROW()-6,"000"))</f>
        <v>ISS-004</v>
      </c>
      <c r="C10" s="101" t="n">
        <f aca="true">TODAY()-64</f>
        <v>46187</v>
      </c>
      <c r="D10" s="101" t="n">
        <f aca="true">TODAY()-63</f>
        <v>46188</v>
      </c>
      <c r="E10" s="102" t="s">
        <v>250</v>
      </c>
      <c r="F10" s="102" t="s">
        <v>183</v>
      </c>
      <c r="G10" s="102" t="s">
        <v>232</v>
      </c>
      <c r="H10" s="102" t="s">
        <v>251</v>
      </c>
      <c r="I10" s="102" t="s">
        <v>252</v>
      </c>
      <c r="J10" s="102" t="s">
        <v>196</v>
      </c>
      <c r="K10" s="102" t="s">
        <v>243</v>
      </c>
      <c r="L10" s="102" t="s">
        <v>236</v>
      </c>
      <c r="M10" s="93" t="str">
        <f aca="false">IF(OR($K10="",$L10=""),"",IFERROR(INDEX(Reference!$C$19:$F$22,MATCH($K10,Reference!$B$19:$B$22,0),MATCH($L10,Reference!$C$18:$F$18,0)),""))</f>
        <v>P1</v>
      </c>
      <c r="N10" s="103" t="n">
        <v>60000</v>
      </c>
      <c r="O10" s="104" t="n">
        <v>18</v>
      </c>
      <c r="P10" s="102" t="s">
        <v>253</v>
      </c>
      <c r="Q10" s="102"/>
      <c r="R10" s="98" t="n">
        <f aca="false">IF(OR($D10="",$M10=""),"",$D10+IFERROR(VLOOKUP($M10,Setup!$B$27:$D$30,3,FALSE()),0))</f>
        <v>46193</v>
      </c>
      <c r="S10" s="102" t="s">
        <v>254</v>
      </c>
      <c r="T10" s="101"/>
      <c r="U10" s="102"/>
      <c r="V10" s="102"/>
      <c r="W10" s="102"/>
      <c r="X10" s="99" t="n">
        <f aca="false">IF(OR($D10="",$W10&lt;&gt;""),"",IF($T10&lt;&gt;"",$T10-$D10,Setup!$D$12-$D10))</f>
        <v>63</v>
      </c>
      <c r="Y10" s="100" t="str">
        <f aca="false">IF($E10="","",IF($W10&lt;&gt;"","Void",IF($T10&lt;&gt;"","Closed",IF(OR($C10="",$D10="",$K10="",$L10=""),"Incomplete entry",IF(Setup!$D$12&gt;$R10,"Overdue",IF($R10-Setup!$D$12&lt;=Setup!$D$35,"Due soon","Open"))))))</f>
        <v>Overdue</v>
      </c>
      <c r="Z10" s="100" t="str">
        <f aca="false">IF($E10="","",IF(OR($W10&lt;&gt;"",$T10&lt;&gt;""),"-",IF(COUNTIF(Escalations!$B$7:$B$26,$B10)&gt;0,IFERROR("Escalated - "&amp;IF(VLOOKUP($B10,Escalations!$B$7:$M$26,12,FALSE())="Decision made","decided",IF(VLOOKUP($B10,Escalations!$B$7:$M$26,12,FALSE())="Decision overdue","overdue","awaiting")),"Escalated - awaiting"),IF(ABS(N($N10))&gt;Setup!$D$18,"Refer up - value",IF(ABS(N($O10))&gt;Setup!$D$19,"Refer up - time",IF(AND(Setup!$D$20="Yes",$M10="P1"),"Refer up - P1",IF(AND($R10&lt;&gt;"",Setup!$D$12-$R10&gt;Setup!$D$21),"Refer up - age","-")))))))</f>
        <v>Escalated - decided</v>
      </c>
    </row>
    <row r="11" customFormat="false" ht="42" hidden="false" customHeight="true" outlineLevel="0" collapsed="false">
      <c r="B11" s="93" t="str">
        <f aca="false">IF($E11="","","ISS-"&amp;TEXT(ROW()-6,"000"))</f>
        <v>ISS-005</v>
      </c>
      <c r="C11" s="94" t="n">
        <f aca="true">TODAY()-52</f>
        <v>46199</v>
      </c>
      <c r="D11" s="94" t="n">
        <f aca="true">TODAY()-50</f>
        <v>46201</v>
      </c>
      <c r="E11" s="95" t="s">
        <v>255</v>
      </c>
      <c r="F11" s="95" t="s">
        <v>187</v>
      </c>
      <c r="G11" s="95" t="s">
        <v>232</v>
      </c>
      <c r="H11" s="95" t="s">
        <v>256</v>
      </c>
      <c r="I11" s="95" t="s">
        <v>234</v>
      </c>
      <c r="J11" s="95" t="s">
        <v>197</v>
      </c>
      <c r="K11" s="95" t="s">
        <v>243</v>
      </c>
      <c r="L11" s="95" t="s">
        <v>257</v>
      </c>
      <c r="M11" s="93" t="str">
        <f aca="false">IF(OR($K11="",$L11=""),"",IFERROR(INDEX(Reference!$C$19:$F$22,MATCH($K11,Reference!$B$19:$B$22,0),MATCH($L11,Reference!$C$18:$F$18,0)),""))</f>
        <v>P2</v>
      </c>
      <c r="N11" s="96"/>
      <c r="O11" s="97"/>
      <c r="P11" s="95" t="s">
        <v>245</v>
      </c>
      <c r="Q11" s="95" t="s">
        <v>258</v>
      </c>
      <c r="R11" s="98" t="n">
        <f aca="false">IF(OR($D11="",$M11=""),"",$D11+IFERROR(VLOOKUP($M11,Setup!$B$27:$D$30,3,FALSE()),0))</f>
        <v>46216</v>
      </c>
      <c r="S11" s="95" t="s">
        <v>259</v>
      </c>
      <c r="T11" s="94" t="n">
        <f aca="true">TODAY()-12</f>
        <v>46239</v>
      </c>
      <c r="U11" s="95" t="s">
        <v>260</v>
      </c>
      <c r="V11" s="95" t="s">
        <v>261</v>
      </c>
      <c r="W11" s="95"/>
      <c r="X11" s="99" t="n">
        <f aca="false">IF(OR($D11="",$W11&lt;&gt;""),"",IF($T11&lt;&gt;"",$T11-$D11,Setup!$D$12-$D11))</f>
        <v>38</v>
      </c>
      <c r="Y11" s="100" t="str">
        <f aca="false">IF($E11="","",IF($W11&lt;&gt;"","Void",IF($T11&lt;&gt;"","Closed",IF(OR($C11="",$D11="",$K11="",$L11=""),"Incomplete entry",IF(Setup!$D$12&gt;$R11,"Overdue",IF($R11-Setup!$D$12&lt;=Setup!$D$35,"Due soon","Open"))))))</f>
        <v>Closed</v>
      </c>
      <c r="Z11" s="100" t="str">
        <f aca="false">IF($E11="","",IF(OR($W11&lt;&gt;"",$T11&lt;&gt;""),"-",IF(COUNTIF(Escalations!$B$7:$B$26,$B11)&gt;0,IFERROR("Escalated - "&amp;IF(VLOOKUP($B11,Escalations!$B$7:$M$26,12,FALSE())="Decision made","decided",IF(VLOOKUP($B11,Escalations!$B$7:$M$26,12,FALSE())="Decision overdue","overdue","awaiting")),"Escalated - awaiting"),IF(ABS(N($N11))&gt;Setup!$D$18,"Refer up - value",IF(ABS(N($O11))&gt;Setup!$D$19,"Refer up - time",IF(AND(Setup!$D$20="Yes",$M11="P1"),"Refer up - P1",IF(AND($R11&lt;&gt;"",Setup!$D$12-$R11&gt;Setup!$D$21),"Refer up - age","-")))))))</f>
        <v>-</v>
      </c>
    </row>
    <row r="12" customFormat="false" ht="42" hidden="false" customHeight="true" outlineLevel="0" collapsed="false">
      <c r="B12" s="93" t="str">
        <f aca="false">IF($E12="","","ISS-"&amp;TEXT(ROW()-6,"000"))</f>
        <v>ISS-006</v>
      </c>
      <c r="C12" s="101" t="n">
        <f aca="true">TODAY()-47</f>
        <v>46204</v>
      </c>
      <c r="D12" s="101" t="n">
        <f aca="true">TODAY()-45</f>
        <v>46206</v>
      </c>
      <c r="E12" s="102" t="s">
        <v>262</v>
      </c>
      <c r="F12" s="102" t="s">
        <v>178</v>
      </c>
      <c r="G12" s="102" t="s">
        <v>232</v>
      </c>
      <c r="H12" s="102" t="s">
        <v>263</v>
      </c>
      <c r="I12" s="102" t="s">
        <v>138</v>
      </c>
      <c r="J12" s="102" t="s">
        <v>196</v>
      </c>
      <c r="K12" s="102" t="s">
        <v>235</v>
      </c>
      <c r="L12" s="102" t="s">
        <v>244</v>
      </c>
      <c r="M12" s="93" t="str">
        <f aca="false">IF(OR($K12="",$L12=""),"",IFERROR(INDEX(Reference!$C$19:$F$22,MATCH($K12,Reference!$B$19:$B$22,0),MATCH($L12,Reference!$C$18:$F$18,0)),""))</f>
        <v>P1</v>
      </c>
      <c r="N12" s="103" t="n">
        <v>180000</v>
      </c>
      <c r="O12" s="104" t="n">
        <v>42</v>
      </c>
      <c r="P12" s="102" t="s">
        <v>253</v>
      </c>
      <c r="Q12" s="102" t="s">
        <v>264</v>
      </c>
      <c r="R12" s="98" t="n">
        <f aca="false">IF(OR($D12="",$M12=""),"",$D12+IFERROR(VLOOKUP($M12,Setup!$B$27:$D$30,3,FALSE()),0))</f>
        <v>46211</v>
      </c>
      <c r="S12" s="102" t="s">
        <v>265</v>
      </c>
      <c r="T12" s="101" t="n">
        <f aca="true">TODAY()-20</f>
        <v>46231</v>
      </c>
      <c r="U12" s="102" t="s">
        <v>266</v>
      </c>
      <c r="V12" s="102" t="s">
        <v>267</v>
      </c>
      <c r="W12" s="102"/>
      <c r="X12" s="99" t="n">
        <f aca="false">IF(OR($D12="",$W12&lt;&gt;""),"",IF($T12&lt;&gt;"",$T12-$D12,Setup!$D$12-$D12))</f>
        <v>25</v>
      </c>
      <c r="Y12" s="100" t="str">
        <f aca="false">IF($E12="","",IF($W12&lt;&gt;"","Void",IF($T12&lt;&gt;"","Closed",IF(OR($C12="",$D12="",$K12="",$L12=""),"Incomplete entry",IF(Setup!$D$12&gt;$R12,"Overdue",IF($R12-Setup!$D$12&lt;=Setup!$D$35,"Due soon","Open"))))))</f>
        <v>Closed</v>
      </c>
      <c r="Z12" s="100" t="str">
        <f aca="false">IF($E12="","",IF(OR($W12&lt;&gt;"",$T12&lt;&gt;""),"-",IF(COUNTIF(Escalations!$B$7:$B$26,$B12)&gt;0,IFERROR("Escalated - "&amp;IF(VLOOKUP($B12,Escalations!$B$7:$M$26,12,FALSE())="Decision made","decided",IF(VLOOKUP($B12,Escalations!$B$7:$M$26,12,FALSE())="Decision overdue","overdue","awaiting")),"Escalated - awaiting"),IF(ABS(N($N12))&gt;Setup!$D$18,"Refer up - value",IF(ABS(N($O12))&gt;Setup!$D$19,"Refer up - time",IF(AND(Setup!$D$20="Yes",$M12="P1"),"Refer up - P1",IF(AND($R12&lt;&gt;"",Setup!$D$12-$R12&gt;Setup!$D$21),"Refer up - age","-")))))))</f>
        <v>-</v>
      </c>
    </row>
    <row r="13" customFormat="false" ht="42" hidden="false" customHeight="true" outlineLevel="0" collapsed="false">
      <c r="B13" s="93" t="str">
        <f aca="false">IF($E13="","","ISS-"&amp;TEXT(ROW()-6,"000"))</f>
        <v>ISS-007</v>
      </c>
      <c r="C13" s="94" t="n">
        <f aca="true">TODAY()-38</f>
        <v>46213</v>
      </c>
      <c r="D13" s="94" t="n">
        <f aca="true">TODAY()-35</f>
        <v>46216</v>
      </c>
      <c r="E13" s="95" t="s">
        <v>268</v>
      </c>
      <c r="F13" s="95" t="s">
        <v>181</v>
      </c>
      <c r="G13" s="95" t="s">
        <v>232</v>
      </c>
      <c r="H13" s="95" t="s">
        <v>269</v>
      </c>
      <c r="I13" s="95" t="s">
        <v>242</v>
      </c>
      <c r="J13" s="95" t="s">
        <v>198</v>
      </c>
      <c r="K13" s="95" t="s">
        <v>270</v>
      </c>
      <c r="L13" s="95" t="s">
        <v>257</v>
      </c>
      <c r="M13" s="93" t="str">
        <f aca="false">IF(OR($K13="",$L13=""),"",IFERROR(INDEX(Reference!$C$19:$F$22,MATCH($K13,Reference!$B$19:$B$22,0),MATCH($L13,Reference!$C$18:$F$18,0)),""))</f>
        <v>P3</v>
      </c>
      <c r="N13" s="96"/>
      <c r="O13" s="97" t="n">
        <v>6</v>
      </c>
      <c r="P13" s="95" t="s">
        <v>237</v>
      </c>
      <c r="Q13" s="95" t="s">
        <v>271</v>
      </c>
      <c r="R13" s="98" t="n">
        <f aca="false">IF(OR($D13="",$M13=""),"",$D13+IFERROR(VLOOKUP($M13,Setup!$B$27:$D$30,3,FALSE()),0))</f>
        <v>46246</v>
      </c>
      <c r="S13" s="95" t="s">
        <v>272</v>
      </c>
      <c r="T13" s="94"/>
      <c r="U13" s="95"/>
      <c r="V13" s="95"/>
      <c r="W13" s="95"/>
      <c r="X13" s="99" t="n">
        <f aca="false">IF(OR($D13="",$W13&lt;&gt;""),"",IF($T13&lt;&gt;"",$T13-$D13,Setup!$D$12-$D13))</f>
        <v>35</v>
      </c>
      <c r="Y13" s="100" t="str">
        <f aca="false">IF($E13="","",IF($W13&lt;&gt;"","Void",IF($T13&lt;&gt;"","Closed",IF(OR($C13="",$D13="",$K13="",$L13=""),"Incomplete entry",IF(Setup!$D$12&gt;$R13,"Overdue",IF($R13-Setup!$D$12&lt;=Setup!$D$35,"Due soon","Open"))))))</f>
        <v>Overdue</v>
      </c>
      <c r="Z13" s="100" t="str">
        <f aca="false">IF($E13="","",IF(OR($W13&lt;&gt;"",$T13&lt;&gt;""),"-",IF(COUNTIF(Escalations!$B$7:$B$26,$B13)&gt;0,IFERROR("Escalated - "&amp;IF(VLOOKUP($B13,Escalations!$B$7:$M$26,12,FALSE())="Decision made","decided",IF(VLOOKUP($B13,Escalations!$B$7:$M$26,12,FALSE())="Decision overdue","overdue","awaiting")),"Escalated - awaiting"),IF(ABS(N($N13))&gt;Setup!$D$18,"Refer up - value",IF(ABS(N($O13))&gt;Setup!$D$19,"Refer up - time",IF(AND(Setup!$D$20="Yes",$M13="P1"),"Refer up - P1",IF(AND($R13&lt;&gt;"",Setup!$D$12-$R13&gt;Setup!$D$21),"Refer up - age","-")))))))</f>
        <v>-</v>
      </c>
    </row>
    <row r="14" customFormat="false" ht="42" hidden="false" customHeight="true" outlineLevel="0" collapsed="false">
      <c r="B14" s="93" t="str">
        <f aca="false">IF($E14="","","ISS-"&amp;TEXT(ROW()-6,"000"))</f>
        <v>ISS-008</v>
      </c>
      <c r="C14" s="101" t="n">
        <f aca="true">TODAY()-30</f>
        <v>46221</v>
      </c>
      <c r="D14" s="101" t="n">
        <f aca="true">TODAY()-28</f>
        <v>46223</v>
      </c>
      <c r="E14" s="102" t="s">
        <v>273</v>
      </c>
      <c r="F14" s="102" t="s">
        <v>179</v>
      </c>
      <c r="G14" s="102" t="s">
        <v>232</v>
      </c>
      <c r="H14" s="102" t="s">
        <v>263</v>
      </c>
      <c r="I14" s="102" t="s">
        <v>138</v>
      </c>
      <c r="J14" s="102" t="s">
        <v>196</v>
      </c>
      <c r="K14" s="102" t="s">
        <v>270</v>
      </c>
      <c r="L14" s="102" t="s">
        <v>244</v>
      </c>
      <c r="M14" s="93" t="str">
        <f aca="false">IF(OR($K14="",$L14=""),"",IFERROR(INDEX(Reference!$C$19:$F$22,MATCH($K14,Reference!$B$19:$B$22,0),MATCH($L14,Reference!$C$18:$F$18,0)),""))</f>
        <v>P2</v>
      </c>
      <c r="N14" s="103"/>
      <c r="O14" s="104" t="n">
        <v>8</v>
      </c>
      <c r="P14" s="102" t="s">
        <v>245</v>
      </c>
      <c r="Q14" s="102"/>
      <c r="R14" s="98" t="n">
        <f aca="false">IF(OR($D14="",$M14=""),"",$D14+IFERROR(VLOOKUP($M14,Setup!$B$27:$D$30,3,FALSE()),0))</f>
        <v>46238</v>
      </c>
      <c r="S14" s="102" t="s">
        <v>274</v>
      </c>
      <c r="T14" s="101"/>
      <c r="U14" s="102"/>
      <c r="V14" s="102"/>
      <c r="W14" s="102"/>
      <c r="X14" s="99" t="n">
        <f aca="false">IF(OR($D14="",$W14&lt;&gt;""),"",IF($T14&lt;&gt;"",$T14-$D14,Setup!$D$12-$D14))</f>
        <v>28</v>
      </c>
      <c r="Y14" s="100" t="str">
        <f aca="false">IF($E14="","",IF($W14&lt;&gt;"","Void",IF($T14&lt;&gt;"","Closed",IF(OR($C14="",$D14="",$K14="",$L14=""),"Incomplete entry",IF(Setup!$D$12&gt;$R14,"Overdue",IF($R14-Setup!$D$12&lt;=Setup!$D$35,"Due soon","Open"))))))</f>
        <v>Overdue</v>
      </c>
      <c r="Z14" s="100" t="str">
        <f aca="false">IF($E14="","",IF(OR($W14&lt;&gt;"",$T14&lt;&gt;""),"-",IF(COUNTIF(Escalations!$B$7:$B$26,$B14)&gt;0,IFERROR("Escalated - "&amp;IF(VLOOKUP($B14,Escalations!$B$7:$M$26,12,FALSE())="Decision made","decided",IF(VLOOKUP($B14,Escalations!$B$7:$M$26,12,FALSE())="Decision overdue","overdue","awaiting")),"Escalated - awaiting"),IF(ABS(N($N14))&gt;Setup!$D$18,"Refer up - value",IF(ABS(N($O14))&gt;Setup!$D$19,"Refer up - time",IF(AND(Setup!$D$20="Yes",$M14="P1"),"Refer up - P1",IF(AND($R14&lt;&gt;"",Setup!$D$12-$R14&gt;Setup!$D$21),"Refer up - age","-")))))))</f>
        <v>Refer up - age</v>
      </c>
    </row>
    <row r="15" customFormat="false" ht="42" hidden="false" customHeight="true" outlineLevel="0" collapsed="false">
      <c r="B15" s="93" t="str">
        <f aca="false">IF($E15="","","ISS-"&amp;TEXT(ROW()-6,"000"))</f>
        <v>ISS-009</v>
      </c>
      <c r="C15" s="94" t="n">
        <f aca="true">TODAY()-26</f>
        <v>46225</v>
      </c>
      <c r="D15" s="94" t="n">
        <f aca="true">TODAY()-25</f>
        <v>46226</v>
      </c>
      <c r="E15" s="95" t="s">
        <v>275</v>
      </c>
      <c r="F15" s="95" t="s">
        <v>184</v>
      </c>
      <c r="G15" s="95" t="s">
        <v>241</v>
      </c>
      <c r="H15" s="95" t="s">
        <v>95</v>
      </c>
      <c r="I15" s="95"/>
      <c r="J15" s="95" t="s">
        <v>196</v>
      </c>
      <c r="K15" s="95" t="s">
        <v>270</v>
      </c>
      <c r="L15" s="95" t="s">
        <v>276</v>
      </c>
      <c r="M15" s="93" t="str">
        <f aca="false">IF(OR($K15="",$L15=""),"",IFERROR(INDEX(Reference!$C$19:$F$22,MATCH($K15,Reference!$B$19:$B$22,0),MATCH($L15,Reference!$C$18:$F$18,0)),""))</f>
        <v>P4</v>
      </c>
      <c r="N15" s="96" t="n">
        <v>25000</v>
      </c>
      <c r="O15" s="97"/>
      <c r="P15" s="95" t="s">
        <v>245</v>
      </c>
      <c r="Q15" s="95"/>
      <c r="R15" s="98" t="n">
        <f aca="false">IF(OR($D15="",$M15=""),"",$D15+IFERROR(VLOOKUP($M15,Setup!$B$27:$D$30,3,FALSE()),0))</f>
        <v>46286</v>
      </c>
      <c r="S15" s="95"/>
      <c r="T15" s="94"/>
      <c r="U15" s="95"/>
      <c r="V15" s="95"/>
      <c r="W15" s="95"/>
      <c r="X15" s="99" t="n">
        <f aca="false">IF(OR($D15="",$W15&lt;&gt;""),"",IF($T15&lt;&gt;"",$T15-$D15,Setup!$D$12-$D15))</f>
        <v>25</v>
      </c>
      <c r="Y15" s="100" t="str">
        <f aca="false">IF($E15="","",IF($W15&lt;&gt;"","Void",IF($T15&lt;&gt;"","Closed",IF(OR($C15="",$D15="",$K15="",$L15=""),"Incomplete entry",IF(Setup!$D$12&gt;$R15,"Overdue",IF($R15-Setup!$D$12&lt;=Setup!$D$35,"Due soon","Open"))))))</f>
        <v>Open</v>
      </c>
      <c r="Z15" s="100" t="str">
        <f aca="false">IF($E15="","",IF(OR($W15&lt;&gt;"",$T15&lt;&gt;""),"-",IF(COUNTIF(Escalations!$B$7:$B$26,$B15)&gt;0,IFERROR("Escalated - "&amp;IF(VLOOKUP($B15,Escalations!$B$7:$M$26,12,FALSE())="Decision made","decided",IF(VLOOKUP($B15,Escalations!$B$7:$M$26,12,FALSE())="Decision overdue","overdue","awaiting")),"Escalated - awaiting"),IF(ABS(N($N15))&gt;Setup!$D$18,"Refer up - value",IF(ABS(N($O15))&gt;Setup!$D$19,"Refer up - time",IF(AND(Setup!$D$20="Yes",$M15="P1"),"Refer up - P1",IF(AND($R15&lt;&gt;"",Setup!$D$12-$R15&gt;Setup!$D$21),"Refer up - age","-")))))))</f>
        <v>-</v>
      </c>
    </row>
    <row r="16" customFormat="false" ht="42" hidden="false" customHeight="true" outlineLevel="0" collapsed="false">
      <c r="B16" s="93" t="str">
        <f aca="false">IF($E16="","","ISS-"&amp;TEXT(ROW()-6,"000"))</f>
        <v>ISS-010</v>
      </c>
      <c r="C16" s="101" t="n">
        <f aca="true">TODAY()-21</f>
        <v>46230</v>
      </c>
      <c r="D16" s="101" t="n">
        <f aca="true">TODAY()-19</f>
        <v>46232</v>
      </c>
      <c r="E16" s="102" t="s">
        <v>277</v>
      </c>
      <c r="F16" s="102" t="s">
        <v>186</v>
      </c>
      <c r="G16" s="102" t="s">
        <v>278</v>
      </c>
      <c r="H16" s="102" t="s">
        <v>269</v>
      </c>
      <c r="I16" s="102" t="s">
        <v>242</v>
      </c>
      <c r="J16" s="102" t="s">
        <v>198</v>
      </c>
      <c r="K16" s="102" t="s">
        <v>279</v>
      </c>
      <c r="L16" s="102" t="s">
        <v>276</v>
      </c>
      <c r="M16" s="93" t="str">
        <f aca="false">IF(OR($K16="",$L16=""),"",IFERROR(INDEX(Reference!$C$19:$F$22,MATCH($K16,Reference!$B$19:$B$22,0),MATCH($L16,Reference!$C$18:$F$18,0)),""))</f>
        <v>P4</v>
      </c>
      <c r="N16" s="103" t="n">
        <v>-40000</v>
      </c>
      <c r="O16" s="104" t="n">
        <v>-14</v>
      </c>
      <c r="P16" s="102" t="s">
        <v>245</v>
      </c>
      <c r="Q16" s="102" t="s">
        <v>280</v>
      </c>
      <c r="R16" s="98" t="n">
        <f aca="false">IF(OR($D16="",$M16=""),"",$D16+IFERROR(VLOOKUP($M16,Setup!$B$27:$D$30,3,FALSE()),0))</f>
        <v>46292</v>
      </c>
      <c r="S16" s="102" t="s">
        <v>281</v>
      </c>
      <c r="T16" s="101"/>
      <c r="U16" s="102"/>
      <c r="V16" s="102"/>
      <c r="W16" s="102"/>
      <c r="X16" s="99" t="n">
        <f aca="false">IF(OR($D16="",$W16&lt;&gt;""),"",IF($T16&lt;&gt;"",$T16-$D16,Setup!$D$12-$D16))</f>
        <v>19</v>
      </c>
      <c r="Y16" s="100" t="str">
        <f aca="false">IF($E16="","",IF($W16&lt;&gt;"","Void",IF($T16&lt;&gt;"","Closed",IF(OR($C16="",$D16="",$K16="",$L16=""),"Incomplete entry",IF(Setup!$D$12&gt;$R16,"Overdue",IF($R16-Setup!$D$12&lt;=Setup!$D$35,"Due soon","Open"))))))</f>
        <v>Open</v>
      </c>
      <c r="Z16" s="100" t="str">
        <f aca="false">IF($E16="","",IF(OR($W16&lt;&gt;"",$T16&lt;&gt;""),"-",IF(COUNTIF(Escalations!$B$7:$B$26,$B16)&gt;0,IFERROR("Escalated - "&amp;IF(VLOOKUP($B16,Escalations!$B$7:$M$26,12,FALSE())="Decision made","decided",IF(VLOOKUP($B16,Escalations!$B$7:$M$26,12,FALSE())="Decision overdue","overdue","awaiting")),"Escalated - awaiting"),IF(ABS(N($N16))&gt;Setup!$D$18,"Refer up - value",IF(ABS(N($O16))&gt;Setup!$D$19,"Refer up - time",IF(AND(Setup!$D$20="Yes",$M16="P1"),"Refer up - P1",IF(AND($R16&lt;&gt;"",Setup!$D$12-$R16&gt;Setup!$D$21),"Refer up - age","-")))))))</f>
        <v>-</v>
      </c>
    </row>
    <row r="17" customFormat="false" ht="42" hidden="false" customHeight="true" outlineLevel="0" collapsed="false">
      <c r="B17" s="93" t="str">
        <f aca="false">IF($E17="","","ISS-"&amp;TEXT(ROW()-6,"000"))</f>
        <v>ISS-011</v>
      </c>
      <c r="C17" s="94" t="n">
        <f aca="true">TODAY()-16</f>
        <v>46235</v>
      </c>
      <c r="D17" s="94" t="n">
        <f aca="true">TODAY()-15</f>
        <v>46236</v>
      </c>
      <c r="E17" s="95" t="s">
        <v>282</v>
      </c>
      <c r="F17" s="95" t="s">
        <v>185</v>
      </c>
      <c r="G17" s="95" t="s">
        <v>283</v>
      </c>
      <c r="H17" s="95" t="s">
        <v>269</v>
      </c>
      <c r="I17" s="95" t="s">
        <v>138</v>
      </c>
      <c r="J17" s="95" t="s">
        <v>196</v>
      </c>
      <c r="K17" s="95" t="s">
        <v>279</v>
      </c>
      <c r="L17" s="95" t="s">
        <v>236</v>
      </c>
      <c r="M17" s="93" t="str">
        <f aca="false">IF(OR($K17="",$L17=""),"",IFERROR(INDEX(Reference!$C$19:$F$22,MATCH($K17,Reference!$B$19:$B$22,0),MATCH($L17,Reference!$C$18:$F$18,0)),""))</f>
        <v>P2</v>
      </c>
      <c r="N17" s="96" t="n">
        <v>-85000</v>
      </c>
      <c r="O17" s="97" t="n">
        <v>-21</v>
      </c>
      <c r="P17" s="95" t="s">
        <v>245</v>
      </c>
      <c r="Q17" s="95"/>
      <c r="R17" s="98" t="n">
        <f aca="false">IF(OR($D17="",$M17=""),"",$D17+IFERROR(VLOOKUP($M17,Setup!$B$27:$D$30,3,FALSE()),0))</f>
        <v>46251</v>
      </c>
      <c r="S17" s="95" t="s">
        <v>284</v>
      </c>
      <c r="T17" s="94"/>
      <c r="U17" s="95"/>
      <c r="V17" s="95"/>
      <c r="W17" s="95"/>
      <c r="X17" s="99" t="n">
        <f aca="false">IF(OR($D17="",$W17&lt;&gt;""),"",IF($T17&lt;&gt;"",$T17-$D17,Setup!$D$12-$D17))</f>
        <v>15</v>
      </c>
      <c r="Y17" s="100" t="str">
        <f aca="false">IF($E17="","",IF($W17&lt;&gt;"","Void",IF($T17&lt;&gt;"","Closed",IF(OR($C17="",$D17="",$K17="",$L17=""),"Incomplete entry",IF(Setup!$D$12&gt;$R17,"Overdue",IF($R17-Setup!$D$12&lt;=Setup!$D$35,"Due soon","Open"))))))</f>
        <v>Due soon</v>
      </c>
      <c r="Z17" s="100" t="str">
        <f aca="false">IF($E17="","",IF(OR($W17&lt;&gt;"",$T17&lt;&gt;""),"-",IF(COUNTIF(Escalations!$B$7:$B$26,$B17)&gt;0,IFERROR("Escalated - "&amp;IF(VLOOKUP($B17,Escalations!$B$7:$M$26,12,FALSE())="Decision made","decided",IF(VLOOKUP($B17,Escalations!$B$7:$M$26,12,FALSE())="Decision overdue","overdue","awaiting")),"Escalated - awaiting"),IF(ABS(N($N17))&gt;Setup!$D$18,"Refer up - value",IF(ABS(N($O17))&gt;Setup!$D$19,"Refer up - time",IF(AND(Setup!$D$20="Yes",$M17="P1"),"Refer up - P1",IF(AND($R17&lt;&gt;"",Setup!$D$12-$R17&gt;Setup!$D$21),"Refer up - age","-")))))))</f>
        <v>Escalated - overdue</v>
      </c>
    </row>
    <row r="18" customFormat="false" ht="42" hidden="false" customHeight="true" outlineLevel="0" collapsed="false">
      <c r="B18" s="93" t="str">
        <f aca="false">IF($E18="","","ISS-"&amp;TEXT(ROW()-6,"000"))</f>
        <v>ISS-012</v>
      </c>
      <c r="C18" s="101" t="n">
        <f aca="true">TODAY()-11</f>
        <v>46240</v>
      </c>
      <c r="D18" s="101" t="n">
        <f aca="true">TODAY()-9</f>
        <v>46242</v>
      </c>
      <c r="E18" s="102" t="s">
        <v>285</v>
      </c>
      <c r="F18" s="102" t="s">
        <v>190</v>
      </c>
      <c r="G18" s="102" t="s">
        <v>248</v>
      </c>
      <c r="H18" s="102" t="s">
        <v>251</v>
      </c>
      <c r="I18" s="102" t="s">
        <v>252</v>
      </c>
      <c r="J18" s="102" t="s">
        <v>196</v>
      </c>
      <c r="K18" s="102" t="s">
        <v>270</v>
      </c>
      <c r="L18" s="102" t="s">
        <v>257</v>
      </c>
      <c r="M18" s="93" t="str">
        <f aca="false">IF(OR($K18="",$L18=""),"",IFERROR(INDEX(Reference!$C$19:$F$22,MATCH($K18,Reference!$B$19:$B$22,0),MATCH($L18,Reference!$C$18:$F$18,0)),""))</f>
        <v>P3</v>
      </c>
      <c r="N18" s="103"/>
      <c r="O18" s="104"/>
      <c r="P18" s="102" t="s">
        <v>245</v>
      </c>
      <c r="Q18" s="102"/>
      <c r="R18" s="98" t="n">
        <f aca="false">IF(OR($D18="",$M18=""),"",$D18+IFERROR(VLOOKUP($M18,Setup!$B$27:$D$30,3,FALSE()),0))</f>
        <v>46272</v>
      </c>
      <c r="S18" s="102" t="s">
        <v>286</v>
      </c>
      <c r="T18" s="101"/>
      <c r="U18" s="102"/>
      <c r="V18" s="102"/>
      <c r="W18" s="102"/>
      <c r="X18" s="99" t="n">
        <f aca="false">IF(OR($D18="",$W18&lt;&gt;""),"",IF($T18&lt;&gt;"",$T18-$D18,Setup!$D$12-$D18))</f>
        <v>9</v>
      </c>
      <c r="Y18" s="100" t="str">
        <f aca="false">IF($E18="","",IF($W18&lt;&gt;"","Void",IF($T18&lt;&gt;"","Closed",IF(OR($C18="",$D18="",$K18="",$L18=""),"Incomplete entry",IF(Setup!$D$12&gt;$R18,"Overdue",IF($R18-Setup!$D$12&lt;=Setup!$D$35,"Due soon","Open"))))))</f>
        <v>Open</v>
      </c>
      <c r="Z18" s="100" t="str">
        <f aca="false">IF($E18="","",IF(OR($W18&lt;&gt;"",$T18&lt;&gt;""),"-",IF(COUNTIF(Escalations!$B$7:$B$26,$B18)&gt;0,IFERROR("Escalated - "&amp;IF(VLOOKUP($B18,Escalations!$B$7:$M$26,12,FALSE())="Decision made","decided",IF(VLOOKUP($B18,Escalations!$B$7:$M$26,12,FALSE())="Decision overdue","overdue","awaiting")),"Escalated - awaiting"),IF(ABS(N($N18))&gt;Setup!$D$18,"Refer up - value",IF(ABS(N($O18))&gt;Setup!$D$19,"Refer up - time",IF(AND(Setup!$D$20="Yes",$M18="P1"),"Refer up - P1",IF(AND($R18&lt;&gt;"",Setup!$D$12-$R18&gt;Setup!$D$21),"Refer up - age","-")))))))</f>
        <v>-</v>
      </c>
    </row>
    <row r="19" customFormat="false" ht="42" hidden="false" customHeight="true" outlineLevel="0" collapsed="false">
      <c r="B19" s="93" t="str">
        <f aca="false">IF($E19="","","ISS-"&amp;TEXT(ROW()-6,"000"))</f>
        <v>ISS-013</v>
      </c>
      <c r="C19" s="94" t="n">
        <f aca="true">TODAY()-6</f>
        <v>46245</v>
      </c>
      <c r="D19" s="94" t="n">
        <f aca="true">TODAY()-5</f>
        <v>46246</v>
      </c>
      <c r="E19" s="95" t="s">
        <v>287</v>
      </c>
      <c r="F19" s="95" t="s">
        <v>189</v>
      </c>
      <c r="G19" s="95" t="s">
        <v>232</v>
      </c>
      <c r="H19" s="95" t="s">
        <v>288</v>
      </c>
      <c r="I19" s="95" t="s">
        <v>234</v>
      </c>
      <c r="J19" s="95" t="s">
        <v>197</v>
      </c>
      <c r="K19" s="95" t="s">
        <v>279</v>
      </c>
      <c r="L19" s="95" t="s">
        <v>276</v>
      </c>
      <c r="M19" s="93" t="str">
        <f aca="false">IF(OR($K19="",$L19=""),"",IFERROR(INDEX(Reference!$C$19:$F$22,MATCH($K19,Reference!$B$19:$B$22,0),MATCH($L19,Reference!$C$18:$F$18,0)),""))</f>
        <v>P4</v>
      </c>
      <c r="N19" s="96"/>
      <c r="O19" s="97"/>
      <c r="P19" s="95" t="s">
        <v>245</v>
      </c>
      <c r="Q19" s="95" t="s">
        <v>289</v>
      </c>
      <c r="R19" s="98" t="n">
        <f aca="false">IF(OR($D19="",$M19=""),"",$D19+IFERROR(VLOOKUP($M19,Setup!$B$27:$D$30,3,FALSE()),0))</f>
        <v>46306</v>
      </c>
      <c r="S19" s="95" t="s">
        <v>290</v>
      </c>
      <c r="T19" s="94"/>
      <c r="U19" s="95"/>
      <c r="V19" s="95"/>
      <c r="W19" s="95" t="s">
        <v>291</v>
      </c>
      <c r="X19" s="99" t="str">
        <f aca="false">IF(OR($D19="",$W19&lt;&gt;""),"",IF($T19&lt;&gt;"",$T19-$D19,Setup!$D$12-$D19))</f>
        <v/>
      </c>
      <c r="Y19" s="100" t="str">
        <f aca="false">IF($E19="","",IF($W19&lt;&gt;"","Void",IF($T19&lt;&gt;"","Closed",IF(OR($C19="",$D19="",$K19="",$L19=""),"Incomplete entry",IF(Setup!$D$12&gt;$R19,"Overdue",IF($R19-Setup!$D$12&lt;=Setup!$D$35,"Due soon","Open"))))))</f>
        <v>Void</v>
      </c>
      <c r="Z19" s="100" t="str">
        <f aca="false">IF($E19="","",IF(OR($W19&lt;&gt;"",$T19&lt;&gt;""),"-",IF(COUNTIF(Escalations!$B$7:$B$26,$B19)&gt;0,IFERROR("Escalated - "&amp;IF(VLOOKUP($B19,Escalations!$B$7:$M$26,12,FALSE())="Decision made","decided",IF(VLOOKUP($B19,Escalations!$B$7:$M$26,12,FALSE())="Decision overdue","overdue","awaiting")),"Escalated - awaiting"),IF(ABS(N($N19))&gt;Setup!$D$18,"Refer up - value",IF(ABS(N($O19))&gt;Setup!$D$19,"Refer up - time",IF(AND(Setup!$D$20="Yes",$M19="P1"),"Refer up - P1",IF(AND($R19&lt;&gt;"",Setup!$D$12-$R19&gt;Setup!$D$21),"Refer up - age","-")))))))</f>
        <v>-</v>
      </c>
    </row>
    <row r="20" customFormat="false" ht="42" hidden="false" customHeight="true" outlineLevel="0" collapsed="false">
      <c r="B20" s="93" t="str">
        <f aca="false">IF($E20="","","ISS-"&amp;TEXT(ROW()-6,"000"))</f>
        <v>ISS-014</v>
      </c>
      <c r="C20" s="101"/>
      <c r="D20" s="101" t="n">
        <f aca="true">TODAY()-3</f>
        <v>46248</v>
      </c>
      <c r="E20" s="102" t="s">
        <v>292</v>
      </c>
      <c r="F20" s="102" t="s">
        <v>182</v>
      </c>
      <c r="G20" s="102" t="s">
        <v>232</v>
      </c>
      <c r="H20" s="102" t="s">
        <v>256</v>
      </c>
      <c r="I20" s="102" t="s">
        <v>234</v>
      </c>
      <c r="J20" s="102" t="s">
        <v>197</v>
      </c>
      <c r="K20" s="102" t="s">
        <v>243</v>
      </c>
      <c r="L20" s="102" t="s">
        <v>236</v>
      </c>
      <c r="M20" s="93" t="str">
        <f aca="false">IF(OR($K20="",$L20=""),"",IFERROR(INDEX(Reference!$C$19:$F$22,MATCH($K20,Reference!$B$19:$B$22,0),MATCH($L20,Reference!$C$18:$F$18,0)),""))</f>
        <v>P1</v>
      </c>
      <c r="N20" s="103"/>
      <c r="O20" s="104"/>
      <c r="P20" s="102" t="s">
        <v>245</v>
      </c>
      <c r="Q20" s="102"/>
      <c r="R20" s="98" t="n">
        <f aca="false">IF(OR($D20="",$M20=""),"",$D20+IFERROR(VLOOKUP($M20,Setup!$B$27:$D$30,3,FALSE()),0))</f>
        <v>46253</v>
      </c>
      <c r="S20" s="102"/>
      <c r="T20" s="101"/>
      <c r="U20" s="102"/>
      <c r="V20" s="102"/>
      <c r="W20" s="102"/>
      <c r="X20" s="99" t="n">
        <f aca="false">IF(OR($D20="",$W20&lt;&gt;""),"",IF($T20&lt;&gt;"",$T20-$D20,Setup!$D$12-$D20))</f>
        <v>3</v>
      </c>
      <c r="Y20" s="100" t="str">
        <f aca="false">IF($E20="","",IF($W20&lt;&gt;"","Void",IF($T20&lt;&gt;"","Closed",IF(OR($C20="",$D20="",$K20="",$L20=""),"Incomplete entry",IF(Setup!$D$12&gt;$R20,"Overdue",IF($R20-Setup!$D$12&lt;=Setup!$D$35,"Due soon","Open"))))))</f>
        <v>Incomplete entry</v>
      </c>
      <c r="Z20" s="100" t="str">
        <f aca="false">IF($E20="","",IF(OR($W20&lt;&gt;"",$T20&lt;&gt;""),"-",IF(COUNTIF(Escalations!$B$7:$B$26,$B20)&gt;0,IFERROR("Escalated - "&amp;IF(VLOOKUP($B20,Escalations!$B$7:$M$26,12,FALSE())="Decision made","decided",IF(VLOOKUP($B20,Escalations!$B$7:$M$26,12,FALSE())="Decision overdue","overdue","awaiting")),"Escalated - awaiting"),IF(ABS(N($N20))&gt;Setup!$D$18,"Refer up - value",IF(ABS(N($O20))&gt;Setup!$D$19,"Refer up - time",IF(AND(Setup!$D$20="Yes",$M20="P1"),"Refer up - P1",IF(AND($R20&lt;&gt;"",Setup!$D$12-$R20&gt;Setup!$D$21),"Refer up - age","-")))))))</f>
        <v>Refer up - P1</v>
      </c>
    </row>
    <row r="21" customFormat="false" ht="42" hidden="false" customHeight="true" outlineLevel="0" collapsed="false">
      <c r="B21" s="93" t="str">
        <f aca="false">IF($E21="","","ISS-"&amp;TEXT(ROW()-6,"000"))</f>
        <v>ISS-015</v>
      </c>
      <c r="C21" s="94" t="n">
        <f aca="true">TODAY()-2</f>
        <v>46249</v>
      </c>
      <c r="D21" s="94" t="n">
        <f aca="true">TODAY()-2</f>
        <v>46249</v>
      </c>
      <c r="E21" s="95" t="s">
        <v>293</v>
      </c>
      <c r="F21" s="95" t="s">
        <v>182</v>
      </c>
      <c r="G21" s="95" t="s">
        <v>232</v>
      </c>
      <c r="H21" s="95" t="s">
        <v>269</v>
      </c>
      <c r="I21" s="95" t="s">
        <v>234</v>
      </c>
      <c r="J21" s="95" t="s">
        <v>197</v>
      </c>
      <c r="K21" s="95" t="s">
        <v>270</v>
      </c>
      <c r="L21" s="95" t="s">
        <v>236</v>
      </c>
      <c r="M21" s="93" t="str">
        <f aca="false">IF(OR($K21="",$L21=""),"",IFERROR(INDEX(Reference!$C$19:$F$22,MATCH($K21,Reference!$B$19:$B$22,0),MATCH($L21,Reference!$C$18:$F$18,0)),""))</f>
        <v>P2</v>
      </c>
      <c r="N21" s="96"/>
      <c r="O21" s="97"/>
      <c r="P21" s="95" t="s">
        <v>245</v>
      </c>
      <c r="Q21" s="95"/>
      <c r="R21" s="98" t="n">
        <f aca="false">IF(OR($D21="",$M21=""),"",$D21+IFERROR(VLOOKUP($M21,Setup!$B$27:$D$30,3,FALSE()),0))</f>
        <v>46264</v>
      </c>
      <c r="S21" s="95" t="s">
        <v>294</v>
      </c>
      <c r="T21" s="94" t="n">
        <f aca="true">TODAY()-1</f>
        <v>46250</v>
      </c>
      <c r="U21" s="95"/>
      <c r="V21" s="95"/>
      <c r="W21" s="95"/>
      <c r="X21" s="99" t="n">
        <f aca="false">IF(OR($D21="",$W21&lt;&gt;""),"",IF($T21&lt;&gt;"",$T21-$D21,Setup!$D$12-$D21))</f>
        <v>1</v>
      </c>
      <c r="Y21" s="100" t="str">
        <f aca="false">IF($E21="","",IF($W21&lt;&gt;"","Void",IF($T21&lt;&gt;"","Closed",IF(OR($C21="",$D21="",$K21="",$L21=""),"Incomplete entry",IF(Setup!$D$12&gt;$R21,"Overdue",IF($R21-Setup!$D$12&lt;=Setup!$D$35,"Due soon","Open"))))))</f>
        <v>Closed</v>
      </c>
      <c r="Z21" s="100" t="str">
        <f aca="false">IF($E21="","",IF(OR($W21&lt;&gt;"",$T21&lt;&gt;""),"-",IF(COUNTIF(Escalations!$B$7:$B$26,$B21)&gt;0,IFERROR("Escalated - "&amp;IF(VLOOKUP($B21,Escalations!$B$7:$M$26,12,FALSE())="Decision made","decided",IF(VLOOKUP($B21,Escalations!$B$7:$M$26,12,FALSE())="Decision overdue","overdue","awaiting")),"Escalated - awaiting"),IF(ABS(N($N21))&gt;Setup!$D$18,"Refer up - value",IF(ABS(N($O21))&gt;Setup!$D$19,"Refer up - time",IF(AND(Setup!$D$20="Yes",$M21="P1"),"Refer up - P1",IF(AND($R21&lt;&gt;"",Setup!$D$12-$R21&gt;Setup!$D$21),"Refer up - age","-")))))))</f>
        <v>-</v>
      </c>
    </row>
    <row r="22" customFormat="false" ht="42" hidden="false" customHeight="true" outlineLevel="0" collapsed="false">
      <c r="B22" s="93" t="str">
        <f aca="false">IF($E22="","","ISS-"&amp;TEXT(ROW()-6,"000"))</f>
        <v/>
      </c>
      <c r="C22" s="101"/>
      <c r="D22" s="101"/>
      <c r="E22" s="102"/>
      <c r="F22" s="102"/>
      <c r="G22" s="102"/>
      <c r="H22" s="102"/>
      <c r="I22" s="102"/>
      <c r="J22" s="102"/>
      <c r="K22" s="102"/>
      <c r="L22" s="102"/>
      <c r="M22" s="93" t="str">
        <f aca="false">IF(OR($K22="",$L22=""),"",IFERROR(INDEX(Reference!$C$19:$F$22,MATCH($K22,Reference!$B$19:$B$22,0),MATCH($L22,Reference!$C$18:$F$18,0)),""))</f>
        <v/>
      </c>
      <c r="N22" s="103"/>
      <c r="O22" s="104"/>
      <c r="P22" s="102"/>
      <c r="Q22" s="102"/>
      <c r="R22" s="98" t="str">
        <f aca="false">IF(OR($D22="",$M22=""),"",$D22+IFERROR(VLOOKUP($M22,Setup!$B$27:$D$30,3,FALSE()),0))</f>
        <v/>
      </c>
      <c r="S22" s="102"/>
      <c r="T22" s="101"/>
      <c r="U22" s="102"/>
      <c r="V22" s="102"/>
      <c r="W22" s="102"/>
      <c r="X22" s="99" t="str">
        <f aca="false">IF(OR($D22="",$W22&lt;&gt;""),"",IF($T22&lt;&gt;"",$T22-$D22,Setup!$D$12-$D22))</f>
        <v/>
      </c>
      <c r="Y22" s="100" t="str">
        <f aca="false">IF($E22="","",IF($W22&lt;&gt;"","Void",IF($T22&lt;&gt;"","Closed",IF(OR($C22="",$D22="",$K22="",$L22=""),"Incomplete entry",IF(Setup!$D$12&gt;$R22,"Overdue",IF($R22-Setup!$D$12&lt;=Setup!$D$35,"Due soon","Open"))))))</f>
        <v/>
      </c>
      <c r="Z22" s="100" t="str">
        <f aca="false">IF($E22="","",IF(OR($W22&lt;&gt;"",$T22&lt;&gt;""),"-",IF(COUNTIF(Escalations!$B$7:$B$26,$B22)&gt;0,IFERROR("Escalated - "&amp;IF(VLOOKUP($B22,Escalations!$B$7:$M$26,12,FALSE())="Decision made","decided",IF(VLOOKUP($B22,Escalations!$B$7:$M$26,12,FALSE())="Decision overdue","overdue","awaiting")),"Escalated - awaiting"),IF(ABS(N($N22))&gt;Setup!$D$18,"Refer up - value",IF(ABS(N($O22))&gt;Setup!$D$19,"Refer up - time",IF(AND(Setup!$D$20="Yes",$M22="P1"),"Refer up - P1",IF(AND($R22&lt;&gt;"",Setup!$D$12-$R22&gt;Setup!$D$21),"Refer up - age","-")))))))</f>
        <v/>
      </c>
    </row>
    <row r="23" customFormat="false" ht="42" hidden="false" customHeight="true" outlineLevel="0" collapsed="false">
      <c r="B23" s="93" t="str">
        <f aca="false">IF($E23="","","ISS-"&amp;TEXT(ROW()-6,"000"))</f>
        <v/>
      </c>
      <c r="C23" s="94"/>
      <c r="D23" s="94"/>
      <c r="E23" s="95"/>
      <c r="F23" s="95"/>
      <c r="G23" s="95"/>
      <c r="H23" s="95"/>
      <c r="I23" s="95"/>
      <c r="J23" s="95"/>
      <c r="K23" s="95"/>
      <c r="L23" s="95"/>
      <c r="M23" s="93" t="str">
        <f aca="false">IF(OR($K23="",$L23=""),"",IFERROR(INDEX(Reference!$C$19:$F$22,MATCH($K23,Reference!$B$19:$B$22,0),MATCH($L23,Reference!$C$18:$F$18,0)),""))</f>
        <v/>
      </c>
      <c r="N23" s="96"/>
      <c r="O23" s="97"/>
      <c r="P23" s="95"/>
      <c r="Q23" s="95"/>
      <c r="R23" s="98" t="str">
        <f aca="false">IF(OR($D23="",$M23=""),"",$D23+IFERROR(VLOOKUP($M23,Setup!$B$27:$D$30,3,FALSE()),0))</f>
        <v/>
      </c>
      <c r="S23" s="95"/>
      <c r="T23" s="94"/>
      <c r="U23" s="95"/>
      <c r="V23" s="95"/>
      <c r="W23" s="95"/>
      <c r="X23" s="99" t="str">
        <f aca="false">IF(OR($D23="",$W23&lt;&gt;""),"",IF($T23&lt;&gt;"",$T23-$D23,Setup!$D$12-$D23))</f>
        <v/>
      </c>
      <c r="Y23" s="100" t="str">
        <f aca="false">IF($E23="","",IF($W23&lt;&gt;"","Void",IF($T23&lt;&gt;"","Closed",IF(OR($C23="",$D23="",$K23="",$L23=""),"Incomplete entry",IF(Setup!$D$12&gt;$R23,"Overdue",IF($R23-Setup!$D$12&lt;=Setup!$D$35,"Due soon","Open"))))))</f>
        <v/>
      </c>
      <c r="Z23" s="100" t="str">
        <f aca="false">IF($E23="","",IF(OR($W23&lt;&gt;"",$T23&lt;&gt;""),"-",IF(COUNTIF(Escalations!$B$7:$B$26,$B23)&gt;0,IFERROR("Escalated - "&amp;IF(VLOOKUP($B23,Escalations!$B$7:$M$26,12,FALSE())="Decision made","decided",IF(VLOOKUP($B23,Escalations!$B$7:$M$26,12,FALSE())="Decision overdue","overdue","awaiting")),"Escalated - awaiting"),IF(ABS(N($N23))&gt;Setup!$D$18,"Refer up - value",IF(ABS(N($O23))&gt;Setup!$D$19,"Refer up - time",IF(AND(Setup!$D$20="Yes",$M23="P1"),"Refer up - P1",IF(AND($R23&lt;&gt;"",Setup!$D$12-$R23&gt;Setup!$D$21),"Refer up - age","-")))))))</f>
        <v/>
      </c>
    </row>
    <row r="24" customFormat="false" ht="42" hidden="false" customHeight="true" outlineLevel="0" collapsed="false">
      <c r="B24" s="93" t="str">
        <f aca="false">IF($E24="","","ISS-"&amp;TEXT(ROW()-6,"000"))</f>
        <v/>
      </c>
      <c r="C24" s="101"/>
      <c r="D24" s="101"/>
      <c r="E24" s="102"/>
      <c r="F24" s="102"/>
      <c r="G24" s="102"/>
      <c r="H24" s="102"/>
      <c r="I24" s="102"/>
      <c r="J24" s="102"/>
      <c r="K24" s="102"/>
      <c r="L24" s="102"/>
      <c r="M24" s="93" t="str">
        <f aca="false">IF(OR($K24="",$L24=""),"",IFERROR(INDEX(Reference!$C$19:$F$22,MATCH($K24,Reference!$B$19:$B$22,0),MATCH($L24,Reference!$C$18:$F$18,0)),""))</f>
        <v/>
      </c>
      <c r="N24" s="103"/>
      <c r="O24" s="104"/>
      <c r="P24" s="102"/>
      <c r="Q24" s="102"/>
      <c r="R24" s="98" t="str">
        <f aca="false">IF(OR($D24="",$M24=""),"",$D24+IFERROR(VLOOKUP($M24,Setup!$B$27:$D$30,3,FALSE()),0))</f>
        <v/>
      </c>
      <c r="S24" s="102"/>
      <c r="T24" s="101"/>
      <c r="U24" s="102"/>
      <c r="V24" s="102"/>
      <c r="W24" s="102"/>
      <c r="X24" s="99" t="str">
        <f aca="false">IF(OR($D24="",$W24&lt;&gt;""),"",IF($T24&lt;&gt;"",$T24-$D24,Setup!$D$12-$D24))</f>
        <v/>
      </c>
      <c r="Y24" s="100" t="str">
        <f aca="false">IF($E24="","",IF($W24&lt;&gt;"","Void",IF($T24&lt;&gt;"","Closed",IF(OR($C24="",$D24="",$K24="",$L24=""),"Incomplete entry",IF(Setup!$D$12&gt;$R24,"Overdue",IF($R24-Setup!$D$12&lt;=Setup!$D$35,"Due soon","Open"))))))</f>
        <v/>
      </c>
      <c r="Z24" s="100" t="str">
        <f aca="false">IF($E24="","",IF(OR($W24&lt;&gt;"",$T24&lt;&gt;""),"-",IF(COUNTIF(Escalations!$B$7:$B$26,$B24)&gt;0,IFERROR("Escalated - "&amp;IF(VLOOKUP($B24,Escalations!$B$7:$M$26,12,FALSE())="Decision made","decided",IF(VLOOKUP($B24,Escalations!$B$7:$M$26,12,FALSE())="Decision overdue","overdue","awaiting")),"Escalated - awaiting"),IF(ABS(N($N24))&gt;Setup!$D$18,"Refer up - value",IF(ABS(N($O24))&gt;Setup!$D$19,"Refer up - time",IF(AND(Setup!$D$20="Yes",$M24="P1"),"Refer up - P1",IF(AND($R24&lt;&gt;"",Setup!$D$12-$R24&gt;Setup!$D$21),"Refer up - age","-")))))))</f>
        <v/>
      </c>
    </row>
    <row r="25" customFormat="false" ht="42" hidden="false" customHeight="true" outlineLevel="0" collapsed="false">
      <c r="B25" s="93" t="str">
        <f aca="false">IF($E25="","","ISS-"&amp;TEXT(ROW()-6,"000"))</f>
        <v/>
      </c>
      <c r="C25" s="94"/>
      <c r="D25" s="94"/>
      <c r="E25" s="95"/>
      <c r="F25" s="95"/>
      <c r="G25" s="95"/>
      <c r="H25" s="95"/>
      <c r="I25" s="95"/>
      <c r="J25" s="95"/>
      <c r="K25" s="95"/>
      <c r="L25" s="95"/>
      <c r="M25" s="93" t="str">
        <f aca="false">IF(OR($K25="",$L25=""),"",IFERROR(INDEX(Reference!$C$19:$F$22,MATCH($K25,Reference!$B$19:$B$22,0),MATCH($L25,Reference!$C$18:$F$18,0)),""))</f>
        <v/>
      </c>
      <c r="N25" s="96"/>
      <c r="O25" s="97"/>
      <c r="P25" s="95"/>
      <c r="Q25" s="95"/>
      <c r="R25" s="98" t="str">
        <f aca="false">IF(OR($D25="",$M25=""),"",$D25+IFERROR(VLOOKUP($M25,Setup!$B$27:$D$30,3,FALSE()),0))</f>
        <v/>
      </c>
      <c r="S25" s="95"/>
      <c r="T25" s="94"/>
      <c r="U25" s="95"/>
      <c r="V25" s="95"/>
      <c r="W25" s="95"/>
      <c r="X25" s="99" t="str">
        <f aca="false">IF(OR($D25="",$W25&lt;&gt;""),"",IF($T25&lt;&gt;"",$T25-$D25,Setup!$D$12-$D25))</f>
        <v/>
      </c>
      <c r="Y25" s="100" t="str">
        <f aca="false">IF($E25="","",IF($W25&lt;&gt;"","Void",IF($T25&lt;&gt;"","Closed",IF(OR($C25="",$D25="",$K25="",$L25=""),"Incomplete entry",IF(Setup!$D$12&gt;$R25,"Overdue",IF($R25-Setup!$D$12&lt;=Setup!$D$35,"Due soon","Open"))))))</f>
        <v/>
      </c>
      <c r="Z25" s="100" t="str">
        <f aca="false">IF($E25="","",IF(OR($W25&lt;&gt;"",$T25&lt;&gt;""),"-",IF(COUNTIF(Escalations!$B$7:$B$26,$B25)&gt;0,IFERROR("Escalated - "&amp;IF(VLOOKUP($B25,Escalations!$B$7:$M$26,12,FALSE())="Decision made","decided",IF(VLOOKUP($B25,Escalations!$B$7:$M$26,12,FALSE())="Decision overdue","overdue","awaiting")),"Escalated - awaiting"),IF(ABS(N($N25))&gt;Setup!$D$18,"Refer up - value",IF(ABS(N($O25))&gt;Setup!$D$19,"Refer up - time",IF(AND(Setup!$D$20="Yes",$M25="P1"),"Refer up - P1",IF(AND($R25&lt;&gt;"",Setup!$D$12-$R25&gt;Setup!$D$21),"Refer up - age","-")))))))</f>
        <v/>
      </c>
    </row>
    <row r="26" customFormat="false" ht="42" hidden="false" customHeight="true" outlineLevel="0" collapsed="false">
      <c r="B26" s="93" t="str">
        <f aca="false">IF($E26="","","ISS-"&amp;TEXT(ROW()-6,"000"))</f>
        <v/>
      </c>
      <c r="C26" s="101"/>
      <c r="D26" s="101"/>
      <c r="E26" s="102"/>
      <c r="F26" s="102"/>
      <c r="G26" s="102"/>
      <c r="H26" s="102"/>
      <c r="I26" s="102"/>
      <c r="J26" s="102"/>
      <c r="K26" s="102"/>
      <c r="L26" s="102"/>
      <c r="M26" s="93" t="str">
        <f aca="false">IF(OR($K26="",$L26=""),"",IFERROR(INDEX(Reference!$C$19:$F$22,MATCH($K26,Reference!$B$19:$B$22,0),MATCH($L26,Reference!$C$18:$F$18,0)),""))</f>
        <v/>
      </c>
      <c r="N26" s="103"/>
      <c r="O26" s="104"/>
      <c r="P26" s="102"/>
      <c r="Q26" s="102"/>
      <c r="R26" s="98" t="str">
        <f aca="false">IF(OR($D26="",$M26=""),"",$D26+IFERROR(VLOOKUP($M26,Setup!$B$27:$D$30,3,FALSE()),0))</f>
        <v/>
      </c>
      <c r="S26" s="102"/>
      <c r="T26" s="101"/>
      <c r="U26" s="102"/>
      <c r="V26" s="102"/>
      <c r="W26" s="102"/>
      <c r="X26" s="99" t="str">
        <f aca="false">IF(OR($D26="",$W26&lt;&gt;""),"",IF($T26&lt;&gt;"",$T26-$D26,Setup!$D$12-$D26))</f>
        <v/>
      </c>
      <c r="Y26" s="100" t="str">
        <f aca="false">IF($E26="","",IF($W26&lt;&gt;"","Void",IF($T26&lt;&gt;"","Closed",IF(OR($C26="",$D26="",$K26="",$L26=""),"Incomplete entry",IF(Setup!$D$12&gt;$R26,"Overdue",IF($R26-Setup!$D$12&lt;=Setup!$D$35,"Due soon","Open"))))))</f>
        <v/>
      </c>
      <c r="Z26" s="100" t="str">
        <f aca="false">IF($E26="","",IF(OR($W26&lt;&gt;"",$T26&lt;&gt;""),"-",IF(COUNTIF(Escalations!$B$7:$B$26,$B26)&gt;0,IFERROR("Escalated - "&amp;IF(VLOOKUP($B26,Escalations!$B$7:$M$26,12,FALSE())="Decision made","decided",IF(VLOOKUP($B26,Escalations!$B$7:$M$26,12,FALSE())="Decision overdue","overdue","awaiting")),"Escalated - awaiting"),IF(ABS(N($N26))&gt;Setup!$D$18,"Refer up - value",IF(ABS(N($O26))&gt;Setup!$D$19,"Refer up - time",IF(AND(Setup!$D$20="Yes",$M26="P1"),"Refer up - P1",IF(AND($R26&lt;&gt;"",Setup!$D$12-$R26&gt;Setup!$D$21),"Refer up - age","-")))))))</f>
        <v/>
      </c>
    </row>
    <row r="27" customFormat="false" ht="42" hidden="false" customHeight="true" outlineLevel="0" collapsed="false">
      <c r="B27" s="93" t="str">
        <f aca="false">IF($E27="","","ISS-"&amp;TEXT(ROW()-6,"000"))</f>
        <v/>
      </c>
      <c r="C27" s="94"/>
      <c r="D27" s="94"/>
      <c r="E27" s="95"/>
      <c r="F27" s="95"/>
      <c r="G27" s="95"/>
      <c r="H27" s="95"/>
      <c r="I27" s="95"/>
      <c r="J27" s="95"/>
      <c r="K27" s="95"/>
      <c r="L27" s="95"/>
      <c r="M27" s="93" t="str">
        <f aca="false">IF(OR($K27="",$L27=""),"",IFERROR(INDEX(Reference!$C$19:$F$22,MATCH($K27,Reference!$B$19:$B$22,0),MATCH($L27,Reference!$C$18:$F$18,0)),""))</f>
        <v/>
      </c>
      <c r="N27" s="96"/>
      <c r="O27" s="97"/>
      <c r="P27" s="95"/>
      <c r="Q27" s="95"/>
      <c r="R27" s="98" t="str">
        <f aca="false">IF(OR($D27="",$M27=""),"",$D27+IFERROR(VLOOKUP($M27,Setup!$B$27:$D$30,3,FALSE()),0))</f>
        <v/>
      </c>
      <c r="S27" s="95"/>
      <c r="T27" s="94"/>
      <c r="U27" s="95"/>
      <c r="V27" s="95"/>
      <c r="W27" s="95"/>
      <c r="X27" s="99" t="str">
        <f aca="false">IF(OR($D27="",$W27&lt;&gt;""),"",IF($T27&lt;&gt;"",$T27-$D27,Setup!$D$12-$D27))</f>
        <v/>
      </c>
      <c r="Y27" s="100" t="str">
        <f aca="false">IF($E27="","",IF($W27&lt;&gt;"","Void",IF($T27&lt;&gt;"","Closed",IF(OR($C27="",$D27="",$K27="",$L27=""),"Incomplete entry",IF(Setup!$D$12&gt;$R27,"Overdue",IF($R27-Setup!$D$12&lt;=Setup!$D$35,"Due soon","Open"))))))</f>
        <v/>
      </c>
      <c r="Z27" s="100" t="str">
        <f aca="false">IF($E27="","",IF(OR($W27&lt;&gt;"",$T27&lt;&gt;""),"-",IF(COUNTIF(Escalations!$B$7:$B$26,$B27)&gt;0,IFERROR("Escalated - "&amp;IF(VLOOKUP($B27,Escalations!$B$7:$M$26,12,FALSE())="Decision made","decided",IF(VLOOKUP($B27,Escalations!$B$7:$M$26,12,FALSE())="Decision overdue","overdue","awaiting")),"Escalated - awaiting"),IF(ABS(N($N27))&gt;Setup!$D$18,"Refer up - value",IF(ABS(N($O27))&gt;Setup!$D$19,"Refer up - time",IF(AND(Setup!$D$20="Yes",$M27="P1"),"Refer up - P1",IF(AND($R27&lt;&gt;"",Setup!$D$12-$R27&gt;Setup!$D$21),"Refer up - age","-")))))))</f>
        <v/>
      </c>
    </row>
    <row r="28" customFormat="false" ht="42" hidden="false" customHeight="true" outlineLevel="0" collapsed="false">
      <c r="B28" s="93" t="str">
        <f aca="false">IF($E28="","","ISS-"&amp;TEXT(ROW()-6,"000"))</f>
        <v/>
      </c>
      <c r="C28" s="101"/>
      <c r="D28" s="101"/>
      <c r="E28" s="102"/>
      <c r="F28" s="102"/>
      <c r="G28" s="102"/>
      <c r="H28" s="102"/>
      <c r="I28" s="102"/>
      <c r="J28" s="102"/>
      <c r="K28" s="102"/>
      <c r="L28" s="102"/>
      <c r="M28" s="93" t="str">
        <f aca="false">IF(OR($K28="",$L28=""),"",IFERROR(INDEX(Reference!$C$19:$F$22,MATCH($K28,Reference!$B$19:$B$22,0),MATCH($L28,Reference!$C$18:$F$18,0)),""))</f>
        <v/>
      </c>
      <c r="N28" s="103"/>
      <c r="O28" s="104"/>
      <c r="P28" s="102"/>
      <c r="Q28" s="102"/>
      <c r="R28" s="98" t="str">
        <f aca="false">IF(OR($D28="",$M28=""),"",$D28+IFERROR(VLOOKUP($M28,Setup!$B$27:$D$30,3,FALSE()),0))</f>
        <v/>
      </c>
      <c r="S28" s="102"/>
      <c r="T28" s="101"/>
      <c r="U28" s="102"/>
      <c r="V28" s="102"/>
      <c r="W28" s="102"/>
      <c r="X28" s="99" t="str">
        <f aca="false">IF(OR($D28="",$W28&lt;&gt;""),"",IF($T28&lt;&gt;"",$T28-$D28,Setup!$D$12-$D28))</f>
        <v/>
      </c>
      <c r="Y28" s="100" t="str">
        <f aca="false">IF($E28="","",IF($W28&lt;&gt;"","Void",IF($T28&lt;&gt;"","Closed",IF(OR($C28="",$D28="",$K28="",$L28=""),"Incomplete entry",IF(Setup!$D$12&gt;$R28,"Overdue",IF($R28-Setup!$D$12&lt;=Setup!$D$35,"Due soon","Open"))))))</f>
        <v/>
      </c>
      <c r="Z28" s="100" t="str">
        <f aca="false">IF($E28="","",IF(OR($W28&lt;&gt;"",$T28&lt;&gt;""),"-",IF(COUNTIF(Escalations!$B$7:$B$26,$B28)&gt;0,IFERROR("Escalated - "&amp;IF(VLOOKUP($B28,Escalations!$B$7:$M$26,12,FALSE())="Decision made","decided",IF(VLOOKUP($B28,Escalations!$B$7:$M$26,12,FALSE())="Decision overdue","overdue","awaiting")),"Escalated - awaiting"),IF(ABS(N($N28))&gt;Setup!$D$18,"Refer up - value",IF(ABS(N($O28))&gt;Setup!$D$19,"Refer up - time",IF(AND(Setup!$D$20="Yes",$M28="P1"),"Refer up - P1",IF(AND($R28&lt;&gt;"",Setup!$D$12-$R28&gt;Setup!$D$21),"Refer up - age","-")))))))</f>
        <v/>
      </c>
    </row>
    <row r="29" customFormat="false" ht="42" hidden="false" customHeight="true" outlineLevel="0" collapsed="false">
      <c r="B29" s="93" t="str">
        <f aca="false">IF($E29="","","ISS-"&amp;TEXT(ROW()-6,"000"))</f>
        <v/>
      </c>
      <c r="C29" s="94"/>
      <c r="D29" s="94"/>
      <c r="E29" s="95"/>
      <c r="F29" s="95"/>
      <c r="G29" s="95"/>
      <c r="H29" s="95"/>
      <c r="I29" s="95"/>
      <c r="J29" s="95"/>
      <c r="K29" s="95"/>
      <c r="L29" s="95"/>
      <c r="M29" s="93" t="str">
        <f aca="false">IF(OR($K29="",$L29=""),"",IFERROR(INDEX(Reference!$C$19:$F$22,MATCH($K29,Reference!$B$19:$B$22,0),MATCH($L29,Reference!$C$18:$F$18,0)),""))</f>
        <v/>
      </c>
      <c r="N29" s="96"/>
      <c r="O29" s="97"/>
      <c r="P29" s="95"/>
      <c r="Q29" s="95"/>
      <c r="R29" s="98" t="str">
        <f aca="false">IF(OR($D29="",$M29=""),"",$D29+IFERROR(VLOOKUP($M29,Setup!$B$27:$D$30,3,FALSE()),0))</f>
        <v/>
      </c>
      <c r="S29" s="95"/>
      <c r="T29" s="94"/>
      <c r="U29" s="95"/>
      <c r="V29" s="95"/>
      <c r="W29" s="95"/>
      <c r="X29" s="99" t="str">
        <f aca="false">IF(OR($D29="",$W29&lt;&gt;""),"",IF($T29&lt;&gt;"",$T29-$D29,Setup!$D$12-$D29))</f>
        <v/>
      </c>
      <c r="Y29" s="100" t="str">
        <f aca="false">IF($E29="","",IF($W29&lt;&gt;"","Void",IF($T29&lt;&gt;"","Closed",IF(OR($C29="",$D29="",$K29="",$L29=""),"Incomplete entry",IF(Setup!$D$12&gt;$R29,"Overdue",IF($R29-Setup!$D$12&lt;=Setup!$D$35,"Due soon","Open"))))))</f>
        <v/>
      </c>
      <c r="Z29" s="100" t="str">
        <f aca="false">IF($E29="","",IF(OR($W29&lt;&gt;"",$T29&lt;&gt;""),"-",IF(COUNTIF(Escalations!$B$7:$B$26,$B29)&gt;0,IFERROR("Escalated - "&amp;IF(VLOOKUP($B29,Escalations!$B$7:$M$26,12,FALSE())="Decision made","decided",IF(VLOOKUP($B29,Escalations!$B$7:$M$26,12,FALSE())="Decision overdue","overdue","awaiting")),"Escalated - awaiting"),IF(ABS(N($N29))&gt;Setup!$D$18,"Refer up - value",IF(ABS(N($O29))&gt;Setup!$D$19,"Refer up - time",IF(AND(Setup!$D$20="Yes",$M29="P1"),"Refer up - P1",IF(AND($R29&lt;&gt;"",Setup!$D$12-$R29&gt;Setup!$D$21),"Refer up - age","-")))))))</f>
        <v/>
      </c>
    </row>
    <row r="30" customFormat="false" ht="42" hidden="false" customHeight="true" outlineLevel="0" collapsed="false">
      <c r="B30" s="93" t="str">
        <f aca="false">IF($E30="","","ISS-"&amp;TEXT(ROW()-6,"000"))</f>
        <v/>
      </c>
      <c r="C30" s="101"/>
      <c r="D30" s="101"/>
      <c r="E30" s="102"/>
      <c r="F30" s="102"/>
      <c r="G30" s="102"/>
      <c r="H30" s="102"/>
      <c r="I30" s="102"/>
      <c r="J30" s="102"/>
      <c r="K30" s="102"/>
      <c r="L30" s="102"/>
      <c r="M30" s="93" t="str">
        <f aca="false">IF(OR($K30="",$L30=""),"",IFERROR(INDEX(Reference!$C$19:$F$22,MATCH($K30,Reference!$B$19:$B$22,0),MATCH($L30,Reference!$C$18:$F$18,0)),""))</f>
        <v/>
      </c>
      <c r="N30" s="103"/>
      <c r="O30" s="104"/>
      <c r="P30" s="102"/>
      <c r="Q30" s="102"/>
      <c r="R30" s="98" t="str">
        <f aca="false">IF(OR($D30="",$M30=""),"",$D30+IFERROR(VLOOKUP($M30,Setup!$B$27:$D$30,3,FALSE()),0))</f>
        <v/>
      </c>
      <c r="S30" s="102"/>
      <c r="T30" s="101"/>
      <c r="U30" s="102"/>
      <c r="V30" s="102"/>
      <c r="W30" s="102"/>
      <c r="X30" s="99" t="str">
        <f aca="false">IF(OR($D30="",$W30&lt;&gt;""),"",IF($T30&lt;&gt;"",$T30-$D30,Setup!$D$12-$D30))</f>
        <v/>
      </c>
      <c r="Y30" s="100" t="str">
        <f aca="false">IF($E30="","",IF($W30&lt;&gt;"","Void",IF($T30&lt;&gt;"","Closed",IF(OR($C30="",$D30="",$K30="",$L30=""),"Incomplete entry",IF(Setup!$D$12&gt;$R30,"Overdue",IF($R30-Setup!$D$12&lt;=Setup!$D$35,"Due soon","Open"))))))</f>
        <v/>
      </c>
      <c r="Z30" s="100" t="str">
        <f aca="false">IF($E30="","",IF(OR($W30&lt;&gt;"",$T30&lt;&gt;""),"-",IF(COUNTIF(Escalations!$B$7:$B$26,$B30)&gt;0,IFERROR("Escalated - "&amp;IF(VLOOKUP($B30,Escalations!$B$7:$M$26,12,FALSE())="Decision made","decided",IF(VLOOKUP($B30,Escalations!$B$7:$M$26,12,FALSE())="Decision overdue","overdue","awaiting")),"Escalated - awaiting"),IF(ABS(N($N30))&gt;Setup!$D$18,"Refer up - value",IF(ABS(N($O30))&gt;Setup!$D$19,"Refer up - time",IF(AND(Setup!$D$20="Yes",$M30="P1"),"Refer up - P1",IF(AND($R30&lt;&gt;"",Setup!$D$12-$R30&gt;Setup!$D$21),"Refer up - age","-")))))))</f>
        <v/>
      </c>
    </row>
    <row r="31" customFormat="false" ht="42" hidden="false" customHeight="true" outlineLevel="0" collapsed="false">
      <c r="B31" s="93" t="str">
        <f aca="false">IF($E31="","","ISS-"&amp;TEXT(ROW()-6,"000"))</f>
        <v/>
      </c>
      <c r="C31" s="94"/>
      <c r="D31" s="94"/>
      <c r="E31" s="95"/>
      <c r="F31" s="95"/>
      <c r="G31" s="95"/>
      <c r="H31" s="95"/>
      <c r="I31" s="95"/>
      <c r="J31" s="95"/>
      <c r="K31" s="95"/>
      <c r="L31" s="95"/>
      <c r="M31" s="93" t="str">
        <f aca="false">IF(OR($K31="",$L31=""),"",IFERROR(INDEX(Reference!$C$19:$F$22,MATCH($K31,Reference!$B$19:$B$22,0),MATCH($L31,Reference!$C$18:$F$18,0)),""))</f>
        <v/>
      </c>
      <c r="N31" s="96"/>
      <c r="O31" s="97"/>
      <c r="P31" s="95"/>
      <c r="Q31" s="95"/>
      <c r="R31" s="98" t="str">
        <f aca="false">IF(OR($D31="",$M31=""),"",$D31+IFERROR(VLOOKUP($M31,Setup!$B$27:$D$30,3,FALSE()),0))</f>
        <v/>
      </c>
      <c r="S31" s="95"/>
      <c r="T31" s="94"/>
      <c r="U31" s="95"/>
      <c r="V31" s="95"/>
      <c r="W31" s="95"/>
      <c r="X31" s="99" t="str">
        <f aca="false">IF(OR($D31="",$W31&lt;&gt;""),"",IF($T31&lt;&gt;"",$T31-$D31,Setup!$D$12-$D31))</f>
        <v/>
      </c>
      <c r="Y31" s="100" t="str">
        <f aca="false">IF($E31="","",IF($W31&lt;&gt;"","Void",IF($T31&lt;&gt;"","Closed",IF(OR($C31="",$D31="",$K31="",$L31=""),"Incomplete entry",IF(Setup!$D$12&gt;$R31,"Overdue",IF($R31-Setup!$D$12&lt;=Setup!$D$35,"Due soon","Open"))))))</f>
        <v/>
      </c>
      <c r="Z31" s="100" t="str">
        <f aca="false">IF($E31="","",IF(OR($W31&lt;&gt;"",$T31&lt;&gt;""),"-",IF(COUNTIF(Escalations!$B$7:$B$26,$B31)&gt;0,IFERROR("Escalated - "&amp;IF(VLOOKUP($B31,Escalations!$B$7:$M$26,12,FALSE())="Decision made","decided",IF(VLOOKUP($B31,Escalations!$B$7:$M$26,12,FALSE())="Decision overdue","overdue","awaiting")),"Escalated - awaiting"),IF(ABS(N($N31))&gt;Setup!$D$18,"Refer up - value",IF(ABS(N($O31))&gt;Setup!$D$19,"Refer up - time",IF(AND(Setup!$D$20="Yes",$M31="P1"),"Refer up - P1",IF(AND($R31&lt;&gt;"",Setup!$D$12-$R31&gt;Setup!$D$21),"Refer up - age","-")))))))</f>
        <v/>
      </c>
    </row>
    <row r="32" customFormat="false" ht="42" hidden="false" customHeight="true" outlineLevel="0" collapsed="false">
      <c r="B32" s="93" t="str">
        <f aca="false">IF($E32="","","ISS-"&amp;TEXT(ROW()-6,"000"))</f>
        <v/>
      </c>
      <c r="C32" s="101"/>
      <c r="D32" s="101"/>
      <c r="E32" s="102"/>
      <c r="F32" s="102"/>
      <c r="G32" s="102"/>
      <c r="H32" s="102"/>
      <c r="I32" s="102"/>
      <c r="J32" s="102"/>
      <c r="K32" s="102"/>
      <c r="L32" s="102"/>
      <c r="M32" s="93" t="str">
        <f aca="false">IF(OR($K32="",$L32=""),"",IFERROR(INDEX(Reference!$C$19:$F$22,MATCH($K32,Reference!$B$19:$B$22,0),MATCH($L32,Reference!$C$18:$F$18,0)),""))</f>
        <v/>
      </c>
      <c r="N32" s="103"/>
      <c r="O32" s="104"/>
      <c r="P32" s="102"/>
      <c r="Q32" s="102"/>
      <c r="R32" s="98" t="str">
        <f aca="false">IF(OR($D32="",$M32=""),"",$D32+IFERROR(VLOOKUP($M32,Setup!$B$27:$D$30,3,FALSE()),0))</f>
        <v/>
      </c>
      <c r="S32" s="102"/>
      <c r="T32" s="101"/>
      <c r="U32" s="102"/>
      <c r="V32" s="102"/>
      <c r="W32" s="102"/>
      <c r="X32" s="99" t="str">
        <f aca="false">IF(OR($D32="",$W32&lt;&gt;""),"",IF($T32&lt;&gt;"",$T32-$D32,Setup!$D$12-$D32))</f>
        <v/>
      </c>
      <c r="Y32" s="100" t="str">
        <f aca="false">IF($E32="","",IF($W32&lt;&gt;"","Void",IF($T32&lt;&gt;"","Closed",IF(OR($C32="",$D32="",$K32="",$L32=""),"Incomplete entry",IF(Setup!$D$12&gt;$R32,"Overdue",IF($R32-Setup!$D$12&lt;=Setup!$D$35,"Due soon","Open"))))))</f>
        <v/>
      </c>
      <c r="Z32" s="100" t="str">
        <f aca="false">IF($E32="","",IF(OR($W32&lt;&gt;"",$T32&lt;&gt;""),"-",IF(COUNTIF(Escalations!$B$7:$B$26,$B32)&gt;0,IFERROR("Escalated - "&amp;IF(VLOOKUP($B32,Escalations!$B$7:$M$26,12,FALSE())="Decision made","decided",IF(VLOOKUP($B32,Escalations!$B$7:$M$26,12,FALSE())="Decision overdue","overdue","awaiting")),"Escalated - awaiting"),IF(ABS(N($N32))&gt;Setup!$D$18,"Refer up - value",IF(ABS(N($O32))&gt;Setup!$D$19,"Refer up - time",IF(AND(Setup!$D$20="Yes",$M32="P1"),"Refer up - P1",IF(AND($R32&lt;&gt;"",Setup!$D$12-$R32&gt;Setup!$D$21),"Refer up - age","-")))))))</f>
        <v/>
      </c>
    </row>
    <row r="33" customFormat="false" ht="42" hidden="false" customHeight="true" outlineLevel="0" collapsed="false">
      <c r="B33" s="93" t="str">
        <f aca="false">IF($E33="","","ISS-"&amp;TEXT(ROW()-6,"000"))</f>
        <v/>
      </c>
      <c r="C33" s="94"/>
      <c r="D33" s="94"/>
      <c r="E33" s="95"/>
      <c r="F33" s="95"/>
      <c r="G33" s="95"/>
      <c r="H33" s="95"/>
      <c r="I33" s="95"/>
      <c r="J33" s="95"/>
      <c r="K33" s="95"/>
      <c r="L33" s="95"/>
      <c r="M33" s="93" t="str">
        <f aca="false">IF(OR($K33="",$L33=""),"",IFERROR(INDEX(Reference!$C$19:$F$22,MATCH($K33,Reference!$B$19:$B$22,0),MATCH($L33,Reference!$C$18:$F$18,0)),""))</f>
        <v/>
      </c>
      <c r="N33" s="96"/>
      <c r="O33" s="97"/>
      <c r="P33" s="95"/>
      <c r="Q33" s="95"/>
      <c r="R33" s="98" t="str">
        <f aca="false">IF(OR($D33="",$M33=""),"",$D33+IFERROR(VLOOKUP($M33,Setup!$B$27:$D$30,3,FALSE()),0))</f>
        <v/>
      </c>
      <c r="S33" s="95"/>
      <c r="T33" s="94"/>
      <c r="U33" s="95"/>
      <c r="V33" s="95"/>
      <c r="W33" s="95"/>
      <c r="X33" s="99" t="str">
        <f aca="false">IF(OR($D33="",$W33&lt;&gt;""),"",IF($T33&lt;&gt;"",$T33-$D33,Setup!$D$12-$D33))</f>
        <v/>
      </c>
      <c r="Y33" s="100" t="str">
        <f aca="false">IF($E33="","",IF($W33&lt;&gt;"","Void",IF($T33&lt;&gt;"","Closed",IF(OR($C33="",$D33="",$K33="",$L33=""),"Incomplete entry",IF(Setup!$D$12&gt;$R33,"Overdue",IF($R33-Setup!$D$12&lt;=Setup!$D$35,"Due soon","Open"))))))</f>
        <v/>
      </c>
      <c r="Z33" s="100" t="str">
        <f aca="false">IF($E33="","",IF(OR($W33&lt;&gt;"",$T33&lt;&gt;""),"-",IF(COUNTIF(Escalations!$B$7:$B$26,$B33)&gt;0,IFERROR("Escalated - "&amp;IF(VLOOKUP($B33,Escalations!$B$7:$M$26,12,FALSE())="Decision made","decided",IF(VLOOKUP($B33,Escalations!$B$7:$M$26,12,FALSE())="Decision overdue","overdue","awaiting")),"Escalated - awaiting"),IF(ABS(N($N33))&gt;Setup!$D$18,"Refer up - value",IF(ABS(N($O33))&gt;Setup!$D$19,"Refer up - time",IF(AND(Setup!$D$20="Yes",$M33="P1"),"Refer up - P1",IF(AND($R33&lt;&gt;"",Setup!$D$12-$R33&gt;Setup!$D$21),"Refer up - age","-")))))))</f>
        <v/>
      </c>
    </row>
    <row r="34" customFormat="false" ht="42" hidden="false" customHeight="true" outlineLevel="0" collapsed="false">
      <c r="B34" s="93" t="str">
        <f aca="false">IF($E34="","","ISS-"&amp;TEXT(ROW()-6,"000"))</f>
        <v/>
      </c>
      <c r="C34" s="101"/>
      <c r="D34" s="101"/>
      <c r="E34" s="102"/>
      <c r="F34" s="102"/>
      <c r="G34" s="102"/>
      <c r="H34" s="102"/>
      <c r="I34" s="102"/>
      <c r="J34" s="102"/>
      <c r="K34" s="102"/>
      <c r="L34" s="102"/>
      <c r="M34" s="93" t="str">
        <f aca="false">IF(OR($K34="",$L34=""),"",IFERROR(INDEX(Reference!$C$19:$F$22,MATCH($K34,Reference!$B$19:$B$22,0),MATCH($L34,Reference!$C$18:$F$18,0)),""))</f>
        <v/>
      </c>
      <c r="N34" s="103"/>
      <c r="O34" s="104"/>
      <c r="P34" s="102"/>
      <c r="Q34" s="102"/>
      <c r="R34" s="98" t="str">
        <f aca="false">IF(OR($D34="",$M34=""),"",$D34+IFERROR(VLOOKUP($M34,Setup!$B$27:$D$30,3,FALSE()),0))</f>
        <v/>
      </c>
      <c r="S34" s="102"/>
      <c r="T34" s="101"/>
      <c r="U34" s="102"/>
      <c r="V34" s="102"/>
      <c r="W34" s="102"/>
      <c r="X34" s="99" t="str">
        <f aca="false">IF(OR($D34="",$W34&lt;&gt;""),"",IF($T34&lt;&gt;"",$T34-$D34,Setup!$D$12-$D34))</f>
        <v/>
      </c>
      <c r="Y34" s="100" t="str">
        <f aca="false">IF($E34="","",IF($W34&lt;&gt;"","Void",IF($T34&lt;&gt;"","Closed",IF(OR($C34="",$D34="",$K34="",$L34=""),"Incomplete entry",IF(Setup!$D$12&gt;$R34,"Overdue",IF($R34-Setup!$D$12&lt;=Setup!$D$35,"Due soon","Open"))))))</f>
        <v/>
      </c>
      <c r="Z34" s="100" t="str">
        <f aca="false">IF($E34="","",IF(OR($W34&lt;&gt;"",$T34&lt;&gt;""),"-",IF(COUNTIF(Escalations!$B$7:$B$26,$B34)&gt;0,IFERROR("Escalated - "&amp;IF(VLOOKUP($B34,Escalations!$B$7:$M$26,12,FALSE())="Decision made","decided",IF(VLOOKUP($B34,Escalations!$B$7:$M$26,12,FALSE())="Decision overdue","overdue","awaiting")),"Escalated - awaiting"),IF(ABS(N($N34))&gt;Setup!$D$18,"Refer up - value",IF(ABS(N($O34))&gt;Setup!$D$19,"Refer up - time",IF(AND(Setup!$D$20="Yes",$M34="P1"),"Refer up - P1",IF(AND($R34&lt;&gt;"",Setup!$D$12-$R34&gt;Setup!$D$21),"Refer up - age","-")))))))</f>
        <v/>
      </c>
    </row>
    <row r="35" customFormat="false" ht="42" hidden="false" customHeight="true" outlineLevel="0" collapsed="false">
      <c r="B35" s="93" t="str">
        <f aca="false">IF($E35="","","ISS-"&amp;TEXT(ROW()-6,"000"))</f>
        <v/>
      </c>
      <c r="C35" s="94"/>
      <c r="D35" s="94"/>
      <c r="E35" s="95"/>
      <c r="F35" s="95"/>
      <c r="G35" s="95"/>
      <c r="H35" s="95"/>
      <c r="I35" s="95"/>
      <c r="J35" s="95"/>
      <c r="K35" s="95"/>
      <c r="L35" s="95"/>
      <c r="M35" s="93" t="str">
        <f aca="false">IF(OR($K35="",$L35=""),"",IFERROR(INDEX(Reference!$C$19:$F$22,MATCH($K35,Reference!$B$19:$B$22,0),MATCH($L35,Reference!$C$18:$F$18,0)),""))</f>
        <v/>
      </c>
      <c r="N35" s="96"/>
      <c r="O35" s="97"/>
      <c r="P35" s="95"/>
      <c r="Q35" s="95"/>
      <c r="R35" s="98" t="str">
        <f aca="false">IF(OR($D35="",$M35=""),"",$D35+IFERROR(VLOOKUP($M35,Setup!$B$27:$D$30,3,FALSE()),0))</f>
        <v/>
      </c>
      <c r="S35" s="95"/>
      <c r="T35" s="94"/>
      <c r="U35" s="95"/>
      <c r="V35" s="95"/>
      <c r="W35" s="95"/>
      <c r="X35" s="99" t="str">
        <f aca="false">IF(OR($D35="",$W35&lt;&gt;""),"",IF($T35&lt;&gt;"",$T35-$D35,Setup!$D$12-$D35))</f>
        <v/>
      </c>
      <c r="Y35" s="100" t="str">
        <f aca="false">IF($E35="","",IF($W35&lt;&gt;"","Void",IF($T35&lt;&gt;"","Closed",IF(OR($C35="",$D35="",$K35="",$L35=""),"Incomplete entry",IF(Setup!$D$12&gt;$R35,"Overdue",IF($R35-Setup!$D$12&lt;=Setup!$D$35,"Due soon","Open"))))))</f>
        <v/>
      </c>
      <c r="Z35" s="100" t="str">
        <f aca="false">IF($E35="","",IF(OR($W35&lt;&gt;"",$T35&lt;&gt;""),"-",IF(COUNTIF(Escalations!$B$7:$B$26,$B35)&gt;0,IFERROR("Escalated - "&amp;IF(VLOOKUP($B35,Escalations!$B$7:$M$26,12,FALSE())="Decision made","decided",IF(VLOOKUP($B35,Escalations!$B$7:$M$26,12,FALSE())="Decision overdue","overdue","awaiting")),"Escalated - awaiting"),IF(ABS(N($N35))&gt;Setup!$D$18,"Refer up - value",IF(ABS(N($O35))&gt;Setup!$D$19,"Refer up - time",IF(AND(Setup!$D$20="Yes",$M35="P1"),"Refer up - P1",IF(AND($R35&lt;&gt;"",Setup!$D$12-$R35&gt;Setup!$D$21),"Refer up - age","-")))))))</f>
        <v/>
      </c>
    </row>
    <row r="36" customFormat="false" ht="42" hidden="false" customHeight="true" outlineLevel="0" collapsed="false">
      <c r="B36" s="93" t="str">
        <f aca="false">IF($E36="","","ISS-"&amp;TEXT(ROW()-6,"000"))</f>
        <v/>
      </c>
      <c r="C36" s="101"/>
      <c r="D36" s="101"/>
      <c r="E36" s="102"/>
      <c r="F36" s="102"/>
      <c r="G36" s="102"/>
      <c r="H36" s="102"/>
      <c r="I36" s="102"/>
      <c r="J36" s="102"/>
      <c r="K36" s="102"/>
      <c r="L36" s="102"/>
      <c r="M36" s="93" t="str">
        <f aca="false">IF(OR($K36="",$L36=""),"",IFERROR(INDEX(Reference!$C$19:$F$22,MATCH($K36,Reference!$B$19:$B$22,0),MATCH($L36,Reference!$C$18:$F$18,0)),""))</f>
        <v/>
      </c>
      <c r="N36" s="103"/>
      <c r="O36" s="104"/>
      <c r="P36" s="102"/>
      <c r="Q36" s="102"/>
      <c r="R36" s="98" t="str">
        <f aca="false">IF(OR($D36="",$M36=""),"",$D36+IFERROR(VLOOKUP($M36,Setup!$B$27:$D$30,3,FALSE()),0))</f>
        <v/>
      </c>
      <c r="S36" s="102"/>
      <c r="T36" s="101"/>
      <c r="U36" s="102"/>
      <c r="V36" s="102"/>
      <c r="W36" s="102"/>
      <c r="X36" s="99" t="str">
        <f aca="false">IF(OR($D36="",$W36&lt;&gt;""),"",IF($T36&lt;&gt;"",$T36-$D36,Setup!$D$12-$D36))</f>
        <v/>
      </c>
      <c r="Y36" s="100" t="str">
        <f aca="false">IF($E36="","",IF($W36&lt;&gt;"","Void",IF($T36&lt;&gt;"","Closed",IF(OR($C36="",$D36="",$K36="",$L36=""),"Incomplete entry",IF(Setup!$D$12&gt;$R36,"Overdue",IF($R36-Setup!$D$12&lt;=Setup!$D$35,"Due soon","Open"))))))</f>
        <v/>
      </c>
      <c r="Z36" s="100" t="str">
        <f aca="false">IF($E36="","",IF(OR($W36&lt;&gt;"",$T36&lt;&gt;""),"-",IF(COUNTIF(Escalations!$B$7:$B$26,$B36)&gt;0,IFERROR("Escalated - "&amp;IF(VLOOKUP($B36,Escalations!$B$7:$M$26,12,FALSE())="Decision made","decided",IF(VLOOKUP($B36,Escalations!$B$7:$M$26,12,FALSE())="Decision overdue","overdue","awaiting")),"Escalated - awaiting"),IF(ABS(N($N36))&gt;Setup!$D$18,"Refer up - value",IF(ABS(N($O36))&gt;Setup!$D$19,"Refer up - time",IF(AND(Setup!$D$20="Yes",$M36="P1"),"Refer up - P1",IF(AND($R36&lt;&gt;"",Setup!$D$12-$R36&gt;Setup!$D$21),"Refer up - age","-")))))))</f>
        <v/>
      </c>
    </row>
    <row r="37" customFormat="false" ht="42" hidden="false" customHeight="true" outlineLevel="0" collapsed="false">
      <c r="B37" s="93" t="str">
        <f aca="false">IF($E37="","","ISS-"&amp;TEXT(ROW()-6,"000"))</f>
        <v/>
      </c>
      <c r="C37" s="94"/>
      <c r="D37" s="94"/>
      <c r="E37" s="95"/>
      <c r="F37" s="95"/>
      <c r="G37" s="95"/>
      <c r="H37" s="95"/>
      <c r="I37" s="95"/>
      <c r="J37" s="95"/>
      <c r="K37" s="95"/>
      <c r="L37" s="95"/>
      <c r="M37" s="93" t="str">
        <f aca="false">IF(OR($K37="",$L37=""),"",IFERROR(INDEX(Reference!$C$19:$F$22,MATCH($K37,Reference!$B$19:$B$22,0),MATCH($L37,Reference!$C$18:$F$18,0)),""))</f>
        <v/>
      </c>
      <c r="N37" s="96"/>
      <c r="O37" s="97"/>
      <c r="P37" s="95"/>
      <c r="Q37" s="95"/>
      <c r="R37" s="98" t="str">
        <f aca="false">IF(OR($D37="",$M37=""),"",$D37+IFERROR(VLOOKUP($M37,Setup!$B$27:$D$30,3,FALSE()),0))</f>
        <v/>
      </c>
      <c r="S37" s="95"/>
      <c r="T37" s="94"/>
      <c r="U37" s="95"/>
      <c r="V37" s="95"/>
      <c r="W37" s="95"/>
      <c r="X37" s="99" t="str">
        <f aca="false">IF(OR($D37="",$W37&lt;&gt;""),"",IF($T37&lt;&gt;"",$T37-$D37,Setup!$D$12-$D37))</f>
        <v/>
      </c>
      <c r="Y37" s="100" t="str">
        <f aca="false">IF($E37="","",IF($W37&lt;&gt;"","Void",IF($T37&lt;&gt;"","Closed",IF(OR($C37="",$D37="",$K37="",$L37=""),"Incomplete entry",IF(Setup!$D$12&gt;$R37,"Overdue",IF($R37-Setup!$D$12&lt;=Setup!$D$35,"Due soon","Open"))))))</f>
        <v/>
      </c>
      <c r="Z37" s="100" t="str">
        <f aca="false">IF($E37="","",IF(OR($W37&lt;&gt;"",$T37&lt;&gt;""),"-",IF(COUNTIF(Escalations!$B$7:$B$26,$B37)&gt;0,IFERROR("Escalated - "&amp;IF(VLOOKUP($B37,Escalations!$B$7:$M$26,12,FALSE())="Decision made","decided",IF(VLOOKUP($B37,Escalations!$B$7:$M$26,12,FALSE())="Decision overdue","overdue","awaiting")),"Escalated - awaiting"),IF(ABS(N($N37))&gt;Setup!$D$18,"Refer up - value",IF(ABS(N($O37))&gt;Setup!$D$19,"Refer up - time",IF(AND(Setup!$D$20="Yes",$M37="P1"),"Refer up - P1",IF(AND($R37&lt;&gt;"",Setup!$D$12-$R37&gt;Setup!$D$21),"Refer up - age","-")))))))</f>
        <v/>
      </c>
    </row>
    <row r="38" customFormat="false" ht="42" hidden="false" customHeight="true" outlineLevel="0" collapsed="false">
      <c r="B38" s="93" t="str">
        <f aca="false">IF($E38="","","ISS-"&amp;TEXT(ROW()-6,"000"))</f>
        <v/>
      </c>
      <c r="C38" s="101"/>
      <c r="D38" s="101"/>
      <c r="E38" s="102"/>
      <c r="F38" s="102"/>
      <c r="G38" s="102"/>
      <c r="H38" s="102"/>
      <c r="I38" s="102"/>
      <c r="J38" s="102"/>
      <c r="K38" s="102"/>
      <c r="L38" s="102"/>
      <c r="M38" s="93" t="str">
        <f aca="false">IF(OR($K38="",$L38=""),"",IFERROR(INDEX(Reference!$C$19:$F$22,MATCH($K38,Reference!$B$19:$B$22,0),MATCH($L38,Reference!$C$18:$F$18,0)),""))</f>
        <v/>
      </c>
      <c r="N38" s="103"/>
      <c r="O38" s="104"/>
      <c r="P38" s="102"/>
      <c r="Q38" s="102"/>
      <c r="R38" s="98" t="str">
        <f aca="false">IF(OR($D38="",$M38=""),"",$D38+IFERROR(VLOOKUP($M38,Setup!$B$27:$D$30,3,FALSE()),0))</f>
        <v/>
      </c>
      <c r="S38" s="102"/>
      <c r="T38" s="101"/>
      <c r="U38" s="102"/>
      <c r="V38" s="102"/>
      <c r="W38" s="102"/>
      <c r="X38" s="99" t="str">
        <f aca="false">IF(OR($D38="",$W38&lt;&gt;""),"",IF($T38&lt;&gt;"",$T38-$D38,Setup!$D$12-$D38))</f>
        <v/>
      </c>
      <c r="Y38" s="100" t="str">
        <f aca="false">IF($E38="","",IF($W38&lt;&gt;"","Void",IF($T38&lt;&gt;"","Closed",IF(OR($C38="",$D38="",$K38="",$L38=""),"Incomplete entry",IF(Setup!$D$12&gt;$R38,"Overdue",IF($R38-Setup!$D$12&lt;=Setup!$D$35,"Due soon","Open"))))))</f>
        <v/>
      </c>
      <c r="Z38" s="100" t="str">
        <f aca="false">IF($E38="","",IF(OR($W38&lt;&gt;"",$T38&lt;&gt;""),"-",IF(COUNTIF(Escalations!$B$7:$B$26,$B38)&gt;0,IFERROR("Escalated - "&amp;IF(VLOOKUP($B38,Escalations!$B$7:$M$26,12,FALSE())="Decision made","decided",IF(VLOOKUP($B38,Escalations!$B$7:$M$26,12,FALSE())="Decision overdue","overdue","awaiting")),"Escalated - awaiting"),IF(ABS(N($N38))&gt;Setup!$D$18,"Refer up - value",IF(ABS(N($O38))&gt;Setup!$D$19,"Refer up - time",IF(AND(Setup!$D$20="Yes",$M38="P1"),"Refer up - P1",IF(AND($R38&lt;&gt;"",Setup!$D$12-$R38&gt;Setup!$D$21),"Refer up - age","-")))))))</f>
        <v/>
      </c>
    </row>
    <row r="39" customFormat="false" ht="42" hidden="false" customHeight="true" outlineLevel="0" collapsed="false">
      <c r="B39" s="93" t="str">
        <f aca="false">IF($E39="","","ISS-"&amp;TEXT(ROW()-6,"000"))</f>
        <v/>
      </c>
      <c r="C39" s="94"/>
      <c r="D39" s="94"/>
      <c r="E39" s="95"/>
      <c r="F39" s="95"/>
      <c r="G39" s="95"/>
      <c r="H39" s="95"/>
      <c r="I39" s="95"/>
      <c r="J39" s="95"/>
      <c r="K39" s="95"/>
      <c r="L39" s="95"/>
      <c r="M39" s="93" t="str">
        <f aca="false">IF(OR($K39="",$L39=""),"",IFERROR(INDEX(Reference!$C$19:$F$22,MATCH($K39,Reference!$B$19:$B$22,0),MATCH($L39,Reference!$C$18:$F$18,0)),""))</f>
        <v/>
      </c>
      <c r="N39" s="96"/>
      <c r="O39" s="97"/>
      <c r="P39" s="95"/>
      <c r="Q39" s="95"/>
      <c r="R39" s="98" t="str">
        <f aca="false">IF(OR($D39="",$M39=""),"",$D39+IFERROR(VLOOKUP($M39,Setup!$B$27:$D$30,3,FALSE()),0))</f>
        <v/>
      </c>
      <c r="S39" s="95"/>
      <c r="T39" s="94"/>
      <c r="U39" s="95"/>
      <c r="V39" s="95"/>
      <c r="W39" s="95"/>
      <c r="X39" s="99" t="str">
        <f aca="false">IF(OR($D39="",$W39&lt;&gt;""),"",IF($T39&lt;&gt;"",$T39-$D39,Setup!$D$12-$D39))</f>
        <v/>
      </c>
      <c r="Y39" s="100" t="str">
        <f aca="false">IF($E39="","",IF($W39&lt;&gt;"","Void",IF($T39&lt;&gt;"","Closed",IF(OR($C39="",$D39="",$K39="",$L39=""),"Incomplete entry",IF(Setup!$D$12&gt;$R39,"Overdue",IF($R39-Setup!$D$12&lt;=Setup!$D$35,"Due soon","Open"))))))</f>
        <v/>
      </c>
      <c r="Z39" s="100" t="str">
        <f aca="false">IF($E39="","",IF(OR($W39&lt;&gt;"",$T39&lt;&gt;""),"-",IF(COUNTIF(Escalations!$B$7:$B$26,$B39)&gt;0,IFERROR("Escalated - "&amp;IF(VLOOKUP($B39,Escalations!$B$7:$M$26,12,FALSE())="Decision made","decided",IF(VLOOKUP($B39,Escalations!$B$7:$M$26,12,FALSE())="Decision overdue","overdue","awaiting")),"Escalated - awaiting"),IF(ABS(N($N39))&gt;Setup!$D$18,"Refer up - value",IF(ABS(N($O39))&gt;Setup!$D$19,"Refer up - time",IF(AND(Setup!$D$20="Yes",$M39="P1"),"Refer up - P1",IF(AND($R39&lt;&gt;"",Setup!$D$12-$R39&gt;Setup!$D$21),"Refer up - age","-")))))))</f>
        <v/>
      </c>
    </row>
    <row r="40" customFormat="false" ht="42" hidden="false" customHeight="true" outlineLevel="0" collapsed="false">
      <c r="B40" s="93" t="str">
        <f aca="false">IF($E40="","","ISS-"&amp;TEXT(ROW()-6,"000"))</f>
        <v/>
      </c>
      <c r="C40" s="101"/>
      <c r="D40" s="101"/>
      <c r="E40" s="102"/>
      <c r="F40" s="102"/>
      <c r="G40" s="102"/>
      <c r="H40" s="102"/>
      <c r="I40" s="102"/>
      <c r="J40" s="102"/>
      <c r="K40" s="102"/>
      <c r="L40" s="102"/>
      <c r="M40" s="93" t="str">
        <f aca="false">IF(OR($K40="",$L40=""),"",IFERROR(INDEX(Reference!$C$19:$F$22,MATCH($K40,Reference!$B$19:$B$22,0),MATCH($L40,Reference!$C$18:$F$18,0)),""))</f>
        <v/>
      </c>
      <c r="N40" s="103"/>
      <c r="O40" s="104"/>
      <c r="P40" s="102"/>
      <c r="Q40" s="102"/>
      <c r="R40" s="98" t="str">
        <f aca="false">IF(OR($D40="",$M40=""),"",$D40+IFERROR(VLOOKUP($M40,Setup!$B$27:$D$30,3,FALSE()),0))</f>
        <v/>
      </c>
      <c r="S40" s="102"/>
      <c r="T40" s="101"/>
      <c r="U40" s="102"/>
      <c r="V40" s="102"/>
      <c r="W40" s="102"/>
      <c r="X40" s="99" t="str">
        <f aca="false">IF(OR($D40="",$W40&lt;&gt;""),"",IF($T40&lt;&gt;"",$T40-$D40,Setup!$D$12-$D40))</f>
        <v/>
      </c>
      <c r="Y40" s="100" t="str">
        <f aca="false">IF($E40="","",IF($W40&lt;&gt;"","Void",IF($T40&lt;&gt;"","Closed",IF(OR($C40="",$D40="",$K40="",$L40=""),"Incomplete entry",IF(Setup!$D$12&gt;$R40,"Overdue",IF($R40-Setup!$D$12&lt;=Setup!$D$35,"Due soon","Open"))))))</f>
        <v/>
      </c>
      <c r="Z40" s="100" t="str">
        <f aca="false">IF($E40="","",IF(OR($W40&lt;&gt;"",$T40&lt;&gt;""),"-",IF(COUNTIF(Escalations!$B$7:$B$26,$B40)&gt;0,IFERROR("Escalated - "&amp;IF(VLOOKUP($B40,Escalations!$B$7:$M$26,12,FALSE())="Decision made","decided",IF(VLOOKUP($B40,Escalations!$B$7:$M$26,12,FALSE())="Decision overdue","overdue","awaiting")),"Escalated - awaiting"),IF(ABS(N($N40))&gt;Setup!$D$18,"Refer up - value",IF(ABS(N($O40))&gt;Setup!$D$19,"Refer up - time",IF(AND(Setup!$D$20="Yes",$M40="P1"),"Refer up - P1",IF(AND($R40&lt;&gt;"",Setup!$D$12-$R40&gt;Setup!$D$21),"Refer up - age","-")))))))</f>
        <v/>
      </c>
    </row>
    <row r="41" customFormat="false" ht="42" hidden="false" customHeight="true" outlineLevel="0" collapsed="false">
      <c r="B41" s="93" t="str">
        <f aca="false">IF($E41="","","ISS-"&amp;TEXT(ROW()-6,"000"))</f>
        <v/>
      </c>
      <c r="C41" s="94"/>
      <c r="D41" s="94"/>
      <c r="E41" s="95"/>
      <c r="F41" s="95"/>
      <c r="G41" s="95"/>
      <c r="H41" s="95"/>
      <c r="I41" s="95"/>
      <c r="J41" s="95"/>
      <c r="K41" s="95"/>
      <c r="L41" s="95"/>
      <c r="M41" s="93" t="str">
        <f aca="false">IF(OR($K41="",$L41=""),"",IFERROR(INDEX(Reference!$C$19:$F$22,MATCH($K41,Reference!$B$19:$B$22,0),MATCH($L41,Reference!$C$18:$F$18,0)),""))</f>
        <v/>
      </c>
      <c r="N41" s="96"/>
      <c r="O41" s="97"/>
      <c r="P41" s="95"/>
      <c r="Q41" s="95"/>
      <c r="R41" s="98" t="str">
        <f aca="false">IF(OR($D41="",$M41=""),"",$D41+IFERROR(VLOOKUP($M41,Setup!$B$27:$D$30,3,FALSE()),0))</f>
        <v/>
      </c>
      <c r="S41" s="95"/>
      <c r="T41" s="94"/>
      <c r="U41" s="95"/>
      <c r="V41" s="95"/>
      <c r="W41" s="95"/>
      <c r="X41" s="99" t="str">
        <f aca="false">IF(OR($D41="",$W41&lt;&gt;""),"",IF($T41&lt;&gt;"",$T41-$D41,Setup!$D$12-$D41))</f>
        <v/>
      </c>
      <c r="Y41" s="100" t="str">
        <f aca="false">IF($E41="","",IF($W41&lt;&gt;"","Void",IF($T41&lt;&gt;"","Closed",IF(OR($C41="",$D41="",$K41="",$L41=""),"Incomplete entry",IF(Setup!$D$12&gt;$R41,"Overdue",IF($R41-Setup!$D$12&lt;=Setup!$D$35,"Due soon","Open"))))))</f>
        <v/>
      </c>
      <c r="Z41" s="100" t="str">
        <f aca="false">IF($E41="","",IF(OR($W41&lt;&gt;"",$T41&lt;&gt;""),"-",IF(COUNTIF(Escalations!$B$7:$B$26,$B41)&gt;0,IFERROR("Escalated - "&amp;IF(VLOOKUP($B41,Escalations!$B$7:$M$26,12,FALSE())="Decision made","decided",IF(VLOOKUP($B41,Escalations!$B$7:$M$26,12,FALSE())="Decision overdue","overdue","awaiting")),"Escalated - awaiting"),IF(ABS(N($N41))&gt;Setup!$D$18,"Refer up - value",IF(ABS(N($O41))&gt;Setup!$D$19,"Refer up - time",IF(AND(Setup!$D$20="Yes",$M41="P1"),"Refer up - P1",IF(AND($R41&lt;&gt;"",Setup!$D$12-$R41&gt;Setup!$D$21),"Refer up - age","-")))))))</f>
        <v/>
      </c>
    </row>
    <row r="43" customFormat="false" ht="15" hidden="false" customHeight="true" outlineLevel="0" collapsed="false">
      <c r="B43" s="41" t="s">
        <v>295</v>
      </c>
      <c r="C43" s="41"/>
      <c r="D43" s="41"/>
      <c r="E43" s="41"/>
      <c r="F43" s="41"/>
      <c r="G43" s="41"/>
      <c r="H43" s="41"/>
      <c r="I43" s="41"/>
      <c r="J43" s="41"/>
      <c r="K43" s="41"/>
      <c r="L43" s="41"/>
      <c r="M43" s="41"/>
    </row>
    <row r="44" customFormat="false" ht="15" hidden="false" customHeight="false" outlineLevel="0" collapsed="false">
      <c r="B44" s="41"/>
      <c r="C44" s="41"/>
      <c r="D44" s="41"/>
      <c r="E44" s="41"/>
      <c r="F44" s="41"/>
      <c r="G44" s="41"/>
      <c r="H44" s="41"/>
      <c r="I44" s="41"/>
      <c r="J44" s="41"/>
      <c r="K44" s="41"/>
      <c r="L44" s="41"/>
      <c r="M44" s="41"/>
    </row>
    <row r="46" customFormat="false" ht="18" hidden="false" customHeight="true" outlineLevel="0" collapsed="false">
      <c r="B46" s="59" t="s">
        <v>152</v>
      </c>
      <c r="C46" s="59"/>
      <c r="D46" s="59"/>
      <c r="E46" s="59"/>
      <c r="F46" s="59"/>
      <c r="G46" s="59"/>
      <c r="H46" s="59"/>
      <c r="I46" s="59"/>
      <c r="J46" s="59"/>
      <c r="K46" s="59"/>
      <c r="L46" s="59"/>
      <c r="M46" s="59"/>
      <c r="N46" s="59"/>
      <c r="O46" s="59"/>
      <c r="P46" s="59"/>
      <c r="Q46" s="59"/>
      <c r="R46" s="59"/>
      <c r="S46" s="59"/>
      <c r="T46" s="59"/>
      <c r="U46" s="59"/>
      <c r="V46" s="59"/>
      <c r="W46" s="59"/>
      <c r="X46" s="59"/>
      <c r="Y46" s="59"/>
      <c r="Z46" s="59"/>
    </row>
  </sheetData>
  <autoFilter ref="B6:Z41"/>
  <mergeCells count="6">
    <mergeCell ref="B1:Z1"/>
    <mergeCell ref="B2:Z2"/>
    <mergeCell ref="B3:Z3"/>
    <mergeCell ref="B4:Z4"/>
    <mergeCell ref="B43:M44"/>
    <mergeCell ref="B46:Z46"/>
  </mergeCells>
  <conditionalFormatting sqref="B3:Z3">
    <cfRule type="expression" priority="2" aboveAverage="0" equalAverage="0" bottom="0" percent="0" rank="0" text="" dxfId="0">
      <formula>LEN($B$3)&gt;0</formula>
    </cfRule>
  </conditionalFormatting>
  <conditionalFormatting sqref="B7:Z41">
    <cfRule type="expression" priority="3" aboveAverage="0" equalAverage="0" bottom="0" percent="0" rank="0" text="" dxfId="18">
      <formula>$W7&lt;&gt;""</formula>
    </cfRule>
    <cfRule type="expression" priority="4" aboveAverage="0" equalAverage="0" bottom="0" percent="0" rank="0" text="" dxfId="19">
      <formula>AND($W7="",$T7&lt;&gt;"")</formula>
    </cfRule>
    <cfRule type="expression" priority="5" aboveAverage="0" equalAverage="0" bottom="0" percent="0" rank="0" text="" dxfId="20">
      <formula>AND($W7="",$T7="",OR(LEFT($Z7,8)="Refer up",AND(LEFT($Z7,9)="Escalated",$Z7&lt;&gt;"Escalated - decided")))</formula>
    </cfRule>
    <cfRule type="expression" priority="6" aboveAverage="0" equalAverage="0" bottom="0" percent="0" rank="0" text="" dxfId="2">
      <formula>AND($W7="",$T7="",NOT(OR(LEFT($Z7,8)="Refer up",AND(LEFT($Z7,9)="Escalated",$Z7&lt;&gt;"Escalated - decided"))),$Y7="Overdue")</formula>
    </cfRule>
    <cfRule type="expression" priority="7" aboveAverage="0" equalAverage="0" bottom="0" percent="0" rank="0" text="" dxfId="0">
      <formula>AND($W7="",$T7="",NOT(OR(LEFT($Z7,8)="Refer up",AND(LEFT($Z7,9)="Escalated",$Z7&lt;&gt;"Escalated - decided"))),$Y7="Due soon")</formula>
    </cfRule>
  </conditionalFormatting>
  <conditionalFormatting sqref="Y7:Y41">
    <cfRule type="expression" priority="8" aboveAverage="0" equalAverage="0" bottom="0" percent="0" rank="0" text="" dxfId="5">
      <formula>$Y7="Incomplete entry"</formula>
    </cfRule>
  </conditionalFormatting>
  <conditionalFormatting sqref="I7:I41">
    <cfRule type="expression" priority="9" aboveAverage="0" equalAverage="0" bottom="0" percent="0" rank="0" text="" dxfId="20">
      <formula>AND($E7&lt;&gt;"",$I7="",$T7="",$W7="")</formula>
    </cfRule>
  </conditionalFormatting>
  <conditionalFormatting sqref="P7:P41">
    <cfRule type="expression" priority="10" aboveAverage="0" equalAverage="0" bottom="0" percent="0" rank="0" text="" dxfId="5">
      <formula>$P7="Required - not served"</formula>
    </cfRule>
  </conditionalFormatting>
  <conditionalFormatting sqref="D7:D41">
    <cfRule type="expression" priority="11" aboveAverage="0" equalAverage="0" bottom="0" percent="0" rank="0" text="" dxfId="0">
      <formula>AND($C7&lt;&gt;"",$D7&lt;&gt;"",$D7-$C7&gt;Setup!$D$36)</formula>
    </cfRule>
  </conditionalFormatting>
  <conditionalFormatting sqref="M7:M41">
    <cfRule type="expression" priority="12" aboveAverage="0" equalAverage="0" bottom="0" percent="0" rank="0" text="" dxfId="5">
      <formula>$M7="P1"</formula>
    </cfRule>
  </conditionalFormatting>
  <dataValidations count="181">
    <dataValidation allowBlank="true" errorStyle="stop" operator="between" showDropDown="false" showErrorMessage="false" showInputMessage="false" sqref="F7" type="list">
      <formula1>Reference!$B$82:$B$95</formula1>
      <formula2>0</formula2>
    </dataValidation>
    <dataValidation allowBlank="true" errorStyle="stop" operator="between" showDropDown="false" showErrorMessage="false" showInputMessage="false" sqref="G7" type="list">
      <formula1>Reference!$C$82:$C$86</formula1>
      <formula2>0</formula2>
    </dataValidation>
    <dataValidation allowBlank="true" errorStyle="stop" operator="between" showDropDown="false" showErrorMessage="false" showInputMessage="false" sqref="J7" type="list">
      <formula1>Reference!$F$82:$F$87</formula1>
      <formula2>0</formula2>
    </dataValidation>
    <dataValidation allowBlank="true" errorStyle="stop" operator="between" showDropDown="false" showErrorMessage="false" showInputMessage="false" sqref="K7" type="list">
      <formula1>Reference!$D$82:$D$85</formula1>
      <formula2>0</formula2>
    </dataValidation>
    <dataValidation allowBlank="true" errorStyle="stop" operator="between" showDropDown="false" showErrorMessage="false" showInputMessage="false" sqref="L7" type="list">
      <formula1>Reference!$E$82:$E$85</formula1>
      <formula2>0</formula2>
    </dataValidation>
    <dataValidation allowBlank="true" errorStyle="stop" operator="between" showDropDown="false" showErrorMessage="false" showInputMessage="false" sqref="F8" type="list">
      <formula1>Reference!$B$82:$B$95</formula1>
      <formula2>0</formula2>
    </dataValidation>
    <dataValidation allowBlank="true" errorStyle="stop" operator="between" showDropDown="false" showErrorMessage="false" showInputMessage="false" sqref="G8" type="list">
      <formula1>Reference!$C$82:$C$86</formula1>
      <formula2>0</formula2>
    </dataValidation>
    <dataValidation allowBlank="true" errorStyle="stop" operator="between" showDropDown="false" showErrorMessage="false" showInputMessage="false" sqref="J8" type="list">
      <formula1>Reference!$F$82:$F$87</formula1>
      <formula2>0</formula2>
    </dataValidation>
    <dataValidation allowBlank="true" errorStyle="stop" operator="between" showDropDown="false" showErrorMessage="false" showInputMessage="false" sqref="K8" type="list">
      <formula1>Reference!$D$82:$D$85</formula1>
      <formula2>0</formula2>
    </dataValidation>
    <dataValidation allowBlank="true" errorStyle="stop" operator="between" showDropDown="false" showErrorMessage="false" showInputMessage="false" sqref="L8" type="list">
      <formula1>Reference!$E$82:$E$85</formula1>
      <formula2>0</formula2>
    </dataValidation>
    <dataValidation allowBlank="true" errorStyle="stop" operator="between" showDropDown="false" showErrorMessage="false" showInputMessage="false" sqref="F9" type="list">
      <formula1>Reference!$B$82:$B$95</formula1>
      <formula2>0</formula2>
    </dataValidation>
    <dataValidation allowBlank="true" errorStyle="stop" operator="between" showDropDown="false" showErrorMessage="false" showInputMessage="false" sqref="G9" type="list">
      <formula1>Reference!$C$82:$C$86</formula1>
      <formula2>0</formula2>
    </dataValidation>
    <dataValidation allowBlank="true" errorStyle="stop" operator="between" showDropDown="false" showErrorMessage="false" showInputMessage="false" sqref="J9" type="list">
      <formula1>Reference!$F$82:$F$87</formula1>
      <formula2>0</formula2>
    </dataValidation>
    <dataValidation allowBlank="true" errorStyle="stop" operator="between" showDropDown="false" showErrorMessage="false" showInputMessage="false" sqref="K9" type="list">
      <formula1>Reference!$D$82:$D$85</formula1>
      <formula2>0</formula2>
    </dataValidation>
    <dataValidation allowBlank="true" errorStyle="stop" operator="between" showDropDown="false" showErrorMessage="false" showInputMessage="false" sqref="L9" type="list">
      <formula1>Reference!$E$82:$E$85</formula1>
      <formula2>0</formula2>
    </dataValidation>
    <dataValidation allowBlank="true" errorStyle="stop" operator="between" showDropDown="false" showErrorMessage="false" showInputMessage="false" sqref="F10" type="list">
      <formula1>Reference!$B$82:$B$95</formula1>
      <formula2>0</formula2>
    </dataValidation>
    <dataValidation allowBlank="true" errorStyle="stop" operator="between" showDropDown="false" showErrorMessage="false" showInputMessage="false" sqref="G10" type="list">
      <formula1>Reference!$C$82:$C$86</formula1>
      <formula2>0</formula2>
    </dataValidation>
    <dataValidation allowBlank="true" errorStyle="stop" operator="between" showDropDown="false" showErrorMessage="false" showInputMessage="false" sqref="J10" type="list">
      <formula1>Reference!$F$82:$F$87</formula1>
      <formula2>0</formula2>
    </dataValidation>
    <dataValidation allowBlank="true" errorStyle="stop" operator="between" showDropDown="false" showErrorMessage="false" showInputMessage="false" sqref="K10" type="list">
      <formula1>Reference!$D$82:$D$85</formula1>
      <formula2>0</formula2>
    </dataValidation>
    <dataValidation allowBlank="true" errorStyle="stop" operator="between" showDropDown="false" showErrorMessage="false" showInputMessage="false" sqref="L10" type="list">
      <formula1>Reference!$E$82:$E$85</formula1>
      <formula2>0</formula2>
    </dataValidation>
    <dataValidation allowBlank="true" errorStyle="stop" operator="between" showDropDown="false" showErrorMessage="false" showInputMessage="false" sqref="F11" type="list">
      <formula1>Reference!$B$82:$B$95</formula1>
      <formula2>0</formula2>
    </dataValidation>
    <dataValidation allowBlank="true" errorStyle="stop" operator="between" showDropDown="false" showErrorMessage="false" showInputMessage="false" sqref="G11" type="list">
      <formula1>Reference!$C$82:$C$86</formula1>
      <formula2>0</formula2>
    </dataValidation>
    <dataValidation allowBlank="true" errorStyle="stop" operator="between" showDropDown="false" showErrorMessage="false" showInputMessage="false" sqref="J11" type="list">
      <formula1>Reference!$F$82:$F$87</formula1>
      <formula2>0</formula2>
    </dataValidation>
    <dataValidation allowBlank="true" errorStyle="stop" operator="between" showDropDown="false" showErrorMessage="false" showInputMessage="false" sqref="K11" type="list">
      <formula1>Reference!$D$82:$D$85</formula1>
      <formula2>0</formula2>
    </dataValidation>
    <dataValidation allowBlank="true" errorStyle="stop" operator="between" showDropDown="false" showErrorMessage="false" showInputMessage="false" sqref="L11" type="list">
      <formula1>Reference!$E$82:$E$85</formula1>
      <formula2>0</formula2>
    </dataValidation>
    <dataValidation allowBlank="true" errorStyle="stop" operator="between" showDropDown="false" showErrorMessage="false" showInputMessage="false" sqref="F12" type="list">
      <formula1>Reference!$B$82:$B$95</formula1>
      <formula2>0</formula2>
    </dataValidation>
    <dataValidation allowBlank="true" errorStyle="stop" operator="between" showDropDown="false" showErrorMessage="false" showInputMessage="false" sqref="G12" type="list">
      <formula1>Reference!$C$82:$C$86</formula1>
      <formula2>0</formula2>
    </dataValidation>
    <dataValidation allowBlank="true" errorStyle="stop" operator="between" showDropDown="false" showErrorMessage="false" showInputMessage="false" sqref="J12" type="list">
      <formula1>Reference!$F$82:$F$87</formula1>
      <formula2>0</formula2>
    </dataValidation>
    <dataValidation allowBlank="true" errorStyle="stop" operator="between" showDropDown="false" showErrorMessage="false" showInputMessage="false" sqref="K12" type="list">
      <formula1>Reference!$D$82:$D$85</formula1>
      <formula2>0</formula2>
    </dataValidation>
    <dataValidation allowBlank="true" errorStyle="stop" operator="between" showDropDown="false" showErrorMessage="false" showInputMessage="false" sqref="L12" type="list">
      <formula1>Reference!$E$82:$E$85</formula1>
      <formula2>0</formula2>
    </dataValidation>
    <dataValidation allowBlank="true" errorStyle="stop" operator="between" showDropDown="false" showErrorMessage="false" showInputMessage="false" sqref="F13" type="list">
      <formula1>Reference!$B$82:$B$95</formula1>
      <formula2>0</formula2>
    </dataValidation>
    <dataValidation allowBlank="true" errorStyle="stop" operator="between" showDropDown="false" showErrorMessage="false" showInputMessage="false" sqref="G13" type="list">
      <formula1>Reference!$C$82:$C$86</formula1>
      <formula2>0</formula2>
    </dataValidation>
    <dataValidation allowBlank="true" errorStyle="stop" operator="between" showDropDown="false" showErrorMessage="false" showInputMessage="false" sqref="J13" type="list">
      <formula1>Reference!$F$82:$F$87</formula1>
      <formula2>0</formula2>
    </dataValidation>
    <dataValidation allowBlank="true" errorStyle="stop" operator="between" showDropDown="false" showErrorMessage="false" showInputMessage="false" sqref="K13" type="list">
      <formula1>Reference!$D$82:$D$85</formula1>
      <formula2>0</formula2>
    </dataValidation>
    <dataValidation allowBlank="true" errorStyle="stop" operator="between" showDropDown="false" showErrorMessage="false" showInputMessage="false" sqref="L13" type="list">
      <formula1>Reference!$E$82:$E$85</formula1>
      <formula2>0</formula2>
    </dataValidation>
    <dataValidation allowBlank="true" errorStyle="stop" operator="between" showDropDown="false" showErrorMessage="false" showInputMessage="false" sqref="F14" type="list">
      <formula1>Reference!$B$82:$B$95</formula1>
      <formula2>0</formula2>
    </dataValidation>
    <dataValidation allowBlank="true" errorStyle="stop" operator="between" showDropDown="false" showErrorMessage="false" showInputMessage="false" sqref="G14" type="list">
      <formula1>Reference!$C$82:$C$86</formula1>
      <formula2>0</formula2>
    </dataValidation>
    <dataValidation allowBlank="true" errorStyle="stop" operator="between" showDropDown="false" showErrorMessage="false" showInputMessage="false" sqref="J14" type="list">
      <formula1>Reference!$F$82:$F$87</formula1>
      <formula2>0</formula2>
    </dataValidation>
    <dataValidation allowBlank="true" errorStyle="stop" operator="between" showDropDown="false" showErrorMessage="false" showInputMessage="false" sqref="K14" type="list">
      <formula1>Reference!$D$82:$D$85</formula1>
      <formula2>0</formula2>
    </dataValidation>
    <dataValidation allowBlank="true" errorStyle="stop" operator="between" showDropDown="false" showErrorMessage="false" showInputMessage="false" sqref="L14" type="list">
      <formula1>Reference!$E$82:$E$85</formula1>
      <formula2>0</formula2>
    </dataValidation>
    <dataValidation allowBlank="true" errorStyle="stop" operator="between" showDropDown="false" showErrorMessage="false" showInputMessage="false" sqref="F15" type="list">
      <formula1>Reference!$B$82:$B$95</formula1>
      <formula2>0</formula2>
    </dataValidation>
    <dataValidation allowBlank="true" errorStyle="stop" operator="between" showDropDown="false" showErrorMessage="false" showInputMessage="false" sqref="G15" type="list">
      <formula1>Reference!$C$82:$C$86</formula1>
      <formula2>0</formula2>
    </dataValidation>
    <dataValidation allowBlank="true" errorStyle="stop" operator="between" showDropDown="false" showErrorMessage="false" showInputMessage="false" sqref="J15" type="list">
      <formula1>Reference!$F$82:$F$87</formula1>
      <formula2>0</formula2>
    </dataValidation>
    <dataValidation allowBlank="true" errorStyle="stop" operator="between" showDropDown="false" showErrorMessage="false" showInputMessage="false" sqref="K15" type="list">
      <formula1>Reference!$D$82:$D$85</formula1>
      <formula2>0</formula2>
    </dataValidation>
    <dataValidation allowBlank="true" errorStyle="stop" operator="between" showDropDown="false" showErrorMessage="false" showInputMessage="false" sqref="L15" type="list">
      <formula1>Reference!$E$82:$E$85</formula1>
      <formula2>0</formula2>
    </dataValidation>
    <dataValidation allowBlank="true" errorStyle="stop" operator="between" showDropDown="false" showErrorMessage="false" showInputMessage="false" sqref="F16" type="list">
      <formula1>Reference!$B$82:$B$95</formula1>
      <formula2>0</formula2>
    </dataValidation>
    <dataValidation allowBlank="true" errorStyle="stop" operator="between" showDropDown="false" showErrorMessage="false" showInputMessage="false" sqref="G16" type="list">
      <formula1>Reference!$C$82:$C$86</formula1>
      <formula2>0</formula2>
    </dataValidation>
    <dataValidation allowBlank="true" errorStyle="stop" operator="between" showDropDown="false" showErrorMessage="false" showInputMessage="false" sqref="J16" type="list">
      <formula1>Reference!$F$82:$F$87</formula1>
      <formula2>0</formula2>
    </dataValidation>
    <dataValidation allowBlank="true" errorStyle="stop" operator="between" showDropDown="false" showErrorMessage="false" showInputMessage="false" sqref="K16" type="list">
      <formula1>Reference!$D$82:$D$85</formula1>
      <formula2>0</formula2>
    </dataValidation>
    <dataValidation allowBlank="true" errorStyle="stop" operator="between" showDropDown="false" showErrorMessage="false" showInputMessage="false" sqref="L16" type="list">
      <formula1>Reference!$E$82:$E$85</formula1>
      <formula2>0</formula2>
    </dataValidation>
    <dataValidation allowBlank="true" errorStyle="stop" operator="between" showDropDown="false" showErrorMessage="false" showInputMessage="false" sqref="F17" type="list">
      <formula1>Reference!$B$82:$B$95</formula1>
      <formula2>0</formula2>
    </dataValidation>
    <dataValidation allowBlank="true" errorStyle="stop" operator="between" showDropDown="false" showErrorMessage="false" showInputMessage="false" sqref="G17" type="list">
      <formula1>Reference!$C$82:$C$86</formula1>
      <formula2>0</formula2>
    </dataValidation>
    <dataValidation allowBlank="true" errorStyle="stop" operator="between" showDropDown="false" showErrorMessage="false" showInputMessage="false" sqref="J17" type="list">
      <formula1>Reference!$F$82:$F$87</formula1>
      <formula2>0</formula2>
    </dataValidation>
    <dataValidation allowBlank="true" errorStyle="stop" operator="between" showDropDown="false" showErrorMessage="false" showInputMessage="false" sqref="K17" type="list">
      <formula1>Reference!$D$82:$D$85</formula1>
      <formula2>0</formula2>
    </dataValidation>
    <dataValidation allowBlank="true" errorStyle="stop" operator="between" showDropDown="false" showErrorMessage="false" showInputMessage="false" sqref="L17" type="list">
      <formula1>Reference!$E$82:$E$85</formula1>
      <formula2>0</formula2>
    </dataValidation>
    <dataValidation allowBlank="true" errorStyle="stop" operator="between" showDropDown="false" showErrorMessage="false" showInputMessage="false" sqref="F18" type="list">
      <formula1>Reference!$B$82:$B$95</formula1>
      <formula2>0</formula2>
    </dataValidation>
    <dataValidation allowBlank="true" errorStyle="stop" operator="between" showDropDown="false" showErrorMessage="false" showInputMessage="false" sqref="G18" type="list">
      <formula1>Reference!$C$82:$C$86</formula1>
      <formula2>0</formula2>
    </dataValidation>
    <dataValidation allowBlank="true" errorStyle="stop" operator="between" showDropDown="false" showErrorMessage="false" showInputMessage="false" sqref="J18" type="list">
      <formula1>Reference!$F$82:$F$87</formula1>
      <formula2>0</formula2>
    </dataValidation>
    <dataValidation allowBlank="true" errorStyle="stop" operator="between" showDropDown="false" showErrorMessage="false" showInputMessage="false" sqref="K18" type="list">
      <formula1>Reference!$D$82:$D$85</formula1>
      <formula2>0</formula2>
    </dataValidation>
    <dataValidation allowBlank="true" errorStyle="stop" operator="between" showDropDown="false" showErrorMessage="false" showInputMessage="false" sqref="L18" type="list">
      <formula1>Reference!$E$82:$E$85</formula1>
      <formula2>0</formula2>
    </dataValidation>
    <dataValidation allowBlank="true" errorStyle="stop" operator="between" showDropDown="false" showErrorMessage="false" showInputMessage="false" sqref="F19" type="list">
      <formula1>Reference!$B$82:$B$95</formula1>
      <formula2>0</formula2>
    </dataValidation>
    <dataValidation allowBlank="true" errorStyle="stop" operator="between" showDropDown="false" showErrorMessage="false" showInputMessage="false" sqref="G19" type="list">
      <formula1>Reference!$C$82:$C$86</formula1>
      <formula2>0</formula2>
    </dataValidation>
    <dataValidation allowBlank="true" errorStyle="stop" operator="between" showDropDown="false" showErrorMessage="false" showInputMessage="false" sqref="J19" type="list">
      <formula1>Reference!$F$82:$F$87</formula1>
      <formula2>0</formula2>
    </dataValidation>
    <dataValidation allowBlank="true" errorStyle="stop" operator="between" showDropDown="false" showErrorMessage="false" showInputMessage="false" sqref="K19" type="list">
      <formula1>Reference!$D$82:$D$85</formula1>
      <formula2>0</formula2>
    </dataValidation>
    <dataValidation allowBlank="true" errorStyle="stop" operator="between" showDropDown="false" showErrorMessage="false" showInputMessage="false" sqref="L19" type="list">
      <formula1>Reference!$E$82:$E$85</formula1>
      <formula2>0</formula2>
    </dataValidation>
    <dataValidation allowBlank="true" errorStyle="stop" operator="between" showDropDown="false" showErrorMessage="false" showInputMessage="false" sqref="F20" type="list">
      <formula1>Reference!$B$82:$B$95</formula1>
      <formula2>0</formula2>
    </dataValidation>
    <dataValidation allowBlank="true" errorStyle="stop" operator="between" showDropDown="false" showErrorMessage="false" showInputMessage="false" sqref="G20" type="list">
      <formula1>Reference!$C$82:$C$86</formula1>
      <formula2>0</formula2>
    </dataValidation>
    <dataValidation allowBlank="true" errorStyle="stop" operator="between" showDropDown="false" showErrorMessage="false" showInputMessage="false" sqref="J20" type="list">
      <formula1>Reference!$F$82:$F$87</formula1>
      <formula2>0</formula2>
    </dataValidation>
    <dataValidation allowBlank="true" errorStyle="stop" operator="between" showDropDown="false" showErrorMessage="false" showInputMessage="false" sqref="K20" type="list">
      <formula1>Reference!$D$82:$D$85</formula1>
      <formula2>0</formula2>
    </dataValidation>
    <dataValidation allowBlank="true" errorStyle="stop" operator="between" showDropDown="false" showErrorMessage="false" showInputMessage="false" sqref="L20" type="list">
      <formula1>Reference!$E$82:$E$85</formula1>
      <formula2>0</formula2>
    </dataValidation>
    <dataValidation allowBlank="true" errorStyle="stop" operator="between" showDropDown="false" showErrorMessage="false" showInputMessage="false" sqref="F21" type="list">
      <formula1>Reference!$B$82:$B$95</formula1>
      <formula2>0</formula2>
    </dataValidation>
    <dataValidation allowBlank="true" errorStyle="stop" operator="between" showDropDown="false" showErrorMessage="false" showInputMessage="false" sqref="G21" type="list">
      <formula1>Reference!$C$82:$C$86</formula1>
      <formula2>0</formula2>
    </dataValidation>
    <dataValidation allowBlank="true" errorStyle="stop" operator="between" showDropDown="false" showErrorMessage="false" showInputMessage="false" sqref="J21" type="list">
      <formula1>Reference!$F$82:$F$87</formula1>
      <formula2>0</formula2>
    </dataValidation>
    <dataValidation allowBlank="true" errorStyle="stop" operator="between" showDropDown="false" showErrorMessage="false" showInputMessage="false" sqref="K21" type="list">
      <formula1>Reference!$D$82:$D$85</formula1>
      <formula2>0</formula2>
    </dataValidation>
    <dataValidation allowBlank="true" errorStyle="stop" operator="between" showDropDown="false" showErrorMessage="false" showInputMessage="false" sqref="L21" type="list">
      <formula1>Reference!$E$82:$E$85</formula1>
      <formula2>0</formula2>
    </dataValidation>
    <dataValidation allowBlank="true" errorStyle="stop" operator="between" showDropDown="false" showErrorMessage="false" showInputMessage="false" sqref="F22" type="list">
      <formula1>Reference!$B$82:$B$95</formula1>
      <formula2>0</formula2>
    </dataValidation>
    <dataValidation allowBlank="true" errorStyle="stop" operator="between" showDropDown="false" showErrorMessage="false" showInputMessage="false" sqref="G22" type="list">
      <formula1>Reference!$C$82:$C$86</formula1>
      <formula2>0</formula2>
    </dataValidation>
    <dataValidation allowBlank="true" errorStyle="stop" operator="between" showDropDown="false" showErrorMessage="false" showInputMessage="false" sqref="J22" type="list">
      <formula1>Reference!$F$82:$F$87</formula1>
      <formula2>0</formula2>
    </dataValidation>
    <dataValidation allowBlank="true" errorStyle="stop" operator="between" showDropDown="false" showErrorMessage="false" showInputMessage="false" sqref="K22" type="list">
      <formula1>Reference!$D$82:$D$85</formula1>
      <formula2>0</formula2>
    </dataValidation>
    <dataValidation allowBlank="true" errorStyle="stop" operator="between" showDropDown="false" showErrorMessage="false" showInputMessage="false" sqref="L22" type="list">
      <formula1>Reference!$E$82:$E$85</formula1>
      <formula2>0</formula2>
    </dataValidation>
    <dataValidation allowBlank="true" errorStyle="stop" operator="between" showDropDown="false" showErrorMessage="false" showInputMessage="false" sqref="F23" type="list">
      <formula1>Reference!$B$82:$B$95</formula1>
      <formula2>0</formula2>
    </dataValidation>
    <dataValidation allowBlank="true" errorStyle="stop" operator="between" showDropDown="false" showErrorMessage="false" showInputMessage="false" sqref="G23" type="list">
      <formula1>Reference!$C$82:$C$86</formula1>
      <formula2>0</formula2>
    </dataValidation>
    <dataValidation allowBlank="true" errorStyle="stop" operator="between" showDropDown="false" showErrorMessage="false" showInputMessage="false" sqref="J23" type="list">
      <formula1>Reference!$F$82:$F$87</formula1>
      <formula2>0</formula2>
    </dataValidation>
    <dataValidation allowBlank="true" errorStyle="stop" operator="between" showDropDown="false" showErrorMessage="false" showInputMessage="false" sqref="K23" type="list">
      <formula1>Reference!$D$82:$D$85</formula1>
      <formula2>0</formula2>
    </dataValidation>
    <dataValidation allowBlank="true" errorStyle="stop" operator="between" showDropDown="false" showErrorMessage="false" showInputMessage="false" sqref="L23" type="list">
      <formula1>Reference!$E$82:$E$85</formula1>
      <formula2>0</formula2>
    </dataValidation>
    <dataValidation allowBlank="true" errorStyle="stop" operator="between" showDropDown="false" showErrorMessage="false" showInputMessage="false" sqref="F24" type="list">
      <formula1>Reference!$B$82:$B$95</formula1>
      <formula2>0</formula2>
    </dataValidation>
    <dataValidation allowBlank="true" errorStyle="stop" operator="between" showDropDown="false" showErrorMessage="false" showInputMessage="false" sqref="G24" type="list">
      <formula1>Reference!$C$82:$C$86</formula1>
      <formula2>0</formula2>
    </dataValidation>
    <dataValidation allowBlank="true" errorStyle="stop" operator="between" showDropDown="false" showErrorMessage="false" showInputMessage="false" sqref="J24" type="list">
      <formula1>Reference!$F$82:$F$87</formula1>
      <formula2>0</formula2>
    </dataValidation>
    <dataValidation allowBlank="true" errorStyle="stop" operator="between" showDropDown="false" showErrorMessage="false" showInputMessage="false" sqref="K24" type="list">
      <formula1>Reference!$D$82:$D$85</formula1>
      <formula2>0</formula2>
    </dataValidation>
    <dataValidation allowBlank="true" errorStyle="stop" operator="between" showDropDown="false" showErrorMessage="false" showInputMessage="false" sqref="L24" type="list">
      <formula1>Reference!$E$82:$E$85</formula1>
      <formula2>0</formula2>
    </dataValidation>
    <dataValidation allowBlank="true" errorStyle="stop" operator="between" showDropDown="false" showErrorMessage="false" showInputMessage="false" sqref="F25" type="list">
      <formula1>Reference!$B$82:$B$95</formula1>
      <formula2>0</formula2>
    </dataValidation>
    <dataValidation allowBlank="true" errorStyle="stop" operator="between" showDropDown="false" showErrorMessage="false" showInputMessage="false" sqref="G25" type="list">
      <formula1>Reference!$C$82:$C$86</formula1>
      <formula2>0</formula2>
    </dataValidation>
    <dataValidation allowBlank="true" errorStyle="stop" operator="between" showDropDown="false" showErrorMessage="false" showInputMessage="false" sqref="J25" type="list">
      <formula1>Reference!$F$82:$F$87</formula1>
      <formula2>0</formula2>
    </dataValidation>
    <dataValidation allowBlank="true" errorStyle="stop" operator="between" showDropDown="false" showErrorMessage="false" showInputMessage="false" sqref="K25" type="list">
      <formula1>Reference!$D$82:$D$85</formula1>
      <formula2>0</formula2>
    </dataValidation>
    <dataValidation allowBlank="true" errorStyle="stop" operator="between" showDropDown="false" showErrorMessage="false" showInputMessage="false" sqref="L25" type="list">
      <formula1>Reference!$E$82:$E$85</formula1>
      <formula2>0</formula2>
    </dataValidation>
    <dataValidation allowBlank="true" errorStyle="stop" operator="between" showDropDown="false" showErrorMessage="false" showInputMessage="false" sqref="F26" type="list">
      <formula1>Reference!$B$82:$B$95</formula1>
      <formula2>0</formula2>
    </dataValidation>
    <dataValidation allowBlank="true" errorStyle="stop" operator="between" showDropDown="false" showErrorMessage="false" showInputMessage="false" sqref="G26" type="list">
      <formula1>Reference!$C$82:$C$86</formula1>
      <formula2>0</formula2>
    </dataValidation>
    <dataValidation allowBlank="true" errorStyle="stop" operator="between" showDropDown="false" showErrorMessage="false" showInputMessage="false" sqref="J26" type="list">
      <formula1>Reference!$F$82:$F$87</formula1>
      <formula2>0</formula2>
    </dataValidation>
    <dataValidation allowBlank="true" errorStyle="stop" operator="between" showDropDown="false" showErrorMessage="false" showInputMessage="false" sqref="K26" type="list">
      <formula1>Reference!$D$82:$D$85</formula1>
      <formula2>0</formula2>
    </dataValidation>
    <dataValidation allowBlank="true" errorStyle="stop" operator="between" showDropDown="false" showErrorMessage="false" showInputMessage="false" sqref="L26" type="list">
      <formula1>Reference!$E$82:$E$85</formula1>
      <formula2>0</formula2>
    </dataValidation>
    <dataValidation allowBlank="true" errorStyle="stop" operator="between" showDropDown="false" showErrorMessage="false" showInputMessage="false" sqref="F27" type="list">
      <formula1>Reference!$B$82:$B$95</formula1>
      <formula2>0</formula2>
    </dataValidation>
    <dataValidation allowBlank="true" errorStyle="stop" operator="between" showDropDown="false" showErrorMessage="false" showInputMessage="false" sqref="G27" type="list">
      <formula1>Reference!$C$82:$C$86</formula1>
      <formula2>0</formula2>
    </dataValidation>
    <dataValidation allowBlank="true" errorStyle="stop" operator="between" showDropDown="false" showErrorMessage="false" showInputMessage="false" sqref="J27" type="list">
      <formula1>Reference!$F$82:$F$87</formula1>
      <formula2>0</formula2>
    </dataValidation>
    <dataValidation allowBlank="true" errorStyle="stop" operator="between" showDropDown="false" showErrorMessage="false" showInputMessage="false" sqref="K27" type="list">
      <formula1>Reference!$D$82:$D$85</formula1>
      <formula2>0</formula2>
    </dataValidation>
    <dataValidation allowBlank="true" errorStyle="stop" operator="between" showDropDown="false" showErrorMessage="false" showInputMessage="false" sqref="L27" type="list">
      <formula1>Reference!$E$82:$E$85</formula1>
      <formula2>0</formula2>
    </dataValidation>
    <dataValidation allowBlank="true" errorStyle="stop" operator="between" showDropDown="false" showErrorMessage="false" showInputMessage="false" sqref="F28" type="list">
      <formula1>Reference!$B$82:$B$95</formula1>
      <formula2>0</formula2>
    </dataValidation>
    <dataValidation allowBlank="true" errorStyle="stop" operator="between" showDropDown="false" showErrorMessage="false" showInputMessage="false" sqref="G28" type="list">
      <formula1>Reference!$C$82:$C$86</formula1>
      <formula2>0</formula2>
    </dataValidation>
    <dataValidation allowBlank="true" errorStyle="stop" operator="between" showDropDown="false" showErrorMessage="false" showInputMessage="false" sqref="J28" type="list">
      <formula1>Reference!$F$82:$F$87</formula1>
      <formula2>0</formula2>
    </dataValidation>
    <dataValidation allowBlank="true" errorStyle="stop" operator="between" showDropDown="false" showErrorMessage="false" showInputMessage="false" sqref="K28" type="list">
      <formula1>Reference!$D$82:$D$85</formula1>
      <formula2>0</formula2>
    </dataValidation>
    <dataValidation allowBlank="true" errorStyle="stop" operator="between" showDropDown="false" showErrorMessage="false" showInputMessage="false" sqref="L28" type="list">
      <formula1>Reference!$E$82:$E$85</formula1>
      <formula2>0</formula2>
    </dataValidation>
    <dataValidation allowBlank="true" errorStyle="stop" operator="between" showDropDown="false" showErrorMessage="false" showInputMessage="false" sqref="F29" type="list">
      <formula1>Reference!$B$82:$B$95</formula1>
      <formula2>0</formula2>
    </dataValidation>
    <dataValidation allowBlank="true" errorStyle="stop" operator="between" showDropDown="false" showErrorMessage="false" showInputMessage="false" sqref="G29" type="list">
      <formula1>Reference!$C$82:$C$86</formula1>
      <formula2>0</formula2>
    </dataValidation>
    <dataValidation allowBlank="true" errorStyle="stop" operator="between" showDropDown="false" showErrorMessage="false" showInputMessage="false" sqref="J29" type="list">
      <formula1>Reference!$F$82:$F$87</formula1>
      <formula2>0</formula2>
    </dataValidation>
    <dataValidation allowBlank="true" errorStyle="stop" operator="between" showDropDown="false" showErrorMessage="false" showInputMessage="false" sqref="K29" type="list">
      <formula1>Reference!$D$82:$D$85</formula1>
      <formula2>0</formula2>
    </dataValidation>
    <dataValidation allowBlank="true" errorStyle="stop" operator="between" showDropDown="false" showErrorMessage="false" showInputMessage="false" sqref="L29" type="list">
      <formula1>Reference!$E$82:$E$85</formula1>
      <formula2>0</formula2>
    </dataValidation>
    <dataValidation allowBlank="true" errorStyle="stop" operator="between" showDropDown="false" showErrorMessage="false" showInputMessage="false" sqref="F30" type="list">
      <formula1>Reference!$B$82:$B$95</formula1>
      <formula2>0</formula2>
    </dataValidation>
    <dataValidation allowBlank="true" errorStyle="stop" operator="between" showDropDown="false" showErrorMessage="false" showInputMessage="false" sqref="G30" type="list">
      <formula1>Reference!$C$82:$C$86</formula1>
      <formula2>0</formula2>
    </dataValidation>
    <dataValidation allowBlank="true" errorStyle="stop" operator="between" showDropDown="false" showErrorMessage="false" showInputMessage="false" sqref="J30" type="list">
      <formula1>Reference!$F$82:$F$87</formula1>
      <formula2>0</formula2>
    </dataValidation>
    <dataValidation allowBlank="true" errorStyle="stop" operator="between" showDropDown="false" showErrorMessage="false" showInputMessage="false" sqref="K30" type="list">
      <formula1>Reference!$D$82:$D$85</formula1>
      <formula2>0</formula2>
    </dataValidation>
    <dataValidation allowBlank="true" errorStyle="stop" operator="between" showDropDown="false" showErrorMessage="false" showInputMessage="false" sqref="L30" type="list">
      <formula1>Reference!$E$82:$E$85</formula1>
      <formula2>0</formula2>
    </dataValidation>
    <dataValidation allowBlank="true" errorStyle="stop" operator="between" showDropDown="false" showErrorMessage="false" showInputMessage="false" sqref="F31" type="list">
      <formula1>Reference!$B$82:$B$95</formula1>
      <formula2>0</formula2>
    </dataValidation>
    <dataValidation allowBlank="true" errorStyle="stop" operator="between" showDropDown="false" showErrorMessage="false" showInputMessage="false" sqref="G31" type="list">
      <formula1>Reference!$C$82:$C$86</formula1>
      <formula2>0</formula2>
    </dataValidation>
    <dataValidation allowBlank="true" errorStyle="stop" operator="between" showDropDown="false" showErrorMessage="false" showInputMessage="false" sqref="J31" type="list">
      <formula1>Reference!$F$82:$F$87</formula1>
      <formula2>0</formula2>
    </dataValidation>
    <dataValidation allowBlank="true" errorStyle="stop" operator="between" showDropDown="false" showErrorMessage="false" showInputMessage="false" sqref="K31" type="list">
      <formula1>Reference!$D$82:$D$85</formula1>
      <formula2>0</formula2>
    </dataValidation>
    <dataValidation allowBlank="true" errorStyle="stop" operator="between" showDropDown="false" showErrorMessage="false" showInputMessage="false" sqref="L31" type="list">
      <formula1>Reference!$E$82:$E$85</formula1>
      <formula2>0</formula2>
    </dataValidation>
    <dataValidation allowBlank="true" errorStyle="stop" operator="between" showDropDown="false" showErrorMessage="false" showInputMessage="false" sqref="F32" type="list">
      <formula1>Reference!$B$82:$B$95</formula1>
      <formula2>0</formula2>
    </dataValidation>
    <dataValidation allowBlank="true" errorStyle="stop" operator="between" showDropDown="false" showErrorMessage="false" showInputMessage="false" sqref="G32" type="list">
      <formula1>Reference!$C$82:$C$86</formula1>
      <formula2>0</formula2>
    </dataValidation>
    <dataValidation allowBlank="true" errorStyle="stop" operator="between" showDropDown="false" showErrorMessage="false" showInputMessage="false" sqref="J32" type="list">
      <formula1>Reference!$F$82:$F$87</formula1>
      <formula2>0</formula2>
    </dataValidation>
    <dataValidation allowBlank="true" errorStyle="stop" operator="between" showDropDown="false" showErrorMessage="false" showInputMessage="false" sqref="K32" type="list">
      <formula1>Reference!$D$82:$D$85</formula1>
      <formula2>0</formula2>
    </dataValidation>
    <dataValidation allowBlank="true" errorStyle="stop" operator="between" showDropDown="false" showErrorMessage="false" showInputMessage="false" sqref="L32" type="list">
      <formula1>Reference!$E$82:$E$85</formula1>
      <formula2>0</formula2>
    </dataValidation>
    <dataValidation allowBlank="true" errorStyle="stop" operator="between" showDropDown="false" showErrorMessage="false" showInputMessage="false" sqref="F33" type="list">
      <formula1>Reference!$B$82:$B$95</formula1>
      <formula2>0</formula2>
    </dataValidation>
    <dataValidation allowBlank="true" errorStyle="stop" operator="between" showDropDown="false" showErrorMessage="false" showInputMessage="false" sqref="G33" type="list">
      <formula1>Reference!$C$82:$C$86</formula1>
      <formula2>0</formula2>
    </dataValidation>
    <dataValidation allowBlank="true" errorStyle="stop" operator="between" showDropDown="false" showErrorMessage="false" showInputMessage="false" sqref="J33" type="list">
      <formula1>Reference!$F$82:$F$87</formula1>
      <formula2>0</formula2>
    </dataValidation>
    <dataValidation allowBlank="true" errorStyle="stop" operator="between" showDropDown="false" showErrorMessage="false" showInputMessage="false" sqref="K33" type="list">
      <formula1>Reference!$D$82:$D$85</formula1>
      <formula2>0</formula2>
    </dataValidation>
    <dataValidation allowBlank="true" errorStyle="stop" operator="between" showDropDown="false" showErrorMessage="false" showInputMessage="false" sqref="L33" type="list">
      <formula1>Reference!$E$82:$E$85</formula1>
      <formula2>0</formula2>
    </dataValidation>
    <dataValidation allowBlank="true" errorStyle="stop" operator="between" showDropDown="false" showErrorMessage="false" showInputMessage="false" sqref="F34" type="list">
      <formula1>Reference!$B$82:$B$95</formula1>
      <formula2>0</formula2>
    </dataValidation>
    <dataValidation allowBlank="true" errorStyle="stop" operator="between" showDropDown="false" showErrorMessage="false" showInputMessage="false" sqref="G34" type="list">
      <formula1>Reference!$C$82:$C$86</formula1>
      <formula2>0</formula2>
    </dataValidation>
    <dataValidation allowBlank="true" errorStyle="stop" operator="between" showDropDown="false" showErrorMessage="false" showInputMessage="false" sqref="J34" type="list">
      <formula1>Reference!$F$82:$F$87</formula1>
      <formula2>0</formula2>
    </dataValidation>
    <dataValidation allowBlank="true" errorStyle="stop" operator="between" showDropDown="false" showErrorMessage="false" showInputMessage="false" sqref="K34" type="list">
      <formula1>Reference!$D$82:$D$85</formula1>
      <formula2>0</formula2>
    </dataValidation>
    <dataValidation allowBlank="true" errorStyle="stop" operator="between" showDropDown="false" showErrorMessage="false" showInputMessage="false" sqref="L34" type="list">
      <formula1>Reference!$E$82:$E$85</formula1>
      <formula2>0</formula2>
    </dataValidation>
    <dataValidation allowBlank="true" errorStyle="stop" operator="between" showDropDown="false" showErrorMessage="false" showInputMessage="false" sqref="F35" type="list">
      <formula1>Reference!$B$82:$B$95</formula1>
      <formula2>0</formula2>
    </dataValidation>
    <dataValidation allowBlank="true" errorStyle="stop" operator="between" showDropDown="false" showErrorMessage="false" showInputMessage="false" sqref="G35" type="list">
      <formula1>Reference!$C$82:$C$86</formula1>
      <formula2>0</formula2>
    </dataValidation>
    <dataValidation allowBlank="true" errorStyle="stop" operator="between" showDropDown="false" showErrorMessage="false" showInputMessage="false" sqref="J35" type="list">
      <formula1>Reference!$F$82:$F$87</formula1>
      <formula2>0</formula2>
    </dataValidation>
    <dataValidation allowBlank="true" errorStyle="stop" operator="between" showDropDown="false" showErrorMessage="false" showInputMessage="false" sqref="K35" type="list">
      <formula1>Reference!$D$82:$D$85</formula1>
      <formula2>0</formula2>
    </dataValidation>
    <dataValidation allowBlank="true" errorStyle="stop" operator="between" showDropDown="false" showErrorMessage="false" showInputMessage="false" sqref="L35" type="list">
      <formula1>Reference!$E$82:$E$85</formula1>
      <formula2>0</formula2>
    </dataValidation>
    <dataValidation allowBlank="true" errorStyle="stop" operator="between" showDropDown="false" showErrorMessage="false" showInputMessage="false" sqref="F36" type="list">
      <formula1>Reference!$B$82:$B$95</formula1>
      <formula2>0</formula2>
    </dataValidation>
    <dataValidation allowBlank="true" errorStyle="stop" operator="between" showDropDown="false" showErrorMessage="false" showInputMessage="false" sqref="G36" type="list">
      <formula1>Reference!$C$82:$C$86</formula1>
      <formula2>0</formula2>
    </dataValidation>
    <dataValidation allowBlank="true" errorStyle="stop" operator="between" showDropDown="false" showErrorMessage="false" showInputMessage="false" sqref="J36" type="list">
      <formula1>Reference!$F$82:$F$87</formula1>
      <formula2>0</formula2>
    </dataValidation>
    <dataValidation allowBlank="true" errorStyle="stop" operator="between" showDropDown="false" showErrorMessage="false" showInputMessage="false" sqref="K36" type="list">
      <formula1>Reference!$D$82:$D$85</formula1>
      <formula2>0</formula2>
    </dataValidation>
    <dataValidation allowBlank="true" errorStyle="stop" operator="between" showDropDown="false" showErrorMessage="false" showInputMessage="false" sqref="L36" type="list">
      <formula1>Reference!$E$82:$E$85</formula1>
      <formula2>0</formula2>
    </dataValidation>
    <dataValidation allowBlank="true" errorStyle="stop" operator="between" showDropDown="false" showErrorMessage="false" showInputMessage="false" sqref="F37" type="list">
      <formula1>Reference!$B$82:$B$95</formula1>
      <formula2>0</formula2>
    </dataValidation>
    <dataValidation allowBlank="true" errorStyle="stop" operator="between" showDropDown="false" showErrorMessage="false" showInputMessage="false" sqref="G37" type="list">
      <formula1>Reference!$C$82:$C$86</formula1>
      <formula2>0</formula2>
    </dataValidation>
    <dataValidation allowBlank="true" errorStyle="stop" operator="between" showDropDown="false" showErrorMessage="false" showInputMessage="false" sqref="J37" type="list">
      <formula1>Reference!$F$82:$F$87</formula1>
      <formula2>0</formula2>
    </dataValidation>
    <dataValidation allowBlank="true" errorStyle="stop" operator="between" showDropDown="false" showErrorMessage="false" showInputMessage="false" sqref="K37" type="list">
      <formula1>Reference!$D$82:$D$85</formula1>
      <formula2>0</formula2>
    </dataValidation>
    <dataValidation allowBlank="true" errorStyle="stop" operator="between" showDropDown="false" showErrorMessage="false" showInputMessage="false" sqref="L37" type="list">
      <formula1>Reference!$E$82:$E$85</formula1>
      <formula2>0</formula2>
    </dataValidation>
    <dataValidation allowBlank="true" errorStyle="stop" operator="between" showDropDown="false" showErrorMessage="false" showInputMessage="false" sqref="F38" type="list">
      <formula1>Reference!$B$82:$B$95</formula1>
      <formula2>0</formula2>
    </dataValidation>
    <dataValidation allowBlank="true" errorStyle="stop" operator="between" showDropDown="false" showErrorMessage="false" showInputMessage="false" sqref="G38" type="list">
      <formula1>Reference!$C$82:$C$86</formula1>
      <formula2>0</formula2>
    </dataValidation>
    <dataValidation allowBlank="true" errorStyle="stop" operator="between" showDropDown="false" showErrorMessage="false" showInputMessage="false" sqref="J38" type="list">
      <formula1>Reference!$F$82:$F$87</formula1>
      <formula2>0</formula2>
    </dataValidation>
    <dataValidation allowBlank="true" errorStyle="stop" operator="between" showDropDown="false" showErrorMessage="false" showInputMessage="false" sqref="K38" type="list">
      <formula1>Reference!$D$82:$D$85</formula1>
      <formula2>0</formula2>
    </dataValidation>
    <dataValidation allowBlank="true" errorStyle="stop" operator="between" showDropDown="false" showErrorMessage="false" showInputMessage="false" sqref="L38" type="list">
      <formula1>Reference!$E$82:$E$85</formula1>
      <formula2>0</formula2>
    </dataValidation>
    <dataValidation allowBlank="true" errorStyle="stop" operator="between" showDropDown="false" showErrorMessage="false" showInputMessage="false" sqref="F39" type="list">
      <formula1>Reference!$B$82:$B$95</formula1>
      <formula2>0</formula2>
    </dataValidation>
    <dataValidation allowBlank="true" errorStyle="stop" operator="between" showDropDown="false" showErrorMessage="false" showInputMessage="false" sqref="G39" type="list">
      <formula1>Reference!$C$82:$C$86</formula1>
      <formula2>0</formula2>
    </dataValidation>
    <dataValidation allowBlank="true" errorStyle="stop" operator="between" showDropDown="false" showErrorMessage="false" showInputMessage="false" sqref="J39" type="list">
      <formula1>Reference!$F$82:$F$87</formula1>
      <formula2>0</formula2>
    </dataValidation>
    <dataValidation allowBlank="true" errorStyle="stop" operator="between" showDropDown="false" showErrorMessage="false" showInputMessage="false" sqref="K39" type="list">
      <formula1>Reference!$D$82:$D$85</formula1>
      <formula2>0</formula2>
    </dataValidation>
    <dataValidation allowBlank="true" errorStyle="stop" operator="between" showDropDown="false" showErrorMessage="false" showInputMessage="false" sqref="L39" type="list">
      <formula1>Reference!$E$82:$E$85</formula1>
      <formula2>0</formula2>
    </dataValidation>
    <dataValidation allowBlank="true" errorStyle="stop" operator="between" showDropDown="false" showErrorMessage="false" showInputMessage="false" sqref="F40" type="list">
      <formula1>Reference!$B$82:$B$95</formula1>
      <formula2>0</formula2>
    </dataValidation>
    <dataValidation allowBlank="true" errorStyle="stop" operator="between" showDropDown="false" showErrorMessage="false" showInputMessage="false" sqref="G40" type="list">
      <formula1>Reference!$C$82:$C$86</formula1>
      <formula2>0</formula2>
    </dataValidation>
    <dataValidation allowBlank="true" errorStyle="stop" operator="between" showDropDown="false" showErrorMessage="false" showInputMessage="false" sqref="J40" type="list">
      <formula1>Reference!$F$82:$F$87</formula1>
      <formula2>0</formula2>
    </dataValidation>
    <dataValidation allowBlank="true" errorStyle="stop" operator="between" showDropDown="false" showErrorMessage="false" showInputMessage="false" sqref="K40" type="list">
      <formula1>Reference!$D$82:$D$85</formula1>
      <formula2>0</formula2>
    </dataValidation>
    <dataValidation allowBlank="true" errorStyle="stop" operator="between" showDropDown="false" showErrorMessage="false" showInputMessage="false" sqref="L40" type="list">
      <formula1>Reference!$E$82:$E$85</formula1>
      <formula2>0</formula2>
    </dataValidation>
    <dataValidation allowBlank="true" errorStyle="stop" operator="between" showDropDown="false" showErrorMessage="false" showInputMessage="false" sqref="F41" type="list">
      <formula1>Reference!$B$82:$B$95</formula1>
      <formula2>0</formula2>
    </dataValidation>
    <dataValidation allowBlank="true" errorStyle="stop" operator="between" showDropDown="false" showErrorMessage="false" showInputMessage="false" sqref="G41" type="list">
      <formula1>Reference!$C$82:$C$86</formula1>
      <formula2>0</formula2>
    </dataValidation>
    <dataValidation allowBlank="true" errorStyle="stop" operator="between" showDropDown="false" showErrorMessage="false" showInputMessage="false" sqref="J41" type="list">
      <formula1>Reference!$F$82:$F$87</formula1>
      <formula2>0</formula2>
    </dataValidation>
    <dataValidation allowBlank="true" errorStyle="stop" operator="between" showDropDown="false" showErrorMessage="false" showInputMessage="false" sqref="K41" type="list">
      <formula1>Reference!$D$82:$D$85</formula1>
      <formula2>0</formula2>
    </dataValidation>
    <dataValidation allowBlank="true" errorStyle="stop" operator="between" showDropDown="false" showErrorMessage="false" showInputMessage="false" sqref="L41" type="list">
      <formula1>Reference!$E$82:$E$85</formula1>
      <formula2>0</formula2>
    </dataValidation>
    <dataValidation allowBlank="false" errorStyle="stop" operator="between" prompt="When the matter arose or was first known to anyone on the project. Not when you typed it in. Every notice period runs from here." promptTitle="Date it arose" showDropDown="false" showErrorMessage="false" showInputMessage="true" sqref="C7:C41" type="none">
      <formula1>0</formula1>
      <formula2>0</formula2>
    </dataValidation>
    <dataValidation allowBlank="false" errorStyle="stop" operator="between" prompt="What has happened, where, and what it is holding up. A heading is not an issue - someone reading this in two years has only these words." promptTitle="The issue" showDropDown="false" showErrorMessage="false" showInputMessage="true" sqref="E7:E41" type="none">
      <formula1>0</formula1>
      <formula2>0</formula2>
    </dataValidation>
    <dataValidation allowBlank="false" errorStyle="stop" operator="between" prompt="Does your contract require a notice or early warning for this? If it might, say Required and put the detail on Notices &amp; Early Warnings. An entry here is not a notice." promptTitle="Notice" showDropDown="false" showErrorMessage="false" showInputMessage="true" sqref="P7:P41" type="none">
      <formula1>0</formula1>
      <formula2>0</formula2>
    </dataValidation>
    <dataValidation allowBlank="false" errorStyle="stop" operator="between" prompt="The RFI, non-conformance, variation or defect number this relates to. Point at the record that already exists rather than copying it." promptTitle="Linked record" showDropDown="false" showErrorMessage="false" showInputMessage="true" sqref="Q7:Q41" type="none">
      <formula1>0</formula1>
      <formula2>0</formula2>
    </dataValidation>
    <dataValidation allowBlank="false" errorStyle="stop" operator="between" prompt="The reference that proves it is closed - an instruction, an approval, a test record, a certificate. Not a sentence." promptTitle="Closure evidence" showDropDown="false" showErrorMessage="false" showInputMessage="true" sqref="U7:U41" type="none">
      <formula1>0</formula1>
      <formula2>0</formula2>
    </dataValidation>
    <dataValidation allowBlank="false" errorStyle="stop" operator="between" prompt="A duplicate or an error. Mark it and leave the row where it is - never delete a row and never reuse a reference." promptTitle="Void" showDropDown="false" showErrorMessage="false" showInputMessage="true" sqref="W7:W41" type="none">
      <formula1>0</formula1>
      <formula2>0</formula2>
    </dataValidation>
  </dataValidations>
  <hyperlinks>
    <hyperlink ref="B46" r:id="rId1" display="Visit mastt.com"/>
  </hyperlinks>
  <printOptions headings="false" gridLines="false" gridLinesSet="true" horizontalCentered="false" verticalCentered="false"/>
  <pageMargins left="0.3" right="0.3" top="0.5" bottom="0.5" header="0.511811023622047" footer="0.511811023622047"/>
  <pageSetup paperSize="8" scale="100" fitToWidth="2" fitToHeight="0" pageOrder="overThenDown"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9BE5"/>
    <pageSetUpPr fitToPage="true"/>
  </sheetPr>
  <dimension ref="B1:J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6" topLeftCell="F7" activePane="bottomRight" state="frozen"/>
      <selection pane="topLeft" activeCell="A1" activeCellId="0" sqref="A1"/>
      <selection pane="topRight" activeCell="F1" activeCellId="0" sqref="F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3" min="3" style="0" width="12"/>
    <col collapsed="false" customWidth="true" hidden="false" outlineLevel="0" max="4" min="4" style="0" width="11"/>
    <col collapsed="false" customWidth="true" hidden="false" outlineLevel="0" max="5" min="5" style="0" width="34"/>
    <col collapsed="false" customWidth="true" hidden="false" outlineLevel="0" max="6" min="6" style="0" width="52"/>
    <col collapsed="false" customWidth="true" hidden="false" outlineLevel="0" max="7" min="7" style="0" width="16"/>
    <col collapsed="false" customWidth="true" hidden="false" outlineLevel="0" max="8" min="8" style="0" width="34"/>
    <col collapsed="false" customWidth="true" hidden="false" outlineLevel="0" max="9" min="9" style="0" width="13"/>
    <col collapsed="false" customWidth="true" hidden="false" outlineLevel="0" max="10" min="10" style="0" width="16"/>
    <col collapsed="false" customWidth="true" hidden="false" outlineLevel="0" max="11" min="11" style="0" width="2.2"/>
  </cols>
  <sheetData>
    <row r="1" customFormat="false" ht="33.75" hidden="false" customHeight="true" outlineLevel="0" collapsed="false">
      <c r="B1" s="38" t="s">
        <v>296</v>
      </c>
      <c r="C1" s="38"/>
      <c r="D1" s="38"/>
      <c r="E1" s="38"/>
      <c r="F1" s="38"/>
      <c r="G1" s="38"/>
      <c r="H1" s="38"/>
      <c r="I1" s="38"/>
      <c r="J1" s="38"/>
    </row>
    <row r="2" customFormat="false" ht="4.5" hidden="false" customHeight="true" outlineLevel="0" collapsed="false">
      <c r="B2" s="105"/>
      <c r="C2" s="105"/>
      <c r="D2" s="105"/>
      <c r="E2" s="105"/>
      <c r="F2" s="105"/>
      <c r="G2" s="105"/>
      <c r="H2" s="105"/>
      <c r="I2" s="105"/>
      <c r="J2" s="105"/>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c r="I3" s="40"/>
      <c r="J3" s="40"/>
    </row>
    <row r="4" customFormat="false" ht="25.5" hidden="false" customHeight="true" outlineLevel="0" collapsed="false">
      <c r="B4" s="41" t="s">
        <v>297</v>
      </c>
      <c r="C4" s="41"/>
      <c r="D4" s="41"/>
      <c r="E4" s="41"/>
      <c r="F4" s="41"/>
      <c r="G4" s="41"/>
      <c r="H4" s="41"/>
      <c r="I4" s="41"/>
      <c r="J4" s="41"/>
    </row>
    <row r="6" customFormat="false" ht="30" hidden="false" customHeight="true" outlineLevel="0" collapsed="false">
      <c r="B6" s="92" t="s">
        <v>298</v>
      </c>
      <c r="C6" s="10" t="s">
        <v>299</v>
      </c>
      <c r="D6" s="10" t="s">
        <v>300</v>
      </c>
      <c r="E6" s="92" t="s">
        <v>301</v>
      </c>
      <c r="F6" s="10" t="s">
        <v>302</v>
      </c>
      <c r="G6" s="10" t="s">
        <v>303</v>
      </c>
      <c r="H6" s="10" t="s">
        <v>304</v>
      </c>
      <c r="I6" s="10" t="s">
        <v>305</v>
      </c>
      <c r="J6" s="92" t="s">
        <v>306</v>
      </c>
    </row>
    <row r="7" customFormat="false" ht="33.75" hidden="false" customHeight="true" outlineLevel="0" collapsed="false">
      <c r="B7" s="93" t="str">
        <f aca="false">IF($F7="","",TEXT(ROW()-6,"000"))</f>
        <v>001</v>
      </c>
      <c r="C7" s="94" t="n">
        <f aca="true">TODAY()-94</f>
        <v>46157</v>
      </c>
      <c r="D7" s="106" t="s">
        <v>289</v>
      </c>
      <c r="E7" s="100" t="str">
        <f aca="false">IF($D7="","",IFERROR(IF(LEN(VLOOKUP($D7,'Issue Register'!$B$7:$E$41,4,FALSE()))&gt;80,LEFT(VLOOKUP($D7,'Issue Register'!$B$7:$E$41,4,FALSE()),80)&amp;"...",VLOOKUP($D7,'Issue Register'!$B$7:$E$41,4,FALSE())),"Reference not found"))</f>
        <v>Fill in the north yard tested above the disposal threshold. Bulk earthworks stop...</v>
      </c>
      <c r="F7" s="95" t="s">
        <v>307</v>
      </c>
      <c r="G7" s="95" t="s">
        <v>234</v>
      </c>
      <c r="H7" s="95" t="s">
        <v>308</v>
      </c>
      <c r="I7" s="94" t="n">
        <f aca="true">TODAY()-90</f>
        <v>46161</v>
      </c>
      <c r="J7" s="100" t="str">
        <f aca="false">IF($D7="","",IF($H7="","-",IF(COUNTIFS($D$7:$D$41,$D7,$C$7:$C$41,"&gt;"&amp;$C7)&gt;0,"Superseded",IF($I7="","No date set",IF(Setup!$D$12&gt;$I7,"Overdue",IF($I7-Setup!$D$12&lt;=Setup!$D$35,"Due soon","Scheduled"))))))</f>
        <v>Superseded</v>
      </c>
    </row>
    <row r="8" customFormat="false" ht="33.75" hidden="false" customHeight="true" outlineLevel="0" collapsed="false">
      <c r="B8" s="93" t="str">
        <f aca="false">IF($F8="","",TEXT(ROW()-6,"000"))</f>
        <v>002</v>
      </c>
      <c r="C8" s="101" t="n">
        <f aca="true">TODAY()-83</f>
        <v>46168</v>
      </c>
      <c r="D8" s="107" t="s">
        <v>289</v>
      </c>
      <c r="E8" s="100" t="str">
        <f aca="false">IF($D8="","",IFERROR(IF(LEN(VLOOKUP($D8,'Issue Register'!$B$7:$E$41,4,FALSE()))&gt;80,LEFT(VLOOKUP($D8,'Issue Register'!$B$7:$E$41,4,FALSE()),80)&amp;"...",VLOOKUP($D8,'Issue Register'!$B$7:$E$41,4,FALSE())),"Reference not found"))</f>
        <v>Fill in the north yard tested above the disposal threshold. Bulk earthworks stop...</v>
      </c>
      <c r="F8" s="102" t="s">
        <v>309</v>
      </c>
      <c r="G8" s="102" t="s">
        <v>310</v>
      </c>
      <c r="H8" s="102" t="s">
        <v>311</v>
      </c>
      <c r="I8" s="101" t="n">
        <f aca="true">TODAY()-76</f>
        <v>46175</v>
      </c>
      <c r="J8" s="100" t="str">
        <f aca="false">IF($D8="","",IF($H8="","-",IF(COUNTIFS($D$7:$D$41,$D8,$C$7:$C$41,"&gt;"&amp;$C8)&gt;0,"Superseded",IF($I8="","No date set",IF(Setup!$D$12&gt;$I8,"Overdue",IF($I8-Setup!$D$12&lt;=Setup!$D$35,"Due soon","Scheduled"))))))</f>
        <v>Superseded</v>
      </c>
    </row>
    <row r="9" customFormat="false" ht="33.75" hidden="false" customHeight="true" outlineLevel="0" collapsed="false">
      <c r="B9" s="93" t="str">
        <f aca="false">IF($F9="","",TEXT(ROW()-6,"000"))</f>
        <v>003</v>
      </c>
      <c r="C9" s="94" t="n">
        <f aca="true">TODAY()-62</f>
        <v>46189</v>
      </c>
      <c r="D9" s="106" t="s">
        <v>289</v>
      </c>
      <c r="E9" s="100" t="str">
        <f aca="false">IF($D9="","",IFERROR(IF(LEN(VLOOKUP($D9,'Issue Register'!$B$7:$E$41,4,FALSE()))&gt;80,LEFT(VLOOKUP($D9,'Issue Register'!$B$7:$E$41,4,FALSE()),80)&amp;"...",VLOOKUP($D9,'Issue Register'!$B$7:$E$41,4,FALSE())),"Reference not found"))</f>
        <v>Fill in the north yard tested above the disposal threshold. Bulk earthworks stop...</v>
      </c>
      <c r="F9" s="95" t="s">
        <v>312</v>
      </c>
      <c r="G9" s="95" t="s">
        <v>138</v>
      </c>
      <c r="H9" s="95" t="s">
        <v>313</v>
      </c>
      <c r="I9" s="94" t="n">
        <f aca="true">TODAY()-55</f>
        <v>46196</v>
      </c>
      <c r="J9" s="100" t="str">
        <f aca="false">IF($D9="","",IF($H9="","-",IF(COUNTIFS($D$7:$D$41,$D9,$C$7:$C$41,"&gt;"&amp;$C9)&gt;0,"Superseded",IF($I9="","No date set",IF(Setup!$D$12&gt;$I9,"Overdue",IF($I9-Setup!$D$12&lt;=Setup!$D$35,"Due soon","Scheduled"))))))</f>
        <v>Overdue</v>
      </c>
    </row>
    <row r="10" customFormat="false" ht="33.75" hidden="false" customHeight="true" outlineLevel="0" collapsed="false">
      <c r="B10" s="93" t="str">
        <f aca="false">IF($F10="","",TEXT(ROW()-6,"000"))</f>
        <v>004</v>
      </c>
      <c r="C10" s="101" t="n">
        <f aca="true">TODAY()-74</f>
        <v>46177</v>
      </c>
      <c r="D10" s="107" t="s">
        <v>314</v>
      </c>
      <c r="E10" s="100" t="str">
        <f aca="false">IF($D10="","",IFERROR(IF(LEN(VLOOKUP($D10,'Issue Register'!$B$7:$E$41,4,FALSE()))&gt;80,LEFT(VLOOKUP($D10,'Issue Register'!$B$7:$E$41,4,FALSE()),80)&amp;"...",VLOOKUP($D10,'Issue Register'!$B$7:$E$41,4,FALSE())),"Reference not found"))</f>
        <v>Planning condition requires an operational noise assessment before the blower bu...</v>
      </c>
      <c r="F10" s="102" t="s">
        <v>315</v>
      </c>
      <c r="G10" s="102" t="s">
        <v>138</v>
      </c>
      <c r="H10" s="102" t="s">
        <v>316</v>
      </c>
      <c r="I10" s="101" t="n">
        <f aca="true">TODAY()-67</f>
        <v>46184</v>
      </c>
      <c r="J10" s="100" t="str">
        <f aca="false">IF($D10="","",IF($H10="","-",IF(COUNTIFS($D$7:$D$41,$D10,$C$7:$C$41,"&gt;"&amp;$C10)&gt;0,"Superseded",IF($I10="","No date set",IF(Setup!$D$12&gt;$I10,"Overdue",IF($I10-Setup!$D$12&lt;=Setup!$D$35,"Due soon","Scheduled"))))))</f>
        <v>Superseded</v>
      </c>
    </row>
    <row r="11" customFormat="false" ht="33.75" hidden="false" customHeight="true" outlineLevel="0" collapsed="false">
      <c r="B11" s="93" t="str">
        <f aca="false">IF($F11="","",TEXT(ROW()-6,"000"))</f>
        <v>005</v>
      </c>
      <c r="C11" s="94" t="n">
        <f aca="true">TODAY()-58</f>
        <v>46193</v>
      </c>
      <c r="D11" s="106" t="s">
        <v>314</v>
      </c>
      <c r="E11" s="100" t="str">
        <f aca="false">IF($D11="","",IFERROR(IF(LEN(VLOOKUP($D11,'Issue Register'!$B$7:$E$41,4,FALSE()))&gt;80,LEFT(VLOOKUP($D11,'Issue Register'!$B$7:$E$41,4,FALSE()),80)&amp;"...",VLOOKUP($D11,'Issue Register'!$B$7:$E$41,4,FALSE())),"Reference not found"))</f>
        <v>Planning condition requires an operational noise assessment before the blower bu...</v>
      </c>
      <c r="F11" s="95" t="s">
        <v>317</v>
      </c>
      <c r="G11" s="95" t="s">
        <v>242</v>
      </c>
      <c r="H11" s="95" t="s">
        <v>318</v>
      </c>
      <c r="I11" s="94" t="n">
        <f aca="true">TODAY()-44</f>
        <v>46207</v>
      </c>
      <c r="J11" s="100" t="str">
        <f aca="false">IF($D11="","",IF($H11="","-",IF(COUNTIFS($D$7:$D$41,$D11,$C$7:$C$41,"&gt;"&amp;$C11)&gt;0,"Superseded",IF($I11="","No date set",IF(Setup!$D$12&gt;$I11,"Overdue",IF($I11-Setup!$D$12&lt;=Setup!$D$35,"Due soon","Scheduled"))))))</f>
        <v>Overdue</v>
      </c>
    </row>
    <row r="12" customFormat="false" ht="33.75" hidden="false" customHeight="true" outlineLevel="0" collapsed="false">
      <c r="B12" s="93" t="str">
        <f aca="false">IF($F12="","",TEXT(ROW()-6,"000"))</f>
        <v>006</v>
      </c>
      <c r="C12" s="101" t="n">
        <f aca="true">TODAY()-70</f>
        <v>46181</v>
      </c>
      <c r="D12" s="107" t="s">
        <v>319</v>
      </c>
      <c r="E12" s="100" t="str">
        <f aca="false">IF($D12="","",IFERROR(IF(LEN(VLOOKUP($D12,'Issue Register'!$B$7:$E$41,4,FALSE()))&gt;80,LEFT(VLOOKUP($D12,'Issue Register'!$B$7:$E$41,4,FALSE()),80)&amp;"...",VLOOKUP($D12,'Issue Register'!$B$7:$E$41,4,FALSE())),"Reference not found"))</f>
        <v>Utility provider has not confirmed the high voltage connection date. Commissioni...</v>
      </c>
      <c r="F12" s="102" t="s">
        <v>320</v>
      </c>
      <c r="G12" s="102" t="s">
        <v>138</v>
      </c>
      <c r="H12" s="102" t="s">
        <v>321</v>
      </c>
      <c r="I12" s="101" t="n">
        <f aca="true">TODAY()-56</f>
        <v>46195</v>
      </c>
      <c r="J12" s="100" t="str">
        <f aca="false">IF($D12="","",IF($H12="","-",IF(COUNTIFS($D$7:$D$41,$D12,$C$7:$C$41,"&gt;"&amp;$C12)&gt;0,"Superseded",IF($I12="","No date set",IF(Setup!$D$12&gt;$I12,"Overdue",IF($I12-Setup!$D$12&lt;=Setup!$D$35,"Due soon","Scheduled"))))))</f>
        <v>Superseded</v>
      </c>
    </row>
    <row r="13" customFormat="false" ht="33.75" hidden="false" customHeight="true" outlineLevel="0" collapsed="false">
      <c r="B13" s="93" t="str">
        <f aca="false">IF($F13="","",TEXT(ROW()-6,"000"))</f>
        <v>007</v>
      </c>
      <c r="C13" s="94" t="n">
        <f aca="true">TODAY()-41</f>
        <v>46210</v>
      </c>
      <c r="D13" s="106" t="s">
        <v>319</v>
      </c>
      <c r="E13" s="100" t="str">
        <f aca="false">IF($D13="","",IFERROR(IF(LEN(VLOOKUP($D13,'Issue Register'!$B$7:$E$41,4,FALSE()))&gt;80,LEFT(VLOOKUP($D13,'Issue Register'!$B$7:$E$41,4,FALSE()),80)&amp;"...",VLOOKUP($D13,'Issue Register'!$B$7:$E$41,4,FALSE())),"Reference not found"))</f>
        <v>Utility provider has not confirmed the high voltage connection date. Commissioni...</v>
      </c>
      <c r="F13" s="95" t="s">
        <v>322</v>
      </c>
      <c r="G13" s="95" t="s">
        <v>138</v>
      </c>
      <c r="H13" s="95" t="s">
        <v>321</v>
      </c>
      <c r="I13" s="94" t="n">
        <f aca="true">TODAY()-27</f>
        <v>46224</v>
      </c>
      <c r="J13" s="100" t="str">
        <f aca="false">IF($D13="","",IF($H13="","-",IF(COUNTIFS($D$7:$D$41,$D13,$C$7:$C$41,"&gt;"&amp;$C13)&gt;0,"Superseded",IF($I13="","No date set",IF(Setup!$D$12&gt;$I13,"Overdue",IF($I13-Setup!$D$12&lt;=Setup!$D$35,"Due soon","Scheduled"))))))</f>
        <v>Overdue</v>
      </c>
    </row>
    <row r="14" customFormat="false" ht="33.75" hidden="false" customHeight="true" outlineLevel="0" collapsed="false">
      <c r="B14" s="93" t="str">
        <f aca="false">IF($F14="","",TEXT(ROW()-6,"000"))</f>
        <v>008</v>
      </c>
      <c r="C14" s="101" t="n">
        <f aca="true">TODAY()-63</f>
        <v>46188</v>
      </c>
      <c r="D14" s="107" t="s">
        <v>323</v>
      </c>
      <c r="E14" s="100" t="str">
        <f aca="false">IF($D14="","",IFERROR(IF(LEN(VLOOKUP($D14,'Issue Register'!$B$7:$E$41,4,FALSE()))&gt;80,LEFT(VLOOKUP($D14,'Issue Register'!$B$7:$E$41,4,FALSE()),80)&amp;"...",VLOOKUP($D14,'Issue Register'!$B$7:$E$41,4,FALSE())),"Reference not found"))</f>
        <v>Access to the eastern easement is not granted. The landowner disputes the extent...</v>
      </c>
      <c r="F14" s="102" t="s">
        <v>324</v>
      </c>
      <c r="G14" s="102" t="s">
        <v>252</v>
      </c>
      <c r="H14" s="102" t="s">
        <v>325</v>
      </c>
      <c r="I14" s="101" t="n">
        <f aca="true">TODAY()-49</f>
        <v>46202</v>
      </c>
      <c r="J14" s="100" t="str">
        <f aca="false">IF($D14="","",IF($H14="","-",IF(COUNTIFS($D$7:$D$41,$D14,$C$7:$C$41,"&gt;"&amp;$C14)&gt;0,"Superseded",IF($I14="","No date set",IF(Setup!$D$12&gt;$I14,"Overdue",IF($I14-Setup!$D$12&lt;=Setup!$D$35,"Due soon","Scheduled"))))))</f>
        <v>Overdue</v>
      </c>
    </row>
    <row r="15" customFormat="false" ht="33.75" hidden="false" customHeight="true" outlineLevel="0" collapsed="false">
      <c r="B15" s="93" t="str">
        <f aca="false">IF($F15="","",TEXT(ROW()-6,"000"))</f>
        <v>009</v>
      </c>
      <c r="C15" s="94" t="n">
        <f aca="true">TODAY()-50</f>
        <v>46201</v>
      </c>
      <c r="D15" s="106" t="s">
        <v>326</v>
      </c>
      <c r="E15" s="100" t="str">
        <f aca="false">IF($D15="","",IFERROR(IF(LEN(VLOOKUP($D15,'Issue Register'!$B$7:$E$41,4,FALSE()))&gt;80,LEFT(VLOOKUP($D15,'Issue Register'!$B$7:$E$41,4,FALSE()),80)&amp;"...",VLOOKUP($D15,'Issue Register'!$B$7:$E$41,4,FALSE())),"Reference not found"))</f>
        <v>Repeated non-conformances on concrete cover to the aeration tank walls. Six rais...</v>
      </c>
      <c r="F15" s="95" t="s">
        <v>327</v>
      </c>
      <c r="G15" s="95" t="s">
        <v>261</v>
      </c>
      <c r="H15" s="95" t="s">
        <v>328</v>
      </c>
      <c r="I15" s="94" t="n">
        <f aca="true">TODAY()-43</f>
        <v>46208</v>
      </c>
      <c r="J15" s="100" t="str">
        <f aca="false">IF($D15="","",IF($H15="","-",IF(COUNTIFS($D$7:$D$41,$D15,$C$7:$C$41,"&gt;"&amp;$C15)&gt;0,"Superseded",IF($I15="","No date set",IF(Setup!$D$12&gt;$I15,"Overdue",IF($I15-Setup!$D$12&lt;=Setup!$D$35,"Due soon","Scheduled"))))))</f>
        <v>Superseded</v>
      </c>
    </row>
    <row r="16" customFormat="false" ht="33.75" hidden="false" customHeight="true" outlineLevel="0" collapsed="false">
      <c r="B16" s="93" t="str">
        <f aca="false">IF($F16="","",TEXT(ROW()-6,"000"))</f>
        <v>010</v>
      </c>
      <c r="C16" s="101" t="n">
        <f aca="true">TODAY()-22</f>
        <v>46229</v>
      </c>
      <c r="D16" s="107" t="s">
        <v>326</v>
      </c>
      <c r="E16" s="100" t="str">
        <f aca="false">IF($D16="","",IFERROR(IF(LEN(VLOOKUP($D16,'Issue Register'!$B$7:$E$41,4,FALSE()))&gt;80,LEFT(VLOOKUP($D16,'Issue Register'!$B$7:$E$41,4,FALSE()),80)&amp;"...",VLOOKUP($D16,'Issue Register'!$B$7:$E$41,4,FALSE())),"Reference not found"))</f>
        <v>Repeated non-conformances on concrete cover to the aeration tank walls. Six rais...</v>
      </c>
      <c r="F16" s="102" t="s">
        <v>329</v>
      </c>
      <c r="G16" s="102" t="s">
        <v>261</v>
      </c>
      <c r="H16" s="102" t="s">
        <v>330</v>
      </c>
      <c r="I16" s="101" t="n">
        <f aca="true">TODAY()-14</f>
        <v>46237</v>
      </c>
      <c r="J16" s="100" t="str">
        <f aca="false">IF($D16="","",IF($H16="","-",IF(COUNTIFS($D$7:$D$41,$D16,$C$7:$C$41,"&gt;"&amp;$C16)&gt;0,"Superseded",IF($I16="","No date set",IF(Setup!$D$12&gt;$I16,"Overdue",IF($I16-Setup!$D$12&lt;=Setup!$D$35,"Due soon","Scheduled"))))))</f>
        <v>Superseded</v>
      </c>
    </row>
    <row r="17" customFormat="false" ht="33.75" hidden="false" customHeight="true" outlineLevel="0" collapsed="false">
      <c r="B17" s="93" t="str">
        <f aca="false">IF($F17="","",TEXT(ROW()-6,"000"))</f>
        <v>011</v>
      </c>
      <c r="C17" s="94" t="n">
        <f aca="true">TODAY()-12</f>
        <v>46239</v>
      </c>
      <c r="D17" s="106" t="s">
        <v>326</v>
      </c>
      <c r="E17" s="100" t="str">
        <f aca="false">IF($D17="","",IFERROR(IF(LEN(VLOOKUP($D17,'Issue Register'!$B$7:$E$41,4,FALSE()))&gt;80,LEFT(VLOOKUP($D17,'Issue Register'!$B$7:$E$41,4,FALSE()),80)&amp;"...",VLOOKUP($D17,'Issue Register'!$B$7:$E$41,4,FALSE())),"Reference not found"))</f>
        <v>Repeated non-conformances on concrete cover to the aeration tank walls. Six rais...</v>
      </c>
      <c r="F17" s="95" t="s">
        <v>331</v>
      </c>
      <c r="G17" s="95" t="s">
        <v>261</v>
      </c>
      <c r="H17" s="95"/>
      <c r="I17" s="94"/>
      <c r="J17" s="100" t="str">
        <f aca="false">IF($D17="","",IF($H17="","-",IF(COUNTIFS($D$7:$D$41,$D17,$C$7:$C$41,"&gt;"&amp;$C17)&gt;0,"Superseded",IF($I17="","No date set",IF(Setup!$D$12&gt;$I17,"Overdue",IF($I17-Setup!$D$12&lt;=Setup!$D$35,"Due soon","Scheduled"))))))</f>
        <v>-</v>
      </c>
    </row>
    <row r="18" customFormat="false" ht="33.75" hidden="false" customHeight="true" outlineLevel="0" collapsed="false">
      <c r="B18" s="93" t="str">
        <f aca="false">IF($F18="","",TEXT(ROW()-6,"000"))</f>
        <v>012</v>
      </c>
      <c r="C18" s="101" t="n">
        <f aca="true">TODAY()-45</f>
        <v>46206</v>
      </c>
      <c r="D18" s="107" t="s">
        <v>332</v>
      </c>
      <c r="E18" s="100" t="str">
        <f aca="false">IF($D18="","",IFERROR(IF(LEN(VLOOKUP($D18,'Issue Register'!$B$7:$E$41,4,FALSE()))&gt;80,LEFT(VLOOKUP($D18,'Issue Register'!$B$7:$E$41,4,FALSE()),80)&amp;"...",VLOOKUP($D18,'Issue Register'!$B$7:$E$41,4,FALSE())),"Reference not found"))</f>
        <v>Heritage listing identified on the original pump house after demolition was alre...</v>
      </c>
      <c r="F18" s="102" t="s">
        <v>333</v>
      </c>
      <c r="G18" s="102" t="s">
        <v>138</v>
      </c>
      <c r="H18" s="102" t="s">
        <v>334</v>
      </c>
      <c r="I18" s="101" t="n">
        <f aca="true">TODAY()-38</f>
        <v>46213</v>
      </c>
      <c r="J18" s="100" t="str">
        <f aca="false">IF($D18="","",IF($H18="","-",IF(COUNTIFS($D$7:$D$41,$D18,$C$7:$C$41,"&gt;"&amp;$C18)&gt;0,"Superseded",IF($I18="","No date set",IF(Setup!$D$12&gt;$I18,"Overdue",IF($I18-Setup!$D$12&lt;=Setup!$D$35,"Due soon","Scheduled"))))))</f>
        <v>Superseded</v>
      </c>
    </row>
    <row r="19" customFormat="false" ht="33.75" hidden="false" customHeight="true" outlineLevel="0" collapsed="false">
      <c r="B19" s="93" t="str">
        <f aca="false">IF($F19="","",TEXT(ROW()-6,"000"))</f>
        <v>013</v>
      </c>
      <c r="C19" s="94" t="n">
        <f aca="true">TODAY()-20</f>
        <v>46231</v>
      </c>
      <c r="D19" s="106" t="s">
        <v>332</v>
      </c>
      <c r="E19" s="100" t="str">
        <f aca="false">IF($D19="","",IFERROR(IF(LEN(VLOOKUP($D19,'Issue Register'!$B$7:$E$41,4,FALSE()))&gt;80,LEFT(VLOOKUP($D19,'Issue Register'!$B$7:$E$41,4,FALSE()),80)&amp;"...",VLOOKUP($D19,'Issue Register'!$B$7:$E$41,4,FALSE())),"Reference not found"))</f>
        <v>Heritage listing identified on the original pump house after demolition was alre...</v>
      </c>
      <c r="F19" s="95" t="s">
        <v>335</v>
      </c>
      <c r="G19" s="95" t="s">
        <v>138</v>
      </c>
      <c r="H19" s="95"/>
      <c r="I19" s="94"/>
      <c r="J19" s="100" t="str">
        <f aca="false">IF($D19="","",IF($H19="","-",IF(COUNTIFS($D$7:$D$41,$D19,$C$7:$C$41,"&gt;"&amp;$C19)&gt;0,"Superseded",IF($I19="","No date set",IF(Setup!$D$12&gt;$I19,"Overdue",IF($I19-Setup!$D$12&lt;=Setup!$D$35,"Due soon","Scheduled"))))))</f>
        <v>-</v>
      </c>
    </row>
    <row r="20" customFormat="false" ht="33.75" hidden="false" customHeight="true" outlineLevel="0" collapsed="false">
      <c r="B20" s="93" t="str">
        <f aca="false">IF($F20="","",TEXT(ROW()-6,"000"))</f>
        <v>014</v>
      </c>
      <c r="C20" s="101" t="n">
        <f aca="true">TODAY()-35</f>
        <v>46216</v>
      </c>
      <c r="D20" s="107" t="s">
        <v>336</v>
      </c>
      <c r="E20" s="100" t="str">
        <f aca="false">IF($D20="","",IFERROR(IF(LEN(VLOOKUP($D20,'Issue Register'!$B$7:$E$41,4,FALSE()))&gt;80,LEFT(VLOOKUP($D20,'Issue Register'!$B$7:$E$41,4,FALSE()),80)&amp;"...",VLOOKUP($D20,'Issue Register'!$B$7:$E$41,4,FALSE())),"Reference not found"))</f>
        <v>RFI 087 on the inlet channel penetrations is unanswered after 38 days. Reinforce...</v>
      </c>
      <c r="F20" s="102" t="s">
        <v>337</v>
      </c>
      <c r="G20" s="102" t="s">
        <v>234</v>
      </c>
      <c r="H20" s="102" t="s">
        <v>338</v>
      </c>
      <c r="I20" s="101" t="n">
        <f aca="true">TODAY()-28</f>
        <v>46223</v>
      </c>
      <c r="J20" s="100" t="str">
        <f aca="false">IF($D20="","",IF($H20="","-",IF(COUNTIFS($D$7:$D$41,$D20,$C$7:$C$41,"&gt;"&amp;$C20)&gt;0,"Superseded",IF($I20="","No date set",IF(Setup!$D$12&gt;$I20,"Overdue",IF($I20-Setup!$D$12&lt;=Setup!$D$35,"Due soon","Scheduled"))))))</f>
        <v>Superseded</v>
      </c>
    </row>
    <row r="21" customFormat="false" ht="33.75" hidden="false" customHeight="true" outlineLevel="0" collapsed="false">
      <c r="B21" s="93" t="str">
        <f aca="false">IF($F21="","",TEXT(ROW()-6,"000"))</f>
        <v>015</v>
      </c>
      <c r="C21" s="94" t="n">
        <f aca="true">TODAY()-12</f>
        <v>46239</v>
      </c>
      <c r="D21" s="106" t="s">
        <v>336</v>
      </c>
      <c r="E21" s="100" t="str">
        <f aca="false">IF($D21="","",IFERROR(IF(LEN(VLOOKUP($D21,'Issue Register'!$B$7:$E$41,4,FALSE()))&gt;80,LEFT(VLOOKUP($D21,'Issue Register'!$B$7:$E$41,4,FALSE()),80)&amp;"...",VLOOKUP($D21,'Issue Register'!$B$7:$E$41,4,FALSE())),"Reference not found"))</f>
        <v>RFI 087 on the inlet channel penetrations is unanswered after 38 days. Reinforce...</v>
      </c>
      <c r="F21" s="95" t="s">
        <v>339</v>
      </c>
      <c r="G21" s="95" t="s">
        <v>234</v>
      </c>
      <c r="H21" s="95" t="s">
        <v>338</v>
      </c>
      <c r="I21" s="94" t="n">
        <f aca="true">TODAY()-5</f>
        <v>46246</v>
      </c>
      <c r="J21" s="100" t="str">
        <f aca="false">IF($D21="","",IF($H21="","-",IF(COUNTIFS($D$7:$D$41,$D21,$C$7:$C$41,"&gt;"&amp;$C21)&gt;0,"Superseded",IF($I21="","No date set",IF(Setup!$D$12&gt;$I21,"Overdue",IF($I21-Setup!$D$12&lt;=Setup!$D$35,"Due soon","Scheduled"))))))</f>
        <v>Overdue</v>
      </c>
    </row>
    <row r="22" customFormat="false" ht="33.75" hidden="false" customHeight="true" outlineLevel="0" collapsed="false">
      <c r="B22" s="93" t="str">
        <f aca="false">IF($F22="","",TEXT(ROW()-6,"000"))</f>
        <v>016</v>
      </c>
      <c r="C22" s="101" t="n">
        <f aca="true">TODAY()-28</f>
        <v>46223</v>
      </c>
      <c r="D22" s="107" t="s">
        <v>340</v>
      </c>
      <c r="E22" s="100" t="str">
        <f aca="false">IF($D22="","",IFERROR(IF(LEN(VLOOKUP($D22,'Issue Register'!$B$7:$E$41,4,FALSE()))&gt;80,LEFT(VLOOKUP($D22,'Issue Register'!$B$7:$E$41,4,FALSE()),80)&amp;"...",VLOOKUP($D22,'Issue Register'!$B$7:$E$41,4,FALSE())),"Reference not found"))</f>
        <v>The owner's decision on the control room layout is outstanding. Two options were...</v>
      </c>
      <c r="F22" s="102" t="s">
        <v>341</v>
      </c>
      <c r="G22" s="102" t="s">
        <v>242</v>
      </c>
      <c r="H22" s="102" t="s">
        <v>342</v>
      </c>
      <c r="I22" s="101" t="n">
        <f aca="true">TODAY()-21</f>
        <v>46230</v>
      </c>
      <c r="J22" s="100" t="str">
        <f aca="false">IF($D22="","",IF($H22="","-",IF(COUNTIFS($D$7:$D$41,$D22,$C$7:$C$41,"&gt;"&amp;$C22)&gt;0,"Superseded",IF($I22="","No date set",IF(Setup!$D$12&gt;$I22,"Overdue",IF($I22-Setup!$D$12&lt;=Setup!$D$35,"Due soon","Scheduled"))))))</f>
        <v>Overdue</v>
      </c>
    </row>
    <row r="23" customFormat="false" ht="33.75" hidden="false" customHeight="true" outlineLevel="0" collapsed="false">
      <c r="B23" s="93" t="str">
        <f aca="false">IF($F23="","",TEXT(ROW()-6,"000"))</f>
        <v>017</v>
      </c>
      <c r="C23" s="94" t="n">
        <f aca="true">TODAY()-15</f>
        <v>46236</v>
      </c>
      <c r="D23" s="106" t="s">
        <v>343</v>
      </c>
      <c r="E23" s="100" t="str">
        <f aca="false">IF($D23="","",IFERROR(IF(LEN(VLOOKUP($D23,'Issue Register'!$B$7:$E$41,4,FALSE()))&gt;80,LEFT(VLOOKUP($D23,'Issue Register'!$B$7:$E$41,4,FALSE()),80)&amp;"...",VLOOKUP($D23,'Issue Register'!$B$7:$E$41,4,FALSE())),"Reference not found"))</f>
        <v>Bringing the inlet works shutdown forward by three weeks would let the tie-in ru...</v>
      </c>
      <c r="F23" s="95" t="s">
        <v>344</v>
      </c>
      <c r="G23" s="95" t="s">
        <v>234</v>
      </c>
      <c r="H23" s="95" t="s">
        <v>345</v>
      </c>
      <c r="I23" s="94" t="n">
        <f aca="true">TODAY()+3</f>
        <v>46254</v>
      </c>
      <c r="J23" s="100" t="str">
        <f aca="false">IF($D23="","",IF($H23="","-",IF(COUNTIFS($D$7:$D$41,$D23,$C$7:$C$41,"&gt;"&amp;$C23)&gt;0,"Superseded",IF($I23="","No date set",IF(Setup!$D$12&gt;$I23,"Overdue",IF($I23-Setup!$D$12&lt;=Setup!$D$35,"Due soon","Scheduled"))))))</f>
        <v>Due soon</v>
      </c>
    </row>
    <row r="24" customFormat="false" ht="33.75" hidden="false" customHeight="true" outlineLevel="0" collapsed="false">
      <c r="B24" s="93" t="str">
        <f aca="false">IF($F24="","",TEXT(ROW()-6,"000"))</f>
        <v>018</v>
      </c>
      <c r="C24" s="101" t="n">
        <f aca="true">TODAY()-9</f>
        <v>46242</v>
      </c>
      <c r="D24" s="107" t="s">
        <v>346</v>
      </c>
      <c r="E24" s="100" t="str">
        <f aca="false">IF($D24="","",IFERROR(IF(LEN(VLOOKUP($D24,'Issue Register'!$B$7:$E$41,4,FALSE()))&gt;80,LEFT(VLOOKUP($D24,'Issue Register'!$B$7:$E$41,4,FALSE()),80)&amp;"...",VLOOKUP($D24,'Issue Register'!$B$7:$E$41,4,FALSE())),"Reference not found"))</f>
        <v>Community objection to night works on the southern boundary. Two complaints rece...</v>
      </c>
      <c r="F24" s="102" t="s">
        <v>347</v>
      </c>
      <c r="G24" s="102" t="s">
        <v>252</v>
      </c>
      <c r="H24" s="102" t="s">
        <v>348</v>
      </c>
      <c r="I24" s="101" t="n">
        <f aca="true">TODAY()+8</f>
        <v>46259</v>
      </c>
      <c r="J24" s="100" t="str">
        <f aca="false">IF($D24="","",IF($H24="","-",IF(COUNTIFS($D$7:$D$41,$D24,$C$7:$C$41,"&gt;"&amp;$C24)&gt;0,"Superseded",IF($I24="","No date set",IF(Setup!$D$12&gt;$I24,"Overdue",IF($I24-Setup!$D$12&lt;=Setup!$D$35,"Due soon","Scheduled"))))))</f>
        <v>Scheduled</v>
      </c>
    </row>
    <row r="25" customFormat="false" ht="33.75" hidden="false" customHeight="true" outlineLevel="0" collapsed="false">
      <c r="B25" s="93" t="str">
        <f aca="false">IF($F25="","",TEXT(ROW()-6,"000"))</f>
        <v/>
      </c>
      <c r="C25" s="94"/>
      <c r="D25" s="106"/>
      <c r="E25" s="100" t="str">
        <f aca="false">IF($D25="","",IFERROR(IF(LEN(VLOOKUP($D25,'Issue Register'!$B$7:$E$41,4,FALSE()))&gt;80,LEFT(VLOOKUP($D25,'Issue Register'!$B$7:$E$41,4,FALSE()),80)&amp;"...",VLOOKUP($D25,'Issue Register'!$B$7:$E$41,4,FALSE())),"Reference not found"))</f>
        <v/>
      </c>
      <c r="F25" s="95"/>
      <c r="G25" s="95"/>
      <c r="H25" s="95"/>
      <c r="I25" s="94"/>
      <c r="J25" s="100" t="str">
        <f aca="false">IF($D25="","",IF($H25="","-",IF(COUNTIFS($D$7:$D$41,$D25,$C$7:$C$41,"&gt;"&amp;$C25)&gt;0,"Superseded",IF($I25="","No date set",IF(Setup!$D$12&gt;$I25,"Overdue",IF($I25-Setup!$D$12&lt;=Setup!$D$35,"Due soon","Scheduled"))))))</f>
        <v/>
      </c>
    </row>
    <row r="26" customFormat="false" ht="33.75" hidden="false" customHeight="true" outlineLevel="0" collapsed="false">
      <c r="B26" s="93" t="str">
        <f aca="false">IF($F26="","",TEXT(ROW()-6,"000"))</f>
        <v/>
      </c>
      <c r="C26" s="101"/>
      <c r="D26" s="107"/>
      <c r="E26" s="100" t="str">
        <f aca="false">IF($D26="","",IFERROR(IF(LEN(VLOOKUP($D26,'Issue Register'!$B$7:$E$41,4,FALSE()))&gt;80,LEFT(VLOOKUP($D26,'Issue Register'!$B$7:$E$41,4,FALSE()),80)&amp;"...",VLOOKUP($D26,'Issue Register'!$B$7:$E$41,4,FALSE())),"Reference not found"))</f>
        <v/>
      </c>
      <c r="F26" s="102"/>
      <c r="G26" s="102"/>
      <c r="H26" s="102"/>
      <c r="I26" s="101"/>
      <c r="J26" s="100" t="str">
        <f aca="false">IF($D26="","",IF($H26="","-",IF(COUNTIFS($D$7:$D$41,$D26,$C$7:$C$41,"&gt;"&amp;$C26)&gt;0,"Superseded",IF($I26="","No date set",IF(Setup!$D$12&gt;$I26,"Overdue",IF($I26-Setup!$D$12&lt;=Setup!$D$35,"Due soon","Scheduled"))))))</f>
        <v/>
      </c>
    </row>
    <row r="27" customFormat="false" ht="33.75" hidden="false" customHeight="true" outlineLevel="0" collapsed="false">
      <c r="B27" s="93" t="str">
        <f aca="false">IF($F27="","",TEXT(ROW()-6,"000"))</f>
        <v/>
      </c>
      <c r="C27" s="94"/>
      <c r="D27" s="106"/>
      <c r="E27" s="100" t="str">
        <f aca="false">IF($D27="","",IFERROR(IF(LEN(VLOOKUP($D27,'Issue Register'!$B$7:$E$41,4,FALSE()))&gt;80,LEFT(VLOOKUP($D27,'Issue Register'!$B$7:$E$41,4,FALSE()),80)&amp;"...",VLOOKUP($D27,'Issue Register'!$B$7:$E$41,4,FALSE())),"Reference not found"))</f>
        <v/>
      </c>
      <c r="F27" s="95"/>
      <c r="G27" s="95"/>
      <c r="H27" s="95"/>
      <c r="I27" s="94"/>
      <c r="J27" s="100" t="str">
        <f aca="false">IF($D27="","",IF($H27="","-",IF(COUNTIFS($D$7:$D$41,$D27,$C$7:$C$41,"&gt;"&amp;$C27)&gt;0,"Superseded",IF($I27="","No date set",IF(Setup!$D$12&gt;$I27,"Overdue",IF($I27-Setup!$D$12&lt;=Setup!$D$35,"Due soon","Scheduled"))))))</f>
        <v/>
      </c>
    </row>
    <row r="28" customFormat="false" ht="33.75" hidden="false" customHeight="true" outlineLevel="0" collapsed="false">
      <c r="B28" s="93" t="str">
        <f aca="false">IF($F28="","",TEXT(ROW()-6,"000"))</f>
        <v/>
      </c>
      <c r="C28" s="101"/>
      <c r="D28" s="107"/>
      <c r="E28" s="100" t="str">
        <f aca="false">IF($D28="","",IFERROR(IF(LEN(VLOOKUP($D28,'Issue Register'!$B$7:$E$41,4,FALSE()))&gt;80,LEFT(VLOOKUP($D28,'Issue Register'!$B$7:$E$41,4,FALSE()),80)&amp;"...",VLOOKUP($D28,'Issue Register'!$B$7:$E$41,4,FALSE())),"Reference not found"))</f>
        <v/>
      </c>
      <c r="F28" s="102"/>
      <c r="G28" s="102"/>
      <c r="H28" s="102"/>
      <c r="I28" s="101"/>
      <c r="J28" s="100" t="str">
        <f aca="false">IF($D28="","",IF($H28="","-",IF(COUNTIFS($D$7:$D$41,$D28,$C$7:$C$41,"&gt;"&amp;$C28)&gt;0,"Superseded",IF($I28="","No date set",IF(Setup!$D$12&gt;$I28,"Overdue",IF($I28-Setup!$D$12&lt;=Setup!$D$35,"Due soon","Scheduled"))))))</f>
        <v/>
      </c>
    </row>
    <row r="29" customFormat="false" ht="33.75" hidden="false" customHeight="true" outlineLevel="0" collapsed="false">
      <c r="B29" s="93" t="str">
        <f aca="false">IF($F29="","",TEXT(ROW()-6,"000"))</f>
        <v/>
      </c>
      <c r="C29" s="94"/>
      <c r="D29" s="106"/>
      <c r="E29" s="100" t="str">
        <f aca="false">IF($D29="","",IFERROR(IF(LEN(VLOOKUP($D29,'Issue Register'!$B$7:$E$41,4,FALSE()))&gt;80,LEFT(VLOOKUP($D29,'Issue Register'!$B$7:$E$41,4,FALSE()),80)&amp;"...",VLOOKUP($D29,'Issue Register'!$B$7:$E$41,4,FALSE())),"Reference not found"))</f>
        <v/>
      </c>
      <c r="F29" s="95"/>
      <c r="G29" s="95"/>
      <c r="H29" s="95"/>
      <c r="I29" s="94"/>
      <c r="J29" s="100" t="str">
        <f aca="false">IF($D29="","",IF($H29="","-",IF(COUNTIFS($D$7:$D$41,$D29,$C$7:$C$41,"&gt;"&amp;$C29)&gt;0,"Superseded",IF($I29="","No date set",IF(Setup!$D$12&gt;$I29,"Overdue",IF($I29-Setup!$D$12&lt;=Setup!$D$35,"Due soon","Scheduled"))))))</f>
        <v/>
      </c>
    </row>
    <row r="30" customFormat="false" ht="33.75" hidden="false" customHeight="true" outlineLevel="0" collapsed="false">
      <c r="B30" s="93" t="str">
        <f aca="false">IF($F30="","",TEXT(ROW()-6,"000"))</f>
        <v/>
      </c>
      <c r="C30" s="101"/>
      <c r="D30" s="107"/>
      <c r="E30" s="100" t="str">
        <f aca="false">IF($D30="","",IFERROR(IF(LEN(VLOOKUP($D30,'Issue Register'!$B$7:$E$41,4,FALSE()))&gt;80,LEFT(VLOOKUP($D30,'Issue Register'!$B$7:$E$41,4,FALSE()),80)&amp;"...",VLOOKUP($D30,'Issue Register'!$B$7:$E$41,4,FALSE())),"Reference not found"))</f>
        <v/>
      </c>
      <c r="F30" s="102"/>
      <c r="G30" s="102"/>
      <c r="H30" s="102"/>
      <c r="I30" s="101"/>
      <c r="J30" s="100" t="str">
        <f aca="false">IF($D30="","",IF($H30="","-",IF(COUNTIFS($D$7:$D$41,$D30,$C$7:$C$41,"&gt;"&amp;$C30)&gt;0,"Superseded",IF($I30="","No date set",IF(Setup!$D$12&gt;$I30,"Overdue",IF($I30-Setup!$D$12&lt;=Setup!$D$35,"Due soon","Scheduled"))))))</f>
        <v/>
      </c>
    </row>
    <row r="31" customFormat="false" ht="33.75" hidden="false" customHeight="true" outlineLevel="0" collapsed="false">
      <c r="B31" s="93" t="str">
        <f aca="false">IF($F31="","",TEXT(ROW()-6,"000"))</f>
        <v/>
      </c>
      <c r="C31" s="94"/>
      <c r="D31" s="106"/>
      <c r="E31" s="100" t="str">
        <f aca="false">IF($D31="","",IFERROR(IF(LEN(VLOOKUP($D31,'Issue Register'!$B$7:$E$41,4,FALSE()))&gt;80,LEFT(VLOOKUP($D31,'Issue Register'!$B$7:$E$41,4,FALSE()),80)&amp;"...",VLOOKUP($D31,'Issue Register'!$B$7:$E$41,4,FALSE())),"Reference not found"))</f>
        <v/>
      </c>
      <c r="F31" s="95"/>
      <c r="G31" s="95"/>
      <c r="H31" s="95"/>
      <c r="I31" s="94"/>
      <c r="J31" s="100" t="str">
        <f aca="false">IF($D31="","",IF($H31="","-",IF(COUNTIFS($D$7:$D$41,$D31,$C$7:$C$41,"&gt;"&amp;$C31)&gt;0,"Superseded",IF($I31="","No date set",IF(Setup!$D$12&gt;$I31,"Overdue",IF($I31-Setup!$D$12&lt;=Setup!$D$35,"Due soon","Scheduled"))))))</f>
        <v/>
      </c>
    </row>
    <row r="32" customFormat="false" ht="33.75" hidden="false" customHeight="true" outlineLevel="0" collapsed="false">
      <c r="B32" s="93" t="str">
        <f aca="false">IF($F32="","",TEXT(ROW()-6,"000"))</f>
        <v/>
      </c>
      <c r="C32" s="101"/>
      <c r="D32" s="107"/>
      <c r="E32" s="100" t="str">
        <f aca="false">IF($D32="","",IFERROR(IF(LEN(VLOOKUP($D32,'Issue Register'!$B$7:$E$41,4,FALSE()))&gt;80,LEFT(VLOOKUP($D32,'Issue Register'!$B$7:$E$41,4,FALSE()),80)&amp;"...",VLOOKUP($D32,'Issue Register'!$B$7:$E$41,4,FALSE())),"Reference not found"))</f>
        <v/>
      </c>
      <c r="F32" s="102"/>
      <c r="G32" s="102"/>
      <c r="H32" s="102"/>
      <c r="I32" s="101"/>
      <c r="J32" s="100" t="str">
        <f aca="false">IF($D32="","",IF($H32="","-",IF(COUNTIFS($D$7:$D$41,$D32,$C$7:$C$41,"&gt;"&amp;$C32)&gt;0,"Superseded",IF($I32="","No date set",IF(Setup!$D$12&gt;$I32,"Overdue",IF($I32-Setup!$D$12&lt;=Setup!$D$35,"Due soon","Scheduled"))))))</f>
        <v/>
      </c>
    </row>
    <row r="33" customFormat="false" ht="33.75" hidden="false" customHeight="true" outlineLevel="0" collapsed="false">
      <c r="B33" s="93" t="str">
        <f aca="false">IF($F33="","",TEXT(ROW()-6,"000"))</f>
        <v/>
      </c>
      <c r="C33" s="94"/>
      <c r="D33" s="106"/>
      <c r="E33" s="100" t="str">
        <f aca="false">IF($D33="","",IFERROR(IF(LEN(VLOOKUP($D33,'Issue Register'!$B$7:$E$41,4,FALSE()))&gt;80,LEFT(VLOOKUP($D33,'Issue Register'!$B$7:$E$41,4,FALSE()),80)&amp;"...",VLOOKUP($D33,'Issue Register'!$B$7:$E$41,4,FALSE())),"Reference not found"))</f>
        <v/>
      </c>
      <c r="F33" s="95"/>
      <c r="G33" s="95"/>
      <c r="H33" s="95"/>
      <c r="I33" s="94"/>
      <c r="J33" s="100" t="str">
        <f aca="false">IF($D33="","",IF($H33="","-",IF(COUNTIFS($D$7:$D$41,$D33,$C$7:$C$41,"&gt;"&amp;$C33)&gt;0,"Superseded",IF($I33="","No date set",IF(Setup!$D$12&gt;$I33,"Overdue",IF($I33-Setup!$D$12&lt;=Setup!$D$35,"Due soon","Scheduled"))))))</f>
        <v/>
      </c>
    </row>
    <row r="34" customFormat="false" ht="33.75" hidden="false" customHeight="true" outlineLevel="0" collapsed="false">
      <c r="B34" s="93" t="str">
        <f aca="false">IF($F34="","",TEXT(ROW()-6,"000"))</f>
        <v/>
      </c>
      <c r="C34" s="101"/>
      <c r="D34" s="107"/>
      <c r="E34" s="100" t="str">
        <f aca="false">IF($D34="","",IFERROR(IF(LEN(VLOOKUP($D34,'Issue Register'!$B$7:$E$41,4,FALSE()))&gt;80,LEFT(VLOOKUP($D34,'Issue Register'!$B$7:$E$41,4,FALSE()),80)&amp;"...",VLOOKUP($D34,'Issue Register'!$B$7:$E$41,4,FALSE())),"Reference not found"))</f>
        <v/>
      </c>
      <c r="F34" s="102"/>
      <c r="G34" s="102"/>
      <c r="H34" s="102"/>
      <c r="I34" s="101"/>
      <c r="J34" s="100" t="str">
        <f aca="false">IF($D34="","",IF($H34="","-",IF(COUNTIFS($D$7:$D$41,$D34,$C$7:$C$41,"&gt;"&amp;$C34)&gt;0,"Superseded",IF($I34="","No date set",IF(Setup!$D$12&gt;$I34,"Overdue",IF($I34-Setup!$D$12&lt;=Setup!$D$35,"Due soon","Scheduled"))))))</f>
        <v/>
      </c>
    </row>
    <row r="35" customFormat="false" ht="33.75" hidden="false" customHeight="true" outlineLevel="0" collapsed="false">
      <c r="B35" s="93" t="str">
        <f aca="false">IF($F35="","",TEXT(ROW()-6,"000"))</f>
        <v/>
      </c>
      <c r="C35" s="94"/>
      <c r="D35" s="106"/>
      <c r="E35" s="100" t="str">
        <f aca="false">IF($D35="","",IFERROR(IF(LEN(VLOOKUP($D35,'Issue Register'!$B$7:$E$41,4,FALSE()))&gt;80,LEFT(VLOOKUP($D35,'Issue Register'!$B$7:$E$41,4,FALSE()),80)&amp;"...",VLOOKUP($D35,'Issue Register'!$B$7:$E$41,4,FALSE())),"Reference not found"))</f>
        <v/>
      </c>
      <c r="F35" s="95"/>
      <c r="G35" s="95"/>
      <c r="H35" s="95"/>
      <c r="I35" s="94"/>
      <c r="J35" s="100" t="str">
        <f aca="false">IF($D35="","",IF($H35="","-",IF(COUNTIFS($D$7:$D$41,$D35,$C$7:$C$41,"&gt;"&amp;$C35)&gt;0,"Superseded",IF($I35="","No date set",IF(Setup!$D$12&gt;$I35,"Overdue",IF($I35-Setup!$D$12&lt;=Setup!$D$35,"Due soon","Scheduled"))))))</f>
        <v/>
      </c>
    </row>
    <row r="36" customFormat="false" ht="33.75" hidden="false" customHeight="true" outlineLevel="0" collapsed="false">
      <c r="B36" s="93" t="str">
        <f aca="false">IF($F36="","",TEXT(ROW()-6,"000"))</f>
        <v/>
      </c>
      <c r="C36" s="101"/>
      <c r="D36" s="107"/>
      <c r="E36" s="100" t="str">
        <f aca="false">IF($D36="","",IFERROR(IF(LEN(VLOOKUP($D36,'Issue Register'!$B$7:$E$41,4,FALSE()))&gt;80,LEFT(VLOOKUP($D36,'Issue Register'!$B$7:$E$41,4,FALSE()),80)&amp;"...",VLOOKUP($D36,'Issue Register'!$B$7:$E$41,4,FALSE())),"Reference not found"))</f>
        <v/>
      </c>
      <c r="F36" s="102"/>
      <c r="G36" s="102"/>
      <c r="H36" s="102"/>
      <c r="I36" s="101"/>
      <c r="J36" s="100" t="str">
        <f aca="false">IF($D36="","",IF($H36="","-",IF(COUNTIFS($D$7:$D$41,$D36,$C$7:$C$41,"&gt;"&amp;$C36)&gt;0,"Superseded",IF($I36="","No date set",IF(Setup!$D$12&gt;$I36,"Overdue",IF($I36-Setup!$D$12&lt;=Setup!$D$35,"Due soon","Scheduled"))))))</f>
        <v/>
      </c>
    </row>
    <row r="37" customFormat="false" ht="33.75" hidden="false" customHeight="true" outlineLevel="0" collapsed="false">
      <c r="B37" s="93" t="str">
        <f aca="false">IF($F37="","",TEXT(ROW()-6,"000"))</f>
        <v/>
      </c>
      <c r="C37" s="94"/>
      <c r="D37" s="106"/>
      <c r="E37" s="100" t="str">
        <f aca="false">IF($D37="","",IFERROR(IF(LEN(VLOOKUP($D37,'Issue Register'!$B$7:$E$41,4,FALSE()))&gt;80,LEFT(VLOOKUP($D37,'Issue Register'!$B$7:$E$41,4,FALSE()),80)&amp;"...",VLOOKUP($D37,'Issue Register'!$B$7:$E$41,4,FALSE())),"Reference not found"))</f>
        <v/>
      </c>
      <c r="F37" s="95"/>
      <c r="G37" s="95"/>
      <c r="H37" s="95"/>
      <c r="I37" s="94"/>
      <c r="J37" s="100" t="str">
        <f aca="false">IF($D37="","",IF($H37="","-",IF(COUNTIFS($D$7:$D$41,$D37,$C$7:$C$41,"&gt;"&amp;$C37)&gt;0,"Superseded",IF($I37="","No date set",IF(Setup!$D$12&gt;$I37,"Overdue",IF($I37-Setup!$D$12&lt;=Setup!$D$35,"Due soon","Scheduled"))))))</f>
        <v/>
      </c>
    </row>
    <row r="38" customFormat="false" ht="33.75" hidden="false" customHeight="true" outlineLevel="0" collapsed="false">
      <c r="B38" s="93" t="str">
        <f aca="false">IF($F38="","",TEXT(ROW()-6,"000"))</f>
        <v/>
      </c>
      <c r="C38" s="101"/>
      <c r="D38" s="107"/>
      <c r="E38" s="100" t="str">
        <f aca="false">IF($D38="","",IFERROR(IF(LEN(VLOOKUP($D38,'Issue Register'!$B$7:$E$41,4,FALSE()))&gt;80,LEFT(VLOOKUP($D38,'Issue Register'!$B$7:$E$41,4,FALSE()),80)&amp;"...",VLOOKUP($D38,'Issue Register'!$B$7:$E$41,4,FALSE())),"Reference not found"))</f>
        <v/>
      </c>
      <c r="F38" s="102"/>
      <c r="G38" s="102"/>
      <c r="H38" s="102"/>
      <c r="I38" s="101"/>
      <c r="J38" s="100" t="str">
        <f aca="false">IF($D38="","",IF($H38="","-",IF(COUNTIFS($D$7:$D$41,$D38,$C$7:$C$41,"&gt;"&amp;$C38)&gt;0,"Superseded",IF($I38="","No date set",IF(Setup!$D$12&gt;$I38,"Overdue",IF($I38-Setup!$D$12&lt;=Setup!$D$35,"Due soon","Scheduled"))))))</f>
        <v/>
      </c>
    </row>
    <row r="39" customFormat="false" ht="33.75" hidden="false" customHeight="true" outlineLevel="0" collapsed="false">
      <c r="B39" s="93" t="str">
        <f aca="false">IF($F39="","",TEXT(ROW()-6,"000"))</f>
        <v/>
      </c>
      <c r="C39" s="94"/>
      <c r="D39" s="106"/>
      <c r="E39" s="100" t="str">
        <f aca="false">IF($D39="","",IFERROR(IF(LEN(VLOOKUP($D39,'Issue Register'!$B$7:$E$41,4,FALSE()))&gt;80,LEFT(VLOOKUP($D39,'Issue Register'!$B$7:$E$41,4,FALSE()),80)&amp;"...",VLOOKUP($D39,'Issue Register'!$B$7:$E$41,4,FALSE())),"Reference not found"))</f>
        <v/>
      </c>
      <c r="F39" s="95"/>
      <c r="G39" s="95"/>
      <c r="H39" s="95"/>
      <c r="I39" s="94"/>
      <c r="J39" s="100" t="str">
        <f aca="false">IF($D39="","",IF($H39="","-",IF(COUNTIFS($D$7:$D$41,$D39,$C$7:$C$41,"&gt;"&amp;$C39)&gt;0,"Superseded",IF($I39="","No date set",IF(Setup!$D$12&gt;$I39,"Overdue",IF($I39-Setup!$D$12&lt;=Setup!$D$35,"Due soon","Scheduled"))))))</f>
        <v/>
      </c>
    </row>
    <row r="40" customFormat="false" ht="33.75" hidden="false" customHeight="true" outlineLevel="0" collapsed="false">
      <c r="B40" s="93" t="str">
        <f aca="false">IF($F40="","",TEXT(ROW()-6,"000"))</f>
        <v/>
      </c>
      <c r="C40" s="101"/>
      <c r="D40" s="107"/>
      <c r="E40" s="100" t="str">
        <f aca="false">IF($D40="","",IFERROR(IF(LEN(VLOOKUP($D40,'Issue Register'!$B$7:$E$41,4,FALSE()))&gt;80,LEFT(VLOOKUP($D40,'Issue Register'!$B$7:$E$41,4,FALSE()),80)&amp;"...",VLOOKUP($D40,'Issue Register'!$B$7:$E$41,4,FALSE())),"Reference not found"))</f>
        <v/>
      </c>
      <c r="F40" s="102"/>
      <c r="G40" s="102"/>
      <c r="H40" s="102"/>
      <c r="I40" s="101"/>
      <c r="J40" s="100" t="str">
        <f aca="false">IF($D40="","",IF($H40="","-",IF(COUNTIFS($D$7:$D$41,$D40,$C$7:$C$41,"&gt;"&amp;$C40)&gt;0,"Superseded",IF($I40="","No date set",IF(Setup!$D$12&gt;$I40,"Overdue",IF($I40-Setup!$D$12&lt;=Setup!$D$35,"Due soon","Scheduled"))))))</f>
        <v/>
      </c>
    </row>
    <row r="41" customFormat="false" ht="33.75" hidden="false" customHeight="true" outlineLevel="0" collapsed="false">
      <c r="B41" s="93" t="str">
        <f aca="false">IF($F41="","",TEXT(ROW()-6,"000"))</f>
        <v/>
      </c>
      <c r="C41" s="94"/>
      <c r="D41" s="106"/>
      <c r="E41" s="100" t="str">
        <f aca="false">IF($D41="","",IFERROR(IF(LEN(VLOOKUP($D41,'Issue Register'!$B$7:$E$41,4,FALSE()))&gt;80,LEFT(VLOOKUP($D41,'Issue Register'!$B$7:$E$41,4,FALSE()),80)&amp;"...",VLOOKUP($D41,'Issue Register'!$B$7:$E$41,4,FALSE())),"Reference not found"))</f>
        <v/>
      </c>
      <c r="F41" s="95"/>
      <c r="G41" s="95"/>
      <c r="H41" s="95"/>
      <c r="I41" s="94"/>
      <c r="J41" s="100" t="str">
        <f aca="false">IF($D41="","",IF($H41="","-",IF(COUNTIFS($D$7:$D$41,$D41,$C$7:$C$41,"&gt;"&amp;$C41)&gt;0,"Superseded",IF($I41="","No date set",IF(Setup!$D$12&gt;$I41,"Overdue",IF($I41-Setup!$D$12&lt;=Setup!$D$35,"Due soon","Scheduled"))))))</f>
        <v/>
      </c>
    </row>
    <row r="43" customFormat="false" ht="18" hidden="false" customHeight="true" outlineLevel="0" collapsed="false">
      <c r="B43" s="59" t="s">
        <v>152</v>
      </c>
      <c r="C43" s="59"/>
      <c r="D43" s="59"/>
      <c r="E43" s="59"/>
      <c r="F43" s="59"/>
      <c r="G43" s="59"/>
      <c r="H43" s="59"/>
      <c r="I43" s="59"/>
      <c r="J43" s="59"/>
    </row>
  </sheetData>
  <autoFilter ref="B6:J41"/>
  <mergeCells count="5">
    <mergeCell ref="B1:J1"/>
    <mergeCell ref="B2:J2"/>
    <mergeCell ref="B3:J3"/>
    <mergeCell ref="B4:J4"/>
    <mergeCell ref="B43:J43"/>
  </mergeCells>
  <conditionalFormatting sqref="B3:J3">
    <cfRule type="expression" priority="2" aboveAverage="0" equalAverage="0" bottom="0" percent="0" rank="0" text="" dxfId="0">
      <formula>LEN($B$3)&gt;0</formula>
    </cfRule>
  </conditionalFormatting>
  <conditionalFormatting sqref="B7:J41">
    <cfRule type="expression" priority="3" aboveAverage="0" equalAverage="0" bottom="0" percent="0" rank="0" text="" dxfId="2">
      <formula>$J7="Overdue"</formula>
    </cfRule>
    <cfRule type="expression" priority="4" aboveAverage="0" equalAverage="0" bottom="0" percent="0" rank="0" text="" dxfId="0">
      <formula>$J7="Due soon"</formula>
    </cfRule>
    <cfRule type="expression" priority="5" aboveAverage="0" equalAverage="0" bottom="0" percent="0" rank="0" text="" dxfId="23">
      <formula>$J7="Superseded"</formula>
    </cfRule>
  </conditionalFormatting>
  <conditionalFormatting sqref="E7:E41">
    <cfRule type="expression" priority="6" aboveAverage="0" equalAverage="0" bottom="0" percent="0" rank="0" text="" dxfId="5">
      <formula>$E7="Reference not found"</formula>
    </cfRule>
  </conditionalFormatting>
  <dataValidations count="1">
    <dataValidation allowBlank="false" errorStyle="stop" operator="between" prompt="The reference from the register, like ISS-001. The issue text appears beside it." promptTitle="Issue" showDropDown="false" showErrorMessage="false" showInputMessage="true" sqref="D7:D41" type="none">
      <formula1>0</formula1>
      <formula2>0</formula2>
    </dataValidation>
  </dataValidations>
  <hyperlinks>
    <hyperlink ref="B43"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6917"/>
    <pageSetUpPr fitToPage="true"/>
  </sheetPr>
  <dimension ref="B1:M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6" topLeftCell="F7" activePane="bottomRight" state="frozen"/>
      <selection pane="topLeft" activeCell="A1" activeCellId="0" sqref="A1"/>
      <selection pane="topRight" activeCell="F1" activeCellId="0" sqref="F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38"/>
    <col collapsed="false" customWidth="true" hidden="false" outlineLevel="0" max="4" min="4" style="0" width="9"/>
    <col collapsed="false" customWidth="true" hidden="false" outlineLevel="0" max="6" min="5" style="0" width="26"/>
    <col collapsed="false" customWidth="true" hidden="false" outlineLevel="0" max="7" min="7" style="0" width="12"/>
    <col collapsed="false" customWidth="true" hidden="false" outlineLevel="0" max="8" min="8" style="0" width="13"/>
    <col collapsed="false" customWidth="true" hidden="false" outlineLevel="0" max="9" min="9" style="0" width="34"/>
    <col collapsed="false" customWidth="true" hidden="false" outlineLevel="0" max="10" min="10" style="0" width="18"/>
    <col collapsed="false" customWidth="true" hidden="false" outlineLevel="0" max="11" min="11" style="0" width="12"/>
    <col collapsed="false" customWidth="true" hidden="false" outlineLevel="0" max="12" min="12" style="0" width="10"/>
    <col collapsed="false" customWidth="true" hidden="false" outlineLevel="0" max="13" min="13" style="0" width="16"/>
    <col collapsed="false" customWidth="true" hidden="false" outlineLevel="0" max="14" min="14" style="0" width="2.2"/>
  </cols>
  <sheetData>
    <row r="1" customFormat="false" ht="33.75" hidden="false" customHeight="true" outlineLevel="0" collapsed="false">
      <c r="B1" s="38" t="s">
        <v>349</v>
      </c>
      <c r="C1" s="38"/>
      <c r="D1" s="38"/>
      <c r="E1" s="38"/>
      <c r="F1" s="38"/>
      <c r="G1" s="38"/>
      <c r="H1" s="38"/>
      <c r="I1" s="38"/>
      <c r="J1" s="38"/>
      <c r="K1" s="38"/>
      <c r="L1" s="38"/>
      <c r="M1" s="38"/>
    </row>
    <row r="2" customFormat="false" ht="4.5" hidden="false" customHeight="true" outlineLevel="0" collapsed="false">
      <c r="B2" s="108"/>
      <c r="C2" s="108"/>
      <c r="D2" s="108"/>
      <c r="E2" s="108"/>
      <c r="F2" s="108"/>
      <c r="G2" s="108"/>
      <c r="H2" s="108"/>
      <c r="I2" s="108"/>
      <c r="J2" s="108"/>
      <c r="K2" s="108"/>
      <c r="L2" s="108"/>
      <c r="M2" s="108"/>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c r="I3" s="40"/>
      <c r="J3" s="40"/>
      <c r="K3" s="40"/>
      <c r="L3" s="40"/>
      <c r="M3" s="40"/>
    </row>
    <row r="4" customFormat="false" ht="25.5" hidden="false" customHeight="true" outlineLevel="0" collapsed="false">
      <c r="B4" s="41" t="s">
        <v>350</v>
      </c>
      <c r="C4" s="41"/>
      <c r="D4" s="41"/>
      <c r="E4" s="41"/>
      <c r="F4" s="41"/>
      <c r="G4" s="41"/>
      <c r="H4" s="41"/>
      <c r="I4" s="41"/>
      <c r="J4" s="41"/>
      <c r="K4" s="41"/>
      <c r="L4" s="41"/>
      <c r="M4" s="41"/>
    </row>
    <row r="6" customFormat="false" ht="31.5" hidden="false" customHeight="true" outlineLevel="0" collapsed="false">
      <c r="B6" s="10" t="s">
        <v>300</v>
      </c>
      <c r="C6" s="92" t="s">
        <v>301</v>
      </c>
      <c r="D6" s="92" t="s">
        <v>113</v>
      </c>
      <c r="E6" s="92" t="s">
        <v>351</v>
      </c>
      <c r="F6" s="10" t="s">
        <v>352</v>
      </c>
      <c r="G6" s="10" t="s">
        <v>353</v>
      </c>
      <c r="H6" s="10" t="s">
        <v>354</v>
      </c>
      <c r="I6" s="10" t="s">
        <v>355</v>
      </c>
      <c r="J6" s="10" t="s">
        <v>356</v>
      </c>
      <c r="K6" s="10" t="s">
        <v>357</v>
      </c>
      <c r="L6" s="92" t="s">
        <v>358</v>
      </c>
      <c r="M6" s="92" t="s">
        <v>229</v>
      </c>
    </row>
    <row r="7" customFormat="false" ht="43.5" hidden="false" customHeight="true" outlineLevel="0" collapsed="false">
      <c r="B7" s="109" t="s">
        <v>289</v>
      </c>
      <c r="C7" s="100" t="str">
        <f aca="false">IF($B7="","",IFERROR(IF(LEN(VLOOKUP($B7,'Issue Register'!$B$7:$Z$41,4,FALSE()))&gt;95,LEFT(VLOOKUP($B7,'Issue Register'!$B$7:$Z$41,4,FALSE()),95)&amp;"...",VLOOKUP($B7,'Issue Register'!$B$7:$Z$41,4,FALSE())),"Reference not found"))</f>
        <v>Fill in the north yard tested above the disposal threshold. Bulk earthworks stopped east of gri...</v>
      </c>
      <c r="D7" s="110" t="str">
        <f aca="false">IF($B7="","",IFERROR(VLOOKUP($B7,'Issue Register'!$B$7:$Z$41,12,FALSE()),""))</f>
        <v>P1</v>
      </c>
      <c r="E7" s="100" t="str">
        <f aca="false">IF($B7="","",IF(ABS(N(IFERROR(VLOOKUP($B7,'Issue Register'!$B$7:$Z$41,13,FALSE()),0)))&gt;Setup!$D$18,"Value above delegation",IF(ABS(N(IFERROR(VLOOKUP($B7,'Issue Register'!$B$7:$Z$41,14,FALSE()),0)))&gt;Setup!$D$19,"Time effect above delegation",IF($D7="P1","P1 - referred by policy","Referred by the project manager"))))</f>
        <v>Value above delegation</v>
      </c>
      <c r="F7" s="95" t="s">
        <v>143</v>
      </c>
      <c r="G7" s="94" t="n">
        <f aca="true">TODAY()-80</f>
        <v>46171</v>
      </c>
      <c r="H7" s="94" t="n">
        <f aca="true">TODAY()-66</f>
        <v>46185</v>
      </c>
      <c r="I7" s="95" t="s">
        <v>359</v>
      </c>
      <c r="J7" s="95" t="s">
        <v>267</v>
      </c>
      <c r="K7" s="94" t="n">
        <f aca="true">TODAY()-68</f>
        <v>46183</v>
      </c>
      <c r="L7" s="99" t="n">
        <f aca="false">IF(OR($B7="",$G7=""),"",IF($K7&lt;&gt;"",$K7-$G7,Setup!$D$12-$G7))</f>
        <v>12</v>
      </c>
      <c r="M7" s="100" t="str">
        <f aca="false">IF($B7="","",IF($K7&lt;&gt;"","Decision made",IF($H7="","Awaiting decision",IF(Setup!$D$12&gt;$H7,"Decision overdue","Awaiting decision"))))</f>
        <v>Decision made</v>
      </c>
    </row>
    <row r="8" customFormat="false" ht="43.5" hidden="false" customHeight="true" outlineLevel="0" collapsed="false">
      <c r="B8" s="111" t="s">
        <v>314</v>
      </c>
      <c r="C8" s="100" t="str">
        <f aca="false">IF($B8="","",IFERROR(IF(LEN(VLOOKUP($B8,'Issue Register'!$B$7:$Z$41,4,FALSE()))&gt;95,LEFT(VLOOKUP($B8,'Issue Register'!$B$7:$Z$41,4,FALSE()),95)&amp;"...",VLOOKUP($B8,'Issue Register'!$B$7:$Z$41,4,FALSE())),"Reference not found"))</f>
        <v>Planning condition requires an operational noise assessment before the blower building can be o...</v>
      </c>
      <c r="D8" s="110" t="str">
        <f aca="false">IF($B8="","",IFERROR(VLOOKUP($B8,'Issue Register'!$B$7:$Z$41,12,FALSE()),""))</f>
        <v>P2</v>
      </c>
      <c r="E8" s="100" t="str">
        <f aca="false">IF($B8="","",IF(ABS(N(IFERROR(VLOOKUP($B8,'Issue Register'!$B$7:$Z$41,13,FALSE()),0)))&gt;Setup!$D$18,"Value above delegation",IF(ABS(N(IFERROR(VLOOKUP($B8,'Issue Register'!$B$7:$Z$41,14,FALSE()),0)))&gt;Setup!$D$19,"Time effect above delegation",IF($D8="P1","P1 - referred by policy","Referred by the project manager"))))</f>
        <v>Referred by the project manager</v>
      </c>
      <c r="F8" s="102" t="s">
        <v>140</v>
      </c>
      <c r="G8" s="101" t="n">
        <f aca="true">TODAY()-56</f>
        <v>46195</v>
      </c>
      <c r="H8" s="101" t="n">
        <f aca="true">TODAY()-42</f>
        <v>46209</v>
      </c>
      <c r="I8" s="102"/>
      <c r="J8" s="102"/>
      <c r="K8" s="101"/>
      <c r="L8" s="99" t="n">
        <f aca="false">IF(OR($B8="",$G8=""),"",IF($K8&lt;&gt;"",$K8-$G8,Setup!$D$12-$G8))</f>
        <v>56</v>
      </c>
      <c r="M8" s="100" t="str">
        <f aca="false">IF($B8="","",IF($K8&lt;&gt;"","Decision made",IF($H8="","Awaiting decision",IF(Setup!$D$12&gt;$H8,"Decision overdue","Awaiting decision"))))</f>
        <v>Decision overdue</v>
      </c>
    </row>
    <row r="9" customFormat="false" ht="43.5" hidden="false" customHeight="true" outlineLevel="0" collapsed="false">
      <c r="B9" s="109" t="s">
        <v>319</v>
      </c>
      <c r="C9" s="100" t="str">
        <f aca="false">IF($B9="","",IFERROR(IF(LEN(VLOOKUP($B9,'Issue Register'!$B$7:$Z$41,4,FALSE()))&gt;95,LEFT(VLOOKUP($B9,'Issue Register'!$B$7:$Z$41,4,FALSE()),95)&amp;"...",VLOOKUP($B9,'Issue Register'!$B$7:$Z$41,4,FALSE())),"Reference not found"))</f>
        <v>Utility provider has not confirmed the high voltage connection date. Commissioning cannot be se...</v>
      </c>
      <c r="D9" s="110" t="str">
        <f aca="false">IF($B9="","",IFERROR(VLOOKUP($B9,'Issue Register'!$B$7:$Z$41,12,FALSE()),""))</f>
        <v>P2</v>
      </c>
      <c r="E9" s="100" t="str">
        <f aca="false">IF($B9="","",IF(ABS(N(IFERROR(VLOOKUP($B9,'Issue Register'!$B$7:$Z$41,13,FALSE()),0)))&gt;Setup!$D$18,"Value above delegation",IF(ABS(N(IFERROR(VLOOKUP($B9,'Issue Register'!$B$7:$Z$41,14,FALSE()),0)))&gt;Setup!$D$19,"Time effect above delegation",IF($D9="P1","P1 - referred by policy","Referred by the project manager"))))</f>
        <v>Time effect above delegation</v>
      </c>
      <c r="F9" s="95" t="s">
        <v>140</v>
      </c>
      <c r="G9" s="94" t="n">
        <f aca="true">TODAY()-41</f>
        <v>46210</v>
      </c>
      <c r="H9" s="94" t="n">
        <f aca="true">TODAY()-27</f>
        <v>46224</v>
      </c>
      <c r="I9" s="95"/>
      <c r="J9" s="95"/>
      <c r="K9" s="94"/>
      <c r="L9" s="99" t="n">
        <f aca="false">IF(OR($B9="",$G9=""),"",IF($K9&lt;&gt;"",$K9-$G9,Setup!$D$12-$G9))</f>
        <v>41</v>
      </c>
      <c r="M9" s="100" t="str">
        <f aca="false">IF($B9="","",IF($K9&lt;&gt;"","Decision made",IF($H9="","Awaiting decision",IF(Setup!$D$12&gt;$H9,"Decision overdue","Awaiting decision"))))</f>
        <v>Decision overdue</v>
      </c>
    </row>
    <row r="10" customFormat="false" ht="43.5" hidden="false" customHeight="true" outlineLevel="0" collapsed="false">
      <c r="B10" s="111" t="s">
        <v>323</v>
      </c>
      <c r="C10" s="100" t="str">
        <f aca="false">IF($B10="","",IFERROR(IF(LEN(VLOOKUP($B10,'Issue Register'!$B$7:$Z$41,4,FALSE()))&gt;95,LEFT(VLOOKUP($B10,'Issue Register'!$B$7:$Z$41,4,FALSE()),95)&amp;"...",VLOOKUP($B10,'Issue Register'!$B$7:$Z$41,4,FALSE())),"Reference not found"))</f>
        <v>Access to the eastern easement is not granted. The landowner disputes the extent of the registe...</v>
      </c>
      <c r="D10" s="110" t="str">
        <f aca="false">IF($B10="","",IFERROR(VLOOKUP($B10,'Issue Register'!$B$7:$Z$41,12,FALSE()),""))</f>
        <v>P1</v>
      </c>
      <c r="E10" s="100" t="str">
        <f aca="false">IF($B10="","",IF(ABS(N(IFERROR(VLOOKUP($B10,'Issue Register'!$B$7:$Z$41,13,FALSE()),0)))&gt;Setup!$D$18,"Value above delegation",IF(ABS(N(IFERROR(VLOOKUP($B10,'Issue Register'!$B$7:$Z$41,14,FALSE()),0)))&gt;Setup!$D$19,"Time effect above delegation",IF($D10="P1","P1 - referred by policy","Referred by the project manager"))))</f>
        <v>Time effect above delegation</v>
      </c>
      <c r="F10" s="102" t="s">
        <v>140</v>
      </c>
      <c r="G10" s="101" t="n">
        <f aca="true">TODAY()-60</f>
        <v>46191</v>
      </c>
      <c r="H10" s="101" t="n">
        <f aca="true">TODAY()-46</f>
        <v>46205</v>
      </c>
      <c r="I10" s="102" t="s">
        <v>360</v>
      </c>
      <c r="J10" s="102" t="s">
        <v>361</v>
      </c>
      <c r="K10" s="101" t="n">
        <f aca="true">TODAY()-52</f>
        <v>46199</v>
      </c>
      <c r="L10" s="99" t="n">
        <f aca="false">IF(OR($B10="",$G10=""),"",IF($K10&lt;&gt;"",$K10-$G10,Setup!$D$12-$G10))</f>
        <v>8</v>
      </c>
      <c r="M10" s="100" t="str">
        <f aca="false">IF($B10="","",IF($K10&lt;&gt;"","Decision made",IF($H10="","Awaiting decision",IF(Setup!$D$12&gt;$H10,"Decision overdue","Awaiting decision"))))</f>
        <v>Decision made</v>
      </c>
    </row>
    <row r="11" customFormat="false" ht="43.5" hidden="false" customHeight="true" outlineLevel="0" collapsed="false">
      <c r="B11" s="109" t="s">
        <v>332</v>
      </c>
      <c r="C11" s="100" t="str">
        <f aca="false">IF($B11="","",IFERROR(IF(LEN(VLOOKUP($B11,'Issue Register'!$B$7:$Z$41,4,FALSE()))&gt;95,LEFT(VLOOKUP($B11,'Issue Register'!$B$7:$Z$41,4,FALSE()),95)&amp;"...",VLOOKUP($B11,'Issue Register'!$B$7:$Z$41,4,FALSE())),"Reference not found"))</f>
        <v>Heritage listing identified on the original pump house after demolition was already programmed....</v>
      </c>
      <c r="D11" s="110" t="str">
        <f aca="false">IF($B11="","",IFERROR(VLOOKUP($B11,'Issue Register'!$B$7:$Z$41,12,FALSE()),""))</f>
        <v>P1</v>
      </c>
      <c r="E11" s="100" t="str">
        <f aca="false">IF($B11="","",IF(ABS(N(IFERROR(VLOOKUP($B11,'Issue Register'!$B$7:$Z$41,13,FALSE()),0)))&gt;Setup!$D$18,"Value above delegation",IF(ABS(N(IFERROR(VLOOKUP($B11,'Issue Register'!$B$7:$Z$41,14,FALSE()),0)))&gt;Setup!$D$19,"Time effect above delegation",IF($D11="P1","P1 - referred by policy","Referred by the project manager"))))</f>
        <v>Value above delegation</v>
      </c>
      <c r="F11" s="95" t="s">
        <v>146</v>
      </c>
      <c r="G11" s="94" t="n">
        <f aca="true">TODAY()-44</f>
        <v>46207</v>
      </c>
      <c r="H11" s="94" t="n">
        <f aca="true">TODAY()-30</f>
        <v>46221</v>
      </c>
      <c r="I11" s="95" t="s">
        <v>362</v>
      </c>
      <c r="J11" s="95" t="s">
        <v>363</v>
      </c>
      <c r="K11" s="94" t="n">
        <f aca="true">TODAY()-33</f>
        <v>46218</v>
      </c>
      <c r="L11" s="99" t="n">
        <f aca="false">IF(OR($B11="",$G11=""),"",IF($K11&lt;&gt;"",$K11-$G11,Setup!$D$12-$G11))</f>
        <v>11</v>
      </c>
      <c r="M11" s="100" t="str">
        <f aca="false">IF($B11="","",IF($K11&lt;&gt;"","Decision made",IF($H11="","Awaiting decision",IF(Setup!$D$12&gt;$H11,"Decision overdue","Awaiting decision"))))</f>
        <v>Decision made</v>
      </c>
    </row>
    <row r="12" customFormat="false" ht="43.5" hidden="false" customHeight="true" outlineLevel="0" collapsed="false">
      <c r="B12" s="111" t="s">
        <v>343</v>
      </c>
      <c r="C12" s="100" t="str">
        <f aca="false">IF($B12="","",IFERROR(IF(LEN(VLOOKUP($B12,'Issue Register'!$B$7:$Z$41,4,FALSE()))&gt;95,LEFT(VLOOKUP($B12,'Issue Register'!$B$7:$Z$41,4,FALSE()),95)&amp;"...",VLOOKUP($B12,'Issue Register'!$B$7:$Z$41,4,FALSE())),"Reference not found"))</f>
        <v>Bringing the inlet works shutdown forward by three weeks would let the tie-in run inside the ex...</v>
      </c>
      <c r="D12" s="110" t="str">
        <f aca="false">IF($B12="","",IFERROR(VLOOKUP($B12,'Issue Register'!$B$7:$Z$41,12,FALSE()),""))</f>
        <v>P2</v>
      </c>
      <c r="E12" s="100" t="str">
        <f aca="false">IF($B12="","",IF(ABS(N(IFERROR(VLOOKUP($B12,'Issue Register'!$B$7:$Z$41,13,FALSE()),0)))&gt;Setup!$D$18,"Value above delegation",IF(ABS(N(IFERROR(VLOOKUP($B12,'Issue Register'!$B$7:$Z$41,14,FALSE()),0)))&gt;Setup!$D$19,"Time effect above delegation",IF($D12="P1","P1 - referred by policy","Referred by the project manager"))))</f>
        <v>Time effect above delegation</v>
      </c>
      <c r="F12" s="102" t="s">
        <v>140</v>
      </c>
      <c r="G12" s="101" t="n">
        <f aca="true">TODAY()-14</f>
        <v>46237</v>
      </c>
      <c r="H12" s="101" t="n">
        <f aca="true">TODAY()-2</f>
        <v>46249</v>
      </c>
      <c r="I12" s="102"/>
      <c r="J12" s="102"/>
      <c r="K12" s="101"/>
      <c r="L12" s="99" t="n">
        <f aca="false">IF(OR($B12="",$G12=""),"",IF($K12&lt;&gt;"",$K12-$G12,Setup!$D$12-$G12))</f>
        <v>14</v>
      </c>
      <c r="M12" s="100" t="str">
        <f aca="false">IF($B12="","",IF($K12&lt;&gt;"","Decision made",IF($H12="","Awaiting decision",IF(Setup!$D$12&gt;$H12,"Decision overdue","Awaiting decision"))))</f>
        <v>Decision overdue</v>
      </c>
    </row>
    <row r="13" customFormat="false" ht="43.5" hidden="false" customHeight="true" outlineLevel="0" collapsed="false">
      <c r="B13" s="109"/>
      <c r="C13" s="100" t="str">
        <f aca="false">IF($B13="","",IFERROR(IF(LEN(VLOOKUP($B13,'Issue Register'!$B$7:$Z$41,4,FALSE()))&gt;95,LEFT(VLOOKUP($B13,'Issue Register'!$B$7:$Z$41,4,FALSE()),95)&amp;"...",VLOOKUP($B13,'Issue Register'!$B$7:$Z$41,4,FALSE())),"Reference not found"))</f>
        <v/>
      </c>
      <c r="D13" s="110" t="str">
        <f aca="false">IF($B13="","",IFERROR(VLOOKUP($B13,'Issue Register'!$B$7:$Z$41,12,FALSE()),""))</f>
        <v/>
      </c>
      <c r="E13" s="100" t="str">
        <f aca="false">IF($B13="","",IF(ABS(N(IFERROR(VLOOKUP($B13,'Issue Register'!$B$7:$Z$41,13,FALSE()),0)))&gt;Setup!$D$18,"Value above delegation",IF(ABS(N(IFERROR(VLOOKUP($B13,'Issue Register'!$B$7:$Z$41,14,FALSE()),0)))&gt;Setup!$D$19,"Time effect above delegation",IF($D13="P1","P1 - referred by policy","Referred by the project manager"))))</f>
        <v/>
      </c>
      <c r="F13" s="95"/>
      <c r="G13" s="94"/>
      <c r="H13" s="94"/>
      <c r="I13" s="95"/>
      <c r="J13" s="95"/>
      <c r="K13" s="94"/>
      <c r="L13" s="99" t="str">
        <f aca="false">IF(OR($B13="",$G13=""),"",IF($K13&lt;&gt;"",$K13-$G13,Setup!$D$12-$G13))</f>
        <v/>
      </c>
      <c r="M13" s="100" t="str">
        <f aca="false">IF($B13="","",IF($K13&lt;&gt;"","Decision made",IF($H13="","Awaiting decision",IF(Setup!$D$12&gt;$H13,"Decision overdue","Awaiting decision"))))</f>
        <v/>
      </c>
    </row>
    <row r="14" customFormat="false" ht="43.5" hidden="false" customHeight="true" outlineLevel="0" collapsed="false">
      <c r="B14" s="111"/>
      <c r="C14" s="100" t="str">
        <f aca="false">IF($B14="","",IFERROR(IF(LEN(VLOOKUP($B14,'Issue Register'!$B$7:$Z$41,4,FALSE()))&gt;95,LEFT(VLOOKUP($B14,'Issue Register'!$B$7:$Z$41,4,FALSE()),95)&amp;"...",VLOOKUP($B14,'Issue Register'!$B$7:$Z$41,4,FALSE())),"Reference not found"))</f>
        <v/>
      </c>
      <c r="D14" s="110" t="str">
        <f aca="false">IF($B14="","",IFERROR(VLOOKUP($B14,'Issue Register'!$B$7:$Z$41,12,FALSE()),""))</f>
        <v/>
      </c>
      <c r="E14" s="100" t="str">
        <f aca="false">IF($B14="","",IF(ABS(N(IFERROR(VLOOKUP($B14,'Issue Register'!$B$7:$Z$41,13,FALSE()),0)))&gt;Setup!$D$18,"Value above delegation",IF(ABS(N(IFERROR(VLOOKUP($B14,'Issue Register'!$B$7:$Z$41,14,FALSE()),0)))&gt;Setup!$D$19,"Time effect above delegation",IF($D14="P1","P1 - referred by policy","Referred by the project manager"))))</f>
        <v/>
      </c>
      <c r="F14" s="102"/>
      <c r="G14" s="101"/>
      <c r="H14" s="101"/>
      <c r="I14" s="102"/>
      <c r="J14" s="102"/>
      <c r="K14" s="101"/>
      <c r="L14" s="99" t="str">
        <f aca="false">IF(OR($B14="",$G14=""),"",IF($K14&lt;&gt;"",$K14-$G14,Setup!$D$12-$G14))</f>
        <v/>
      </c>
      <c r="M14" s="100" t="str">
        <f aca="false">IF($B14="","",IF($K14&lt;&gt;"","Decision made",IF($H14="","Awaiting decision",IF(Setup!$D$12&gt;$H14,"Decision overdue","Awaiting decision"))))</f>
        <v/>
      </c>
    </row>
    <row r="15" customFormat="false" ht="43.5" hidden="false" customHeight="true" outlineLevel="0" collapsed="false">
      <c r="B15" s="109"/>
      <c r="C15" s="100" t="str">
        <f aca="false">IF($B15="","",IFERROR(IF(LEN(VLOOKUP($B15,'Issue Register'!$B$7:$Z$41,4,FALSE()))&gt;95,LEFT(VLOOKUP($B15,'Issue Register'!$B$7:$Z$41,4,FALSE()),95)&amp;"...",VLOOKUP($B15,'Issue Register'!$B$7:$Z$41,4,FALSE())),"Reference not found"))</f>
        <v/>
      </c>
      <c r="D15" s="110" t="str">
        <f aca="false">IF($B15="","",IFERROR(VLOOKUP($B15,'Issue Register'!$B$7:$Z$41,12,FALSE()),""))</f>
        <v/>
      </c>
      <c r="E15" s="100" t="str">
        <f aca="false">IF($B15="","",IF(ABS(N(IFERROR(VLOOKUP($B15,'Issue Register'!$B$7:$Z$41,13,FALSE()),0)))&gt;Setup!$D$18,"Value above delegation",IF(ABS(N(IFERROR(VLOOKUP($B15,'Issue Register'!$B$7:$Z$41,14,FALSE()),0)))&gt;Setup!$D$19,"Time effect above delegation",IF($D15="P1","P1 - referred by policy","Referred by the project manager"))))</f>
        <v/>
      </c>
      <c r="F15" s="95"/>
      <c r="G15" s="94"/>
      <c r="H15" s="94"/>
      <c r="I15" s="95"/>
      <c r="J15" s="95"/>
      <c r="K15" s="94"/>
      <c r="L15" s="99" t="str">
        <f aca="false">IF(OR($B15="",$G15=""),"",IF($K15&lt;&gt;"",$K15-$G15,Setup!$D$12-$G15))</f>
        <v/>
      </c>
      <c r="M15" s="100" t="str">
        <f aca="false">IF($B15="","",IF($K15&lt;&gt;"","Decision made",IF($H15="","Awaiting decision",IF(Setup!$D$12&gt;$H15,"Decision overdue","Awaiting decision"))))</f>
        <v/>
      </c>
    </row>
    <row r="16" customFormat="false" ht="43.5" hidden="false" customHeight="true" outlineLevel="0" collapsed="false">
      <c r="B16" s="111"/>
      <c r="C16" s="100" t="str">
        <f aca="false">IF($B16="","",IFERROR(IF(LEN(VLOOKUP($B16,'Issue Register'!$B$7:$Z$41,4,FALSE()))&gt;95,LEFT(VLOOKUP($B16,'Issue Register'!$B$7:$Z$41,4,FALSE()),95)&amp;"...",VLOOKUP($B16,'Issue Register'!$B$7:$Z$41,4,FALSE())),"Reference not found"))</f>
        <v/>
      </c>
      <c r="D16" s="110" t="str">
        <f aca="false">IF($B16="","",IFERROR(VLOOKUP($B16,'Issue Register'!$B$7:$Z$41,12,FALSE()),""))</f>
        <v/>
      </c>
      <c r="E16" s="100" t="str">
        <f aca="false">IF($B16="","",IF(ABS(N(IFERROR(VLOOKUP($B16,'Issue Register'!$B$7:$Z$41,13,FALSE()),0)))&gt;Setup!$D$18,"Value above delegation",IF(ABS(N(IFERROR(VLOOKUP($B16,'Issue Register'!$B$7:$Z$41,14,FALSE()),0)))&gt;Setup!$D$19,"Time effect above delegation",IF($D16="P1","P1 - referred by policy","Referred by the project manager"))))</f>
        <v/>
      </c>
      <c r="F16" s="102"/>
      <c r="G16" s="101"/>
      <c r="H16" s="101"/>
      <c r="I16" s="102"/>
      <c r="J16" s="102"/>
      <c r="K16" s="101"/>
      <c r="L16" s="99" t="str">
        <f aca="false">IF(OR($B16="",$G16=""),"",IF($K16&lt;&gt;"",$K16-$G16,Setup!$D$12-$G16))</f>
        <v/>
      </c>
      <c r="M16" s="100" t="str">
        <f aca="false">IF($B16="","",IF($K16&lt;&gt;"","Decision made",IF($H16="","Awaiting decision",IF(Setup!$D$12&gt;$H16,"Decision overdue","Awaiting decision"))))</f>
        <v/>
      </c>
    </row>
    <row r="17" customFormat="false" ht="43.5" hidden="false" customHeight="true" outlineLevel="0" collapsed="false">
      <c r="B17" s="109"/>
      <c r="C17" s="100" t="str">
        <f aca="false">IF($B17="","",IFERROR(IF(LEN(VLOOKUP($B17,'Issue Register'!$B$7:$Z$41,4,FALSE()))&gt;95,LEFT(VLOOKUP($B17,'Issue Register'!$B$7:$Z$41,4,FALSE()),95)&amp;"...",VLOOKUP($B17,'Issue Register'!$B$7:$Z$41,4,FALSE())),"Reference not found"))</f>
        <v/>
      </c>
      <c r="D17" s="110" t="str">
        <f aca="false">IF($B17="","",IFERROR(VLOOKUP($B17,'Issue Register'!$B$7:$Z$41,12,FALSE()),""))</f>
        <v/>
      </c>
      <c r="E17" s="100" t="str">
        <f aca="false">IF($B17="","",IF(ABS(N(IFERROR(VLOOKUP($B17,'Issue Register'!$B$7:$Z$41,13,FALSE()),0)))&gt;Setup!$D$18,"Value above delegation",IF(ABS(N(IFERROR(VLOOKUP($B17,'Issue Register'!$B$7:$Z$41,14,FALSE()),0)))&gt;Setup!$D$19,"Time effect above delegation",IF($D17="P1","P1 - referred by policy","Referred by the project manager"))))</f>
        <v/>
      </c>
      <c r="F17" s="95"/>
      <c r="G17" s="94"/>
      <c r="H17" s="94"/>
      <c r="I17" s="95"/>
      <c r="J17" s="95"/>
      <c r="K17" s="94"/>
      <c r="L17" s="99" t="str">
        <f aca="false">IF(OR($B17="",$G17=""),"",IF($K17&lt;&gt;"",$K17-$G17,Setup!$D$12-$G17))</f>
        <v/>
      </c>
      <c r="M17" s="100" t="str">
        <f aca="false">IF($B17="","",IF($K17&lt;&gt;"","Decision made",IF($H17="","Awaiting decision",IF(Setup!$D$12&gt;$H17,"Decision overdue","Awaiting decision"))))</f>
        <v/>
      </c>
    </row>
    <row r="18" customFormat="false" ht="43.5" hidden="false" customHeight="true" outlineLevel="0" collapsed="false">
      <c r="B18" s="111"/>
      <c r="C18" s="100" t="str">
        <f aca="false">IF($B18="","",IFERROR(IF(LEN(VLOOKUP($B18,'Issue Register'!$B$7:$Z$41,4,FALSE()))&gt;95,LEFT(VLOOKUP($B18,'Issue Register'!$B$7:$Z$41,4,FALSE()),95)&amp;"...",VLOOKUP($B18,'Issue Register'!$B$7:$Z$41,4,FALSE())),"Reference not found"))</f>
        <v/>
      </c>
      <c r="D18" s="110" t="str">
        <f aca="false">IF($B18="","",IFERROR(VLOOKUP($B18,'Issue Register'!$B$7:$Z$41,12,FALSE()),""))</f>
        <v/>
      </c>
      <c r="E18" s="100" t="str">
        <f aca="false">IF($B18="","",IF(ABS(N(IFERROR(VLOOKUP($B18,'Issue Register'!$B$7:$Z$41,13,FALSE()),0)))&gt;Setup!$D$18,"Value above delegation",IF(ABS(N(IFERROR(VLOOKUP($B18,'Issue Register'!$B$7:$Z$41,14,FALSE()),0)))&gt;Setup!$D$19,"Time effect above delegation",IF($D18="P1","P1 - referred by policy","Referred by the project manager"))))</f>
        <v/>
      </c>
      <c r="F18" s="102"/>
      <c r="G18" s="101"/>
      <c r="H18" s="101"/>
      <c r="I18" s="102"/>
      <c r="J18" s="102"/>
      <c r="K18" s="101"/>
      <c r="L18" s="99" t="str">
        <f aca="false">IF(OR($B18="",$G18=""),"",IF($K18&lt;&gt;"",$K18-$G18,Setup!$D$12-$G18))</f>
        <v/>
      </c>
      <c r="M18" s="100" t="str">
        <f aca="false">IF($B18="","",IF($K18&lt;&gt;"","Decision made",IF($H18="","Awaiting decision",IF(Setup!$D$12&gt;$H18,"Decision overdue","Awaiting decision"))))</f>
        <v/>
      </c>
    </row>
    <row r="19" customFormat="false" ht="43.5" hidden="false" customHeight="true" outlineLevel="0" collapsed="false">
      <c r="B19" s="109"/>
      <c r="C19" s="100" t="str">
        <f aca="false">IF($B19="","",IFERROR(IF(LEN(VLOOKUP($B19,'Issue Register'!$B$7:$Z$41,4,FALSE()))&gt;95,LEFT(VLOOKUP($B19,'Issue Register'!$B$7:$Z$41,4,FALSE()),95)&amp;"...",VLOOKUP($B19,'Issue Register'!$B$7:$Z$41,4,FALSE())),"Reference not found"))</f>
        <v/>
      </c>
      <c r="D19" s="110" t="str">
        <f aca="false">IF($B19="","",IFERROR(VLOOKUP($B19,'Issue Register'!$B$7:$Z$41,12,FALSE()),""))</f>
        <v/>
      </c>
      <c r="E19" s="100" t="str">
        <f aca="false">IF($B19="","",IF(ABS(N(IFERROR(VLOOKUP($B19,'Issue Register'!$B$7:$Z$41,13,FALSE()),0)))&gt;Setup!$D$18,"Value above delegation",IF(ABS(N(IFERROR(VLOOKUP($B19,'Issue Register'!$B$7:$Z$41,14,FALSE()),0)))&gt;Setup!$D$19,"Time effect above delegation",IF($D19="P1","P1 - referred by policy","Referred by the project manager"))))</f>
        <v/>
      </c>
      <c r="F19" s="95"/>
      <c r="G19" s="94"/>
      <c r="H19" s="94"/>
      <c r="I19" s="95"/>
      <c r="J19" s="95"/>
      <c r="K19" s="94"/>
      <c r="L19" s="99" t="str">
        <f aca="false">IF(OR($B19="",$G19=""),"",IF($K19&lt;&gt;"",$K19-$G19,Setup!$D$12-$G19))</f>
        <v/>
      </c>
      <c r="M19" s="100" t="str">
        <f aca="false">IF($B19="","",IF($K19&lt;&gt;"","Decision made",IF($H19="","Awaiting decision",IF(Setup!$D$12&gt;$H19,"Decision overdue","Awaiting decision"))))</f>
        <v/>
      </c>
    </row>
    <row r="20" customFormat="false" ht="43.5" hidden="false" customHeight="true" outlineLevel="0" collapsed="false">
      <c r="B20" s="111"/>
      <c r="C20" s="100" t="str">
        <f aca="false">IF($B20="","",IFERROR(IF(LEN(VLOOKUP($B20,'Issue Register'!$B$7:$Z$41,4,FALSE()))&gt;95,LEFT(VLOOKUP($B20,'Issue Register'!$B$7:$Z$41,4,FALSE()),95)&amp;"...",VLOOKUP($B20,'Issue Register'!$B$7:$Z$41,4,FALSE())),"Reference not found"))</f>
        <v/>
      </c>
      <c r="D20" s="110" t="str">
        <f aca="false">IF($B20="","",IFERROR(VLOOKUP($B20,'Issue Register'!$B$7:$Z$41,12,FALSE()),""))</f>
        <v/>
      </c>
      <c r="E20" s="100" t="str">
        <f aca="false">IF($B20="","",IF(ABS(N(IFERROR(VLOOKUP($B20,'Issue Register'!$B$7:$Z$41,13,FALSE()),0)))&gt;Setup!$D$18,"Value above delegation",IF(ABS(N(IFERROR(VLOOKUP($B20,'Issue Register'!$B$7:$Z$41,14,FALSE()),0)))&gt;Setup!$D$19,"Time effect above delegation",IF($D20="P1","P1 - referred by policy","Referred by the project manager"))))</f>
        <v/>
      </c>
      <c r="F20" s="102"/>
      <c r="G20" s="101"/>
      <c r="H20" s="101"/>
      <c r="I20" s="102"/>
      <c r="J20" s="102"/>
      <c r="K20" s="101"/>
      <c r="L20" s="99" t="str">
        <f aca="false">IF(OR($B20="",$G20=""),"",IF($K20&lt;&gt;"",$K20-$G20,Setup!$D$12-$G20))</f>
        <v/>
      </c>
      <c r="M20" s="100" t="str">
        <f aca="false">IF($B20="","",IF($K20&lt;&gt;"","Decision made",IF($H20="","Awaiting decision",IF(Setup!$D$12&gt;$H20,"Decision overdue","Awaiting decision"))))</f>
        <v/>
      </c>
    </row>
    <row r="21" customFormat="false" ht="43.5" hidden="false" customHeight="true" outlineLevel="0" collapsed="false">
      <c r="B21" s="109"/>
      <c r="C21" s="100" t="str">
        <f aca="false">IF($B21="","",IFERROR(IF(LEN(VLOOKUP($B21,'Issue Register'!$B$7:$Z$41,4,FALSE()))&gt;95,LEFT(VLOOKUP($B21,'Issue Register'!$B$7:$Z$41,4,FALSE()),95)&amp;"...",VLOOKUP($B21,'Issue Register'!$B$7:$Z$41,4,FALSE())),"Reference not found"))</f>
        <v/>
      </c>
      <c r="D21" s="110" t="str">
        <f aca="false">IF($B21="","",IFERROR(VLOOKUP($B21,'Issue Register'!$B$7:$Z$41,12,FALSE()),""))</f>
        <v/>
      </c>
      <c r="E21" s="100" t="str">
        <f aca="false">IF($B21="","",IF(ABS(N(IFERROR(VLOOKUP($B21,'Issue Register'!$B$7:$Z$41,13,FALSE()),0)))&gt;Setup!$D$18,"Value above delegation",IF(ABS(N(IFERROR(VLOOKUP($B21,'Issue Register'!$B$7:$Z$41,14,FALSE()),0)))&gt;Setup!$D$19,"Time effect above delegation",IF($D21="P1","P1 - referred by policy","Referred by the project manager"))))</f>
        <v/>
      </c>
      <c r="F21" s="95"/>
      <c r="G21" s="94"/>
      <c r="H21" s="94"/>
      <c r="I21" s="95"/>
      <c r="J21" s="95"/>
      <c r="K21" s="94"/>
      <c r="L21" s="99" t="str">
        <f aca="false">IF(OR($B21="",$G21=""),"",IF($K21&lt;&gt;"",$K21-$G21,Setup!$D$12-$G21))</f>
        <v/>
      </c>
      <c r="M21" s="100" t="str">
        <f aca="false">IF($B21="","",IF($K21&lt;&gt;"","Decision made",IF($H21="","Awaiting decision",IF(Setup!$D$12&gt;$H21,"Decision overdue","Awaiting decision"))))</f>
        <v/>
      </c>
    </row>
    <row r="22" customFormat="false" ht="43.5" hidden="false" customHeight="true" outlineLevel="0" collapsed="false">
      <c r="B22" s="111"/>
      <c r="C22" s="100" t="str">
        <f aca="false">IF($B22="","",IFERROR(IF(LEN(VLOOKUP($B22,'Issue Register'!$B$7:$Z$41,4,FALSE()))&gt;95,LEFT(VLOOKUP($B22,'Issue Register'!$B$7:$Z$41,4,FALSE()),95)&amp;"...",VLOOKUP($B22,'Issue Register'!$B$7:$Z$41,4,FALSE())),"Reference not found"))</f>
        <v/>
      </c>
      <c r="D22" s="110" t="str">
        <f aca="false">IF($B22="","",IFERROR(VLOOKUP($B22,'Issue Register'!$B$7:$Z$41,12,FALSE()),""))</f>
        <v/>
      </c>
      <c r="E22" s="100" t="str">
        <f aca="false">IF($B22="","",IF(ABS(N(IFERROR(VLOOKUP($B22,'Issue Register'!$B$7:$Z$41,13,FALSE()),0)))&gt;Setup!$D$18,"Value above delegation",IF(ABS(N(IFERROR(VLOOKUP($B22,'Issue Register'!$B$7:$Z$41,14,FALSE()),0)))&gt;Setup!$D$19,"Time effect above delegation",IF($D22="P1","P1 - referred by policy","Referred by the project manager"))))</f>
        <v/>
      </c>
      <c r="F22" s="102"/>
      <c r="G22" s="101"/>
      <c r="H22" s="101"/>
      <c r="I22" s="102"/>
      <c r="J22" s="102"/>
      <c r="K22" s="101"/>
      <c r="L22" s="99" t="str">
        <f aca="false">IF(OR($B22="",$G22=""),"",IF($K22&lt;&gt;"",$K22-$G22,Setup!$D$12-$G22))</f>
        <v/>
      </c>
      <c r="M22" s="100" t="str">
        <f aca="false">IF($B22="","",IF($K22&lt;&gt;"","Decision made",IF($H22="","Awaiting decision",IF(Setup!$D$12&gt;$H22,"Decision overdue","Awaiting decision"))))</f>
        <v/>
      </c>
    </row>
    <row r="23" customFormat="false" ht="43.5" hidden="false" customHeight="true" outlineLevel="0" collapsed="false">
      <c r="B23" s="109"/>
      <c r="C23" s="100" t="str">
        <f aca="false">IF($B23="","",IFERROR(IF(LEN(VLOOKUP($B23,'Issue Register'!$B$7:$Z$41,4,FALSE()))&gt;95,LEFT(VLOOKUP($B23,'Issue Register'!$B$7:$Z$41,4,FALSE()),95)&amp;"...",VLOOKUP($B23,'Issue Register'!$B$7:$Z$41,4,FALSE())),"Reference not found"))</f>
        <v/>
      </c>
      <c r="D23" s="110" t="str">
        <f aca="false">IF($B23="","",IFERROR(VLOOKUP($B23,'Issue Register'!$B$7:$Z$41,12,FALSE()),""))</f>
        <v/>
      </c>
      <c r="E23" s="100" t="str">
        <f aca="false">IF($B23="","",IF(ABS(N(IFERROR(VLOOKUP($B23,'Issue Register'!$B$7:$Z$41,13,FALSE()),0)))&gt;Setup!$D$18,"Value above delegation",IF(ABS(N(IFERROR(VLOOKUP($B23,'Issue Register'!$B$7:$Z$41,14,FALSE()),0)))&gt;Setup!$D$19,"Time effect above delegation",IF($D23="P1","P1 - referred by policy","Referred by the project manager"))))</f>
        <v/>
      </c>
      <c r="F23" s="95"/>
      <c r="G23" s="94"/>
      <c r="H23" s="94"/>
      <c r="I23" s="95"/>
      <c r="J23" s="95"/>
      <c r="K23" s="94"/>
      <c r="L23" s="99" t="str">
        <f aca="false">IF(OR($B23="",$G23=""),"",IF($K23&lt;&gt;"",$K23-$G23,Setup!$D$12-$G23))</f>
        <v/>
      </c>
      <c r="M23" s="100" t="str">
        <f aca="false">IF($B23="","",IF($K23&lt;&gt;"","Decision made",IF($H23="","Awaiting decision",IF(Setup!$D$12&gt;$H23,"Decision overdue","Awaiting decision"))))</f>
        <v/>
      </c>
    </row>
    <row r="24" customFormat="false" ht="43.5" hidden="false" customHeight="true" outlineLevel="0" collapsed="false">
      <c r="B24" s="111"/>
      <c r="C24" s="100" t="str">
        <f aca="false">IF($B24="","",IFERROR(IF(LEN(VLOOKUP($B24,'Issue Register'!$B$7:$Z$41,4,FALSE()))&gt;95,LEFT(VLOOKUP($B24,'Issue Register'!$B$7:$Z$41,4,FALSE()),95)&amp;"...",VLOOKUP($B24,'Issue Register'!$B$7:$Z$41,4,FALSE())),"Reference not found"))</f>
        <v/>
      </c>
      <c r="D24" s="110" t="str">
        <f aca="false">IF($B24="","",IFERROR(VLOOKUP($B24,'Issue Register'!$B$7:$Z$41,12,FALSE()),""))</f>
        <v/>
      </c>
      <c r="E24" s="100" t="str">
        <f aca="false">IF($B24="","",IF(ABS(N(IFERROR(VLOOKUP($B24,'Issue Register'!$B$7:$Z$41,13,FALSE()),0)))&gt;Setup!$D$18,"Value above delegation",IF(ABS(N(IFERROR(VLOOKUP($B24,'Issue Register'!$B$7:$Z$41,14,FALSE()),0)))&gt;Setup!$D$19,"Time effect above delegation",IF($D24="P1","P1 - referred by policy","Referred by the project manager"))))</f>
        <v/>
      </c>
      <c r="F24" s="102"/>
      <c r="G24" s="101"/>
      <c r="H24" s="101"/>
      <c r="I24" s="102"/>
      <c r="J24" s="102"/>
      <c r="K24" s="101"/>
      <c r="L24" s="99" t="str">
        <f aca="false">IF(OR($B24="",$G24=""),"",IF($K24&lt;&gt;"",$K24-$G24,Setup!$D$12-$G24))</f>
        <v/>
      </c>
      <c r="M24" s="100" t="str">
        <f aca="false">IF($B24="","",IF($K24&lt;&gt;"","Decision made",IF($H24="","Awaiting decision",IF(Setup!$D$12&gt;$H24,"Decision overdue","Awaiting decision"))))</f>
        <v/>
      </c>
    </row>
    <row r="25" customFormat="false" ht="43.5" hidden="false" customHeight="true" outlineLevel="0" collapsed="false">
      <c r="B25" s="109"/>
      <c r="C25" s="100" t="str">
        <f aca="false">IF($B25="","",IFERROR(IF(LEN(VLOOKUP($B25,'Issue Register'!$B$7:$Z$41,4,FALSE()))&gt;95,LEFT(VLOOKUP($B25,'Issue Register'!$B$7:$Z$41,4,FALSE()),95)&amp;"...",VLOOKUP($B25,'Issue Register'!$B$7:$Z$41,4,FALSE())),"Reference not found"))</f>
        <v/>
      </c>
      <c r="D25" s="110" t="str">
        <f aca="false">IF($B25="","",IFERROR(VLOOKUP($B25,'Issue Register'!$B$7:$Z$41,12,FALSE()),""))</f>
        <v/>
      </c>
      <c r="E25" s="100" t="str">
        <f aca="false">IF($B25="","",IF(ABS(N(IFERROR(VLOOKUP($B25,'Issue Register'!$B$7:$Z$41,13,FALSE()),0)))&gt;Setup!$D$18,"Value above delegation",IF(ABS(N(IFERROR(VLOOKUP($B25,'Issue Register'!$B$7:$Z$41,14,FALSE()),0)))&gt;Setup!$D$19,"Time effect above delegation",IF($D25="P1","P1 - referred by policy","Referred by the project manager"))))</f>
        <v/>
      </c>
      <c r="F25" s="95"/>
      <c r="G25" s="94"/>
      <c r="H25" s="94"/>
      <c r="I25" s="95"/>
      <c r="J25" s="95"/>
      <c r="K25" s="94"/>
      <c r="L25" s="99" t="str">
        <f aca="false">IF(OR($B25="",$G25=""),"",IF($K25&lt;&gt;"",$K25-$G25,Setup!$D$12-$G25))</f>
        <v/>
      </c>
      <c r="M25" s="100" t="str">
        <f aca="false">IF($B25="","",IF($K25&lt;&gt;"","Decision made",IF($H25="","Awaiting decision",IF(Setup!$D$12&gt;$H25,"Decision overdue","Awaiting decision"))))</f>
        <v/>
      </c>
    </row>
    <row r="26" customFormat="false" ht="43.5" hidden="false" customHeight="true" outlineLevel="0" collapsed="false">
      <c r="B26" s="111"/>
      <c r="C26" s="100" t="str">
        <f aca="false">IF($B26="","",IFERROR(IF(LEN(VLOOKUP($B26,'Issue Register'!$B$7:$Z$41,4,FALSE()))&gt;95,LEFT(VLOOKUP($B26,'Issue Register'!$B$7:$Z$41,4,FALSE()),95)&amp;"...",VLOOKUP($B26,'Issue Register'!$B$7:$Z$41,4,FALSE())),"Reference not found"))</f>
        <v/>
      </c>
      <c r="D26" s="110" t="str">
        <f aca="false">IF($B26="","",IFERROR(VLOOKUP($B26,'Issue Register'!$B$7:$Z$41,12,FALSE()),""))</f>
        <v/>
      </c>
      <c r="E26" s="100" t="str">
        <f aca="false">IF($B26="","",IF(ABS(N(IFERROR(VLOOKUP($B26,'Issue Register'!$B$7:$Z$41,13,FALSE()),0)))&gt;Setup!$D$18,"Value above delegation",IF(ABS(N(IFERROR(VLOOKUP($B26,'Issue Register'!$B$7:$Z$41,14,FALSE()),0)))&gt;Setup!$D$19,"Time effect above delegation",IF($D26="P1","P1 - referred by policy","Referred by the project manager"))))</f>
        <v/>
      </c>
      <c r="F26" s="102"/>
      <c r="G26" s="101"/>
      <c r="H26" s="101"/>
      <c r="I26" s="102"/>
      <c r="J26" s="102"/>
      <c r="K26" s="101"/>
      <c r="L26" s="99" t="str">
        <f aca="false">IF(OR($B26="",$G26=""),"",IF($K26&lt;&gt;"",$K26-$G26,Setup!$D$12-$G26))</f>
        <v/>
      </c>
      <c r="M26" s="100" t="str">
        <f aca="false">IF($B26="","",IF($K26&lt;&gt;"","Decision made",IF($H26="","Awaiting decision",IF(Setup!$D$12&gt;$H26,"Decision overdue","Awaiting decision"))))</f>
        <v/>
      </c>
    </row>
    <row r="28" customFormat="false" ht="15" hidden="false" customHeight="true" outlineLevel="0" collapsed="false">
      <c r="B28" s="41" t="s">
        <v>364</v>
      </c>
      <c r="C28" s="41"/>
      <c r="D28" s="41"/>
      <c r="E28" s="41"/>
      <c r="F28" s="41"/>
      <c r="G28" s="41"/>
      <c r="H28" s="41"/>
      <c r="I28" s="41"/>
    </row>
    <row r="30" customFormat="false" ht="18" hidden="false" customHeight="true" outlineLevel="0" collapsed="false">
      <c r="B30" s="59" t="s">
        <v>152</v>
      </c>
      <c r="C30" s="59"/>
      <c r="D30" s="59"/>
      <c r="E30" s="59"/>
      <c r="F30" s="59"/>
      <c r="G30" s="59"/>
      <c r="H30" s="59"/>
      <c r="I30" s="59"/>
      <c r="J30" s="59"/>
      <c r="K30" s="59"/>
      <c r="L30" s="59"/>
      <c r="M30" s="59"/>
    </row>
  </sheetData>
  <autoFilter ref="B6:M26"/>
  <mergeCells count="6">
    <mergeCell ref="B1:M1"/>
    <mergeCell ref="B2:M2"/>
    <mergeCell ref="B3:M3"/>
    <mergeCell ref="B4:M4"/>
    <mergeCell ref="B28:I28"/>
    <mergeCell ref="B30:M30"/>
  </mergeCells>
  <conditionalFormatting sqref="B3:M3">
    <cfRule type="expression" priority="2" aboveAverage="0" equalAverage="0" bottom="0" percent="0" rank="0" text="" dxfId="0">
      <formula>LEN($B$3)&gt;0</formula>
    </cfRule>
  </conditionalFormatting>
  <conditionalFormatting sqref="B7:M26">
    <cfRule type="expression" priority="3" aboveAverage="0" equalAverage="0" bottom="0" percent="0" rank="0" text="" dxfId="19">
      <formula>$M7="Decision made"</formula>
    </cfRule>
    <cfRule type="expression" priority="4" aboveAverage="0" equalAverage="0" bottom="0" percent="0" rank="0" text="" dxfId="2">
      <formula>$M7="Decision overdue"</formula>
    </cfRule>
    <cfRule type="expression" priority="5" aboveAverage="0" equalAverage="0" bottom="0" percent="0" rank="0" text="" dxfId="20">
      <formula>$M7="Awaiting decision"</formula>
    </cfRule>
  </conditionalFormatting>
  <conditionalFormatting sqref="C7:C26">
    <cfRule type="expression" priority="6" aboveAverage="0" equalAverage="0" bottom="0" percent="0" rank="0" text="" dxfId="5">
      <formula>$C7="Reference not found"</formula>
    </cfRule>
  </conditionalFormatting>
  <dataValidations count="22">
    <dataValidation allowBlank="true" errorStyle="stop" operator="between" showDropDown="false" showErrorMessage="false" showInputMessage="false" sqref="F7" type="list">
      <formula1>Reference!$C$98:$C$101</formula1>
      <formula2>0</formula2>
    </dataValidation>
    <dataValidation allowBlank="false" errorStyle="stop" operator="between" prompt="The reference from the register, like ISS-001." promptTitle="Issue" showDropDown="false" showErrorMessage="false" showInputMessage="true" sqref="B7:B26" type="none">
      <formula1>0</formula1>
      <formula2>0</formula2>
    </dataValidation>
    <dataValidation allowBlank="false" errorStyle="stop" operator="between" prompt="What was actually decided, in words somebody can act on. Not &quot;discussed&quot;." promptTitle="Decision" showDropDown="false" showErrorMessage="false" showInputMessage="true" sqref="I7:I26" type="none">
      <formula1>0</formula1>
      <formula2>0</formula2>
    </dataValidation>
    <dataValidation allowBlank="true" errorStyle="stop" operator="between" showDropDown="false" showErrorMessage="false" showInputMessage="false" sqref="F8" type="list">
      <formula1>Reference!$C$98:$C$101</formula1>
      <formula2>0</formula2>
    </dataValidation>
    <dataValidation allowBlank="true" errorStyle="stop" operator="between" showDropDown="false" showErrorMessage="false" showInputMessage="false" sqref="F9" type="list">
      <formula1>Reference!$C$98:$C$101</formula1>
      <formula2>0</formula2>
    </dataValidation>
    <dataValidation allowBlank="true" errorStyle="stop" operator="between" showDropDown="false" showErrorMessage="false" showInputMessage="false" sqref="F10" type="list">
      <formula1>Reference!$C$98:$C$101</formula1>
      <formula2>0</formula2>
    </dataValidation>
    <dataValidation allowBlank="true" errorStyle="stop" operator="between" showDropDown="false" showErrorMessage="false" showInputMessage="false" sqref="F11" type="list">
      <formula1>Reference!$C$98:$C$101</formula1>
      <formula2>0</formula2>
    </dataValidation>
    <dataValidation allowBlank="true" errorStyle="stop" operator="between" showDropDown="false" showErrorMessage="false" showInputMessage="false" sqref="F12" type="list">
      <formula1>Reference!$C$98:$C$101</formula1>
      <formula2>0</formula2>
    </dataValidation>
    <dataValidation allowBlank="true" errorStyle="stop" operator="between" showDropDown="false" showErrorMessage="false" showInputMessage="false" sqref="F13" type="list">
      <formula1>Reference!$C$98:$C$101</formula1>
      <formula2>0</formula2>
    </dataValidation>
    <dataValidation allowBlank="true" errorStyle="stop" operator="between" showDropDown="false" showErrorMessage="false" showInputMessage="false" sqref="F14" type="list">
      <formula1>Reference!$C$98:$C$101</formula1>
      <formula2>0</formula2>
    </dataValidation>
    <dataValidation allowBlank="true" errorStyle="stop" operator="between" showDropDown="false" showErrorMessage="false" showInputMessage="false" sqref="F15" type="list">
      <formula1>Reference!$C$98:$C$101</formula1>
      <formula2>0</formula2>
    </dataValidation>
    <dataValidation allowBlank="true" errorStyle="stop" operator="between" showDropDown="false" showErrorMessage="false" showInputMessage="false" sqref="F16" type="list">
      <formula1>Reference!$C$98:$C$101</formula1>
      <formula2>0</formula2>
    </dataValidation>
    <dataValidation allowBlank="true" errorStyle="stop" operator="between" showDropDown="false" showErrorMessage="false" showInputMessage="false" sqref="F17" type="list">
      <formula1>Reference!$C$98:$C$101</formula1>
      <formula2>0</formula2>
    </dataValidation>
    <dataValidation allowBlank="true" errorStyle="stop" operator="between" showDropDown="false" showErrorMessage="false" showInputMessage="false" sqref="F18" type="list">
      <formula1>Reference!$C$98:$C$101</formula1>
      <formula2>0</formula2>
    </dataValidation>
    <dataValidation allowBlank="true" errorStyle="stop" operator="between" showDropDown="false" showErrorMessage="false" showInputMessage="false" sqref="F19" type="list">
      <formula1>Reference!$C$98:$C$101</formula1>
      <formula2>0</formula2>
    </dataValidation>
    <dataValidation allowBlank="true" errorStyle="stop" operator="between" showDropDown="false" showErrorMessage="false" showInputMessage="false" sqref="F20" type="list">
      <formula1>Reference!$C$98:$C$101</formula1>
      <formula2>0</formula2>
    </dataValidation>
    <dataValidation allowBlank="true" errorStyle="stop" operator="between" showDropDown="false" showErrorMessage="false" showInputMessage="false" sqref="F21" type="list">
      <formula1>Reference!$C$98:$C$101</formula1>
      <formula2>0</formula2>
    </dataValidation>
    <dataValidation allowBlank="true" errorStyle="stop" operator="between" showDropDown="false" showErrorMessage="false" showInputMessage="false" sqref="F22" type="list">
      <formula1>Reference!$C$98:$C$101</formula1>
      <formula2>0</formula2>
    </dataValidation>
    <dataValidation allowBlank="true" errorStyle="stop" operator="between" showDropDown="false" showErrorMessage="false" showInputMessage="false" sqref="F23" type="list">
      <formula1>Reference!$C$98:$C$101</formula1>
      <formula2>0</formula2>
    </dataValidation>
    <dataValidation allowBlank="true" errorStyle="stop" operator="between" showDropDown="false" showErrorMessage="false" showInputMessage="false" sqref="F24" type="list">
      <formula1>Reference!$C$98:$C$101</formula1>
      <formula2>0</formula2>
    </dataValidation>
    <dataValidation allowBlank="true" errorStyle="stop" operator="between" showDropDown="false" showErrorMessage="false" showInputMessage="false" sqref="F25" type="list">
      <formula1>Reference!$C$98:$C$101</formula1>
      <formula2>0</formula2>
    </dataValidation>
    <dataValidation allowBlank="true" errorStyle="stop" operator="between" showDropDown="false" showErrorMessage="false" showInputMessage="false" sqref="F26" type="list">
      <formula1>Reference!$C$98:$C$101</formula1>
      <formula2>0</formula2>
    </dataValidation>
  </dataValidations>
  <hyperlinks>
    <hyperlink ref="B30"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31B0C"/>
    <pageSetUpPr fitToPage="true"/>
  </sheetPr>
  <dimension ref="B1:O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6" topLeftCell="F7" activePane="bottomRight" state="frozen"/>
      <selection pane="topLeft" activeCell="A1" activeCellId="0" sqref="A1"/>
      <selection pane="topRight" activeCell="F1" activeCellId="0" sqref="F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34"/>
    <col collapsed="false" customWidth="true" hidden="false" outlineLevel="0" max="4" min="4" style="0" width="15"/>
    <col collapsed="false" customWidth="true" hidden="false" outlineLevel="0" max="5" min="5" style="0" width="19"/>
    <col collapsed="false" customWidth="true" hidden="false" outlineLevel="0" max="6" min="6" style="0" width="12"/>
    <col collapsed="false" customWidth="true" hidden="false" outlineLevel="0" max="7" min="7" style="0" width="9"/>
    <col collapsed="false" customWidth="true" hidden="false" outlineLevel="0" max="8" min="8" style="0" width="12"/>
    <col collapsed="false" customWidth="true" hidden="false" outlineLevel="0" max="9" min="9" style="0" width="9"/>
    <col collapsed="false" customWidth="true" hidden="false" outlineLevel="0" max="10" min="10" style="0" width="15"/>
    <col collapsed="false" customWidth="true" hidden="false" outlineLevel="0" max="12" min="11" style="0" width="12"/>
    <col collapsed="false" customWidth="true" hidden="false" outlineLevel="0" max="13" min="13" style="0" width="13"/>
    <col collapsed="false" customWidth="true" hidden="false" outlineLevel="0" max="14" min="14" style="0" width="17"/>
    <col collapsed="false" customWidth="true" hidden="false" outlineLevel="0" max="15" min="15" style="0" width="42"/>
    <col collapsed="false" customWidth="true" hidden="false" outlineLevel="0" max="16" min="16" style="0" width="2.2"/>
  </cols>
  <sheetData>
    <row r="1" customFormat="false" ht="33.75" hidden="false" customHeight="true" outlineLevel="0" collapsed="false">
      <c r="B1" s="38" t="s">
        <v>365</v>
      </c>
      <c r="C1" s="38"/>
      <c r="D1" s="38"/>
      <c r="E1" s="38"/>
      <c r="F1" s="38"/>
      <c r="G1" s="38"/>
      <c r="H1" s="38"/>
      <c r="I1" s="38"/>
      <c r="J1" s="38"/>
      <c r="K1" s="38"/>
      <c r="L1" s="38"/>
      <c r="M1" s="38"/>
      <c r="N1" s="38"/>
      <c r="O1" s="38"/>
    </row>
    <row r="2" customFormat="false" ht="4.5" hidden="false" customHeight="true" outlineLevel="0" collapsed="false">
      <c r="B2" s="112"/>
      <c r="C2" s="112"/>
      <c r="D2" s="112"/>
      <c r="E2" s="112"/>
      <c r="F2" s="112"/>
      <c r="G2" s="112"/>
      <c r="H2" s="112"/>
      <c r="I2" s="112"/>
      <c r="J2" s="112"/>
      <c r="K2" s="112"/>
      <c r="L2" s="112"/>
      <c r="M2" s="112"/>
      <c r="N2" s="112"/>
      <c r="O2" s="112"/>
    </row>
    <row r="3" customFormat="false" ht="16.5" hidden="false" customHeight="true" outlineLevel="0" collapsed="false">
      <c r="B3" s="40" t="str">
        <f aca="false">IF(LEFT(Setup!$D$7,7)&lt;&gt;"EXAMPLE","","EXAMPLE DATA - type your own project name on Setup to clear this.")</f>
        <v>EXAMPLE DATA - type your own project name on Setup to clear this.</v>
      </c>
      <c r="C3" s="40"/>
      <c r="D3" s="40"/>
      <c r="E3" s="40"/>
      <c r="F3" s="40"/>
      <c r="G3" s="40"/>
      <c r="H3" s="40"/>
      <c r="I3" s="40"/>
      <c r="J3" s="40"/>
      <c r="K3" s="40"/>
      <c r="L3" s="40"/>
      <c r="M3" s="40"/>
      <c r="N3" s="40"/>
      <c r="O3" s="40"/>
    </row>
    <row r="4" customFormat="false" ht="25.5" hidden="false" customHeight="true" outlineLevel="0" collapsed="false">
      <c r="B4" s="41" t="s">
        <v>366</v>
      </c>
      <c r="C4" s="41"/>
      <c r="D4" s="41"/>
      <c r="E4" s="41"/>
      <c r="F4" s="41"/>
      <c r="G4" s="41"/>
      <c r="H4" s="41"/>
      <c r="I4" s="41"/>
      <c r="J4" s="41"/>
      <c r="K4" s="41"/>
      <c r="L4" s="41"/>
      <c r="M4" s="41"/>
      <c r="N4" s="41"/>
      <c r="O4" s="41"/>
    </row>
    <row r="5" customFormat="false" ht="30" hidden="false" customHeight="true" outlineLevel="0" collapsed="false">
      <c r="B5" s="113" t="s">
        <v>367</v>
      </c>
      <c r="C5" s="113"/>
      <c r="D5" s="113"/>
      <c r="E5" s="113"/>
      <c r="F5" s="113"/>
      <c r="G5" s="113"/>
      <c r="H5" s="113"/>
      <c r="I5" s="113"/>
      <c r="J5" s="113"/>
      <c r="K5" s="113"/>
      <c r="L5" s="113"/>
      <c r="M5" s="113"/>
      <c r="N5" s="113"/>
      <c r="O5" s="113"/>
    </row>
    <row r="6" customFormat="false" ht="36" hidden="false" customHeight="true" outlineLevel="0" collapsed="false">
      <c r="B6" s="10" t="s">
        <v>300</v>
      </c>
      <c r="C6" s="92" t="s">
        <v>301</v>
      </c>
      <c r="D6" s="10" t="s">
        <v>368</v>
      </c>
      <c r="E6" s="10" t="s">
        <v>369</v>
      </c>
      <c r="F6" s="92" t="s">
        <v>370</v>
      </c>
      <c r="G6" s="10" t="s">
        <v>371</v>
      </c>
      <c r="H6" s="92" t="s">
        <v>372</v>
      </c>
      <c r="I6" s="92" t="s">
        <v>373</v>
      </c>
      <c r="J6" s="10" t="s">
        <v>374</v>
      </c>
      <c r="K6" s="10" t="s">
        <v>375</v>
      </c>
      <c r="L6" s="10" t="s">
        <v>376</v>
      </c>
      <c r="M6" s="10" t="s">
        <v>377</v>
      </c>
      <c r="N6" s="92" t="s">
        <v>229</v>
      </c>
      <c r="O6" s="10" t="s">
        <v>378</v>
      </c>
    </row>
    <row r="7" customFormat="false" ht="39.75" hidden="false" customHeight="true" outlineLevel="0" collapsed="false">
      <c r="B7" s="109" t="s">
        <v>289</v>
      </c>
      <c r="C7" s="100" t="str">
        <f aca="false">IF($B7="","",IFERROR(IF(LEN(VLOOKUP($B7,'Issue Register'!$B$7:$Z$41,4,FALSE()))&gt;80,LEFT(VLOOKUP($B7,'Issue Register'!$B$7:$Z$41,4,FALSE()),80)&amp;"...",VLOOKUP($B7,'Issue Register'!$B$7:$Z$41,4,FALSE())),"Reference not found"))</f>
        <v>Fill in the north yard tested above the disposal threshold. Bulk earthworks stop...</v>
      </c>
      <c r="D7" s="95" t="s">
        <v>379</v>
      </c>
      <c r="E7" s="95" t="s">
        <v>380</v>
      </c>
      <c r="F7" s="98" t="n">
        <f aca="false">IF($B7="","",IFERROR(IF(VLOOKUP($B7,'Issue Register'!$B$7:$Z$41,2,FALSE())=0,"",VLOOKUP($B7,'Issue Register'!$B$7:$Z$41,2,FALSE())),""))</f>
        <v>46155</v>
      </c>
      <c r="G7" s="114"/>
      <c r="H7" s="98" t="n">
        <f aca="false">IF(OR($B7="",$F7="",$D7="We have received"),"",$F7+IF($G7="",Setup!$D$33,$G7))</f>
        <v>46183</v>
      </c>
      <c r="I7" s="99" t="n">
        <f aca="false">IF(OR($H7="",$K7&lt;&gt;""),"",$H7-Setup!$D$12)</f>
        <v>-68</v>
      </c>
      <c r="J7" s="95"/>
      <c r="K7" s="94"/>
      <c r="L7" s="94"/>
      <c r="M7" s="94"/>
      <c r="N7" s="100" t="str">
        <f aca="false">IF($B7="","",IF($K7&lt;&gt;"",IF($M7&lt;&gt;"","Closed out",IF($L7="","Served",IF(Setup!$D$12&gt;$L7,"Response overdue","Awaiting response"))),IF($D7="We have received","Not yet recorded",IF($F7="","No awareness date",IF(Setup!$D$12&gt;$H7,"OVERDUE - not served",IF($H7-Setup!$D$12&lt;=Setup!$D$35,"Due soon - not served","Not yet served"))))))</f>
        <v>OVERDUE - not served</v>
      </c>
      <c r="O7" s="95" t="s">
        <v>381</v>
      </c>
    </row>
    <row r="8" customFormat="false" ht="39.75" hidden="false" customHeight="true" outlineLevel="0" collapsed="false">
      <c r="B8" s="111" t="s">
        <v>323</v>
      </c>
      <c r="C8" s="100" t="str">
        <f aca="false">IF($B8="","",IFERROR(IF(LEN(VLOOKUP($B8,'Issue Register'!$B$7:$Z$41,4,FALSE()))&gt;80,LEFT(VLOOKUP($B8,'Issue Register'!$B$7:$Z$41,4,FALSE()),80)&amp;"...",VLOOKUP($B8,'Issue Register'!$B$7:$Z$41,4,FALSE())),"Reference not found"))</f>
        <v>Access to the eastern easement is not granted. The landowner disputes the extent...</v>
      </c>
      <c r="D8" s="102" t="s">
        <v>379</v>
      </c>
      <c r="E8" s="102" t="s">
        <v>382</v>
      </c>
      <c r="F8" s="98" t="n">
        <f aca="false">IF($B8="","",IFERROR(IF(VLOOKUP($B8,'Issue Register'!$B$7:$Z$41,2,FALSE())=0,"",VLOOKUP($B8,'Issue Register'!$B$7:$Z$41,2,FALSE())),""))</f>
        <v>46187</v>
      </c>
      <c r="G8" s="115"/>
      <c r="H8" s="98" t="n">
        <f aca="false">IF(OR($B8="",$F8="",$D8="We have received"),"",$F8+IF($G8="",Setup!$D$33,$G8))</f>
        <v>46215</v>
      </c>
      <c r="I8" s="99" t="str">
        <f aca="false">IF(OR($H8="",$K8&lt;&gt;""),"",$H8-Setup!$D$12)</f>
        <v/>
      </c>
      <c r="J8" s="102" t="s">
        <v>383</v>
      </c>
      <c r="K8" s="101" t="n">
        <f aca="true">TODAY()-62</f>
        <v>46189</v>
      </c>
      <c r="L8" s="101" t="n">
        <f aca="true">TODAY()-48</f>
        <v>46203</v>
      </c>
      <c r="M8" s="101" t="n">
        <f aca="true">TODAY()-55</f>
        <v>46196</v>
      </c>
      <c r="N8" s="100" t="str">
        <f aca="false">IF($B8="","",IF($K8&lt;&gt;"",IF($M8&lt;&gt;"","Closed out",IF($L8="","Served",IF(Setup!$D$12&gt;$L8,"Response overdue","Awaiting response"))),IF($D8="We have received","Not yet recorded",IF($F8="","No awareness date",IF(Setup!$D$12&gt;$H8,"OVERDUE - not served",IF($H8-Setup!$D$12&lt;=Setup!$D$35,"Due soon - not served","Not yet served"))))))</f>
        <v>Closed out</v>
      </c>
      <c r="O8" s="102" t="s">
        <v>384</v>
      </c>
    </row>
    <row r="9" customFormat="false" ht="39.75" hidden="false" customHeight="true" outlineLevel="0" collapsed="false">
      <c r="B9" s="109" t="s">
        <v>332</v>
      </c>
      <c r="C9" s="100" t="str">
        <f aca="false">IF($B9="","",IFERROR(IF(LEN(VLOOKUP($B9,'Issue Register'!$B$7:$Z$41,4,FALSE()))&gt;80,LEFT(VLOOKUP($B9,'Issue Register'!$B$7:$Z$41,4,FALSE()),80)&amp;"...",VLOOKUP($B9,'Issue Register'!$B$7:$Z$41,4,FALSE())),"Reference not found"))</f>
        <v>Heritage listing identified on the original pump house after demolition was alre...</v>
      </c>
      <c r="D9" s="95" t="s">
        <v>385</v>
      </c>
      <c r="E9" s="95" t="s">
        <v>386</v>
      </c>
      <c r="F9" s="98" t="n">
        <f aca="false">IF($B9="","",IFERROR(IF(VLOOKUP($B9,'Issue Register'!$B$7:$Z$41,2,FALSE())=0,"",VLOOKUP($B9,'Issue Register'!$B$7:$Z$41,2,FALSE())),""))</f>
        <v>46204</v>
      </c>
      <c r="G9" s="114"/>
      <c r="H9" s="98" t="str">
        <f aca="false">IF(OR($B9="",$F9="",$D9="We have received"),"",$F9+IF($G9="",Setup!$D$33,$G9))</f>
        <v/>
      </c>
      <c r="I9" s="99" t="str">
        <f aca="false">IF(OR($H9="",$K9&lt;&gt;""),"",$H9-Setup!$D$12)</f>
        <v/>
      </c>
      <c r="J9" s="95" t="s">
        <v>387</v>
      </c>
      <c r="K9" s="94" t="n">
        <f aca="true">TODAY()-43</f>
        <v>46208</v>
      </c>
      <c r="L9" s="94" t="n">
        <f aca="true">TODAY()-22</f>
        <v>46229</v>
      </c>
      <c r="M9" s="94" t="n">
        <f aca="true">TODAY()-30</f>
        <v>46221</v>
      </c>
      <c r="N9" s="100" t="str">
        <f aca="false">IF($B9="","",IF($K9&lt;&gt;"",IF($M9&lt;&gt;"","Closed out",IF($L9="","Served",IF(Setup!$D$12&gt;$L9,"Response overdue","Awaiting response"))),IF($D9="We have received","Not yet recorded",IF($F9="","No awareness date",IF(Setup!$D$12&gt;$H9,"OVERDUE - not served",IF($H9-Setup!$D$12&lt;=Setup!$D$35,"Due soon - not served","Not yet served"))))))</f>
        <v>Closed out</v>
      </c>
      <c r="O9" s="95" t="s">
        <v>388</v>
      </c>
    </row>
    <row r="10" customFormat="false" ht="39.75" hidden="false" customHeight="true" outlineLevel="0" collapsed="false">
      <c r="B10" s="111" t="s">
        <v>319</v>
      </c>
      <c r="C10" s="100" t="str">
        <f aca="false">IF($B10="","",IFERROR(IF(LEN(VLOOKUP($B10,'Issue Register'!$B$7:$Z$41,4,FALSE()))&gt;80,LEFT(VLOOKUP($B10,'Issue Register'!$B$7:$Z$41,4,FALSE()),80)&amp;"...",VLOOKUP($B10,'Issue Register'!$B$7:$Z$41,4,FALSE())),"Reference not found"))</f>
        <v>Utility provider has not confirmed the high voltage connection date. Commissioni...</v>
      </c>
      <c r="D10" s="102" t="s">
        <v>379</v>
      </c>
      <c r="E10" s="102" t="s">
        <v>389</v>
      </c>
      <c r="F10" s="98" t="n">
        <f aca="false">IF($B10="","",IFERROR(IF(VLOOKUP($B10,'Issue Register'!$B$7:$Z$41,2,FALSE())=0,"",VLOOKUP($B10,'Issue Register'!$B$7:$Z$41,2,FALSE())),""))</f>
        <v>46180</v>
      </c>
      <c r="G10" s="115" t="n">
        <v>7</v>
      </c>
      <c r="H10" s="98" t="n">
        <f aca="false">IF(OR($B10="",$F10="",$D10="We have received"),"",$F10+IF($G10="",Setup!$D$33,$G10))</f>
        <v>46187</v>
      </c>
      <c r="I10" s="99" t="n">
        <f aca="false">IF(OR($H10="",$K10&lt;&gt;""),"",$H10-Setup!$D$12)</f>
        <v>-64</v>
      </c>
      <c r="J10" s="102"/>
      <c r="K10" s="101"/>
      <c r="L10" s="101"/>
      <c r="M10" s="101"/>
      <c r="N10" s="100" t="str">
        <f aca="false">IF($B10="","",IF($K10&lt;&gt;"",IF($M10&lt;&gt;"","Closed out",IF($L10="","Served",IF(Setup!$D$12&gt;$L10,"Response overdue","Awaiting response"))),IF($D10="We have received","Not yet recorded",IF($F10="","No awareness date",IF(Setup!$D$12&gt;$H10,"OVERDUE - not served",IF($H10-Setup!$D$12&lt;=Setup!$D$35,"Due soon - not served","Not yet served"))))))</f>
        <v>OVERDUE - not served</v>
      </c>
      <c r="O10" s="102" t="s">
        <v>390</v>
      </c>
    </row>
    <row r="11" customFormat="false" ht="39.75" hidden="false" customHeight="true" outlineLevel="0" collapsed="false">
      <c r="B11" s="109" t="s">
        <v>289</v>
      </c>
      <c r="C11" s="100" t="str">
        <f aca="false">IF($B11="","",IFERROR(IF(LEN(VLOOKUP($B11,'Issue Register'!$B$7:$Z$41,4,FALSE()))&gt;80,LEFT(VLOOKUP($B11,'Issue Register'!$B$7:$Z$41,4,FALSE()),80)&amp;"...",VLOOKUP($B11,'Issue Register'!$B$7:$Z$41,4,FALSE())),"Reference not found"))</f>
        <v>Fill in the north yard tested above the disposal threshold. Bulk earthworks stop...</v>
      </c>
      <c r="D11" s="95" t="s">
        <v>385</v>
      </c>
      <c r="E11" s="95" t="s">
        <v>380</v>
      </c>
      <c r="F11" s="98" t="n">
        <f aca="false">IF($B11="","",IFERROR(IF(VLOOKUP($B11,'Issue Register'!$B$7:$Z$41,2,FALSE())=0,"",VLOOKUP($B11,'Issue Register'!$B$7:$Z$41,2,FALSE())),""))</f>
        <v>46155</v>
      </c>
      <c r="G11" s="114"/>
      <c r="H11" s="98" t="str">
        <f aca="false">IF(OR($B11="",$F11="",$D11="We have received"),"",$F11+IF($G11="",Setup!$D$33,$G11))</f>
        <v/>
      </c>
      <c r="I11" s="99" t="str">
        <f aca="false">IF(OR($H11="",$K11&lt;&gt;""),"",$H11-Setup!$D$12)</f>
        <v/>
      </c>
      <c r="J11" s="95" t="s">
        <v>391</v>
      </c>
      <c r="K11" s="94" t="n">
        <f aca="true">TODAY()-9</f>
        <v>46242</v>
      </c>
      <c r="L11" s="94" t="n">
        <f aca="true">TODAY()+19</f>
        <v>46270</v>
      </c>
      <c r="M11" s="94"/>
      <c r="N11" s="100" t="str">
        <f aca="false">IF($B11="","",IF($K11&lt;&gt;"",IF($M11&lt;&gt;"","Closed out",IF($L11="","Served",IF(Setup!$D$12&gt;$L11,"Response overdue","Awaiting response"))),IF($D11="We have received","Not yet recorded",IF($F11="","No awareness date",IF(Setup!$D$12&gt;$H11,"OVERDUE - not served",IF($H11-Setup!$D$12&lt;=Setup!$D$35,"Due soon - not served","Not yet served"))))))</f>
        <v>Awaiting response</v>
      </c>
      <c r="O11" s="95" t="s">
        <v>392</v>
      </c>
    </row>
    <row r="12" customFormat="false" ht="39.75" hidden="false" customHeight="true" outlineLevel="0" collapsed="false">
      <c r="B12" s="111"/>
      <c r="C12" s="100" t="str">
        <f aca="false">IF($B12="","",IFERROR(IF(LEN(VLOOKUP($B12,'Issue Register'!$B$7:$Z$41,4,FALSE()))&gt;80,LEFT(VLOOKUP($B12,'Issue Register'!$B$7:$Z$41,4,FALSE()),80)&amp;"...",VLOOKUP($B12,'Issue Register'!$B$7:$Z$41,4,FALSE())),"Reference not found"))</f>
        <v/>
      </c>
      <c r="D12" s="102"/>
      <c r="E12" s="102"/>
      <c r="F12" s="98" t="str">
        <f aca="false">IF($B12="","",IFERROR(IF(VLOOKUP($B12,'Issue Register'!$B$7:$Z$41,2,FALSE())=0,"",VLOOKUP($B12,'Issue Register'!$B$7:$Z$41,2,FALSE())),""))</f>
        <v/>
      </c>
      <c r="G12" s="115"/>
      <c r="H12" s="98" t="str">
        <f aca="false">IF(OR($B12="",$F12="",$D12="We have received"),"",$F12+IF($G12="",Setup!$D$33,$G12))</f>
        <v/>
      </c>
      <c r="I12" s="99" t="str">
        <f aca="false">IF(OR($H12="",$K12&lt;&gt;""),"",$H12-Setup!$D$12)</f>
        <v/>
      </c>
      <c r="J12" s="102"/>
      <c r="K12" s="101"/>
      <c r="L12" s="101"/>
      <c r="M12" s="101"/>
      <c r="N12" s="100" t="str">
        <f aca="false">IF($B12="","",IF($K12&lt;&gt;"",IF($M12&lt;&gt;"","Closed out",IF($L12="","Served",IF(Setup!$D$12&gt;$L12,"Response overdue","Awaiting response"))),IF($D12="We have received","Not yet recorded",IF($F12="","No awareness date",IF(Setup!$D$12&gt;$H12,"OVERDUE - not served",IF($H12-Setup!$D$12&lt;=Setup!$D$35,"Due soon - not served","Not yet served"))))))</f>
        <v/>
      </c>
      <c r="O12" s="102"/>
    </row>
    <row r="13" customFormat="false" ht="39.75" hidden="false" customHeight="true" outlineLevel="0" collapsed="false">
      <c r="B13" s="109"/>
      <c r="C13" s="100" t="str">
        <f aca="false">IF($B13="","",IFERROR(IF(LEN(VLOOKUP($B13,'Issue Register'!$B$7:$Z$41,4,FALSE()))&gt;80,LEFT(VLOOKUP($B13,'Issue Register'!$B$7:$Z$41,4,FALSE()),80)&amp;"...",VLOOKUP($B13,'Issue Register'!$B$7:$Z$41,4,FALSE())),"Reference not found"))</f>
        <v/>
      </c>
      <c r="D13" s="95"/>
      <c r="E13" s="95"/>
      <c r="F13" s="98" t="str">
        <f aca="false">IF($B13="","",IFERROR(IF(VLOOKUP($B13,'Issue Register'!$B$7:$Z$41,2,FALSE())=0,"",VLOOKUP($B13,'Issue Register'!$B$7:$Z$41,2,FALSE())),""))</f>
        <v/>
      </c>
      <c r="G13" s="114"/>
      <c r="H13" s="98" t="str">
        <f aca="false">IF(OR($B13="",$F13="",$D13="We have received"),"",$F13+IF($G13="",Setup!$D$33,$G13))</f>
        <v/>
      </c>
      <c r="I13" s="99" t="str">
        <f aca="false">IF(OR($H13="",$K13&lt;&gt;""),"",$H13-Setup!$D$12)</f>
        <v/>
      </c>
      <c r="J13" s="95"/>
      <c r="K13" s="94"/>
      <c r="L13" s="94"/>
      <c r="M13" s="94"/>
      <c r="N13" s="100" t="str">
        <f aca="false">IF($B13="","",IF($K13&lt;&gt;"",IF($M13&lt;&gt;"","Closed out",IF($L13="","Served",IF(Setup!$D$12&gt;$L13,"Response overdue","Awaiting response"))),IF($D13="We have received","Not yet recorded",IF($F13="","No awareness date",IF(Setup!$D$12&gt;$H13,"OVERDUE - not served",IF($H13-Setup!$D$12&lt;=Setup!$D$35,"Due soon - not served","Not yet served"))))))</f>
        <v/>
      </c>
      <c r="O13" s="95"/>
    </row>
    <row r="14" customFormat="false" ht="39.75" hidden="false" customHeight="true" outlineLevel="0" collapsed="false">
      <c r="B14" s="111"/>
      <c r="C14" s="100" t="str">
        <f aca="false">IF($B14="","",IFERROR(IF(LEN(VLOOKUP($B14,'Issue Register'!$B$7:$Z$41,4,FALSE()))&gt;80,LEFT(VLOOKUP($B14,'Issue Register'!$B$7:$Z$41,4,FALSE()),80)&amp;"...",VLOOKUP($B14,'Issue Register'!$B$7:$Z$41,4,FALSE())),"Reference not found"))</f>
        <v/>
      </c>
      <c r="D14" s="102"/>
      <c r="E14" s="102"/>
      <c r="F14" s="98" t="str">
        <f aca="false">IF($B14="","",IFERROR(IF(VLOOKUP($B14,'Issue Register'!$B$7:$Z$41,2,FALSE())=0,"",VLOOKUP($B14,'Issue Register'!$B$7:$Z$41,2,FALSE())),""))</f>
        <v/>
      </c>
      <c r="G14" s="115"/>
      <c r="H14" s="98" t="str">
        <f aca="false">IF(OR($B14="",$F14="",$D14="We have received"),"",$F14+IF($G14="",Setup!$D$33,$G14))</f>
        <v/>
      </c>
      <c r="I14" s="99" t="str">
        <f aca="false">IF(OR($H14="",$K14&lt;&gt;""),"",$H14-Setup!$D$12)</f>
        <v/>
      </c>
      <c r="J14" s="102"/>
      <c r="K14" s="101"/>
      <c r="L14" s="101"/>
      <c r="M14" s="101"/>
      <c r="N14" s="100" t="str">
        <f aca="false">IF($B14="","",IF($K14&lt;&gt;"",IF($M14&lt;&gt;"","Closed out",IF($L14="","Served",IF(Setup!$D$12&gt;$L14,"Response overdue","Awaiting response"))),IF($D14="We have received","Not yet recorded",IF($F14="","No awareness date",IF(Setup!$D$12&gt;$H14,"OVERDUE - not served",IF($H14-Setup!$D$12&lt;=Setup!$D$35,"Due soon - not served","Not yet served"))))))</f>
        <v/>
      </c>
      <c r="O14" s="102"/>
    </row>
    <row r="15" customFormat="false" ht="39.75" hidden="false" customHeight="true" outlineLevel="0" collapsed="false">
      <c r="B15" s="109"/>
      <c r="C15" s="100" t="str">
        <f aca="false">IF($B15="","",IFERROR(IF(LEN(VLOOKUP($B15,'Issue Register'!$B$7:$Z$41,4,FALSE()))&gt;80,LEFT(VLOOKUP($B15,'Issue Register'!$B$7:$Z$41,4,FALSE()),80)&amp;"...",VLOOKUP($B15,'Issue Register'!$B$7:$Z$41,4,FALSE())),"Reference not found"))</f>
        <v/>
      </c>
      <c r="D15" s="95"/>
      <c r="E15" s="95"/>
      <c r="F15" s="98" t="str">
        <f aca="false">IF($B15="","",IFERROR(IF(VLOOKUP($B15,'Issue Register'!$B$7:$Z$41,2,FALSE())=0,"",VLOOKUP($B15,'Issue Register'!$B$7:$Z$41,2,FALSE())),""))</f>
        <v/>
      </c>
      <c r="G15" s="114"/>
      <c r="H15" s="98" t="str">
        <f aca="false">IF(OR($B15="",$F15="",$D15="We have received"),"",$F15+IF($G15="",Setup!$D$33,$G15))</f>
        <v/>
      </c>
      <c r="I15" s="99" t="str">
        <f aca="false">IF(OR($H15="",$K15&lt;&gt;""),"",$H15-Setup!$D$12)</f>
        <v/>
      </c>
      <c r="J15" s="95"/>
      <c r="K15" s="94"/>
      <c r="L15" s="94"/>
      <c r="M15" s="94"/>
      <c r="N15" s="100" t="str">
        <f aca="false">IF($B15="","",IF($K15&lt;&gt;"",IF($M15&lt;&gt;"","Closed out",IF($L15="","Served",IF(Setup!$D$12&gt;$L15,"Response overdue","Awaiting response"))),IF($D15="We have received","Not yet recorded",IF($F15="","No awareness date",IF(Setup!$D$12&gt;$H15,"OVERDUE - not served",IF($H15-Setup!$D$12&lt;=Setup!$D$35,"Due soon - not served","Not yet served"))))))</f>
        <v/>
      </c>
      <c r="O15" s="95"/>
    </row>
    <row r="16" customFormat="false" ht="39.75" hidden="false" customHeight="true" outlineLevel="0" collapsed="false">
      <c r="B16" s="111"/>
      <c r="C16" s="100" t="str">
        <f aca="false">IF($B16="","",IFERROR(IF(LEN(VLOOKUP($B16,'Issue Register'!$B$7:$Z$41,4,FALSE()))&gt;80,LEFT(VLOOKUP($B16,'Issue Register'!$B$7:$Z$41,4,FALSE()),80)&amp;"...",VLOOKUP($B16,'Issue Register'!$B$7:$Z$41,4,FALSE())),"Reference not found"))</f>
        <v/>
      </c>
      <c r="D16" s="102"/>
      <c r="E16" s="102"/>
      <c r="F16" s="98" t="str">
        <f aca="false">IF($B16="","",IFERROR(IF(VLOOKUP($B16,'Issue Register'!$B$7:$Z$41,2,FALSE())=0,"",VLOOKUP($B16,'Issue Register'!$B$7:$Z$41,2,FALSE())),""))</f>
        <v/>
      </c>
      <c r="G16" s="115"/>
      <c r="H16" s="98" t="str">
        <f aca="false">IF(OR($B16="",$F16="",$D16="We have received"),"",$F16+IF($G16="",Setup!$D$33,$G16))</f>
        <v/>
      </c>
      <c r="I16" s="99" t="str">
        <f aca="false">IF(OR($H16="",$K16&lt;&gt;""),"",$H16-Setup!$D$12)</f>
        <v/>
      </c>
      <c r="J16" s="102"/>
      <c r="K16" s="101"/>
      <c r="L16" s="101"/>
      <c r="M16" s="101"/>
      <c r="N16" s="100" t="str">
        <f aca="false">IF($B16="","",IF($K16&lt;&gt;"",IF($M16&lt;&gt;"","Closed out",IF($L16="","Served",IF(Setup!$D$12&gt;$L16,"Response overdue","Awaiting response"))),IF($D16="We have received","Not yet recorded",IF($F16="","No awareness date",IF(Setup!$D$12&gt;$H16,"OVERDUE - not served",IF($H16-Setup!$D$12&lt;=Setup!$D$35,"Due soon - not served","Not yet served"))))))</f>
        <v/>
      </c>
      <c r="O16" s="102"/>
    </row>
    <row r="17" customFormat="false" ht="39.75" hidden="false" customHeight="true" outlineLevel="0" collapsed="false">
      <c r="B17" s="109"/>
      <c r="C17" s="100" t="str">
        <f aca="false">IF($B17="","",IFERROR(IF(LEN(VLOOKUP($B17,'Issue Register'!$B$7:$Z$41,4,FALSE()))&gt;80,LEFT(VLOOKUP($B17,'Issue Register'!$B$7:$Z$41,4,FALSE()),80)&amp;"...",VLOOKUP($B17,'Issue Register'!$B$7:$Z$41,4,FALSE())),"Reference not found"))</f>
        <v/>
      </c>
      <c r="D17" s="95"/>
      <c r="E17" s="95"/>
      <c r="F17" s="98" t="str">
        <f aca="false">IF($B17="","",IFERROR(IF(VLOOKUP($B17,'Issue Register'!$B$7:$Z$41,2,FALSE())=0,"",VLOOKUP($B17,'Issue Register'!$B$7:$Z$41,2,FALSE())),""))</f>
        <v/>
      </c>
      <c r="G17" s="114"/>
      <c r="H17" s="98" t="str">
        <f aca="false">IF(OR($B17="",$F17="",$D17="We have received"),"",$F17+IF($G17="",Setup!$D$33,$G17))</f>
        <v/>
      </c>
      <c r="I17" s="99" t="str">
        <f aca="false">IF(OR($H17="",$K17&lt;&gt;""),"",$H17-Setup!$D$12)</f>
        <v/>
      </c>
      <c r="J17" s="95"/>
      <c r="K17" s="94"/>
      <c r="L17" s="94"/>
      <c r="M17" s="94"/>
      <c r="N17" s="100" t="str">
        <f aca="false">IF($B17="","",IF($K17&lt;&gt;"",IF($M17&lt;&gt;"","Closed out",IF($L17="","Served",IF(Setup!$D$12&gt;$L17,"Response overdue","Awaiting response"))),IF($D17="We have received","Not yet recorded",IF($F17="","No awareness date",IF(Setup!$D$12&gt;$H17,"OVERDUE - not served",IF($H17-Setup!$D$12&lt;=Setup!$D$35,"Due soon - not served","Not yet served"))))))</f>
        <v/>
      </c>
      <c r="O17" s="95"/>
    </row>
    <row r="18" customFormat="false" ht="39.75" hidden="false" customHeight="true" outlineLevel="0" collapsed="false">
      <c r="B18" s="111"/>
      <c r="C18" s="100" t="str">
        <f aca="false">IF($B18="","",IFERROR(IF(LEN(VLOOKUP($B18,'Issue Register'!$B$7:$Z$41,4,FALSE()))&gt;80,LEFT(VLOOKUP($B18,'Issue Register'!$B$7:$Z$41,4,FALSE()),80)&amp;"...",VLOOKUP($B18,'Issue Register'!$B$7:$Z$41,4,FALSE())),"Reference not found"))</f>
        <v/>
      </c>
      <c r="D18" s="102"/>
      <c r="E18" s="102"/>
      <c r="F18" s="98" t="str">
        <f aca="false">IF($B18="","",IFERROR(IF(VLOOKUP($B18,'Issue Register'!$B$7:$Z$41,2,FALSE())=0,"",VLOOKUP($B18,'Issue Register'!$B$7:$Z$41,2,FALSE())),""))</f>
        <v/>
      </c>
      <c r="G18" s="115"/>
      <c r="H18" s="98" t="str">
        <f aca="false">IF(OR($B18="",$F18="",$D18="We have received"),"",$F18+IF($G18="",Setup!$D$33,$G18))</f>
        <v/>
      </c>
      <c r="I18" s="99" t="str">
        <f aca="false">IF(OR($H18="",$K18&lt;&gt;""),"",$H18-Setup!$D$12)</f>
        <v/>
      </c>
      <c r="J18" s="102"/>
      <c r="K18" s="101"/>
      <c r="L18" s="101"/>
      <c r="M18" s="101"/>
      <c r="N18" s="100" t="str">
        <f aca="false">IF($B18="","",IF($K18&lt;&gt;"",IF($M18&lt;&gt;"","Closed out",IF($L18="","Served",IF(Setup!$D$12&gt;$L18,"Response overdue","Awaiting response"))),IF($D18="We have received","Not yet recorded",IF($F18="","No awareness date",IF(Setup!$D$12&gt;$H18,"OVERDUE - not served",IF($H18-Setup!$D$12&lt;=Setup!$D$35,"Due soon - not served","Not yet served"))))))</f>
        <v/>
      </c>
      <c r="O18" s="102"/>
    </row>
    <row r="19" customFormat="false" ht="39.75" hidden="false" customHeight="true" outlineLevel="0" collapsed="false">
      <c r="B19" s="109"/>
      <c r="C19" s="100" t="str">
        <f aca="false">IF($B19="","",IFERROR(IF(LEN(VLOOKUP($B19,'Issue Register'!$B$7:$Z$41,4,FALSE()))&gt;80,LEFT(VLOOKUP($B19,'Issue Register'!$B$7:$Z$41,4,FALSE()),80)&amp;"...",VLOOKUP($B19,'Issue Register'!$B$7:$Z$41,4,FALSE())),"Reference not found"))</f>
        <v/>
      </c>
      <c r="D19" s="95"/>
      <c r="E19" s="95"/>
      <c r="F19" s="98" t="str">
        <f aca="false">IF($B19="","",IFERROR(IF(VLOOKUP($B19,'Issue Register'!$B$7:$Z$41,2,FALSE())=0,"",VLOOKUP($B19,'Issue Register'!$B$7:$Z$41,2,FALSE())),""))</f>
        <v/>
      </c>
      <c r="G19" s="114"/>
      <c r="H19" s="98" t="str">
        <f aca="false">IF(OR($B19="",$F19="",$D19="We have received"),"",$F19+IF($G19="",Setup!$D$33,$G19))</f>
        <v/>
      </c>
      <c r="I19" s="99" t="str">
        <f aca="false">IF(OR($H19="",$K19&lt;&gt;""),"",$H19-Setup!$D$12)</f>
        <v/>
      </c>
      <c r="J19" s="95"/>
      <c r="K19" s="94"/>
      <c r="L19" s="94"/>
      <c r="M19" s="94"/>
      <c r="N19" s="100" t="str">
        <f aca="false">IF($B19="","",IF($K19&lt;&gt;"",IF($M19&lt;&gt;"","Closed out",IF($L19="","Served",IF(Setup!$D$12&gt;$L19,"Response overdue","Awaiting response"))),IF($D19="We have received","Not yet recorded",IF($F19="","No awareness date",IF(Setup!$D$12&gt;$H19,"OVERDUE - not served",IF($H19-Setup!$D$12&lt;=Setup!$D$35,"Due soon - not served","Not yet served"))))))</f>
        <v/>
      </c>
      <c r="O19" s="95"/>
    </row>
    <row r="20" customFormat="false" ht="39.75" hidden="false" customHeight="true" outlineLevel="0" collapsed="false">
      <c r="B20" s="111"/>
      <c r="C20" s="100" t="str">
        <f aca="false">IF($B20="","",IFERROR(IF(LEN(VLOOKUP($B20,'Issue Register'!$B$7:$Z$41,4,FALSE()))&gt;80,LEFT(VLOOKUP($B20,'Issue Register'!$B$7:$Z$41,4,FALSE()),80)&amp;"...",VLOOKUP($B20,'Issue Register'!$B$7:$Z$41,4,FALSE())),"Reference not found"))</f>
        <v/>
      </c>
      <c r="D20" s="102"/>
      <c r="E20" s="102"/>
      <c r="F20" s="98" t="str">
        <f aca="false">IF($B20="","",IFERROR(IF(VLOOKUP($B20,'Issue Register'!$B$7:$Z$41,2,FALSE())=0,"",VLOOKUP($B20,'Issue Register'!$B$7:$Z$41,2,FALSE())),""))</f>
        <v/>
      </c>
      <c r="G20" s="115"/>
      <c r="H20" s="98" t="str">
        <f aca="false">IF(OR($B20="",$F20="",$D20="We have received"),"",$F20+IF($G20="",Setup!$D$33,$G20))</f>
        <v/>
      </c>
      <c r="I20" s="99" t="str">
        <f aca="false">IF(OR($H20="",$K20&lt;&gt;""),"",$H20-Setup!$D$12)</f>
        <v/>
      </c>
      <c r="J20" s="102"/>
      <c r="K20" s="101"/>
      <c r="L20" s="101"/>
      <c r="M20" s="101"/>
      <c r="N20" s="100" t="str">
        <f aca="false">IF($B20="","",IF($K20&lt;&gt;"",IF($M20&lt;&gt;"","Closed out",IF($L20="","Served",IF(Setup!$D$12&gt;$L20,"Response overdue","Awaiting response"))),IF($D20="We have received","Not yet recorded",IF($F20="","No awareness date",IF(Setup!$D$12&gt;$H20,"OVERDUE - not served",IF($H20-Setup!$D$12&lt;=Setup!$D$35,"Due soon - not served","Not yet served"))))))</f>
        <v/>
      </c>
      <c r="O20" s="102"/>
    </row>
    <row r="21" customFormat="false" ht="39.75" hidden="false" customHeight="true" outlineLevel="0" collapsed="false">
      <c r="B21" s="109"/>
      <c r="C21" s="100" t="str">
        <f aca="false">IF($B21="","",IFERROR(IF(LEN(VLOOKUP($B21,'Issue Register'!$B$7:$Z$41,4,FALSE()))&gt;80,LEFT(VLOOKUP($B21,'Issue Register'!$B$7:$Z$41,4,FALSE()),80)&amp;"...",VLOOKUP($B21,'Issue Register'!$B$7:$Z$41,4,FALSE())),"Reference not found"))</f>
        <v/>
      </c>
      <c r="D21" s="95"/>
      <c r="E21" s="95"/>
      <c r="F21" s="98" t="str">
        <f aca="false">IF($B21="","",IFERROR(IF(VLOOKUP($B21,'Issue Register'!$B$7:$Z$41,2,FALSE())=0,"",VLOOKUP($B21,'Issue Register'!$B$7:$Z$41,2,FALSE())),""))</f>
        <v/>
      </c>
      <c r="G21" s="114"/>
      <c r="H21" s="98" t="str">
        <f aca="false">IF(OR($B21="",$F21="",$D21="We have received"),"",$F21+IF($G21="",Setup!$D$33,$G21))</f>
        <v/>
      </c>
      <c r="I21" s="99" t="str">
        <f aca="false">IF(OR($H21="",$K21&lt;&gt;""),"",$H21-Setup!$D$12)</f>
        <v/>
      </c>
      <c r="J21" s="95"/>
      <c r="K21" s="94"/>
      <c r="L21" s="94"/>
      <c r="M21" s="94"/>
      <c r="N21" s="100" t="str">
        <f aca="false">IF($B21="","",IF($K21&lt;&gt;"",IF($M21&lt;&gt;"","Closed out",IF($L21="","Served",IF(Setup!$D$12&gt;$L21,"Response overdue","Awaiting response"))),IF($D21="We have received","Not yet recorded",IF($F21="","No awareness date",IF(Setup!$D$12&gt;$H21,"OVERDUE - not served",IF($H21-Setup!$D$12&lt;=Setup!$D$35,"Due soon - not served","Not yet served"))))))</f>
        <v/>
      </c>
      <c r="O21" s="95"/>
    </row>
    <row r="22" customFormat="false" ht="39.75" hidden="false" customHeight="true" outlineLevel="0" collapsed="false">
      <c r="B22" s="111"/>
      <c r="C22" s="100" t="str">
        <f aca="false">IF($B22="","",IFERROR(IF(LEN(VLOOKUP($B22,'Issue Register'!$B$7:$Z$41,4,FALSE()))&gt;80,LEFT(VLOOKUP($B22,'Issue Register'!$B$7:$Z$41,4,FALSE()),80)&amp;"...",VLOOKUP($B22,'Issue Register'!$B$7:$Z$41,4,FALSE())),"Reference not found"))</f>
        <v/>
      </c>
      <c r="D22" s="102"/>
      <c r="E22" s="102"/>
      <c r="F22" s="98" t="str">
        <f aca="false">IF($B22="","",IFERROR(IF(VLOOKUP($B22,'Issue Register'!$B$7:$Z$41,2,FALSE())=0,"",VLOOKUP($B22,'Issue Register'!$B$7:$Z$41,2,FALSE())),""))</f>
        <v/>
      </c>
      <c r="G22" s="115"/>
      <c r="H22" s="98" t="str">
        <f aca="false">IF(OR($B22="",$F22="",$D22="We have received"),"",$F22+IF($G22="",Setup!$D$33,$G22))</f>
        <v/>
      </c>
      <c r="I22" s="99" t="str">
        <f aca="false">IF(OR($H22="",$K22&lt;&gt;""),"",$H22-Setup!$D$12)</f>
        <v/>
      </c>
      <c r="J22" s="102"/>
      <c r="K22" s="101"/>
      <c r="L22" s="101"/>
      <c r="M22" s="101"/>
      <c r="N22" s="100" t="str">
        <f aca="false">IF($B22="","",IF($K22&lt;&gt;"",IF($M22&lt;&gt;"","Closed out",IF($L22="","Served",IF(Setup!$D$12&gt;$L22,"Response overdue","Awaiting response"))),IF($D22="We have received","Not yet recorded",IF($F22="","No awareness date",IF(Setup!$D$12&gt;$H22,"OVERDUE - not served",IF($H22-Setup!$D$12&lt;=Setup!$D$35,"Due soon - not served","Not yet served"))))))</f>
        <v/>
      </c>
      <c r="O22" s="102"/>
    </row>
    <row r="23" customFormat="false" ht="39.75" hidden="false" customHeight="true" outlineLevel="0" collapsed="false">
      <c r="B23" s="109"/>
      <c r="C23" s="100" t="str">
        <f aca="false">IF($B23="","",IFERROR(IF(LEN(VLOOKUP($B23,'Issue Register'!$B$7:$Z$41,4,FALSE()))&gt;80,LEFT(VLOOKUP($B23,'Issue Register'!$B$7:$Z$41,4,FALSE()),80)&amp;"...",VLOOKUP($B23,'Issue Register'!$B$7:$Z$41,4,FALSE())),"Reference not found"))</f>
        <v/>
      </c>
      <c r="D23" s="95"/>
      <c r="E23" s="95"/>
      <c r="F23" s="98" t="str">
        <f aca="false">IF($B23="","",IFERROR(IF(VLOOKUP($B23,'Issue Register'!$B$7:$Z$41,2,FALSE())=0,"",VLOOKUP($B23,'Issue Register'!$B$7:$Z$41,2,FALSE())),""))</f>
        <v/>
      </c>
      <c r="G23" s="114"/>
      <c r="H23" s="98" t="str">
        <f aca="false">IF(OR($B23="",$F23="",$D23="We have received"),"",$F23+IF($G23="",Setup!$D$33,$G23))</f>
        <v/>
      </c>
      <c r="I23" s="99" t="str">
        <f aca="false">IF(OR($H23="",$K23&lt;&gt;""),"",$H23-Setup!$D$12)</f>
        <v/>
      </c>
      <c r="J23" s="95"/>
      <c r="K23" s="94"/>
      <c r="L23" s="94"/>
      <c r="M23" s="94"/>
      <c r="N23" s="100" t="str">
        <f aca="false">IF($B23="","",IF($K23&lt;&gt;"",IF($M23&lt;&gt;"","Closed out",IF($L23="","Served",IF(Setup!$D$12&gt;$L23,"Response overdue","Awaiting response"))),IF($D23="We have received","Not yet recorded",IF($F23="","No awareness date",IF(Setup!$D$12&gt;$H23,"OVERDUE - not served",IF($H23-Setup!$D$12&lt;=Setup!$D$35,"Due soon - not served","Not yet served"))))))</f>
        <v/>
      </c>
      <c r="O23" s="95"/>
    </row>
    <row r="24" customFormat="false" ht="39.75" hidden="false" customHeight="true" outlineLevel="0" collapsed="false">
      <c r="B24" s="111"/>
      <c r="C24" s="100" t="str">
        <f aca="false">IF($B24="","",IFERROR(IF(LEN(VLOOKUP($B24,'Issue Register'!$B$7:$Z$41,4,FALSE()))&gt;80,LEFT(VLOOKUP($B24,'Issue Register'!$B$7:$Z$41,4,FALSE()),80)&amp;"...",VLOOKUP($B24,'Issue Register'!$B$7:$Z$41,4,FALSE())),"Reference not found"))</f>
        <v/>
      </c>
      <c r="D24" s="102"/>
      <c r="E24" s="102"/>
      <c r="F24" s="98" t="str">
        <f aca="false">IF($B24="","",IFERROR(IF(VLOOKUP($B24,'Issue Register'!$B$7:$Z$41,2,FALSE())=0,"",VLOOKUP($B24,'Issue Register'!$B$7:$Z$41,2,FALSE())),""))</f>
        <v/>
      </c>
      <c r="G24" s="115"/>
      <c r="H24" s="98" t="str">
        <f aca="false">IF(OR($B24="",$F24="",$D24="We have received"),"",$F24+IF($G24="",Setup!$D$33,$G24))</f>
        <v/>
      </c>
      <c r="I24" s="99" t="str">
        <f aca="false">IF(OR($H24="",$K24&lt;&gt;""),"",$H24-Setup!$D$12)</f>
        <v/>
      </c>
      <c r="J24" s="102"/>
      <c r="K24" s="101"/>
      <c r="L24" s="101"/>
      <c r="M24" s="101"/>
      <c r="N24" s="100" t="str">
        <f aca="false">IF($B24="","",IF($K24&lt;&gt;"",IF($M24&lt;&gt;"","Closed out",IF($L24="","Served",IF(Setup!$D$12&gt;$L24,"Response overdue","Awaiting response"))),IF($D24="We have received","Not yet recorded",IF($F24="","No awareness date",IF(Setup!$D$12&gt;$H24,"OVERDUE - not served",IF($H24-Setup!$D$12&lt;=Setup!$D$35,"Due soon - not served","Not yet served"))))))</f>
        <v/>
      </c>
      <c r="O24" s="102"/>
    </row>
    <row r="25" customFormat="false" ht="39.75" hidden="false" customHeight="true" outlineLevel="0" collapsed="false">
      <c r="B25" s="109"/>
      <c r="C25" s="100" t="str">
        <f aca="false">IF($B25="","",IFERROR(IF(LEN(VLOOKUP($B25,'Issue Register'!$B$7:$Z$41,4,FALSE()))&gt;80,LEFT(VLOOKUP($B25,'Issue Register'!$B$7:$Z$41,4,FALSE()),80)&amp;"...",VLOOKUP($B25,'Issue Register'!$B$7:$Z$41,4,FALSE())),"Reference not found"))</f>
        <v/>
      </c>
      <c r="D25" s="95"/>
      <c r="E25" s="95"/>
      <c r="F25" s="98" t="str">
        <f aca="false">IF($B25="","",IFERROR(IF(VLOOKUP($B25,'Issue Register'!$B$7:$Z$41,2,FALSE())=0,"",VLOOKUP($B25,'Issue Register'!$B$7:$Z$41,2,FALSE())),""))</f>
        <v/>
      </c>
      <c r="G25" s="114"/>
      <c r="H25" s="98" t="str">
        <f aca="false">IF(OR($B25="",$F25="",$D25="We have received"),"",$F25+IF($G25="",Setup!$D$33,$G25))</f>
        <v/>
      </c>
      <c r="I25" s="99" t="str">
        <f aca="false">IF(OR($H25="",$K25&lt;&gt;""),"",$H25-Setup!$D$12)</f>
        <v/>
      </c>
      <c r="J25" s="95"/>
      <c r="K25" s="94"/>
      <c r="L25" s="94"/>
      <c r="M25" s="94"/>
      <c r="N25" s="100" t="str">
        <f aca="false">IF($B25="","",IF($K25&lt;&gt;"",IF($M25&lt;&gt;"","Closed out",IF($L25="","Served",IF(Setup!$D$12&gt;$L25,"Response overdue","Awaiting response"))),IF($D25="We have received","Not yet recorded",IF($F25="","No awareness date",IF(Setup!$D$12&gt;$H25,"OVERDUE - not served",IF($H25-Setup!$D$12&lt;=Setup!$D$35,"Due soon - not served","Not yet served"))))))</f>
        <v/>
      </c>
      <c r="O25" s="95"/>
    </row>
    <row r="26" customFormat="false" ht="39.75" hidden="false" customHeight="true" outlineLevel="0" collapsed="false">
      <c r="B26" s="111"/>
      <c r="C26" s="100" t="str">
        <f aca="false">IF($B26="","",IFERROR(IF(LEN(VLOOKUP($B26,'Issue Register'!$B$7:$Z$41,4,FALSE()))&gt;80,LEFT(VLOOKUP($B26,'Issue Register'!$B$7:$Z$41,4,FALSE()),80)&amp;"...",VLOOKUP($B26,'Issue Register'!$B$7:$Z$41,4,FALSE())),"Reference not found"))</f>
        <v/>
      </c>
      <c r="D26" s="102"/>
      <c r="E26" s="102"/>
      <c r="F26" s="98" t="str">
        <f aca="false">IF($B26="","",IFERROR(IF(VLOOKUP($B26,'Issue Register'!$B$7:$Z$41,2,FALSE())=0,"",VLOOKUP($B26,'Issue Register'!$B$7:$Z$41,2,FALSE())),""))</f>
        <v/>
      </c>
      <c r="G26" s="115"/>
      <c r="H26" s="98" t="str">
        <f aca="false">IF(OR($B26="",$F26="",$D26="We have received"),"",$F26+IF($G26="",Setup!$D$33,$G26))</f>
        <v/>
      </c>
      <c r="I26" s="99" t="str">
        <f aca="false">IF(OR($H26="",$K26&lt;&gt;""),"",$H26-Setup!$D$12)</f>
        <v/>
      </c>
      <c r="J26" s="102"/>
      <c r="K26" s="101"/>
      <c r="L26" s="101"/>
      <c r="M26" s="101"/>
      <c r="N26" s="100" t="str">
        <f aca="false">IF($B26="","",IF($K26&lt;&gt;"",IF($M26&lt;&gt;"","Closed out",IF($L26="","Served",IF(Setup!$D$12&gt;$L26,"Response overdue","Awaiting response"))),IF($D26="We have received","Not yet recorded",IF($F26="","No awareness date",IF(Setup!$D$12&gt;$H26,"OVERDUE - not served",IF($H26-Setup!$D$12&lt;=Setup!$D$35,"Due soon - not served","Not yet served"))))))</f>
        <v/>
      </c>
      <c r="O26" s="102"/>
    </row>
    <row r="27" customFormat="false" ht="39.75" hidden="false" customHeight="true" outlineLevel="0" collapsed="false">
      <c r="B27" s="109"/>
      <c r="C27" s="100" t="str">
        <f aca="false">IF($B27="","",IFERROR(IF(LEN(VLOOKUP($B27,'Issue Register'!$B$7:$Z$41,4,FALSE()))&gt;80,LEFT(VLOOKUP($B27,'Issue Register'!$B$7:$Z$41,4,FALSE()),80)&amp;"...",VLOOKUP($B27,'Issue Register'!$B$7:$Z$41,4,FALSE())),"Reference not found"))</f>
        <v/>
      </c>
      <c r="D27" s="95"/>
      <c r="E27" s="95"/>
      <c r="F27" s="98" t="str">
        <f aca="false">IF($B27="","",IFERROR(IF(VLOOKUP($B27,'Issue Register'!$B$7:$Z$41,2,FALSE())=0,"",VLOOKUP($B27,'Issue Register'!$B$7:$Z$41,2,FALSE())),""))</f>
        <v/>
      </c>
      <c r="G27" s="114"/>
      <c r="H27" s="98" t="str">
        <f aca="false">IF(OR($B27="",$F27="",$D27="We have received"),"",$F27+IF($G27="",Setup!$D$33,$G27))</f>
        <v/>
      </c>
      <c r="I27" s="99" t="str">
        <f aca="false">IF(OR($H27="",$K27&lt;&gt;""),"",$H27-Setup!$D$12)</f>
        <v/>
      </c>
      <c r="J27" s="95"/>
      <c r="K27" s="94"/>
      <c r="L27" s="94"/>
      <c r="M27" s="94"/>
      <c r="N27" s="100" t="str">
        <f aca="false">IF($B27="","",IF($K27&lt;&gt;"",IF($M27&lt;&gt;"","Closed out",IF($L27="","Served",IF(Setup!$D$12&gt;$L27,"Response overdue","Awaiting response"))),IF($D27="We have received","Not yet recorded",IF($F27="","No awareness date",IF(Setup!$D$12&gt;$H27,"OVERDUE - not served",IF($H27-Setup!$D$12&lt;=Setup!$D$35,"Due soon - not served","Not yet served"))))))</f>
        <v/>
      </c>
      <c r="O27" s="95"/>
    </row>
    <row r="28" customFormat="false" ht="39.75" hidden="false" customHeight="true" outlineLevel="0" collapsed="false">
      <c r="B28" s="111"/>
      <c r="C28" s="100" t="str">
        <f aca="false">IF($B28="","",IFERROR(IF(LEN(VLOOKUP($B28,'Issue Register'!$B$7:$Z$41,4,FALSE()))&gt;80,LEFT(VLOOKUP($B28,'Issue Register'!$B$7:$Z$41,4,FALSE()),80)&amp;"...",VLOOKUP($B28,'Issue Register'!$B$7:$Z$41,4,FALSE())),"Reference not found"))</f>
        <v/>
      </c>
      <c r="D28" s="102"/>
      <c r="E28" s="102"/>
      <c r="F28" s="98" t="str">
        <f aca="false">IF($B28="","",IFERROR(IF(VLOOKUP($B28,'Issue Register'!$B$7:$Z$41,2,FALSE())=0,"",VLOOKUP($B28,'Issue Register'!$B$7:$Z$41,2,FALSE())),""))</f>
        <v/>
      </c>
      <c r="G28" s="115"/>
      <c r="H28" s="98" t="str">
        <f aca="false">IF(OR($B28="",$F28="",$D28="We have received"),"",$F28+IF($G28="",Setup!$D$33,$G28))</f>
        <v/>
      </c>
      <c r="I28" s="99" t="str">
        <f aca="false">IF(OR($H28="",$K28&lt;&gt;""),"",$H28-Setup!$D$12)</f>
        <v/>
      </c>
      <c r="J28" s="102"/>
      <c r="K28" s="101"/>
      <c r="L28" s="101"/>
      <c r="M28" s="101"/>
      <c r="N28" s="100" t="str">
        <f aca="false">IF($B28="","",IF($K28&lt;&gt;"",IF($M28&lt;&gt;"","Closed out",IF($L28="","Served",IF(Setup!$D$12&gt;$L28,"Response overdue","Awaiting response"))),IF($D28="We have received","Not yet recorded",IF($F28="","No awareness date",IF(Setup!$D$12&gt;$H28,"OVERDUE - not served",IF($H28-Setup!$D$12&lt;=Setup!$D$35,"Due soon - not served","Not yet served"))))))</f>
        <v/>
      </c>
      <c r="O28" s="102"/>
    </row>
    <row r="29" customFormat="false" ht="39.75" hidden="false" customHeight="true" outlineLevel="0" collapsed="false">
      <c r="B29" s="109"/>
      <c r="C29" s="100" t="str">
        <f aca="false">IF($B29="","",IFERROR(IF(LEN(VLOOKUP($B29,'Issue Register'!$B$7:$Z$41,4,FALSE()))&gt;80,LEFT(VLOOKUP($B29,'Issue Register'!$B$7:$Z$41,4,FALSE()),80)&amp;"...",VLOOKUP($B29,'Issue Register'!$B$7:$Z$41,4,FALSE())),"Reference not found"))</f>
        <v/>
      </c>
      <c r="D29" s="95"/>
      <c r="E29" s="95"/>
      <c r="F29" s="98" t="str">
        <f aca="false">IF($B29="","",IFERROR(IF(VLOOKUP($B29,'Issue Register'!$B$7:$Z$41,2,FALSE())=0,"",VLOOKUP($B29,'Issue Register'!$B$7:$Z$41,2,FALSE())),""))</f>
        <v/>
      </c>
      <c r="G29" s="114"/>
      <c r="H29" s="98" t="str">
        <f aca="false">IF(OR($B29="",$F29="",$D29="We have received"),"",$F29+IF($G29="",Setup!$D$33,$G29))</f>
        <v/>
      </c>
      <c r="I29" s="99" t="str">
        <f aca="false">IF(OR($H29="",$K29&lt;&gt;""),"",$H29-Setup!$D$12)</f>
        <v/>
      </c>
      <c r="J29" s="95"/>
      <c r="K29" s="94"/>
      <c r="L29" s="94"/>
      <c r="M29" s="94"/>
      <c r="N29" s="100" t="str">
        <f aca="false">IF($B29="","",IF($K29&lt;&gt;"",IF($M29&lt;&gt;"","Closed out",IF($L29="","Served",IF(Setup!$D$12&gt;$L29,"Response overdue","Awaiting response"))),IF($D29="We have received","Not yet recorded",IF($F29="","No awareness date",IF(Setup!$D$12&gt;$H29,"OVERDUE - not served",IF($H29-Setup!$D$12&lt;=Setup!$D$35,"Due soon - not served","Not yet served"))))))</f>
        <v/>
      </c>
      <c r="O29" s="95"/>
    </row>
    <row r="30" customFormat="false" ht="39.75" hidden="false" customHeight="true" outlineLevel="0" collapsed="false">
      <c r="B30" s="111"/>
      <c r="C30" s="100" t="str">
        <f aca="false">IF($B30="","",IFERROR(IF(LEN(VLOOKUP($B30,'Issue Register'!$B$7:$Z$41,4,FALSE()))&gt;80,LEFT(VLOOKUP($B30,'Issue Register'!$B$7:$Z$41,4,FALSE()),80)&amp;"...",VLOOKUP($B30,'Issue Register'!$B$7:$Z$41,4,FALSE())),"Reference not found"))</f>
        <v/>
      </c>
      <c r="D30" s="102"/>
      <c r="E30" s="102"/>
      <c r="F30" s="98" t="str">
        <f aca="false">IF($B30="","",IFERROR(IF(VLOOKUP($B30,'Issue Register'!$B$7:$Z$41,2,FALSE())=0,"",VLOOKUP($B30,'Issue Register'!$B$7:$Z$41,2,FALSE())),""))</f>
        <v/>
      </c>
      <c r="G30" s="115"/>
      <c r="H30" s="98" t="str">
        <f aca="false">IF(OR($B30="",$F30="",$D30="We have received"),"",$F30+IF($G30="",Setup!$D$33,$G30))</f>
        <v/>
      </c>
      <c r="I30" s="99" t="str">
        <f aca="false">IF(OR($H30="",$K30&lt;&gt;""),"",$H30-Setup!$D$12)</f>
        <v/>
      </c>
      <c r="J30" s="102"/>
      <c r="K30" s="101"/>
      <c r="L30" s="101"/>
      <c r="M30" s="101"/>
      <c r="N30" s="100" t="str">
        <f aca="false">IF($B30="","",IF($K30&lt;&gt;"",IF($M30&lt;&gt;"","Closed out",IF($L30="","Served",IF(Setup!$D$12&gt;$L30,"Response overdue","Awaiting response"))),IF($D30="We have received","Not yet recorded",IF($F30="","No awareness date",IF(Setup!$D$12&gt;$H30,"OVERDUE - not served",IF($H30-Setup!$D$12&lt;=Setup!$D$35,"Due soon - not served","Not yet served"))))))</f>
        <v/>
      </c>
      <c r="O30" s="102"/>
    </row>
    <row r="32" customFormat="false" ht="22.35" hidden="false" customHeight="true" outlineLevel="0" collapsed="false">
      <c r="B32" s="41" t="s">
        <v>393</v>
      </c>
      <c r="C32" s="41"/>
      <c r="D32" s="41"/>
      <c r="E32" s="41"/>
      <c r="F32" s="41"/>
      <c r="G32" s="41"/>
      <c r="H32" s="41"/>
      <c r="I32" s="41"/>
      <c r="J32" s="41"/>
      <c r="K32" s="41"/>
    </row>
    <row r="34" customFormat="false" ht="18" hidden="false" customHeight="true" outlineLevel="0" collapsed="false">
      <c r="B34" s="59" t="s">
        <v>152</v>
      </c>
      <c r="C34" s="59"/>
      <c r="D34" s="59"/>
      <c r="E34" s="59"/>
      <c r="F34" s="59"/>
      <c r="G34" s="59"/>
      <c r="H34" s="59"/>
      <c r="I34" s="59"/>
      <c r="J34" s="59"/>
      <c r="K34" s="59"/>
      <c r="L34" s="59"/>
      <c r="M34" s="59"/>
      <c r="N34" s="59"/>
      <c r="O34" s="59"/>
    </row>
  </sheetData>
  <autoFilter ref="B6:O30"/>
  <mergeCells count="7">
    <mergeCell ref="B1:O1"/>
    <mergeCell ref="B2:O2"/>
    <mergeCell ref="B3:O3"/>
    <mergeCell ref="B4:O4"/>
    <mergeCell ref="B5:O5"/>
    <mergeCell ref="B32:K32"/>
    <mergeCell ref="B34:O34"/>
  </mergeCells>
  <conditionalFormatting sqref="B3:O3">
    <cfRule type="expression" priority="2" aboveAverage="0" equalAverage="0" bottom="0" percent="0" rank="0" text="" dxfId="0">
      <formula>LEN($B$3)&gt;0</formula>
    </cfRule>
  </conditionalFormatting>
  <conditionalFormatting sqref="B7:O30">
    <cfRule type="expression" priority="3" aboveAverage="0" equalAverage="0" bottom="0" percent="0" rank="0" text="" dxfId="2">
      <formula>LEFT($N7,7)="OVERDUE"</formula>
    </cfRule>
    <cfRule type="expression" priority="4" aboveAverage="0" equalAverage="0" bottom="0" percent="0" rank="0" text="" dxfId="2">
      <formula>$N7="Response overdue"</formula>
    </cfRule>
    <cfRule type="expression" priority="5" aboveAverage="0" equalAverage="0" bottom="0" percent="0" rank="0" text="" dxfId="19">
      <formula>$N7="Closed out"</formula>
    </cfRule>
    <cfRule type="expression" priority="6" aboveAverage="0" equalAverage="0" bottom="0" percent="0" rank="0" text="" dxfId="0">
      <formula>LEFT($N7,8)="Due soon"</formula>
    </cfRule>
    <cfRule type="expression" priority="7" aboveAverage="0" equalAverage="0" bottom="0" percent="0" rank="0" text="" dxfId="20">
      <formula>$N7="Not yet served"</formula>
    </cfRule>
  </conditionalFormatting>
  <conditionalFormatting sqref="C7:C30">
    <cfRule type="expression" priority="8" aboveAverage="0" equalAverage="0" bottom="0" percent="0" rank="0" text="" dxfId="5">
      <formula>$C7="Reference not found"</formula>
    </cfRule>
  </conditionalFormatting>
  <dataValidations count="50">
    <dataValidation allowBlank="true" errorStyle="stop" operator="between" showDropDown="false" showErrorMessage="false" showInputMessage="false" sqref="D7" type="list">
      <formula1>Reference!$B$98:$B$99</formula1>
      <formula2>0</formula2>
    </dataValidation>
    <dataValidation allowBlank="true" errorStyle="stop" operator="between" showDropDown="false" showErrorMessage="false" showInputMessage="false" sqref="E7" type="list">
      <formula1>Reference!$H$82:$H$89</formula1>
      <formula2>0</formula2>
    </dataValidation>
    <dataValidation allowBlank="false" errorStyle="stop" operator="between" prompt="The reference from the register, like ISS-001. The awareness date comes across automatically." promptTitle="Issue" showDropDown="false" showErrorMessage="false" showInputMessage="true" sqref="B7:B30" type="none">
      <formula1>0</formula1>
      <formula2>0</formula2>
    </dataValidation>
    <dataValidation allowBlank="false" errorStyle="stop" operator="between" prompt="Leave blank to use the notice period on Setup. Fill it in where this particular notice has a different period." promptTitle="Period" showDropDown="false" showErrorMessage="false" showInputMessage="true" sqref="G7:G30" type="none">
      <formula1>0</formula1>
      <formula2>0</formula2>
    </dataValidation>
    <dataValidation allowBlank="true" errorStyle="stop" operator="between" showDropDown="false" showErrorMessage="false" showInputMessage="false" sqref="D8" type="list">
      <formula1>Reference!$B$98:$B$99</formula1>
      <formula2>0</formula2>
    </dataValidation>
    <dataValidation allowBlank="true" errorStyle="stop" operator="between" showDropDown="false" showErrorMessage="false" showInputMessage="false" sqref="E8" type="list">
      <formula1>Reference!$H$82:$H$89</formula1>
      <formula2>0</formula2>
    </dataValidation>
    <dataValidation allowBlank="true" errorStyle="stop" operator="between" showDropDown="false" showErrorMessage="false" showInputMessage="false" sqref="D9" type="list">
      <formula1>Reference!$B$98:$B$99</formula1>
      <formula2>0</formula2>
    </dataValidation>
    <dataValidation allowBlank="true" errorStyle="stop" operator="between" showDropDown="false" showErrorMessage="false" showInputMessage="false" sqref="E9" type="list">
      <formula1>Reference!$H$82:$H$89</formula1>
      <formula2>0</formula2>
    </dataValidation>
    <dataValidation allowBlank="true" errorStyle="stop" operator="between" showDropDown="false" showErrorMessage="false" showInputMessage="false" sqref="D10" type="list">
      <formula1>Reference!$B$98:$B$99</formula1>
      <formula2>0</formula2>
    </dataValidation>
    <dataValidation allowBlank="true" errorStyle="stop" operator="between" showDropDown="false" showErrorMessage="false" showInputMessage="false" sqref="E10" type="list">
      <formula1>Reference!$H$82:$H$89</formula1>
      <formula2>0</formula2>
    </dataValidation>
    <dataValidation allowBlank="true" errorStyle="stop" operator="between" showDropDown="false" showErrorMessage="false" showInputMessage="false" sqref="D11" type="list">
      <formula1>Reference!$B$98:$B$99</formula1>
      <formula2>0</formula2>
    </dataValidation>
    <dataValidation allowBlank="true" errorStyle="stop" operator="between" showDropDown="false" showErrorMessage="false" showInputMessage="false" sqref="E11" type="list">
      <formula1>Reference!$H$82:$H$89</formula1>
      <formula2>0</formula2>
    </dataValidation>
    <dataValidation allowBlank="true" errorStyle="stop" operator="between" showDropDown="false" showErrorMessage="false" showInputMessage="false" sqref="D12" type="list">
      <formula1>Reference!$B$98:$B$99</formula1>
      <formula2>0</formula2>
    </dataValidation>
    <dataValidation allowBlank="true" errorStyle="stop" operator="between" showDropDown="false" showErrorMessage="false" showInputMessage="false" sqref="E12" type="list">
      <formula1>Reference!$H$82:$H$89</formula1>
      <formula2>0</formula2>
    </dataValidation>
    <dataValidation allowBlank="true" errorStyle="stop" operator="between" showDropDown="false" showErrorMessage="false" showInputMessage="false" sqref="D13" type="list">
      <formula1>Reference!$B$98:$B$99</formula1>
      <formula2>0</formula2>
    </dataValidation>
    <dataValidation allowBlank="true" errorStyle="stop" operator="between" showDropDown="false" showErrorMessage="false" showInputMessage="false" sqref="E13" type="list">
      <formula1>Reference!$H$82:$H$89</formula1>
      <formula2>0</formula2>
    </dataValidation>
    <dataValidation allowBlank="true" errorStyle="stop" operator="between" showDropDown="false" showErrorMessage="false" showInputMessage="false" sqref="D14" type="list">
      <formula1>Reference!$B$98:$B$99</formula1>
      <formula2>0</formula2>
    </dataValidation>
    <dataValidation allowBlank="true" errorStyle="stop" operator="between" showDropDown="false" showErrorMessage="false" showInputMessage="false" sqref="E14" type="list">
      <formula1>Reference!$H$82:$H$89</formula1>
      <formula2>0</formula2>
    </dataValidation>
    <dataValidation allowBlank="true" errorStyle="stop" operator="between" showDropDown="false" showErrorMessage="false" showInputMessage="false" sqref="D15" type="list">
      <formula1>Reference!$B$98:$B$99</formula1>
      <formula2>0</formula2>
    </dataValidation>
    <dataValidation allowBlank="true" errorStyle="stop" operator="between" showDropDown="false" showErrorMessage="false" showInputMessage="false" sqref="E15" type="list">
      <formula1>Reference!$H$82:$H$89</formula1>
      <formula2>0</formula2>
    </dataValidation>
    <dataValidation allowBlank="true" errorStyle="stop" operator="between" showDropDown="false" showErrorMessage="false" showInputMessage="false" sqref="D16" type="list">
      <formula1>Reference!$B$98:$B$99</formula1>
      <formula2>0</formula2>
    </dataValidation>
    <dataValidation allowBlank="true" errorStyle="stop" operator="between" showDropDown="false" showErrorMessage="false" showInputMessage="false" sqref="E16" type="list">
      <formula1>Reference!$H$82:$H$89</formula1>
      <formula2>0</formula2>
    </dataValidation>
    <dataValidation allowBlank="true" errorStyle="stop" operator="between" showDropDown="false" showErrorMessage="false" showInputMessage="false" sqref="D17" type="list">
      <formula1>Reference!$B$98:$B$99</formula1>
      <formula2>0</formula2>
    </dataValidation>
    <dataValidation allowBlank="true" errorStyle="stop" operator="between" showDropDown="false" showErrorMessage="false" showInputMessage="false" sqref="E17" type="list">
      <formula1>Reference!$H$82:$H$89</formula1>
      <formula2>0</formula2>
    </dataValidation>
    <dataValidation allowBlank="true" errorStyle="stop" operator="between" showDropDown="false" showErrorMessage="false" showInputMessage="false" sqref="D18" type="list">
      <formula1>Reference!$B$98:$B$99</formula1>
      <formula2>0</formula2>
    </dataValidation>
    <dataValidation allowBlank="true" errorStyle="stop" operator="between" showDropDown="false" showErrorMessage="false" showInputMessage="false" sqref="E18" type="list">
      <formula1>Reference!$H$82:$H$89</formula1>
      <formula2>0</formula2>
    </dataValidation>
    <dataValidation allowBlank="true" errorStyle="stop" operator="between" showDropDown="false" showErrorMessage="false" showInputMessage="false" sqref="D19" type="list">
      <formula1>Reference!$B$98:$B$99</formula1>
      <formula2>0</formula2>
    </dataValidation>
    <dataValidation allowBlank="true" errorStyle="stop" operator="between" showDropDown="false" showErrorMessage="false" showInputMessage="false" sqref="E19" type="list">
      <formula1>Reference!$H$82:$H$89</formula1>
      <formula2>0</formula2>
    </dataValidation>
    <dataValidation allowBlank="true" errorStyle="stop" operator="between" showDropDown="false" showErrorMessage="false" showInputMessage="false" sqref="D20" type="list">
      <formula1>Reference!$B$98:$B$99</formula1>
      <formula2>0</formula2>
    </dataValidation>
    <dataValidation allowBlank="true" errorStyle="stop" operator="between" showDropDown="false" showErrorMessage="false" showInputMessage="false" sqref="E20" type="list">
      <formula1>Reference!$H$82:$H$89</formula1>
      <formula2>0</formula2>
    </dataValidation>
    <dataValidation allowBlank="true" errorStyle="stop" operator="between" showDropDown="false" showErrorMessage="false" showInputMessage="false" sqref="D21" type="list">
      <formula1>Reference!$B$98:$B$99</formula1>
      <formula2>0</formula2>
    </dataValidation>
    <dataValidation allowBlank="true" errorStyle="stop" operator="between" showDropDown="false" showErrorMessage="false" showInputMessage="false" sqref="E21" type="list">
      <formula1>Reference!$H$82:$H$89</formula1>
      <formula2>0</formula2>
    </dataValidation>
    <dataValidation allowBlank="true" errorStyle="stop" operator="between" showDropDown="false" showErrorMessage="false" showInputMessage="false" sqref="D22" type="list">
      <formula1>Reference!$B$98:$B$99</formula1>
      <formula2>0</formula2>
    </dataValidation>
    <dataValidation allowBlank="true" errorStyle="stop" operator="between" showDropDown="false" showErrorMessage="false" showInputMessage="false" sqref="E22" type="list">
      <formula1>Reference!$H$82:$H$89</formula1>
      <formula2>0</formula2>
    </dataValidation>
    <dataValidation allowBlank="true" errorStyle="stop" operator="between" showDropDown="false" showErrorMessage="false" showInputMessage="false" sqref="D23" type="list">
      <formula1>Reference!$B$98:$B$99</formula1>
      <formula2>0</formula2>
    </dataValidation>
    <dataValidation allowBlank="true" errorStyle="stop" operator="between" showDropDown="false" showErrorMessage="false" showInputMessage="false" sqref="E23" type="list">
      <formula1>Reference!$H$82:$H$89</formula1>
      <formula2>0</formula2>
    </dataValidation>
    <dataValidation allowBlank="true" errorStyle="stop" operator="between" showDropDown="false" showErrorMessage="false" showInputMessage="false" sqref="D24" type="list">
      <formula1>Reference!$B$98:$B$99</formula1>
      <formula2>0</formula2>
    </dataValidation>
    <dataValidation allowBlank="true" errorStyle="stop" operator="between" showDropDown="false" showErrorMessage="false" showInputMessage="false" sqref="E24" type="list">
      <formula1>Reference!$H$82:$H$89</formula1>
      <formula2>0</formula2>
    </dataValidation>
    <dataValidation allowBlank="true" errorStyle="stop" operator="between" showDropDown="false" showErrorMessage="false" showInputMessage="false" sqref="D25" type="list">
      <formula1>Reference!$B$98:$B$99</formula1>
      <formula2>0</formula2>
    </dataValidation>
    <dataValidation allowBlank="true" errorStyle="stop" operator="between" showDropDown="false" showErrorMessage="false" showInputMessage="false" sqref="E25" type="list">
      <formula1>Reference!$H$82:$H$89</formula1>
      <formula2>0</formula2>
    </dataValidation>
    <dataValidation allowBlank="true" errorStyle="stop" operator="between" showDropDown="false" showErrorMessage="false" showInputMessage="false" sqref="D26" type="list">
      <formula1>Reference!$B$98:$B$99</formula1>
      <formula2>0</formula2>
    </dataValidation>
    <dataValidation allowBlank="true" errorStyle="stop" operator="between" showDropDown="false" showErrorMessage="false" showInputMessage="false" sqref="E26" type="list">
      <formula1>Reference!$H$82:$H$89</formula1>
      <formula2>0</formula2>
    </dataValidation>
    <dataValidation allowBlank="true" errorStyle="stop" operator="between" showDropDown="false" showErrorMessage="false" showInputMessage="false" sqref="D27" type="list">
      <formula1>Reference!$B$98:$B$99</formula1>
      <formula2>0</formula2>
    </dataValidation>
    <dataValidation allowBlank="true" errorStyle="stop" operator="between" showDropDown="false" showErrorMessage="false" showInputMessage="false" sqref="E27" type="list">
      <formula1>Reference!$H$82:$H$89</formula1>
      <formula2>0</formula2>
    </dataValidation>
    <dataValidation allowBlank="true" errorStyle="stop" operator="between" showDropDown="false" showErrorMessage="false" showInputMessage="false" sqref="D28" type="list">
      <formula1>Reference!$B$98:$B$99</formula1>
      <formula2>0</formula2>
    </dataValidation>
    <dataValidation allowBlank="true" errorStyle="stop" operator="between" showDropDown="false" showErrorMessage="false" showInputMessage="false" sqref="E28" type="list">
      <formula1>Reference!$H$82:$H$89</formula1>
      <formula2>0</formula2>
    </dataValidation>
    <dataValidation allowBlank="true" errorStyle="stop" operator="between" showDropDown="false" showErrorMessage="false" showInputMessage="false" sqref="D29" type="list">
      <formula1>Reference!$B$98:$B$99</formula1>
      <formula2>0</formula2>
    </dataValidation>
    <dataValidation allowBlank="true" errorStyle="stop" operator="between" showDropDown="false" showErrorMessage="false" showInputMessage="false" sqref="E29" type="list">
      <formula1>Reference!$H$82:$H$89</formula1>
      <formula2>0</formula2>
    </dataValidation>
    <dataValidation allowBlank="true" errorStyle="stop" operator="between" showDropDown="false" showErrorMessage="false" showInputMessage="false" sqref="D30" type="list">
      <formula1>Reference!$B$98:$B$99</formula1>
      <formula2>0</formula2>
    </dataValidation>
    <dataValidation allowBlank="true" errorStyle="stop" operator="between" showDropDown="false" showErrorMessage="false" showInputMessage="false" sqref="E30" type="list">
      <formula1>Reference!$H$82:$H$89</formula1>
      <formula2>0</formula2>
    </dataValidation>
  </dataValidations>
  <hyperlinks>
    <hyperlink ref="B34"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H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6" min="3" style="0" width="18"/>
    <col collapsed="false" customWidth="true" hidden="false" outlineLevel="0" max="7" min="7" style="0" width="30"/>
    <col collapsed="false" customWidth="true" hidden="false" outlineLevel="0" max="8" min="8" style="0" width="58"/>
    <col collapsed="false" customWidth="true" hidden="false" outlineLevel="0" max="9" min="9" style="0" width="2.2"/>
  </cols>
  <sheetData>
    <row r="1" customFormat="false" ht="33.75" hidden="false" customHeight="true" outlineLevel="0" collapsed="false">
      <c r="B1" s="38" t="s">
        <v>394</v>
      </c>
      <c r="C1" s="38"/>
      <c r="D1" s="38"/>
      <c r="E1" s="38"/>
      <c r="F1" s="38"/>
      <c r="G1" s="38"/>
      <c r="H1" s="38"/>
    </row>
    <row r="2" customFormat="false" ht="4.5" hidden="false" customHeight="true" outlineLevel="0" collapsed="false">
      <c r="B2" s="116"/>
      <c r="C2" s="116"/>
      <c r="D2" s="116"/>
      <c r="E2" s="116"/>
      <c r="F2" s="116"/>
      <c r="G2" s="116"/>
      <c r="H2" s="116"/>
    </row>
    <row r="4" customFormat="false" ht="25.5" hidden="false" customHeight="true" outlineLevel="0" collapsed="false">
      <c r="B4" s="41" t="s">
        <v>395</v>
      </c>
      <c r="C4" s="41"/>
      <c r="D4" s="41"/>
      <c r="E4" s="41"/>
      <c r="F4" s="41"/>
      <c r="G4" s="41"/>
      <c r="H4" s="41"/>
    </row>
    <row r="6" customFormat="false" ht="21.75" hidden="false" customHeight="true" outlineLevel="0" collapsed="false">
      <c r="B6" s="6" t="s">
        <v>396</v>
      </c>
      <c r="C6" s="6"/>
      <c r="D6" s="6"/>
      <c r="E6" s="6"/>
      <c r="F6" s="6"/>
      <c r="G6" s="6"/>
      <c r="H6" s="6"/>
    </row>
    <row r="7" customFormat="false" ht="19.5" hidden="false" customHeight="true" outlineLevel="0" collapsed="false">
      <c r="B7" s="10" t="s">
        <v>397</v>
      </c>
      <c r="C7" s="10" t="s">
        <v>398</v>
      </c>
      <c r="D7" s="10"/>
      <c r="E7" s="10"/>
      <c r="F7" s="10"/>
      <c r="G7" s="10" t="s">
        <v>399</v>
      </c>
      <c r="H7" s="10"/>
    </row>
    <row r="8" customFormat="false" ht="27.75" hidden="false" customHeight="true" outlineLevel="0" collapsed="false">
      <c r="B8" s="117" t="s">
        <v>400</v>
      </c>
      <c r="C8" s="23" t="s">
        <v>42</v>
      </c>
      <c r="D8" s="23"/>
      <c r="E8" s="23"/>
      <c r="F8" s="23"/>
      <c r="G8" s="118" t="s">
        <v>43</v>
      </c>
      <c r="H8" s="118"/>
    </row>
    <row r="9" customFormat="false" ht="27.75" hidden="false" customHeight="true" outlineLevel="0" collapsed="false">
      <c r="B9" s="119" t="s">
        <v>401</v>
      </c>
      <c r="C9" s="26" t="s">
        <v>44</v>
      </c>
      <c r="D9" s="26"/>
      <c r="E9" s="26"/>
      <c r="F9" s="26"/>
      <c r="G9" s="118" t="s">
        <v>45</v>
      </c>
      <c r="H9" s="118"/>
    </row>
    <row r="10" customFormat="false" ht="27.75" hidden="false" customHeight="true" outlineLevel="0" collapsed="false">
      <c r="B10" s="120" t="s">
        <v>402</v>
      </c>
      <c r="C10" s="28" t="s">
        <v>46</v>
      </c>
      <c r="D10" s="28"/>
      <c r="E10" s="28"/>
      <c r="F10" s="28"/>
      <c r="G10" s="118" t="s">
        <v>47</v>
      </c>
      <c r="H10" s="118"/>
    </row>
    <row r="11" customFormat="false" ht="27.75" hidden="false" customHeight="true" outlineLevel="0" collapsed="false">
      <c r="B11" s="121" t="s">
        <v>403</v>
      </c>
      <c r="C11" s="30" t="s">
        <v>48</v>
      </c>
      <c r="D11" s="30"/>
      <c r="E11" s="30"/>
      <c r="F11" s="30"/>
      <c r="G11" s="118" t="s">
        <v>49</v>
      </c>
      <c r="H11" s="118"/>
    </row>
    <row r="12" customFormat="false" ht="27.75" hidden="false" customHeight="true" outlineLevel="0" collapsed="false">
      <c r="B12" s="122" t="s">
        <v>404</v>
      </c>
      <c r="C12" s="32" t="s">
        <v>50</v>
      </c>
      <c r="D12" s="32"/>
      <c r="E12" s="32"/>
      <c r="F12" s="32"/>
      <c r="G12" s="118" t="s">
        <v>51</v>
      </c>
      <c r="H12" s="118"/>
    </row>
    <row r="13" customFormat="false" ht="27.75" hidden="false" customHeight="true" outlineLevel="0" collapsed="false">
      <c r="B13" s="123" t="s">
        <v>405</v>
      </c>
      <c r="C13" s="34" t="s">
        <v>52</v>
      </c>
      <c r="D13" s="34"/>
      <c r="E13" s="34"/>
      <c r="F13" s="34"/>
      <c r="G13" s="118" t="s">
        <v>53</v>
      </c>
      <c r="H13" s="118"/>
    </row>
    <row r="15" customFormat="false" ht="21.75" hidden="false" customHeight="true" outlineLevel="0" collapsed="false">
      <c r="B15" s="6" t="s">
        <v>406</v>
      </c>
      <c r="C15" s="6"/>
      <c r="D15" s="6"/>
      <c r="E15" s="6"/>
      <c r="F15" s="6"/>
      <c r="G15" s="6"/>
      <c r="H15" s="6"/>
    </row>
    <row r="16" customFormat="false" ht="12.75" hidden="false" customHeight="true" outlineLevel="0" collapsed="false">
      <c r="B16" s="41" t="s">
        <v>407</v>
      </c>
      <c r="C16" s="41"/>
      <c r="D16" s="41"/>
      <c r="E16" s="41"/>
      <c r="F16" s="41"/>
      <c r="G16" s="41"/>
      <c r="H16" s="41"/>
    </row>
    <row r="17" customFormat="false" ht="12.75" hidden="false" customHeight="true" outlineLevel="0" collapsed="false">
      <c r="B17" s="41"/>
      <c r="C17" s="41"/>
      <c r="D17" s="41"/>
      <c r="E17" s="41"/>
      <c r="F17" s="41"/>
      <c r="G17" s="41"/>
      <c r="H17" s="41"/>
    </row>
    <row r="18" customFormat="false" ht="21.75" hidden="false" customHeight="true" outlineLevel="0" collapsed="false">
      <c r="B18" s="10" t="s">
        <v>408</v>
      </c>
      <c r="C18" s="10" t="s">
        <v>236</v>
      </c>
      <c r="D18" s="10" t="s">
        <v>244</v>
      </c>
      <c r="E18" s="10" t="s">
        <v>257</v>
      </c>
      <c r="F18" s="10" t="s">
        <v>276</v>
      </c>
      <c r="G18" s="10" t="s">
        <v>409</v>
      </c>
      <c r="H18" s="10"/>
    </row>
    <row r="19" customFormat="false" ht="30" hidden="false" customHeight="true" outlineLevel="0" collapsed="false">
      <c r="B19" s="124" t="s">
        <v>235</v>
      </c>
      <c r="C19" s="122" t="s">
        <v>116</v>
      </c>
      <c r="D19" s="122" t="s">
        <v>116</v>
      </c>
      <c r="E19" s="121" t="s">
        <v>118</v>
      </c>
      <c r="F19" s="121" t="s">
        <v>118</v>
      </c>
      <c r="G19" s="118" t="s">
        <v>410</v>
      </c>
      <c r="H19" s="118"/>
    </row>
    <row r="20" customFormat="false" ht="30" hidden="false" customHeight="true" outlineLevel="0" collapsed="false">
      <c r="B20" s="124" t="s">
        <v>243</v>
      </c>
      <c r="C20" s="122" t="s">
        <v>116</v>
      </c>
      <c r="D20" s="121" t="s">
        <v>118</v>
      </c>
      <c r="E20" s="121" t="s">
        <v>118</v>
      </c>
      <c r="F20" s="120" t="s">
        <v>120</v>
      </c>
      <c r="G20" s="118" t="s">
        <v>411</v>
      </c>
      <c r="H20" s="118"/>
    </row>
    <row r="21" customFormat="false" ht="30" hidden="false" customHeight="true" outlineLevel="0" collapsed="false">
      <c r="B21" s="124" t="s">
        <v>270</v>
      </c>
      <c r="C21" s="121" t="s">
        <v>118</v>
      </c>
      <c r="D21" s="121" t="s">
        <v>118</v>
      </c>
      <c r="E21" s="120" t="s">
        <v>120</v>
      </c>
      <c r="F21" s="123" t="s">
        <v>122</v>
      </c>
      <c r="G21" s="118" t="s">
        <v>412</v>
      </c>
      <c r="H21" s="118"/>
    </row>
    <row r="22" customFormat="false" ht="30" hidden="false" customHeight="true" outlineLevel="0" collapsed="false">
      <c r="B22" s="124" t="s">
        <v>279</v>
      </c>
      <c r="C22" s="121" t="s">
        <v>118</v>
      </c>
      <c r="D22" s="120" t="s">
        <v>120</v>
      </c>
      <c r="E22" s="123" t="s">
        <v>122</v>
      </c>
      <c r="F22" s="123" t="s">
        <v>122</v>
      </c>
      <c r="G22" s="118" t="s">
        <v>413</v>
      </c>
      <c r="H22" s="118"/>
    </row>
    <row r="24" customFormat="false" ht="19.5" hidden="false" customHeight="true" outlineLevel="0" collapsed="false">
      <c r="B24" s="10" t="s">
        <v>218</v>
      </c>
      <c r="C24" s="10"/>
      <c r="D24" s="10"/>
      <c r="E24" s="10"/>
      <c r="F24" s="10"/>
      <c r="G24" s="10" t="s">
        <v>414</v>
      </c>
      <c r="H24" s="10"/>
    </row>
    <row r="25" customFormat="false" ht="21.75" hidden="false" customHeight="true" outlineLevel="0" collapsed="false">
      <c r="B25" s="125" t="s">
        <v>236</v>
      </c>
      <c r="C25" s="125"/>
      <c r="D25" s="125"/>
      <c r="E25" s="125"/>
      <c r="F25" s="125"/>
      <c r="G25" s="13" t="s">
        <v>415</v>
      </c>
      <c r="H25" s="13"/>
    </row>
    <row r="26" customFormat="false" ht="21.75" hidden="false" customHeight="true" outlineLevel="0" collapsed="false">
      <c r="B26" s="126" t="s">
        <v>244</v>
      </c>
      <c r="C26" s="126"/>
      <c r="D26" s="126"/>
      <c r="E26" s="126"/>
      <c r="F26" s="126"/>
      <c r="G26" s="16" t="s">
        <v>416</v>
      </c>
      <c r="H26" s="16"/>
    </row>
    <row r="27" customFormat="false" ht="21.75" hidden="false" customHeight="true" outlineLevel="0" collapsed="false">
      <c r="B27" s="125" t="s">
        <v>257</v>
      </c>
      <c r="C27" s="125"/>
      <c r="D27" s="125"/>
      <c r="E27" s="125"/>
      <c r="F27" s="125"/>
      <c r="G27" s="13" t="s">
        <v>417</v>
      </c>
      <c r="H27" s="13"/>
    </row>
    <row r="28" customFormat="false" ht="21.75" hidden="false" customHeight="true" outlineLevel="0" collapsed="false">
      <c r="B28" s="126" t="s">
        <v>276</v>
      </c>
      <c r="C28" s="126"/>
      <c r="D28" s="126"/>
      <c r="E28" s="126"/>
      <c r="F28" s="126"/>
      <c r="G28" s="16" t="s">
        <v>418</v>
      </c>
      <c r="H28" s="16"/>
    </row>
    <row r="30" customFormat="false" ht="21.75" hidden="false" customHeight="true" outlineLevel="0" collapsed="false">
      <c r="B30" s="6" t="s">
        <v>419</v>
      </c>
      <c r="C30" s="6"/>
      <c r="D30" s="6"/>
      <c r="E30" s="6"/>
      <c r="F30" s="6"/>
      <c r="G30" s="6"/>
      <c r="H30" s="6"/>
    </row>
    <row r="31" customFormat="false" ht="12.75" hidden="false" customHeight="true" outlineLevel="0" collapsed="false">
      <c r="B31" s="41" t="s">
        <v>420</v>
      </c>
      <c r="C31" s="41"/>
      <c r="D31" s="41"/>
      <c r="E31" s="41"/>
      <c r="F31" s="41"/>
      <c r="G31" s="41"/>
      <c r="H31" s="41"/>
    </row>
    <row r="32" customFormat="false" ht="12.75" hidden="false" customHeight="true" outlineLevel="0" collapsed="false">
      <c r="B32" s="41"/>
      <c r="C32" s="41"/>
      <c r="D32" s="41"/>
      <c r="E32" s="41"/>
      <c r="F32" s="41"/>
      <c r="G32" s="41"/>
      <c r="H32" s="41"/>
    </row>
    <row r="33" customFormat="false" ht="19.5" hidden="false" customHeight="true" outlineLevel="0" collapsed="false">
      <c r="B33" s="10" t="s">
        <v>421</v>
      </c>
      <c r="C33" s="10"/>
      <c r="D33" s="10" t="s">
        <v>422</v>
      </c>
      <c r="E33" s="10"/>
      <c r="F33" s="10"/>
      <c r="G33" s="10" t="s">
        <v>423</v>
      </c>
      <c r="H33" s="10"/>
    </row>
    <row r="34" customFormat="false" ht="33.75" hidden="false" customHeight="true" outlineLevel="0" collapsed="false">
      <c r="B34" s="127" t="s">
        <v>424</v>
      </c>
      <c r="C34" s="127"/>
      <c r="D34" s="128" t="s">
        <v>425</v>
      </c>
      <c r="E34" s="128"/>
      <c r="F34" s="128"/>
      <c r="G34" s="127" t="s">
        <v>426</v>
      </c>
      <c r="H34" s="127"/>
    </row>
    <row r="35" customFormat="false" ht="33.75" hidden="false" customHeight="true" outlineLevel="0" collapsed="false">
      <c r="B35" s="129" t="s">
        <v>427</v>
      </c>
      <c r="C35" s="129"/>
      <c r="D35" s="130" t="s">
        <v>428</v>
      </c>
      <c r="E35" s="130"/>
      <c r="F35" s="130"/>
      <c r="G35" s="129" t="s">
        <v>429</v>
      </c>
      <c r="H35" s="129"/>
    </row>
    <row r="36" customFormat="false" ht="33.75" hidden="false" customHeight="true" outlineLevel="0" collapsed="false">
      <c r="B36" s="127" t="s">
        <v>430</v>
      </c>
      <c r="C36" s="127"/>
      <c r="D36" s="128" t="s">
        <v>431</v>
      </c>
      <c r="E36" s="128"/>
      <c r="F36" s="128"/>
      <c r="G36" s="127" t="s">
        <v>432</v>
      </c>
      <c r="H36" s="127"/>
    </row>
    <row r="37" customFormat="false" ht="33.75" hidden="false" customHeight="true" outlineLevel="0" collapsed="false">
      <c r="B37" s="129" t="s">
        <v>433</v>
      </c>
      <c r="C37" s="129"/>
      <c r="D37" s="130" t="s">
        <v>434</v>
      </c>
      <c r="E37" s="130"/>
      <c r="F37" s="130"/>
      <c r="G37" s="129" t="s">
        <v>435</v>
      </c>
      <c r="H37" s="129"/>
    </row>
    <row r="38" customFormat="false" ht="33.75" hidden="false" customHeight="true" outlineLevel="0" collapsed="false">
      <c r="B38" s="127" t="s">
        <v>436</v>
      </c>
      <c r="C38" s="127"/>
      <c r="D38" s="128" t="s">
        <v>437</v>
      </c>
      <c r="E38" s="128"/>
      <c r="F38" s="128"/>
      <c r="G38" s="127" t="s">
        <v>438</v>
      </c>
      <c r="H38" s="127"/>
    </row>
    <row r="39" customFormat="false" ht="33.75" hidden="false" customHeight="true" outlineLevel="0" collapsed="false">
      <c r="B39" s="129" t="s">
        <v>439</v>
      </c>
      <c r="C39" s="129"/>
      <c r="D39" s="130" t="s">
        <v>440</v>
      </c>
      <c r="E39" s="130"/>
      <c r="F39" s="130"/>
      <c r="G39" s="129" t="s">
        <v>441</v>
      </c>
      <c r="H39" s="129"/>
    </row>
    <row r="40" customFormat="false" ht="33.75" hidden="false" customHeight="true" outlineLevel="0" collapsed="false">
      <c r="B40" s="127" t="s">
        <v>442</v>
      </c>
      <c r="C40" s="127"/>
      <c r="D40" s="128" t="s">
        <v>443</v>
      </c>
      <c r="E40" s="128"/>
      <c r="F40" s="128"/>
      <c r="G40" s="127" t="s">
        <v>444</v>
      </c>
      <c r="H40" s="127"/>
    </row>
    <row r="41" customFormat="false" ht="42" hidden="false" customHeight="true" outlineLevel="0" collapsed="false">
      <c r="B41" s="131" t="s">
        <v>445</v>
      </c>
      <c r="C41" s="131"/>
      <c r="D41" s="132" t="s">
        <v>446</v>
      </c>
      <c r="E41" s="132"/>
      <c r="F41" s="132"/>
      <c r="G41" s="131" t="s">
        <v>447</v>
      </c>
      <c r="H41" s="131"/>
    </row>
    <row r="43" customFormat="false" ht="21.75" hidden="false" customHeight="true" outlineLevel="0" collapsed="false">
      <c r="B43" s="6" t="s">
        <v>448</v>
      </c>
      <c r="C43" s="6"/>
      <c r="D43" s="6"/>
      <c r="E43" s="6"/>
      <c r="F43" s="6"/>
      <c r="G43" s="6"/>
      <c r="H43" s="6"/>
    </row>
    <row r="44" customFormat="false" ht="19.5" hidden="false" customHeight="true" outlineLevel="0" collapsed="false">
      <c r="B44" s="10" t="s">
        <v>214</v>
      </c>
      <c r="C44" s="10"/>
      <c r="D44" s="10" t="s">
        <v>449</v>
      </c>
      <c r="E44" s="10"/>
      <c r="F44" s="10"/>
      <c r="G44" s="10"/>
      <c r="H44" s="10"/>
    </row>
    <row r="45" customFormat="false" ht="30" hidden="false" customHeight="true" outlineLevel="0" collapsed="false">
      <c r="B45" s="128" t="s">
        <v>232</v>
      </c>
      <c r="C45" s="128"/>
      <c r="D45" s="127" t="s">
        <v>450</v>
      </c>
      <c r="E45" s="127"/>
      <c r="F45" s="127"/>
      <c r="G45" s="127"/>
      <c r="H45" s="127"/>
    </row>
    <row r="46" customFormat="false" ht="30" hidden="false" customHeight="true" outlineLevel="0" collapsed="false">
      <c r="B46" s="130" t="s">
        <v>248</v>
      </c>
      <c r="C46" s="130"/>
      <c r="D46" s="129" t="s">
        <v>451</v>
      </c>
      <c r="E46" s="129"/>
      <c r="F46" s="129"/>
      <c r="G46" s="129"/>
      <c r="H46" s="129"/>
    </row>
    <row r="47" customFormat="false" ht="30" hidden="false" customHeight="true" outlineLevel="0" collapsed="false">
      <c r="B47" s="128" t="s">
        <v>241</v>
      </c>
      <c r="C47" s="128"/>
      <c r="D47" s="127" t="s">
        <v>452</v>
      </c>
      <c r="E47" s="127"/>
      <c r="F47" s="127"/>
      <c r="G47" s="127"/>
      <c r="H47" s="127"/>
    </row>
    <row r="48" customFormat="false" ht="30" hidden="false" customHeight="true" outlineLevel="0" collapsed="false">
      <c r="B48" s="130" t="s">
        <v>278</v>
      </c>
      <c r="C48" s="130"/>
      <c r="D48" s="129" t="s">
        <v>453</v>
      </c>
      <c r="E48" s="129"/>
      <c r="F48" s="129"/>
      <c r="G48" s="129"/>
      <c r="H48" s="129"/>
    </row>
    <row r="49" customFormat="false" ht="30" hidden="false" customHeight="true" outlineLevel="0" collapsed="false">
      <c r="B49" s="128" t="s">
        <v>283</v>
      </c>
      <c r="C49" s="128"/>
      <c r="D49" s="127" t="s">
        <v>454</v>
      </c>
      <c r="E49" s="127"/>
      <c r="F49" s="127"/>
      <c r="G49" s="127"/>
      <c r="H49" s="127"/>
    </row>
    <row r="51" customFormat="false" ht="21.75" hidden="false" customHeight="true" outlineLevel="0" collapsed="false">
      <c r="B51" s="6" t="s">
        <v>455</v>
      </c>
      <c r="C51" s="6"/>
      <c r="D51" s="6"/>
      <c r="E51" s="6"/>
      <c r="F51" s="6"/>
      <c r="G51" s="6"/>
      <c r="H51" s="6"/>
    </row>
    <row r="52" customFormat="false" ht="27.75" hidden="false" customHeight="true" outlineLevel="0" collapsed="false">
      <c r="B52" s="128" t="s">
        <v>300</v>
      </c>
      <c r="C52" s="128"/>
      <c r="D52" s="127" t="s">
        <v>456</v>
      </c>
      <c r="E52" s="127"/>
      <c r="F52" s="127"/>
      <c r="G52" s="127"/>
      <c r="H52" s="127"/>
    </row>
    <row r="53" customFormat="false" ht="27.75" hidden="false" customHeight="true" outlineLevel="0" collapsed="false">
      <c r="B53" s="130" t="s">
        <v>217</v>
      </c>
      <c r="C53" s="130"/>
      <c r="D53" s="129" t="s">
        <v>457</v>
      </c>
      <c r="E53" s="129"/>
      <c r="F53" s="129"/>
      <c r="G53" s="129"/>
      <c r="H53" s="129"/>
    </row>
    <row r="54" customFormat="false" ht="27.75" hidden="false" customHeight="true" outlineLevel="0" collapsed="false">
      <c r="B54" s="128" t="s">
        <v>218</v>
      </c>
      <c r="C54" s="128"/>
      <c r="D54" s="127" t="s">
        <v>458</v>
      </c>
      <c r="E54" s="127"/>
      <c r="F54" s="127"/>
      <c r="G54" s="127"/>
      <c r="H54" s="127"/>
    </row>
    <row r="55" customFormat="false" ht="27.75" hidden="false" customHeight="true" outlineLevel="0" collapsed="false">
      <c r="B55" s="130" t="s">
        <v>113</v>
      </c>
      <c r="C55" s="130"/>
      <c r="D55" s="129" t="s">
        <v>459</v>
      </c>
      <c r="E55" s="129"/>
      <c r="F55" s="129"/>
      <c r="G55" s="129"/>
      <c r="H55" s="129"/>
    </row>
    <row r="56" customFormat="false" ht="27.75" hidden="false" customHeight="true" outlineLevel="0" collapsed="false">
      <c r="B56" s="128" t="s">
        <v>460</v>
      </c>
      <c r="C56" s="128"/>
      <c r="D56" s="127" t="s">
        <v>461</v>
      </c>
      <c r="E56" s="127"/>
      <c r="F56" s="127"/>
      <c r="G56" s="127"/>
      <c r="H56" s="127"/>
    </row>
    <row r="57" customFormat="false" ht="27.75" hidden="false" customHeight="true" outlineLevel="0" collapsed="false">
      <c r="B57" s="130" t="s">
        <v>462</v>
      </c>
      <c r="C57" s="130"/>
      <c r="D57" s="129" t="s">
        <v>463</v>
      </c>
      <c r="E57" s="129"/>
      <c r="F57" s="129"/>
      <c r="G57" s="129"/>
      <c r="H57" s="129"/>
    </row>
    <row r="58" customFormat="false" ht="27.75" hidden="false" customHeight="true" outlineLevel="0" collapsed="false">
      <c r="B58" s="128" t="s">
        <v>464</v>
      </c>
      <c r="C58" s="128"/>
      <c r="D58" s="127" t="s">
        <v>465</v>
      </c>
      <c r="E58" s="127"/>
      <c r="F58" s="127"/>
      <c r="G58" s="127"/>
      <c r="H58" s="127"/>
    </row>
    <row r="59" customFormat="false" ht="27.75" hidden="false" customHeight="true" outlineLevel="0" collapsed="false">
      <c r="B59" s="130" t="s">
        <v>389</v>
      </c>
      <c r="C59" s="130"/>
      <c r="D59" s="129" t="s">
        <v>466</v>
      </c>
      <c r="E59" s="129"/>
      <c r="F59" s="129"/>
      <c r="G59" s="129"/>
      <c r="H59" s="129"/>
    </row>
    <row r="60" customFormat="false" ht="27.75" hidden="false" customHeight="true" outlineLevel="0" collapsed="false">
      <c r="B60" s="128" t="s">
        <v>241</v>
      </c>
      <c r="C60" s="128"/>
      <c r="D60" s="127" t="s">
        <v>467</v>
      </c>
      <c r="E60" s="127"/>
      <c r="F60" s="127"/>
      <c r="G60" s="127"/>
      <c r="H60" s="127"/>
    </row>
    <row r="61" customFormat="false" ht="27.75" hidden="false" customHeight="true" outlineLevel="0" collapsed="false">
      <c r="B61" s="130" t="s">
        <v>468</v>
      </c>
      <c r="C61" s="130"/>
      <c r="D61" s="129" t="s">
        <v>469</v>
      </c>
      <c r="E61" s="129"/>
      <c r="F61" s="129"/>
      <c r="G61" s="129"/>
      <c r="H61" s="129"/>
    </row>
    <row r="62" customFormat="false" ht="27.75" hidden="false" customHeight="true" outlineLevel="0" collapsed="false">
      <c r="B62" s="128" t="s">
        <v>52</v>
      </c>
      <c r="C62" s="128"/>
      <c r="D62" s="127" t="s">
        <v>470</v>
      </c>
      <c r="E62" s="127"/>
      <c r="F62" s="127"/>
      <c r="G62" s="127"/>
      <c r="H62" s="127"/>
    </row>
    <row r="64" customFormat="false" ht="21.75" hidden="false" customHeight="true" outlineLevel="0" collapsed="false">
      <c r="B64" s="6" t="s">
        <v>471</v>
      </c>
      <c r="C64" s="6"/>
      <c r="D64" s="6"/>
      <c r="E64" s="6"/>
      <c r="F64" s="6"/>
      <c r="G64" s="6"/>
      <c r="H64" s="6"/>
    </row>
    <row r="65" customFormat="false" ht="19.5" hidden="false" customHeight="true" outlineLevel="0" collapsed="false">
      <c r="B65" s="10" t="s">
        <v>472</v>
      </c>
      <c r="C65" s="10"/>
      <c r="D65" s="10" t="s">
        <v>473</v>
      </c>
      <c r="E65" s="10"/>
      <c r="F65" s="10"/>
      <c r="G65" s="10" t="s">
        <v>378</v>
      </c>
      <c r="H65" s="10"/>
    </row>
    <row r="66" customFormat="false" ht="25.5" hidden="false" customHeight="true" outlineLevel="0" collapsed="false">
      <c r="B66" s="128" t="s">
        <v>474</v>
      </c>
      <c r="C66" s="128"/>
      <c r="D66" s="127" t="s">
        <v>475</v>
      </c>
      <c r="E66" s="127"/>
      <c r="F66" s="127"/>
      <c r="G66" s="127" t="s">
        <v>476</v>
      </c>
      <c r="H66" s="127"/>
    </row>
    <row r="67" customFormat="false" ht="25.5" hidden="false" customHeight="true" outlineLevel="0" collapsed="false">
      <c r="B67" s="130" t="s">
        <v>92</v>
      </c>
      <c r="C67" s="130"/>
      <c r="D67" s="129" t="s">
        <v>477</v>
      </c>
      <c r="E67" s="129"/>
      <c r="F67" s="129"/>
      <c r="G67" s="129" t="s">
        <v>478</v>
      </c>
      <c r="H67" s="129"/>
    </row>
    <row r="68" customFormat="false" ht="25.5" hidden="false" customHeight="true" outlineLevel="0" collapsed="false">
      <c r="B68" s="128" t="s">
        <v>137</v>
      </c>
      <c r="C68" s="128"/>
      <c r="D68" s="127" t="s">
        <v>479</v>
      </c>
      <c r="E68" s="127"/>
      <c r="F68" s="127"/>
      <c r="G68" s="127" t="s">
        <v>480</v>
      </c>
      <c r="H68" s="127"/>
    </row>
    <row r="69" customFormat="false" ht="25.5" hidden="false" customHeight="true" outlineLevel="0" collapsed="false">
      <c r="B69" s="130" t="s">
        <v>221</v>
      </c>
      <c r="C69" s="130"/>
      <c r="D69" s="129" t="s">
        <v>481</v>
      </c>
      <c r="E69" s="129"/>
      <c r="F69" s="129"/>
      <c r="G69" s="129" t="s">
        <v>482</v>
      </c>
      <c r="H69" s="129"/>
    </row>
    <row r="70" customFormat="false" ht="25.5" hidden="false" customHeight="true" outlineLevel="0" collapsed="false">
      <c r="B70" s="128" t="s">
        <v>483</v>
      </c>
      <c r="C70" s="128"/>
      <c r="D70" s="127" t="s">
        <v>484</v>
      </c>
      <c r="E70" s="127"/>
      <c r="F70" s="127"/>
      <c r="G70" s="127" t="s">
        <v>485</v>
      </c>
      <c r="H70" s="127"/>
    </row>
    <row r="71" customFormat="false" ht="25.5" hidden="false" customHeight="true" outlineLevel="0" collapsed="false">
      <c r="B71" s="130" t="s">
        <v>486</v>
      </c>
      <c r="C71" s="130"/>
      <c r="D71" s="129" t="s">
        <v>487</v>
      </c>
      <c r="E71" s="129"/>
      <c r="F71" s="129"/>
      <c r="G71" s="129" t="s">
        <v>488</v>
      </c>
      <c r="H71" s="129"/>
    </row>
    <row r="72" customFormat="false" ht="25.5" hidden="false" customHeight="true" outlineLevel="0" collapsed="false">
      <c r="B72" s="128" t="s">
        <v>267</v>
      </c>
      <c r="C72" s="128"/>
      <c r="D72" s="127" t="s">
        <v>489</v>
      </c>
      <c r="E72" s="127"/>
      <c r="F72" s="127"/>
      <c r="G72" s="127" t="s">
        <v>490</v>
      </c>
      <c r="H72" s="127"/>
    </row>
    <row r="74" customFormat="false" ht="21.75" hidden="false" customHeight="true" outlineLevel="0" collapsed="false">
      <c r="B74" s="6" t="s">
        <v>491</v>
      </c>
      <c r="C74" s="6"/>
      <c r="D74" s="6"/>
      <c r="E74" s="6"/>
      <c r="F74" s="6"/>
      <c r="G74" s="6"/>
      <c r="H74" s="6"/>
    </row>
    <row r="75" customFormat="false" ht="18.75" hidden="false" customHeight="true" outlineLevel="0" collapsed="false">
      <c r="B75" s="133" t="s">
        <v>492</v>
      </c>
      <c r="C75" s="134" t="s">
        <v>493</v>
      </c>
      <c r="D75" s="134"/>
      <c r="E75" s="134"/>
      <c r="F75" s="134"/>
      <c r="G75" s="134"/>
      <c r="H75" s="134"/>
    </row>
    <row r="76" customFormat="false" ht="18.75" hidden="false" customHeight="true" outlineLevel="0" collapsed="false">
      <c r="B76" s="135" t="s">
        <v>494</v>
      </c>
      <c r="C76" s="134" t="s">
        <v>495</v>
      </c>
      <c r="D76" s="134"/>
      <c r="E76" s="134"/>
      <c r="F76" s="134"/>
      <c r="G76" s="134"/>
      <c r="H76" s="134"/>
    </row>
    <row r="77" customFormat="false" ht="18.75" hidden="false" customHeight="true" outlineLevel="0" collapsed="false">
      <c r="B77" s="136" t="s">
        <v>496</v>
      </c>
      <c r="C77" s="134" t="s">
        <v>497</v>
      </c>
      <c r="D77" s="134"/>
      <c r="E77" s="134"/>
      <c r="F77" s="134"/>
      <c r="G77" s="134"/>
      <c r="H77" s="134"/>
    </row>
    <row r="78" customFormat="false" ht="18.75" hidden="false" customHeight="true" outlineLevel="0" collapsed="false">
      <c r="B78" s="137" t="s">
        <v>498</v>
      </c>
      <c r="C78" s="134" t="s">
        <v>499</v>
      </c>
      <c r="D78" s="134"/>
      <c r="E78" s="134"/>
      <c r="F78" s="134"/>
      <c r="G78" s="134"/>
      <c r="H78" s="134"/>
    </row>
    <row r="80" customFormat="false" ht="21.75" hidden="false" customHeight="true" outlineLevel="0" collapsed="false">
      <c r="B80" s="6" t="s">
        <v>500</v>
      </c>
      <c r="C80" s="6"/>
      <c r="D80" s="6"/>
      <c r="E80" s="6"/>
      <c r="F80" s="6"/>
      <c r="G80" s="6"/>
      <c r="H80" s="6"/>
    </row>
    <row r="81" customFormat="false" ht="19.5" hidden="false" customHeight="true" outlineLevel="0" collapsed="false">
      <c r="B81" s="138" t="s">
        <v>176</v>
      </c>
      <c r="C81" s="138" t="s">
        <v>501</v>
      </c>
      <c r="D81" s="138" t="s">
        <v>217</v>
      </c>
      <c r="E81" s="138" t="s">
        <v>218</v>
      </c>
      <c r="F81" s="138" t="s">
        <v>194</v>
      </c>
      <c r="G81" s="138" t="s">
        <v>221</v>
      </c>
      <c r="H81" s="138" t="s">
        <v>369</v>
      </c>
    </row>
    <row r="82" customFormat="false" ht="24" hidden="false" customHeight="true" outlineLevel="0" collapsed="false">
      <c r="B82" s="13" t="s">
        <v>178</v>
      </c>
      <c r="C82" s="13" t="s">
        <v>232</v>
      </c>
      <c r="D82" s="13" t="s">
        <v>235</v>
      </c>
      <c r="E82" s="13" t="s">
        <v>236</v>
      </c>
      <c r="F82" s="13" t="s">
        <v>196</v>
      </c>
      <c r="G82" s="13" t="s">
        <v>245</v>
      </c>
      <c r="H82" s="13" t="s">
        <v>389</v>
      </c>
    </row>
    <row r="83" customFormat="false" ht="24" hidden="false" customHeight="true" outlineLevel="0" collapsed="false">
      <c r="B83" s="16" t="s">
        <v>179</v>
      </c>
      <c r="C83" s="16" t="s">
        <v>248</v>
      </c>
      <c r="D83" s="16" t="s">
        <v>243</v>
      </c>
      <c r="E83" s="16" t="s">
        <v>244</v>
      </c>
      <c r="F83" s="16" t="s">
        <v>197</v>
      </c>
      <c r="G83" s="16" t="s">
        <v>237</v>
      </c>
      <c r="H83" s="16" t="s">
        <v>386</v>
      </c>
    </row>
    <row r="84" customFormat="false" ht="24" hidden="false" customHeight="true" outlineLevel="0" collapsed="false">
      <c r="B84" s="13" t="s">
        <v>180</v>
      </c>
      <c r="C84" s="13" t="s">
        <v>241</v>
      </c>
      <c r="D84" s="13" t="s">
        <v>270</v>
      </c>
      <c r="E84" s="13" t="s">
        <v>257</v>
      </c>
      <c r="F84" s="13" t="s">
        <v>198</v>
      </c>
      <c r="G84" s="13" t="s">
        <v>253</v>
      </c>
      <c r="H84" s="13" t="s">
        <v>502</v>
      </c>
    </row>
    <row r="85" customFormat="false" ht="24" hidden="false" customHeight="true" outlineLevel="0" collapsed="false">
      <c r="B85" s="16" t="s">
        <v>181</v>
      </c>
      <c r="C85" s="16" t="s">
        <v>278</v>
      </c>
      <c r="D85" s="16" t="s">
        <v>279</v>
      </c>
      <c r="E85" s="16" t="s">
        <v>276</v>
      </c>
      <c r="F85" s="16" t="s">
        <v>199</v>
      </c>
      <c r="H85" s="16" t="s">
        <v>380</v>
      </c>
    </row>
    <row r="86" customFormat="false" ht="24" hidden="false" customHeight="true" outlineLevel="0" collapsed="false">
      <c r="B86" s="13" t="s">
        <v>182</v>
      </c>
      <c r="C86" s="13" t="s">
        <v>283</v>
      </c>
      <c r="F86" s="13" t="s">
        <v>200</v>
      </c>
      <c r="H86" s="13" t="s">
        <v>503</v>
      </c>
    </row>
    <row r="87" customFormat="false" ht="24" hidden="false" customHeight="true" outlineLevel="0" collapsed="false">
      <c r="B87" s="16" t="s">
        <v>183</v>
      </c>
      <c r="F87" s="16" t="s">
        <v>201</v>
      </c>
      <c r="H87" s="16" t="s">
        <v>382</v>
      </c>
    </row>
    <row r="88" customFormat="false" ht="24" hidden="false" customHeight="true" outlineLevel="0" collapsed="false">
      <c r="B88" s="13" t="s">
        <v>184</v>
      </c>
      <c r="H88" s="13" t="s">
        <v>504</v>
      </c>
    </row>
    <row r="89" customFormat="false" ht="24" hidden="false" customHeight="true" outlineLevel="0" collapsed="false">
      <c r="B89" s="16" t="s">
        <v>185</v>
      </c>
      <c r="H89" s="16" t="s">
        <v>505</v>
      </c>
    </row>
    <row r="90" customFormat="false" ht="24" hidden="false" customHeight="true" outlineLevel="0" collapsed="false">
      <c r="B90" s="13" t="s">
        <v>186</v>
      </c>
    </row>
    <row r="91" customFormat="false" ht="24" hidden="false" customHeight="true" outlineLevel="0" collapsed="false">
      <c r="B91" s="16" t="s">
        <v>187</v>
      </c>
    </row>
    <row r="92" customFormat="false" ht="24" hidden="false" customHeight="true" outlineLevel="0" collapsed="false">
      <c r="B92" s="13" t="s">
        <v>188</v>
      </c>
    </row>
    <row r="93" customFormat="false" ht="24" hidden="false" customHeight="true" outlineLevel="0" collapsed="false">
      <c r="B93" s="16" t="s">
        <v>189</v>
      </c>
    </row>
    <row r="94" customFormat="false" ht="24" hidden="false" customHeight="true" outlineLevel="0" collapsed="false">
      <c r="B94" s="13" t="s">
        <v>190</v>
      </c>
    </row>
    <row r="95" customFormat="false" ht="24" hidden="false" customHeight="true" outlineLevel="0" collapsed="false">
      <c r="B95" s="16" t="s">
        <v>191</v>
      </c>
    </row>
    <row r="97" customFormat="false" ht="19.5" hidden="false" customHeight="true" outlineLevel="0" collapsed="false">
      <c r="B97" s="138" t="s">
        <v>506</v>
      </c>
      <c r="C97" s="138" t="s">
        <v>507</v>
      </c>
      <c r="D97" s="138" t="s">
        <v>508</v>
      </c>
      <c r="E97" s="138" t="s">
        <v>509</v>
      </c>
    </row>
    <row r="98" customFormat="false" ht="24" hidden="false" customHeight="true" outlineLevel="0" collapsed="false">
      <c r="B98" s="13" t="s">
        <v>379</v>
      </c>
      <c r="C98" s="13" t="s">
        <v>137</v>
      </c>
      <c r="D98" s="13" t="s">
        <v>291</v>
      </c>
      <c r="E98" s="13" t="s">
        <v>107</v>
      </c>
    </row>
    <row r="99" customFormat="false" ht="24" hidden="false" customHeight="true" outlineLevel="0" collapsed="false">
      <c r="B99" s="16" t="s">
        <v>385</v>
      </c>
      <c r="C99" s="16" t="s">
        <v>140</v>
      </c>
      <c r="D99" s="16" t="s">
        <v>510</v>
      </c>
      <c r="E99" s="16" t="s">
        <v>511</v>
      </c>
    </row>
    <row r="100" customFormat="false" ht="24" hidden="false" customHeight="true" outlineLevel="0" collapsed="false">
      <c r="C100" s="13" t="s">
        <v>143</v>
      </c>
      <c r="D100" s="13" t="s">
        <v>512</v>
      </c>
    </row>
    <row r="101" customFormat="false" ht="24" hidden="false" customHeight="true" outlineLevel="0" collapsed="false">
      <c r="C101" s="16" t="s">
        <v>146</v>
      </c>
      <c r="D101" s="16" t="s">
        <v>513</v>
      </c>
    </row>
    <row r="104" customFormat="false" ht="18" hidden="false" customHeight="true" outlineLevel="0" collapsed="false">
      <c r="B104" s="59" t="s">
        <v>152</v>
      </c>
      <c r="C104" s="59"/>
      <c r="D104" s="59"/>
      <c r="E104" s="59"/>
      <c r="F104" s="59"/>
      <c r="G104" s="59"/>
      <c r="H104" s="59"/>
    </row>
  </sheetData>
  <mergeCells count="132">
    <mergeCell ref="B1:H1"/>
    <mergeCell ref="B2:H2"/>
    <mergeCell ref="B4:H4"/>
    <mergeCell ref="B6:H6"/>
    <mergeCell ref="C7:F7"/>
    <mergeCell ref="G7:H7"/>
    <mergeCell ref="C8:F8"/>
    <mergeCell ref="G8:H8"/>
    <mergeCell ref="C9:F9"/>
    <mergeCell ref="G9:H9"/>
    <mergeCell ref="C10:F10"/>
    <mergeCell ref="G10:H10"/>
    <mergeCell ref="C11:F11"/>
    <mergeCell ref="G11:H11"/>
    <mergeCell ref="C12:F12"/>
    <mergeCell ref="G12:H12"/>
    <mergeCell ref="C13:F13"/>
    <mergeCell ref="G13:H13"/>
    <mergeCell ref="B15:H15"/>
    <mergeCell ref="B16:H17"/>
    <mergeCell ref="G18:H18"/>
    <mergeCell ref="G19:H19"/>
    <mergeCell ref="G20:H20"/>
    <mergeCell ref="G21:H21"/>
    <mergeCell ref="G22:H22"/>
    <mergeCell ref="B24:F24"/>
    <mergeCell ref="G24:H24"/>
    <mergeCell ref="B25:F25"/>
    <mergeCell ref="G25:H25"/>
    <mergeCell ref="B26:F26"/>
    <mergeCell ref="G26:H26"/>
    <mergeCell ref="B27:F27"/>
    <mergeCell ref="G27:H27"/>
    <mergeCell ref="B28:F28"/>
    <mergeCell ref="G28:H28"/>
    <mergeCell ref="B30:H30"/>
    <mergeCell ref="B31:H32"/>
    <mergeCell ref="B33:C33"/>
    <mergeCell ref="D33:F33"/>
    <mergeCell ref="G33:H33"/>
    <mergeCell ref="B34:C34"/>
    <mergeCell ref="D34:F34"/>
    <mergeCell ref="G34:H34"/>
    <mergeCell ref="B35:C35"/>
    <mergeCell ref="D35:F35"/>
    <mergeCell ref="G35:H35"/>
    <mergeCell ref="B36:C36"/>
    <mergeCell ref="D36:F36"/>
    <mergeCell ref="G36:H36"/>
    <mergeCell ref="B37:C37"/>
    <mergeCell ref="D37:F37"/>
    <mergeCell ref="G37:H37"/>
    <mergeCell ref="B38:C38"/>
    <mergeCell ref="D38:F38"/>
    <mergeCell ref="G38:H38"/>
    <mergeCell ref="B39:C39"/>
    <mergeCell ref="D39:F39"/>
    <mergeCell ref="G39:H39"/>
    <mergeCell ref="B40:C40"/>
    <mergeCell ref="D40:F40"/>
    <mergeCell ref="G40:H40"/>
    <mergeCell ref="B41:C41"/>
    <mergeCell ref="D41:F41"/>
    <mergeCell ref="G41:H41"/>
    <mergeCell ref="B43:H43"/>
    <mergeCell ref="B44:C44"/>
    <mergeCell ref="D44:H44"/>
    <mergeCell ref="B45:C45"/>
    <mergeCell ref="D45:H45"/>
    <mergeCell ref="B46:C46"/>
    <mergeCell ref="D46:H46"/>
    <mergeCell ref="B47:C47"/>
    <mergeCell ref="D47:H47"/>
    <mergeCell ref="B48:C48"/>
    <mergeCell ref="D48:H48"/>
    <mergeCell ref="B49:C49"/>
    <mergeCell ref="D49:H49"/>
    <mergeCell ref="B51:H51"/>
    <mergeCell ref="B52:C52"/>
    <mergeCell ref="D52:H52"/>
    <mergeCell ref="B53:C53"/>
    <mergeCell ref="D53:H53"/>
    <mergeCell ref="B54:C54"/>
    <mergeCell ref="D54:H54"/>
    <mergeCell ref="B55:C55"/>
    <mergeCell ref="D55:H55"/>
    <mergeCell ref="B56:C56"/>
    <mergeCell ref="D56:H56"/>
    <mergeCell ref="B57:C57"/>
    <mergeCell ref="D57:H57"/>
    <mergeCell ref="B58:C58"/>
    <mergeCell ref="D58:H58"/>
    <mergeCell ref="B59:C59"/>
    <mergeCell ref="D59:H59"/>
    <mergeCell ref="B60:C60"/>
    <mergeCell ref="D60:H60"/>
    <mergeCell ref="B61:C61"/>
    <mergeCell ref="D61:H61"/>
    <mergeCell ref="B62:C62"/>
    <mergeCell ref="D62:H62"/>
    <mergeCell ref="B64:H64"/>
    <mergeCell ref="B65:C65"/>
    <mergeCell ref="D65:F65"/>
    <mergeCell ref="G65:H65"/>
    <mergeCell ref="B66:C66"/>
    <mergeCell ref="D66:F66"/>
    <mergeCell ref="G66:H66"/>
    <mergeCell ref="B67:C67"/>
    <mergeCell ref="D67:F67"/>
    <mergeCell ref="G67:H67"/>
    <mergeCell ref="B68:C68"/>
    <mergeCell ref="D68:F68"/>
    <mergeCell ref="G68:H68"/>
    <mergeCell ref="B69:C69"/>
    <mergeCell ref="D69:F69"/>
    <mergeCell ref="G69:H69"/>
    <mergeCell ref="B70:C70"/>
    <mergeCell ref="D70:F70"/>
    <mergeCell ref="G70:H70"/>
    <mergeCell ref="B71:C71"/>
    <mergeCell ref="D71:F71"/>
    <mergeCell ref="G71:H71"/>
    <mergeCell ref="B72:C72"/>
    <mergeCell ref="D72:F72"/>
    <mergeCell ref="G72:H72"/>
    <mergeCell ref="B74:H74"/>
    <mergeCell ref="C75:H75"/>
    <mergeCell ref="C76:H76"/>
    <mergeCell ref="C77:H77"/>
    <mergeCell ref="C78:H78"/>
    <mergeCell ref="B80:H80"/>
    <mergeCell ref="B104:H104"/>
  </mergeCells>
  <hyperlinks>
    <hyperlink ref="B104"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29" man="true" max="16383" min="0"/>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2026-08-17T02:15:11Z</dcterms:created>
  <dc:creator>openpyxl</dc:creator>
  <dc:description/>
  <dc:language>en-US</dc:language>
  <cp:lastModifiedBy/>
  <dcterms:modified xsi:type="dcterms:W3CDTF">2026-08-17T02:15:11Z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