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10.xml.rels" ContentType="application/vnd.openxmlformats-package.relationships+xml"/>
  <Override PartName="/xl/worksheets/_rels/sheet4.xml.rels" ContentType="application/vnd.openxmlformats-package.relationships+xml"/>
  <Override PartName="/xl/worksheets/_rels/sheet9.xml.rels" ContentType="application/vnd.openxmlformats-package.relationships+xml"/>
  <Override PartName="/xl/worksheets/_rels/sheet8.xml.rels" ContentType="application/vnd.openxmlformats-package.relationships+xml"/>
  <Override PartName="/xl/worksheets/_rels/sheet7.xml.rels" ContentType="application/vnd.openxmlformats-package.relationships+xml"/>
  <Override PartName="/xl/worksheets/_rels/sheet6.xml.rels" ContentType="application/vnd.openxmlformats-package.relationships+xml"/>
  <Override PartName="/xl/worksheets/_rels/sheet5.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9.xml.rels" ContentType="application/vnd.openxmlformats-package.relationships+xml"/>
  <Override PartName="/xl/drawings/_rels/drawing8.xml.rels" ContentType="application/vnd.openxmlformats-package.relationships+xml"/>
  <Override PartName="/xl/drawings/_rels/drawing7.xml.rels" ContentType="application/vnd.openxmlformats-package.relationships+xml"/>
  <Override PartName="/xl/drawings/_rels/drawing10.xml.rels" ContentType="application/vnd.openxmlformats-package.relationships+xml"/>
  <Override PartName="/xl/drawings/_rels/drawing5.xml.rels" ContentType="application/vnd.openxmlformats-package.relationships+xml"/>
  <Override PartName="/xl/drawings/_rels/drawing6.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10.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Setup" sheetId="2" state="visible" r:id="rId4"/>
    <sheet name="Programme Summary" sheetId="3" state="visible" r:id="rId5"/>
    <sheet name="Programme" sheetId="4" state="visible" r:id="rId6"/>
    <sheet name="Power &amp; Grid" sheetId="5" state="visible" r:id="rId7"/>
    <sheet name="Long-Lead Procurement" sheetId="6" state="visible" r:id="rId8"/>
    <sheet name="Commissioning" sheetId="7" state="visible" r:id="rId9"/>
    <sheet name="Operational Readiness" sheetId="8" state="visible" r:id="rId10"/>
    <sheet name="Design Basis" sheetId="9" state="visible" r:id="rId11"/>
    <sheet name="Reference" sheetId="10" state="visible" r:id="rId12"/>
  </sheets>
  <definedNames>
    <definedName function="false" hidden="false" localSheetId="6" name="_xlnm.Print_Area" vbProcedure="false">Commissioning!$A$1:$L$37</definedName>
    <definedName function="false" hidden="false" localSheetId="6" name="_xlnm.Print_Titles" vbProcedure="false">Commissioning!$6:$6</definedName>
    <definedName function="false" hidden="true" localSheetId="6" name="_xlnm._FilterDatabase" vbProcedure="false">Commissioning!$B$6:$L$32</definedName>
    <definedName function="false" hidden="false" localSheetId="0" name="_xlnm.Print_Area" vbProcedure="false">Cover!$A$1:$G$143</definedName>
    <definedName function="false" hidden="false" localSheetId="8" name="_xlnm.Print_Area" vbProcedure="false">'Design Basis'!$A$1:$H$49</definedName>
    <definedName function="false" hidden="false" localSheetId="5" name="_xlnm.Print_Area" vbProcedure="false">'Long-Lead Procurement'!$A$1:$Q$37</definedName>
    <definedName function="false" hidden="false" localSheetId="5" name="_xlnm.Print_Titles" vbProcedure="false">'Long-Lead Procurement'!$6:$6</definedName>
    <definedName function="false" hidden="true" localSheetId="5" name="_xlnm._FilterDatabase" vbProcedure="false">'Long-Lead Procurement'!$B$6:$Q$32</definedName>
    <definedName function="false" hidden="false" localSheetId="7" name="_xlnm.Print_Area" vbProcedure="false">'Operational Readiness'!$A$1:$K$43</definedName>
    <definedName function="false" hidden="false" localSheetId="7" name="_xlnm.Print_Titles" vbProcedure="false">'Operational Readiness'!$6:$6</definedName>
    <definedName function="false" hidden="true" localSheetId="7" name="_xlnm._FilterDatabase" vbProcedure="false">'Operational Readiness'!$B$6:$K$38</definedName>
    <definedName function="false" hidden="false" localSheetId="4" name="_xlnm.Print_Area" vbProcedure="false">'Power &amp; Grid'!$A$1:$L$39</definedName>
    <definedName function="false" hidden="false" localSheetId="4" name="_xlnm.Print_Titles" vbProcedure="false">'Power &amp; Grid'!$6:$6</definedName>
    <definedName function="false" hidden="false" localSheetId="3" name="_xlnm.Print_Area" vbProcedure="false">Programme!$A$1:$N$45</definedName>
    <definedName function="false" hidden="false" localSheetId="3" name="_xlnm.Print_Titles" vbProcedure="false">Programme!$6:$6</definedName>
    <definedName function="false" hidden="true" localSheetId="3" name="_xlnm._FilterDatabase" vbProcedure="false">Programme!$B$6:$N$40</definedName>
    <definedName function="false" hidden="false" localSheetId="2" name="_xlnm.Print_Area" vbProcedure="false">'Programme Summary'!$A$1:$I$65</definedName>
    <definedName function="false" hidden="false" localSheetId="9" name="_xlnm.Print_Area" vbProcedure="false">Reference!$A$1:$H$101</definedName>
    <definedName function="false" hidden="false" localSheetId="1" name="_xlnm.Print_Area" vbProcedure="false">Setup!$A$1:$H$31</definedName>
  </definedNames>
  <calcPr fullCalcOnLoad="1"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<sst xmlns="http://schemas.openxmlformats.org/spreadsheetml/2006/main" count="970" uniqueCount="674">
  <si>
    <t xml:space="preserve">Data Center Project Plan</t>
  </si>
  <si>
    <t xml:space="preserve">For teams delivering capital projects, programs and portfolios</t>
  </si>
  <si>
    <t xml:space="preserve">An owner's delivery plan for a data center build, from site selection to the day IT load can be applied. It treats the two things that actually decide the date as workstreams in their own right - the grid connection and the long-lead equipment - works every order-by date back from the Ready for Service date, levels the commissioning, and runs operational readiness in parallel rather than leaving it to the last month.</t>
  </si>
  <si>
    <t xml:space="preserve">HOW TO USE IT</t>
  </si>
  <si>
    <t xml:space="preserve">1</t>
  </si>
  <si>
    <t xml:space="preserve">Set the Ready for Service date on Setup first.</t>
  </si>
  <si>
    <t xml:space="preserve">Everything in this workbook counts backwards from it. Order-by dates, the utility milestones, the commissioning window and the operational readiness gate are all derived from the RFS date and the lead times you enter. Move the date and the whole plan re-flags itself.</t>
  </si>
  <si>
    <t xml:space="preserve">2</t>
  </si>
  <si>
    <t xml:space="preserve">Treat the grid connection as its own workstream, not a task.</t>
  </si>
  <si>
    <t xml:space="preserve">It is the longest single item on almost every data center programme and the one nobody controls. Power &amp; Grid tracks it as a chain of milestones, and it separates the three states of capacity that most plans collapse into one bar.</t>
  </si>
  <si>
    <t xml:space="preserve">3</t>
  </si>
  <si>
    <t xml:space="preserve">Record contracted, connected and energised capacity separately.</t>
  </si>
  <si>
    <t xml:space="preserve">They are three different things with three different owners. You can hold contracted capacity with no physical connection, or a connection with no energisation, or a staged release that caps your load below design for the first year or two. Each is a schedule risk that only shows up if you model them apart.</t>
  </si>
  <si>
    <t xml:space="preserve">4</t>
  </si>
  <si>
    <t xml:space="preserve">Put every long-lead item on the procurement sheet, with its lead time.</t>
  </si>
  <si>
    <t xml:space="preserve">The order-by date works itself out from when you need it on site. Anything you cannot still order in time turns red before it becomes a delay, which is the only point at which it is still cheap to fix.</t>
  </si>
  <si>
    <t xml:space="preserve">5</t>
  </si>
  <si>
    <t xml:space="preserve">Define the commissioning levels in your contract, and use them here.</t>
  </si>
  <si>
    <t xml:space="preserve">There is no published standard that defines Level 1 to Level 5. A specification that says "Level 4 commissioning shall be performed" without defining Level 4 is unenforceable, because the contractor's Level 4 and yours may differ by an entire scope of work. The definitions on Reference are a starting point - agree them, then hold them.</t>
  </si>
  <si>
    <t xml:space="preserve">6</t>
  </si>
  <si>
    <t xml:space="preserve">Run operational readiness in parallel, not after.</t>
  </si>
  <si>
    <t xml:space="preserve">A commissioning pass is not the same as being ready to operate. Procedures written and rehearsed, staff trained and verified, spares on site, alarms routed and tested. None of it can be started the week before RFS and all of it is what stops a first-year outage.</t>
  </si>
  <si>
    <t xml:space="preserve">7</t>
  </si>
  <si>
    <t xml:space="preserve">Record which edition of each standard you are working to.</t>
  </si>
  <si>
    <t xml:space="preserve">Design Basis has a field for it. These frameworks get revised, the certification you reference on day one may not be the current one at handover, and "Tier III" on its own does not tell a reader whether anything was ever certified.</t>
  </si>
  <si>
    <t xml:space="preserve">WHAT IS IN THE WORKBOOK</t>
  </si>
  <si>
    <t xml:space="preserve">Sheet</t>
  </si>
  <si>
    <t xml:space="preserve">What it is for</t>
  </si>
  <si>
    <t xml:space="preserve">Setup</t>
  </si>
  <si>
    <t xml:space="preserve">The project, the parties, the delivery model, and the Ready for Service date that everything else counts back from.</t>
  </si>
  <si>
    <t xml:space="preserve">Programme Summary</t>
  </si>
  <si>
    <t xml:space="preserve">The board read. Days to RFS, what is late, what cannot still be ordered in time, whether the power will be there, and the gates.</t>
  </si>
  <si>
    <t xml:space="preserve">Programme</t>
  </si>
  <si>
    <t xml:space="preserve">Phases and activities by workstream, with forecast against plan and how much room is left before RFS.</t>
  </si>
  <si>
    <t xml:space="preserve">Power &amp; Grid</t>
  </si>
  <si>
    <t xml:space="preserve">The utility chain from application to energisation, and the three states of capacity tracked separately against what the facility actually needs.</t>
  </si>
  <si>
    <t xml:space="preserve">Long-Lead Procurement</t>
  </si>
  <si>
    <t xml:space="preserve">Every long-lead item, its lead time, and the last day you can order it and still make the date. Worked out for you.</t>
  </si>
  <si>
    <t xml:space="preserve">Commissioning</t>
  </si>
  <si>
    <t xml:space="preserve">Levels 1 to 5 by system, with witness points, results and open snags - and the integrated systems test as its own gate.</t>
  </si>
  <si>
    <t xml:space="preserve">Operational Readiness</t>
  </si>
  <si>
    <t xml:space="preserve">What has to be true before IT load can be applied, by domain. The part a normal building handover has no equivalent for.</t>
  </si>
  <si>
    <t xml:space="preserve">Design Basis</t>
  </si>
  <si>
    <t xml:space="preserve">IT load, density, cooling, the classification target and the redundancy of each system - stated properly, not as a single letter.</t>
  </si>
  <si>
    <t xml:space="preserve">Reference</t>
  </si>
  <si>
    <t xml:space="preserve">The colour key, how the classification schemes actually differ, the commissioning levels, definitions and every dropdown source.</t>
  </si>
  <si>
    <t xml:space="preserve">THE COLOUR KEY</t>
  </si>
  <si>
    <t xml:space="preserve">Done</t>
  </si>
  <si>
    <t xml:space="preserve">Complete, accepted, and evidenced.</t>
  </si>
  <si>
    <t xml:space="preserve">On track</t>
  </si>
  <si>
    <t xml:space="preserve">Under way and forecast to land on or before its date.</t>
  </si>
  <si>
    <t xml:space="preserve">Due soon</t>
  </si>
  <si>
    <t xml:space="preserve">Inside the warning window. Nothing wrong yet.</t>
  </si>
  <si>
    <t xml:space="preserve">At risk</t>
  </si>
  <si>
    <t xml:space="preserve">Forecast past its date, or dependent on something that is.</t>
  </si>
  <si>
    <t xml:space="preserve">Late or blocking</t>
  </si>
  <si>
    <t xml:space="preserve">Past its date, or an order date already gone by. On this kind of project these do not recover on their own.</t>
  </si>
  <si>
    <t xml:space="preserve">Not applicable</t>
  </si>
  <si>
    <t xml:space="preserve">Out of scope for this delivery model. Left in so the plan stays comparable across projects.</t>
  </si>
  <si>
    <t xml:space="preserve">WHAT MOST DATA CENTER PLANS GET WRONG</t>
  </si>
  <si>
    <t xml:space="preserve">The grid connection as a single bar labelled "utility"</t>
  </si>
  <si>
    <t xml:space="preserve">It is a chain of a dozen milestones owned by somebody outside your contract, it is the longest lead item on the project, and it has three separate capacity states that fail in three separate ways. Every ranking data center plan template shows it as one activity, if it shows it at all.</t>
  </si>
  <si>
    <t xml:space="preserve">No long-lead procurement dates</t>
  </si>
  <si>
    <t xml:space="preserve">The transformer is usually the critical path and the order has to be placed years before anyone breaks ground. A plan that starts at design and ends at handover, with procurement as a bar in the middle, cannot tell you the one thing you need to know: whether it is already too late to order.</t>
  </si>
  <si>
    <t xml:space="preserve">"Testing and commissioning" as one activity</t>
  </si>
  <si>
    <t xml:space="preserve">Commissioning is a levelled process from factory witness through to an integrated systems test of the whole facility under load. The failure modes that cause real outages years later - transfer switches, generators, control sequences - are the ones proven at the top two levels, and they are the ones squeezed when the programme is late.</t>
  </si>
  <si>
    <t xml:space="preserve">Handover treated as a building handover</t>
  </si>
  <si>
    <t xml:space="preserve">A data center has to be capable of surviving an unplanned utility failure without anyone touching it, and of being maintained without shutting down. That needs procedures written and rehearsed, staff trained and verified, spares on site and alarms proven - none of which appears on a normal defects and O&amp;M handover.</t>
  </si>
  <si>
    <t xml:space="preserve">Quoting an availability percentage against a Tier</t>
  </si>
  <si>
    <t xml:space="preserve">The four figures everyone repeats were never requirements. They came from a benchmarking paper a quarter of a century ago describing what the best-performing tenth of sites achieved, and they were taken out of the standard long ago. If you need an availability commitment it belongs in a service agreement with a stated measurement method, not in a classification.</t>
  </si>
  <si>
    <t xml:space="preserve">Mapping one classification scheme onto another</t>
  </si>
  <si>
    <t xml:space="preserve">No issuing body publishes a mapping between the Tier, Rated, Availability Class and Class F schemes, and the tables that circulate come from training companies. They measure different scopes by different methods, and two of them are multi-axis, so a single number cannot survive the translation. Certification to one is not evidence about another.</t>
  </si>
  <si>
    <t xml:space="preserve">A single number for capacity</t>
  </si>
  <si>
    <t xml:space="preserve">IT load, design load, connected load and critical load are four different numbers, and white space is not the same as the building. Quoting facility megawatts as IT megawatts overstates what you can actually sell or use by whatever your PUE turns out to be.</t>
  </si>
  <si>
    <t xml:space="preserve">WHY IT IS BUILT THIS WAY</t>
  </si>
  <si>
    <t xml:space="preserve">Power is the critical path, so it gets a workstream</t>
  </si>
  <si>
    <t xml:space="preserve">The longest single lead item on a data center is not in the building. Grid connection is measured in years in most major markets and the transformer inside it is the longest lead of all. Modelling it as one bar called "utility connection" is how projects discover in year three that the date was never achievable.</t>
  </si>
  <si>
    <t xml:space="preserve">Order-by dates derived, not typed</t>
  </si>
  <si>
    <t xml:space="preserve">Required on site, less the lead time, less a buffer you set once. The plan tells you the last day an order can be placed rather than waiting for someone to notice it was missed. It is the same arithmetic a procurement schedule does and almost no project plan does.</t>
  </si>
  <si>
    <t xml:space="preserve">Three capacity states, not one</t>
  </si>
  <si>
    <t xml:space="preserve">Contracted is a contractual right you pay for. Connected means the physical assets exist. Energised means power is flowing and the meter is live. They can be years apart, they can be released in tranches, and only the third one lets you run IT load.</t>
  </si>
  <si>
    <t xml:space="preserve">Commissioning levelled, with the levels defined in the file</t>
  </si>
  <si>
    <t xml:space="preserve">Because no standard defines them. The definitions here are a starting point to be agreed and written into the contract, with witness points and acceptance criteria per level, so that Level 4 means the same thing to both parties.</t>
  </si>
  <si>
    <t xml:space="preserve">Operational readiness as a parallel programme with its own gate</t>
  </si>
  <si>
    <t xml:space="preserve">There is no standard for this, which is exactly why it gets left to the end. Procedures, competency, spares, monitoring, documentation, security and carrier readiness each have to be true before IT load is applied, and each takes months.</t>
  </si>
  <si>
    <t xml:space="preserve">Redundancy stated properly</t>
  </si>
  <si>
    <t xml:space="preserve">N+1 of what, evaluated at what ambient, with what ride-through, and with what water autonomy. N+1 on chillers is not the same promise as N+1 on UPS - one hands over instantly and the other has to start, stage and pull down while the hall heats up.</t>
  </si>
  <si>
    <t xml:space="preserve">IMPORTANT</t>
  </si>
  <si>
    <t xml:space="preserve">This is a planning artefact, not a design. Nothing in it is engineering advice, and no figure in it should be used in place of a design by a qualified engineer. Classification targets, redundancy, capacity and commissioning scope must be specified and verified by the project's own designers and commissioning agent, against the current edition of whichever standard the project has adopted. Where the workbook names a classification scheme it is naming the scheme, not certifying anything - only the body that owns a scheme can certify against it. Take your own advice on your own project.</t>
  </si>
  <si>
    <t xml:space="preserve">Built for teams delivering capital projects, programs and portfolios  ·  mastt.com</t>
  </si>
  <si>
    <t xml:space="preserve">DATA CENTER PROJECT PLAN     ·     SETUP</t>
  </si>
  <si>
    <t xml:space="preserve">Enter the project once and set the Ready for Service date. Every order-by date, every utility milestone and every readiness flag in this workbook counts backwards from it.</t>
  </si>
  <si>
    <t xml:space="preserve">1  ·  THE PROJECT</t>
  </si>
  <si>
    <t xml:space="preserve">Project name</t>
  </si>
  <si>
    <t xml:space="preserve">EXAMPLE - Kelvedon Point Data Center, Phase 1</t>
  </si>
  <si>
    <t xml:space="preserve">Project number</t>
  </si>
  <si>
    <t xml:space="preserve">DC-2207</t>
  </si>
  <si>
    <t xml:space="preserve">Owner</t>
  </si>
  <si>
    <t xml:space="preserve">Northbridge Digital Infrastructure</t>
  </si>
  <si>
    <t xml:space="preserve">Operator at handover</t>
  </si>
  <si>
    <t xml:space="preserve">Northbridge Operations</t>
  </si>
  <si>
    <t xml:space="preserve">Name them early. On most late projects nobody owns operational readiness because nobody has been appointed to receive the building.</t>
  </si>
  <si>
    <t xml:space="preserve">Plan maintained by</t>
  </si>
  <si>
    <t xml:space="preserve">A. Vasquez, Programme Director</t>
  </si>
  <si>
    <t xml:space="preserve">Owner type</t>
  </si>
  <si>
    <t xml:space="preserve">Colocation - pre-leased</t>
  </si>
  <si>
    <t xml:space="preserve">Changes what the plan has to carry. A pre-leased colocation build has a customer with acceptance criteria and a date in a contract; an enterprise build has an IT migration in scope that the others never have.</t>
  </si>
  <si>
    <t xml:space="preserve">Delivery model</t>
  </si>
  <si>
    <t xml:space="preserve">New build - greenfield</t>
  </si>
  <si>
    <t xml:space="preserve">A powered shell tenant runs a full MEP and commissioning programme. A build-to-suit tenant runs an assurance programme over somebody else's build. Not the same job.</t>
  </si>
  <si>
    <t xml:space="preserve">2  ·  THE DATE EVERYTHING COUNTS BACK FROM</t>
  </si>
  <si>
    <t xml:space="preserve">Ready for Service is the gate at which production IT load can be applied - fully commissioned, permanently energised, operations able to run it. It is not practical completion and it is not the day the integrated systems test passes.</t>
  </si>
  <si>
    <t xml:space="preserve">Target Ready for Service</t>
  </si>
  <si>
    <t xml:space="preserve">The contractual or committed date. Everything derives from this one cell.</t>
  </si>
  <si>
    <t xml:space="preserve">Today</t>
  </si>
  <si>
    <t xml:space="preserve">Every countdown and overdue flag in the workbook is measured against this.</t>
  </si>
  <si>
    <t xml:space="preserve">Days to Ready for Service</t>
  </si>
  <si>
    <t xml:space="preserve">3  ·  THE THRESHOLDS EVERY FLAG DERIVES FROM</t>
  </si>
  <si>
    <t xml:space="preserve">Warn me this many days before a date</t>
  </si>
  <si>
    <t xml:space="preserve">Drives every Due soon flag on the programme, the utility chain and readiness.</t>
  </si>
  <si>
    <t xml:space="preserve">Procurement buffer (weeks)</t>
  </si>
  <si>
    <t xml:space="preserve">Added to every quoted lead time before the order-by date is worked out. Quoted lead times are from a clean order; approvals, submittals and a shipping slot are not in them.</t>
  </si>
  <si>
    <t xml:space="preserve">Flag an order this many weeks before its order-by date</t>
  </si>
  <si>
    <t xml:space="preserve">Long enough that there is still time to do something about it.</t>
  </si>
  <si>
    <t xml:space="preserve">Commissioning needed after permanent power (weeks)</t>
  </si>
  <si>
    <t xml:space="preserve">Levels 4 and 5 cannot run on generators. This is how much clear time the programme needs between energisation and Ready for Service, and Power &amp; Grid checks whether you have it.</t>
  </si>
  <si>
    <t xml:space="preserve">4  ·  IS THIS SHEET FINISHED?</t>
  </si>
  <si>
    <t xml:space="preserve">Setup complete</t>
  </si>
  <si>
    <t xml:space="preserve">Until this reads 100% some flags cannot compute.</t>
  </si>
  <si>
    <t xml:space="preserve">Visit mastt.com</t>
  </si>
  <si>
    <t xml:space="preserve">DATA CENTER PROJECT PLAN     ·     PROGRAMME SUMMARY</t>
  </si>
  <si>
    <t xml:space="preserve">The board read. Every figure counts itself from the sheets behind it - none of it is typed.</t>
  </si>
  <si>
    <t xml:space="preserve">WHERE THE PROGRAMME STANDS</t>
  </si>
  <si>
    <t xml:space="preserve">Days to target RFS</t>
  </si>
  <si>
    <t xml:space="preserve">Activities forecast past RFS</t>
  </si>
  <si>
    <t xml:space="preserve">Long-lead items past their order date</t>
  </si>
  <si>
    <t xml:space="preserve">Days between energisation and RFS</t>
  </si>
  <si>
    <t xml:space="preserve">Activities late or at risk</t>
  </si>
  <si>
    <t xml:space="preserve">Commissioning passed</t>
  </si>
  <si>
    <t xml:space="preserve">Open commissioning snags</t>
  </si>
  <si>
    <t xml:space="preserve">Operational readiness done</t>
  </si>
  <si>
    <t xml:space="preserve">Days to the next order-by date still ahead of us</t>
  </si>
  <si>
    <t xml:space="preserve">The next long-lead decision the project has to make. SMALL steps past anything whose date has already gone by.</t>
  </si>
  <si>
    <t xml:space="preserve">Headroom at RFS, energised capacity less facility load</t>
  </si>
  <si>
    <t xml:space="preserve">MVA less MW. Negative means the facility cannot carry the load it has been sold, and nothing downstream fixes it.</t>
  </si>
  <si>
    <t xml:space="preserve">THE GATES</t>
  </si>
  <si>
    <t xml:space="preserve">Gate</t>
  </si>
  <si>
    <t xml:space="preserve">Target</t>
  </si>
  <si>
    <t xml:space="preserve">Forecast</t>
  </si>
  <si>
    <t xml:space="preserve">Actual</t>
  </si>
  <si>
    <t xml:space="preserve">Variance</t>
  </si>
  <si>
    <t xml:space="preserve">Investment case approved</t>
  </si>
  <si>
    <t xml:space="preserve">Connection offer accepted - capacity contracted</t>
  </si>
  <si>
    <t xml:space="preserve">Planning consent granted</t>
  </si>
  <si>
    <t xml:space="preserve">Basis of design signed</t>
  </si>
  <si>
    <t xml:space="preserve">Design consultant</t>
  </si>
  <si>
    <t xml:space="preserve">Long-lead packages ordered</t>
  </si>
  <si>
    <t xml:space="preserve">Building weather tight</t>
  </si>
  <si>
    <t xml:space="preserve">Main contractor</t>
  </si>
  <si>
    <t xml:space="preserve">Permanent power energised</t>
  </si>
  <si>
    <t xml:space="preserve">Utility / network operator</t>
  </si>
  <si>
    <t xml:space="preserve">Level 4 functional testing complete</t>
  </si>
  <si>
    <t xml:space="preserve">Commissioning agent</t>
  </si>
  <si>
    <t xml:space="preserve">Integrated systems test passed</t>
  </si>
  <si>
    <t xml:space="preserve">Operational readiness accepted</t>
  </si>
  <si>
    <t xml:space="preserve">Operator</t>
  </si>
  <si>
    <t xml:space="preserve">Ready for Service</t>
  </si>
  <si>
    <t xml:space="preserve">First customer live</t>
  </si>
  <si>
    <t xml:space="preserve">Customer / tenant</t>
  </si>
  <si>
    <t xml:space="preserve">BY WORKSTREAM</t>
  </si>
  <si>
    <t xml:space="preserve">The two in bold are the ones that decide the date and the two that almost no data center plan carries as workstreams at all.</t>
  </si>
  <si>
    <t xml:space="preserve">Workstream</t>
  </si>
  <si>
    <t xml:space="preserve">Activities</t>
  </si>
  <si>
    <t xml:space="preserve">Late or at risk</t>
  </si>
  <si>
    <t xml:space="preserve">Past RFS</t>
  </si>
  <si>
    <t xml:space="preserve">Average done</t>
  </si>
  <si>
    <t xml:space="preserve">Site &amp; origination</t>
  </si>
  <si>
    <t xml:space="preserve">Power &amp; grid connection</t>
  </si>
  <si>
    <t xml:space="preserve">Entitlement &amp; permits</t>
  </si>
  <si>
    <t xml:space="preserve">Design</t>
  </si>
  <si>
    <t xml:space="preserve">Long-lead procurement</t>
  </si>
  <si>
    <t xml:space="preserve">Shell &amp; core</t>
  </si>
  <si>
    <t xml:space="preserve">MEP installation</t>
  </si>
  <si>
    <t xml:space="preserve">White space &amp; IT fit-out</t>
  </si>
  <si>
    <t xml:space="preserve">Operational readiness</t>
  </si>
  <si>
    <t xml:space="preserve">Handover &amp; RFS</t>
  </si>
  <si>
    <t xml:space="preserve">COMMISSIONING BY LEVEL</t>
  </si>
  <si>
    <t xml:space="preserve">Level</t>
  </si>
  <si>
    <t xml:space="preserve">Tests</t>
  </si>
  <si>
    <t xml:space="preserve">Passed</t>
  </si>
  <si>
    <t xml:space="preserve">Failed</t>
  </si>
  <si>
    <t xml:space="preserve">Snags open</t>
  </si>
  <si>
    <t xml:space="preserve">L1 - factory witness</t>
  </si>
  <si>
    <t xml:space="preserve">L2 - delivery &amp; installation</t>
  </si>
  <si>
    <t xml:space="preserve">L3 - pre-functional &amp; start-up</t>
  </si>
  <si>
    <t xml:space="preserve">L4 - functional performance</t>
  </si>
  <si>
    <t xml:space="preserve">L5 - integrated systems test</t>
  </si>
  <si>
    <t xml:space="preserve">OPERATIONAL READINESS BY DOMAIN</t>
  </si>
  <si>
    <t xml:space="preserve">Domain</t>
  </si>
  <si>
    <t xml:space="preserve">Items</t>
  </si>
  <si>
    <t xml:space="preserve">Overdue</t>
  </si>
  <si>
    <t xml:space="preserve">Due after RFS</t>
  </si>
  <si>
    <t xml:space="preserve">Procedures</t>
  </si>
  <si>
    <t xml:space="preserve">Staffing &amp; competency</t>
  </si>
  <si>
    <t xml:space="preserve">Spares &amp; maintenance</t>
  </si>
  <si>
    <t xml:space="preserve">Monitoring &amp; asset systems</t>
  </si>
  <si>
    <t xml:space="preserve">Documentation</t>
  </si>
  <si>
    <t xml:space="preserve">Security &amp; accreditation</t>
  </si>
  <si>
    <t xml:space="preserve">Connectivity &amp; carriers</t>
  </si>
  <si>
    <t xml:space="preserve">Customer onboarding</t>
  </si>
  <si>
    <t xml:space="preserve">DATA CENTER PROJECT PLAN     ·     PROGRAMME</t>
  </si>
  <si>
    <t xml:space="preserve">Phases and activities by workstream. Variance, days before RFS and status are worked out for you - the only dates you type are planned, forecast and actual.</t>
  </si>
  <si>
    <t xml:space="preserve">Ref</t>
  </si>
  <si>
    <t xml:space="preserve">Phase or activity</t>
  </si>
  <si>
    <t xml:space="preserve">Planned start</t>
  </si>
  <si>
    <t xml:space="preserve">Planned finish</t>
  </si>
  <si>
    <t xml:space="preserve">Forecast finish</t>
  </si>
  <si>
    <t xml:space="preserve">Actual finish</t>
  </si>
  <si>
    <t xml:space="preserve">Variance (days)</t>
  </si>
  <si>
    <t xml:space="preserve">% done</t>
  </si>
  <si>
    <t xml:space="preserve">Days before RFS</t>
  </si>
  <si>
    <t xml:space="preserve">Status</t>
  </si>
  <si>
    <t xml:space="preserve">Note</t>
  </si>
  <si>
    <t xml:space="preserve">Site selection, land option and technical due diligence</t>
  </si>
  <si>
    <t xml:space="preserve">Two sites carried to due diligence. Selected on power availability, not land cost.</t>
  </si>
  <si>
    <t xml:space="preserve">Feasibility and investment case approved</t>
  </si>
  <si>
    <t xml:space="preserve">Utility connection application and load letter</t>
  </si>
  <si>
    <t xml:space="preserve">Applied for 60 MVA against a 36 MW IT design.</t>
  </si>
  <si>
    <t xml:space="preserve">Connection offer received, negotiated and accepted</t>
  </si>
  <si>
    <t xml:space="preserve">Offer took four months longer than the utility's published indicative timeline.</t>
  </si>
  <si>
    <t xml:space="preserve">Utility substation design, works agreement and construction</t>
  </si>
  <si>
    <t xml:space="preserve">Utility has advised a slip. This is the item that moves the RFS date.</t>
  </si>
  <si>
    <t xml:space="preserve">First energisation and staged capacity release</t>
  </si>
  <si>
    <t xml:space="preserve">Planning consent and conditions discharged</t>
  </si>
  <si>
    <t xml:space="preserve">Generator emissions and noise permits</t>
  </si>
  <si>
    <t xml:space="preserve">Basis of design agreed and signed</t>
  </si>
  <si>
    <t xml:space="preserve">The document every later argument is settled against.</t>
  </si>
  <si>
    <t xml:space="preserve">Detailed design and issued for construction</t>
  </si>
  <si>
    <t xml:space="preserve">Long-lead packages released to order</t>
  </si>
  <si>
    <t xml:space="preserve">Released before design completion, deliberately. See the procurement sheet.</t>
  </si>
  <si>
    <t xml:space="preserve">Factory witness testing programme</t>
  </si>
  <si>
    <t xml:space="preserve">Earthworks, foundations and superstructure</t>
  </si>
  <si>
    <t xml:space="preserve">Envelope complete and building weather tight</t>
  </si>
  <si>
    <t xml:space="preserve">MV and LV distribution installed and terminated</t>
  </si>
  <si>
    <t xml:space="preserve">MEP contractor</t>
  </si>
  <si>
    <t xml:space="preserve">Generators, UPS and switchgear set and connected</t>
  </si>
  <si>
    <t xml:space="preserve">Waiting on the last two UPS frames.</t>
  </si>
  <si>
    <t xml:space="preserve">Chiller plant, pumps and heat rejection installed</t>
  </si>
  <si>
    <t xml:space="preserve">CRAH units, busway and containment in the data halls</t>
  </si>
  <si>
    <t xml:space="preserve">Levels 2 and 3 across all systems</t>
  </si>
  <si>
    <t xml:space="preserve">Level 4 functional performance testing</t>
  </si>
  <si>
    <t xml:space="preserve">Level 5 integrated systems test including loss of supply</t>
  </si>
  <si>
    <t xml:space="preserve">Cannot start before permanent power. Held by the utility date.</t>
  </si>
  <si>
    <t xml:space="preserve">Data hall 1 white space ready for equipment</t>
  </si>
  <si>
    <t xml:space="preserve">Meet-me room live and diverse carrier entries proven</t>
  </si>
  <si>
    <t xml:space="preserve">Procedures written, approved and rehearsed</t>
  </si>
  <si>
    <t xml:space="preserve">Behind. Nothing has been rehearsed yet.</t>
  </si>
  <si>
    <t xml:space="preserve">Operations team recruited, trained and verified</t>
  </si>
  <si>
    <t xml:space="preserve">Customer acceptance and Ready for Service</t>
  </si>
  <si>
    <t xml:space="preserve">To add rows, select the last row and insert - every formula, format and dropdown copies down and the summary already reads the whole range. Days before RFS is headroom to the date, not float in a network: it does not know your logic, only your dates.</t>
  </si>
  <si>
    <t xml:space="preserve">DATA CENTER PROJECT PLAN     ·     POWER &amp; GRID</t>
  </si>
  <si>
    <t xml:space="preserve">The longest lead item on the project, owned by somebody outside your contract. Contracted, connected and energised are three different things - the block at the bottom checks whether the third one will be there in time.</t>
  </si>
  <si>
    <t xml:space="preserve">Step</t>
  </si>
  <si>
    <t xml:space="preserve">What it means</t>
  </si>
  <si>
    <t xml:space="preserve">Capacity (MVA)</t>
  </si>
  <si>
    <t xml:space="preserve">Connection application submitted</t>
  </si>
  <si>
    <t xml:space="preserve">The clock starts here, not at design.</t>
  </si>
  <si>
    <t xml:space="preserve">APP-2024-0117</t>
  </si>
  <si>
    <t xml:space="preserve">Applied for headroom above the design load. Reapplying for more later goes to the back of the queue.</t>
  </si>
  <si>
    <t xml:space="preserve">Load letter issued by the utility</t>
  </si>
  <si>
    <t xml:space="preserve">Confirms the utility has recorded the request.</t>
  </si>
  <si>
    <t xml:space="preserve">LL-0117</t>
  </si>
  <si>
    <t xml:space="preserve">Connection offer received</t>
  </si>
  <si>
    <t xml:space="preserve">The technical and commercial terms, including any reinforcement you have to pay for.</t>
  </si>
  <si>
    <t xml:space="preserve">OFF-0117-B</t>
  </si>
  <si>
    <t xml:space="preserve">Second offer. The first required reinforcement the project could not fund.</t>
  </si>
  <si>
    <t xml:space="preserve">Connection offer accepted - CAPACITY CONTRACTED</t>
  </si>
  <si>
    <t xml:space="preserve">You now hold a contractual right to this capacity, and you start paying for it.</t>
  </si>
  <si>
    <t xml:space="preserve">CA-0117</t>
  </si>
  <si>
    <t xml:space="preserve">This is the date the site became real to the business.</t>
  </si>
  <si>
    <t xml:space="preserve">Utility substation design approved</t>
  </si>
  <si>
    <t xml:space="preserve">SUB-DES-04</t>
  </si>
  <si>
    <t xml:space="preserve">Transformer and switchgear ordered by the utility</t>
  </si>
  <si>
    <t xml:space="preserve">Outside your contract and usually outside your visibility. Ask for the order date in writing.</t>
  </si>
  <si>
    <t xml:space="preserve">Confirmed in writing after three requests.</t>
  </si>
  <si>
    <t xml:space="preserve">Utility substation construction complete</t>
  </si>
  <si>
    <t xml:space="preserve">The slip that is moving the RFS date.</t>
  </si>
  <si>
    <t xml:space="preserve">Connection made - CAPACITY CONNECTED</t>
  </si>
  <si>
    <t xml:space="preserve">The physical assets exist and the connection is in. Still no power flowing.</t>
  </si>
  <si>
    <t xml:space="preserve">First energisation - CAPACITY ENERGISED</t>
  </si>
  <si>
    <t xml:space="preserve">Power flowing, meter live. Only now can load be applied.</t>
  </si>
  <si>
    <t xml:space="preserve">Staged release. Only 24 MVA at first energisation.</t>
  </si>
  <si>
    <t xml:space="preserve">Staged capacity release 2</t>
  </si>
  <si>
    <t xml:space="preserve">Staged capacity release 3 - full contracted capacity</t>
  </si>
  <si>
    <t xml:space="preserve">Full capacity roughly sixteen months after RFS.</t>
  </si>
  <si>
    <t xml:space="preserve">Generator connection and islanding approval</t>
  </si>
  <si>
    <t xml:space="preserve">Consent to run and to export or island, where the network requires it.</t>
  </si>
  <si>
    <t xml:space="preserve">Disturbance ride-through compliance demonstrated</t>
  </si>
  <si>
    <t xml:space="preserve">An increasing requirement for large loads in several markets. Check whether yours has one.</t>
  </si>
  <si>
    <t xml:space="preserve">WILL THE POWER BE THERE?</t>
  </si>
  <si>
    <t xml:space="preserve">The three states of capacity, and the one check that matters: energisation has to happen far enough before Ready for Service that the integrated systems test can actually run. You cannot commission a facility on generators.</t>
  </si>
  <si>
    <t xml:space="preserve">Capacity contracted (MVA)</t>
  </si>
  <si>
    <t xml:space="preserve">What your connection agreement entitles you to.</t>
  </si>
  <si>
    <t xml:space="preserve">Capacity connected (MVA)</t>
  </si>
  <si>
    <t xml:space="preserve">The physical assets are in. Not yet flowing.</t>
  </si>
  <si>
    <t xml:space="preserve">Capacity energised at RFS (MVA)</t>
  </si>
  <si>
    <t xml:space="preserve">The staged release you will actually have on the day. This is the number that matters.</t>
  </si>
  <si>
    <t xml:space="preserve">Facility load required at RFS (MW)</t>
  </si>
  <si>
    <t xml:space="preserve">From Design Basis - the IT load at RFS times the design PUE.</t>
  </si>
  <si>
    <t xml:space="preserve">Headroom at RFS (MVA less MW)</t>
  </si>
  <si>
    <t xml:space="preserve">Negative means the facility cannot carry the load it has been sold. Nothing downstream fixes this.</t>
  </si>
  <si>
    <t xml:space="preserve">Forecast energisation</t>
  </si>
  <si>
    <t xml:space="preserve">The first energisation row above.</t>
  </si>
  <si>
    <t xml:space="preserve">Against the commissioning window on Setup. If this is short the RFS date is not real - Levels 4 and 5 cannot run on generators.</t>
  </si>
  <si>
    <t xml:space="preserve">DATA CENTER PROJECT PLAN     ·     LONG-LEAD PROCUREMENT</t>
  </si>
  <si>
    <t xml:space="preserve">Enter what you need and when you need it. The last day you can place the order works itself out from the lead time and the buffer on Setup - and turns red before the date goes past, which is the only point at which it is still cheap to fix.</t>
  </si>
  <si>
    <t xml:space="preserve">Item</t>
  </si>
  <si>
    <t xml:space="preserve">Package</t>
  </si>
  <si>
    <t xml:space="preserve">Qty</t>
  </si>
  <si>
    <t xml:space="preserve">Lead time
(weeks)</t>
  </si>
  <si>
    <t xml:space="preserve">Buffer
(weeks)</t>
  </si>
  <si>
    <t xml:space="preserve">Required on site</t>
  </si>
  <si>
    <t xml:space="preserve">Order by</t>
  </si>
  <si>
    <t xml:space="preserve">Days to order by</t>
  </si>
  <si>
    <t xml:space="preserve">Ordered</t>
  </si>
  <si>
    <t xml:space="preserve">PO reference</t>
  </si>
  <si>
    <t xml:space="preserve">Factory test passed</t>
  </si>
  <si>
    <t xml:space="preserve">Delivered</t>
  </si>
  <si>
    <t xml:space="preserve">Installed</t>
  </si>
  <si>
    <t xml:space="preserve">Utility supply transformers</t>
  </si>
  <si>
    <t xml:space="preserve">Utility scope</t>
  </si>
  <si>
    <t xml:space="preserve">By utility</t>
  </si>
  <si>
    <t xml:space="preserve">Ordered by the utility, not by the project. The longest lead item on the job and the one you cannot expedite.</t>
  </si>
  <si>
    <t xml:space="preserve">Generator step-up transformer</t>
  </si>
  <si>
    <t xml:space="preserve">HV</t>
  </si>
  <si>
    <t xml:space="preserve">PO-1041</t>
  </si>
  <si>
    <t xml:space="preserve">MV switchgear line-up</t>
  </si>
  <si>
    <t xml:space="preserve">PO-1042</t>
  </si>
  <si>
    <t xml:space="preserve">Standby generators, 3.0 MW</t>
  </si>
  <si>
    <t xml:space="preserve">Power</t>
  </si>
  <si>
    <t xml:space="preserve">PO-1043</t>
  </si>
  <si>
    <t xml:space="preserve">UPS modules and static switches</t>
  </si>
  <si>
    <t xml:space="preserve">PO-1051</t>
  </si>
  <si>
    <t xml:space="preserve">Ten of twelve on site. Last two frames still in transit.</t>
  </si>
  <si>
    <t xml:space="preserve">Lithium battery cabinets</t>
  </si>
  <si>
    <t xml:space="preserve">PO-1052</t>
  </si>
  <si>
    <t xml:space="preserve">Water-cooled chillers</t>
  </si>
  <si>
    <t xml:space="preserve">Cooling</t>
  </si>
  <si>
    <t xml:space="preserve">PO-1061</t>
  </si>
  <si>
    <t xml:space="preserve">Cooling towers</t>
  </si>
  <si>
    <t xml:space="preserve">PO-1062</t>
  </si>
  <si>
    <t xml:space="preserve">CRAH units</t>
  </si>
  <si>
    <t xml:space="preserve">PO-1063</t>
  </si>
  <si>
    <t xml:space="preserve">Busway and tap-off boxes</t>
  </si>
  <si>
    <t xml:space="preserve">PO-1071</t>
  </si>
  <si>
    <t xml:space="preserve">Metres, not units.</t>
  </si>
  <si>
    <t xml:space="preserve">LV switchboards and PDUs</t>
  </si>
  <si>
    <t xml:space="preserve">PO-1072</t>
  </si>
  <si>
    <t xml:space="preserve">Coolant distribution units</t>
  </si>
  <si>
    <t xml:space="preserve">For the liquid-cooled hall in phase 2. Needed on site in six weeks and the order date went by six months ago. Either the date moves or the hall does.</t>
  </si>
  <si>
    <t xml:space="preserve">Fire suppression system</t>
  </si>
  <si>
    <t xml:space="preserve">Life safety</t>
  </si>
  <si>
    <t xml:space="preserve">PO-1081</t>
  </si>
  <si>
    <t xml:space="preserve">Diesel storage tanks and fuel polishing</t>
  </si>
  <si>
    <t xml:space="preserve">PO-1073</t>
  </si>
  <si>
    <t xml:space="preserve">Structured cabling and containment</t>
  </si>
  <si>
    <t xml:space="preserve">Telecoms</t>
  </si>
  <si>
    <t xml:space="preserve">PO-1091</t>
  </si>
  <si>
    <t xml:space="preserve">Rack cabinets</t>
  </si>
  <si>
    <t xml:space="preserve">White space</t>
  </si>
  <si>
    <t xml:space="preserve">Customer specification not yet frozen. The order has to be placed inside a month.</t>
  </si>
  <si>
    <t xml:space="preserve">Phase 2 chillers</t>
  </si>
  <si>
    <t xml:space="preserve">Second hall. Still time, but the date is on the sheet so nobody has to remember it.</t>
  </si>
  <si>
    <t xml:space="preserve">Lead times move. Re-confirm them at every design gate rather than carrying the tender figure to site, and treat anything the utility orders as outside your control - ask for the order date in writing and record it here anyway.</t>
  </si>
  <si>
    <t xml:space="preserve">DATA CENTER PROJECT PLAN     ·     COMMISSIONING</t>
  </si>
  <si>
    <t xml:space="preserve">Five levels, from factory witness to the whole facility under load with the supply pulled without warning. No published standard defines them, so agree the definitions on Reference and write them into the contract before anyone quotes for them.</t>
  </si>
  <si>
    <t xml:space="preserve">System</t>
  </si>
  <si>
    <t xml:space="preserve">What it proves</t>
  </si>
  <si>
    <t xml:space="preserve">Witnessed by</t>
  </si>
  <si>
    <t xml:space="preserve">Planned</t>
  </si>
  <si>
    <t xml:space="preserve">Result</t>
  </si>
  <si>
    <t xml:space="preserve">Generators</t>
  </si>
  <si>
    <t xml:space="preserve">Rated output, load acceptance and fuel consumption at the factory</t>
  </si>
  <si>
    <t xml:space="preserve">Pass with snags</t>
  </si>
  <si>
    <t xml:space="preserve">UPS modules</t>
  </si>
  <si>
    <t xml:space="preserve">Efficiency, transfer and battery discharge at the factory</t>
  </si>
  <si>
    <t xml:space="preserve">Pass</t>
  </si>
  <si>
    <t xml:space="preserve">Chillers</t>
  </si>
  <si>
    <t xml:space="preserve">Capacity and part-load performance at design and extreme ambient</t>
  </si>
  <si>
    <t xml:space="preserve">Capacity confirmed at design ambient only. Extreme ambient point retested off site.</t>
  </si>
  <si>
    <t xml:space="preserve">MV switchgear</t>
  </si>
  <si>
    <t xml:space="preserve">Received undamaged, correct to order, installed and terminated to drawing</t>
  </si>
  <si>
    <t xml:space="preserve">Set, aligned, connected, exhaust and fuel systems complete</t>
  </si>
  <si>
    <t xml:space="preserve">Electrical distribution</t>
  </si>
  <si>
    <t xml:space="preserve">Acceptance testing, protection settings, calibration and energisation of each component</t>
  </si>
  <si>
    <t xml:space="preserve">Start-up, protection settings and first run against load banks</t>
  </si>
  <si>
    <t xml:space="preserve">Fail - retest required</t>
  </si>
  <si>
    <t xml:space="preserve">Failed on fuel supply pressure at full load. Retest once the day tank pipework is modified. A failed Level 3 is cheap; the same fault found at Level 5 is not.</t>
  </si>
  <si>
    <t xml:space="preserve">Chilled water system</t>
  </si>
  <si>
    <t xml:space="preserve">Flushing, water treatment, pressure test, pump start-up and balancing</t>
  </si>
  <si>
    <t xml:space="preserve">Start, load acceptance, step load, run at full load, and every failure mode in the sequence</t>
  </si>
  <si>
    <t xml:space="preserve">UPS and transfer</t>
  </si>
  <si>
    <t xml:space="preserve">Transfer to and from bypass, module failure, battery autonomy at full load</t>
  </si>
  <si>
    <t xml:space="preserve">The transfer switch is the second most common cause of outages in service. Do not shorten this one.</t>
  </si>
  <si>
    <t xml:space="preserve">Cooling plant</t>
  </si>
  <si>
    <t xml:space="preserve">Sequence of operation, chiller rotation, failure and recovery, and pull-down time</t>
  </si>
  <si>
    <t xml:space="preserve">Fire detection and suppression</t>
  </si>
  <si>
    <t xml:space="preserve">Detection, interlocks, shutdown and release sequences</t>
  </si>
  <si>
    <t xml:space="preserve">BMS and EPMS controls</t>
  </si>
  <si>
    <t xml:space="preserve">Alarms, trending, points list verified end to end and routed to the people who answer them</t>
  </si>
  <si>
    <t xml:space="preserve">Whole facility</t>
  </si>
  <si>
    <t xml:space="preserve">Loss of utility supply with no warning, at simulated full load. Generator start and acceptance, transfer, UPS ride-through, cooling restart and pull-down, controls under power loss</t>
  </si>
  <si>
    <t xml:space="preserve">Cannot run before permanent power. Held by the utility date.</t>
  </si>
  <si>
    <t xml:space="preserve">Repeat under partial failure - one generator and one chiller withheld</t>
  </si>
  <si>
    <t xml:space="preserve">The failure modes that cause outages years later - transfer switches, generators, control sequences - are the ones proven at Levels 4 and 5, and they are the first thing squeezed when the programme is late. A snag signed off at Level 5 is a latent defect with a date on it.</t>
  </si>
  <si>
    <t xml:space="preserve">DATA CENTER PROJECT PLAN     ·     OPERATIONAL READINESS</t>
  </si>
  <si>
    <t xml:space="preserve">A commissioning pass is not readiness to operate. This runs in parallel with construction, not after it - none of it can be started the week before RFS and all of it is what stops a first-year outage.</t>
  </si>
  <si>
    <t xml:space="preserve">Why it matters at RFS</t>
  </si>
  <si>
    <t xml:space="preserve">Due</t>
  </si>
  <si>
    <t xml:space="preserve">Complete</t>
  </si>
  <si>
    <t xml:space="preserve">Evidence</t>
  </si>
  <si>
    <t xml:space="preserve">Standard operating procedures written and approved</t>
  </si>
  <si>
    <t xml:space="preserve">Routine operation. Without them every shift does it differently.</t>
  </si>
  <si>
    <t xml:space="preserve">Was due a fortnight ago.</t>
  </si>
  <si>
    <t xml:space="preserve">Methods of procedure for every planned intervention on live infrastructure</t>
  </si>
  <si>
    <t xml:space="preserve">The scripted, risk-assessed step list. This is what stops a maintenance task becoming an outage.</t>
  </si>
  <si>
    <t xml:space="preserve">Nothing drafted yet. This is the largest single gap on the sheet.</t>
  </si>
  <si>
    <t xml:space="preserve">Emergency operating procedures mapped to the tested failure modes</t>
  </si>
  <si>
    <t xml:space="preserve">Each one should trace back to something proven in the integrated systems test.</t>
  </si>
  <si>
    <t xml:space="preserve">Procedures rehearsed, not just written</t>
  </si>
  <si>
    <t xml:space="preserve">A rehearsal record is a separate gate from an approval record.</t>
  </si>
  <si>
    <t xml:space="preserve">Operations manager and shift leads appointed</t>
  </si>
  <si>
    <t xml:space="preserve">Contracts signed</t>
  </si>
  <si>
    <t xml:space="preserve">Twenty-four hour coverage roster published</t>
  </si>
  <si>
    <t xml:space="preserve">Training complete with competency verified</t>
  </si>
  <si>
    <t xml:space="preserve">Attendance is not competency. Verify it.</t>
  </si>
  <si>
    <t xml:space="preserve">Incident drills run and recorded</t>
  </si>
  <si>
    <t xml:space="preserve">Critical spares on site and inventoried</t>
  </si>
  <si>
    <t xml:space="preserve">Maintenance contracts active, separate from warranty</t>
  </si>
  <si>
    <t xml:space="preserve">Warranty covers failure. The maintenance contract covers the planned regime, and only that keeps a classification valid.</t>
  </si>
  <si>
    <t xml:space="preserve">Planned maintenance calendar loaded and vendor escalation matrix agreed</t>
  </si>
  <si>
    <t xml:space="preserve">BMS, DCIM and power monitoring handed over with roles set</t>
  </si>
  <si>
    <t xml:space="preserve">Alarm thresholds set and routing tested end to end</t>
  </si>
  <si>
    <t xml:space="preserve">An alarm that reaches nobody is worse than no alarm.</t>
  </si>
  <si>
    <t xml:space="preserve">Trend logging live before load arrives</t>
  </si>
  <si>
    <t xml:space="preserve">So there is a baseline to compare against later.</t>
  </si>
  <si>
    <t xml:space="preserve">As-built drawings and single line diagrams issued</t>
  </si>
  <si>
    <t xml:space="preserve">Commissioning reports accepted, all levels</t>
  </si>
  <si>
    <t xml:space="preserve">Asset register complete and loaded to the maintenance system</t>
  </si>
  <si>
    <t xml:space="preserve">Access control roles, visitor and vendor management live</t>
  </si>
  <si>
    <t xml:space="preserve">Third party accreditations achieved where contracted</t>
  </si>
  <si>
    <t xml:space="preserve">Check the customer contracts for which ones are conditions of acceptance.</t>
  </si>
  <si>
    <t xml:space="preserve">After RFS, and a condition of customer acceptance. One of those dates is wrong.</t>
  </si>
  <si>
    <t xml:space="preserve">Meet-me room live with diverse carrier entries proven</t>
  </si>
  <si>
    <t xml:space="preserve">Connectivity failures are a rising cause of extended outages and they are rarely tested properly before handover.</t>
  </si>
  <si>
    <t xml:space="preserve">Cross-connect process live and tested</t>
  </si>
  <si>
    <t xml:space="preserve">Customer acceptance criteria confirmed and testing agreed</t>
  </si>
  <si>
    <t xml:space="preserve">In a pre-leased build these are contractual and carry the RFS date with them.</t>
  </si>
  <si>
    <t xml:space="preserve">Early access agreed for customer rack and stack</t>
  </si>
  <si>
    <t xml:space="preserve">An item marked complete with no evidence turns its evidence cell orange. A written procedure and a rehearsed procedure are two different gates, and only the second one means anything at three in the morning.</t>
  </si>
  <si>
    <t xml:space="preserve">DATA CENTER PROJECT PLAN     ·     DESIGN BASIS</t>
  </si>
  <si>
    <t xml:space="preserve">What the facility is being built to do. Agree this before anyone designs anything - it is the document every later argument gets settled against.</t>
  </si>
  <si>
    <t xml:space="preserve">1  ·  LOAD AND CAPACITY</t>
  </si>
  <si>
    <t xml:space="preserve">Design IT load (MW)</t>
  </si>
  <si>
    <t xml:space="preserve">The IT load at full build, measured at the rack. Not facility load.</t>
  </si>
  <si>
    <t xml:space="preserve">IT load required at Ready for Service (MW)</t>
  </si>
  <si>
    <t xml:space="preserve">Staged builds rarely energise the whole design load on day one. This is the number the utility has to deliver by RFS.</t>
  </si>
  <si>
    <t xml:space="preserve">Design PUE</t>
  </si>
  <si>
    <t xml:space="preserve">Facility energy divided by IT energy. Record the measurement category and note that a design PUE, a commissioned PUE and an operating PUE are three different numbers.</t>
  </si>
  <si>
    <t xml:space="preserve">Facility load at full build (MW)</t>
  </si>
  <si>
    <t xml:space="preserve">What the grid actually has to supply. Quoting facility megawatts as IT megawatts overstates what you can sell by exactly this margin.</t>
  </si>
  <si>
    <t xml:space="preserve">Check this against the energised capacity on Power &amp; Grid.</t>
  </si>
  <si>
    <t xml:space="preserve">Racks at full build</t>
  </si>
  <si>
    <t xml:space="preserve">Average rack density (kW)</t>
  </si>
  <si>
    <t xml:space="preserve">Worked out from the load and the rack count so the two cannot disagree. Design to the estate you will actually have, not to the headline density in the trade press.</t>
  </si>
  <si>
    <t xml:space="preserve">White space (m2)</t>
  </si>
  <si>
    <t xml:space="preserve">The data hall floor. Grey space - switchgear, UPS, generators, chiller plant - is extra, and is usually larger than people expect.</t>
  </si>
  <si>
    <t xml:space="preserve">Power density (W per m2 of white space)</t>
  </si>
  <si>
    <t xml:space="preserve">Grey space and plant (m2)</t>
  </si>
  <si>
    <t xml:space="preserve">2  ·  COOLING AND WATER</t>
  </si>
  <si>
    <t xml:space="preserve">Cooling approach</t>
  </si>
  <si>
    <t xml:space="preserve">Air - CRAH / chilled water</t>
  </si>
  <si>
    <t xml:space="preserve">Target WUE (L per kWh)</t>
  </si>
  <si>
    <t xml:space="preserve">Water is increasingly the binding constraint and the one communities object to. Record the target and the make-up water autonomy.</t>
  </si>
  <si>
    <t xml:space="preserve">Make-up water autonomy at full load (hours)</t>
  </si>
  <si>
    <t xml:space="preserve">Part of the cooling redundancy claim, and almost always left out of it.</t>
  </si>
  <si>
    <t xml:space="preserve">3  ·  CLASSIFICATION TARGET</t>
  </si>
  <si>
    <t xml:space="preserve">Name the scheme, the level and the edition you are working to, and say plainly whether anything is actually being certified. "Designed to Tier III criteria" is a designer's assertion; a certificate for the constructed facility is evidence about the building. Reference sets out how the schemes differ and why they do not map onto one another.</t>
  </si>
  <si>
    <t xml:space="preserve">Classification scheme</t>
  </si>
  <si>
    <t xml:space="preserve">Uptime Institute Tier</t>
  </si>
  <si>
    <t xml:space="preserve">Target level</t>
  </si>
  <si>
    <t xml:space="preserve">Tier III</t>
  </si>
  <si>
    <t xml:space="preserve">Use the scheme's own words. Do not translate a level from one scheme into another.</t>
  </si>
  <si>
    <t xml:space="preserve">Edition or revision being worked to</t>
  </si>
  <si>
    <t xml:space="preserve">Confirm with the designer</t>
  </si>
  <si>
    <t xml:space="preserve">These get revised. The edition current at design may not be current at handover, so record which one the design was measured against.</t>
  </si>
  <si>
    <t xml:space="preserve">Is the facility being certified?</t>
  </si>
  <si>
    <t xml:space="preserve">Yes</t>
  </si>
  <si>
    <t xml:space="preserve">If yes, name what is being certified - design documents, the constructed facility, operations - because they are separate certificates and a design certificate says nothing about what got built.</t>
  </si>
  <si>
    <t xml:space="preserve">What is being certified</t>
  </si>
  <si>
    <t xml:space="preserve">Design documents and constructed facility</t>
  </si>
  <si>
    <t xml:space="preserve">4  ·  REDUNDANCY, STATED PROPERLY</t>
  </si>
  <si>
    <t xml:space="preserve">N+1 on chillers is not the same promise as N+1 on UPS. One hands over instantly; the other has to start, stage and pull down while the hall heats up, and its N is conditional on an ambient temperature nobody states. Say what, at what condition, with what ride-through.</t>
  </si>
  <si>
    <t xml:space="preserve">Redundancy</t>
  </si>
  <si>
    <t xml:space="preserve">Evaluated at</t>
  </si>
  <si>
    <t xml:space="preserve">Ride-through</t>
  </si>
  <si>
    <t xml:space="preserve">Utility supply</t>
  </si>
  <si>
    <t xml:space="preserve">Single</t>
  </si>
  <si>
    <t xml:space="preserve">n/a</t>
  </si>
  <si>
    <t xml:space="preserve">One point of supply. Everything downstream assumes it fails.</t>
  </si>
  <si>
    <t xml:space="preserve">N+1</t>
  </si>
  <si>
    <t xml:space="preserve">At design ambient and full IT load</t>
  </si>
  <si>
    <t xml:space="preserve">10 second start, load in 60 seconds</t>
  </si>
  <si>
    <t xml:space="preserve">N is 6 for 36 MW IT plus house load. Eight installed gives N+2 at first phase load.</t>
  </si>
  <si>
    <t xml:space="preserve">UPS</t>
  </si>
  <si>
    <t xml:space="preserve">2(N+1)</t>
  </si>
  <si>
    <t xml:space="preserve">At full critical load</t>
  </si>
  <si>
    <t xml:space="preserve">5 minutes at full load</t>
  </si>
  <si>
    <t xml:space="preserve">Two independent systems, each internally N+1. Not the same as 2N+1, which is what the tender said.</t>
  </si>
  <si>
    <t xml:space="preserve">At the 0.4 per cent design ambient</t>
  </si>
  <si>
    <t xml:space="preserve">90 seconds of stored cooling at full load</t>
  </si>
  <si>
    <t xml:space="preserve">Ask what ambient. At the fifty-year extreme this plant is N, not N+1.</t>
  </si>
  <si>
    <t xml:space="preserve">Chilled water pumps</t>
  </si>
  <si>
    <t xml:space="preserve">At design flow</t>
  </si>
  <si>
    <t xml:space="preserve">UPS backed</t>
  </si>
  <si>
    <t xml:space="preserve">Redundant chillers on a single set of pumps is not a redundant plant.</t>
  </si>
  <si>
    <t xml:space="preserve">At design wet bulb</t>
  </si>
  <si>
    <t xml:space="preserve">Make-up water</t>
  </si>
  <si>
    <t xml:space="preserve">Two supplies plus storage</t>
  </si>
  <si>
    <t xml:space="preserve">24 hours of storage at full load</t>
  </si>
  <si>
    <t xml:space="preserve">Water autonomy is part of the cooling redundancy claim and is almost always omitted from it.</t>
  </si>
  <si>
    <t xml:space="preserve">N+1 per hall</t>
  </si>
  <si>
    <t xml:space="preserve">At design return temperature</t>
  </si>
  <si>
    <t xml:space="preserve">UPS backed fans</t>
  </si>
  <si>
    <t xml:space="preserve">Distribution path</t>
  </si>
  <si>
    <t xml:space="preserve">Two paths, physically separated</t>
  </si>
  <si>
    <t xml:space="preserve">Capacity redundancy without path redundancy is a different and much weaker promise.</t>
  </si>
  <si>
    <t xml:space="preserve">Carrier entries</t>
  </si>
  <si>
    <t xml:space="preserve">Two diverse entries</t>
  </si>
  <si>
    <t xml:space="preserve">Diverse on paper is not diverse in the ground. Get the route surveyed.</t>
  </si>
  <si>
    <t xml:space="preserve">DATA CENTER PROJECT PLAN     ·     REFERENCE</t>
  </si>
  <si>
    <t xml:space="preserve">The colour key, how the classification schemes actually differ and why they do not map onto each other, the commissioning levels, definitions and every dropdown source.</t>
  </si>
  <si>
    <t xml:space="preserve">THE COLOUR KEY - THE SAME SIX MEANINGS ON EVERY SHEET</t>
  </si>
  <si>
    <t xml:space="preserve">Colour</t>
  </si>
  <si>
    <t xml:space="preserve">It means</t>
  </si>
  <si>
    <t xml:space="preserve">When you will see it</t>
  </si>
  <si>
    <t xml:space="preserve">DONE</t>
  </si>
  <si>
    <t xml:space="preserve">ON TRACK</t>
  </si>
  <si>
    <t xml:space="preserve">DUE SOON</t>
  </si>
  <si>
    <t xml:space="preserve">AT RISK</t>
  </si>
  <si>
    <t xml:space="preserve">LATE OR BLOCKING</t>
  </si>
  <si>
    <t xml:space="preserve">NOT APPLICABLE</t>
  </si>
  <si>
    <t xml:space="preserve">THE FOUR CLASSIFICATION SCHEMES, AND WHY THEY DO NOT MAP ONTO EACH OTHER</t>
  </si>
  <si>
    <t xml:space="preserve">No issuing body publishes a mapping between these schemes, and the equivalence tables in circulation come from training companies and consultancies rather than from the bodies themselves. They cover different scopes, they are assessed by different methods, and two of them are multi-axis - so a single ordinal cannot survive the translation. Certification against one is not evidence about another. Pick the one your business actually needs, specify it properly, and do not let a tender document claim an equivalence.</t>
  </si>
  <si>
    <t xml:space="preserve">Scheme</t>
  </si>
  <si>
    <t xml:space="preserve">Levels</t>
  </si>
  <si>
    <t xml:space="preserve">What it covers</t>
  </si>
  <si>
    <t xml:space="preserve">How it works</t>
  </si>
  <si>
    <t xml:space="preserve">Who certifies</t>
  </si>
  <si>
    <t xml:space="preserve">Tier I - IV</t>
  </si>
  <si>
    <t xml:space="preserve">Electrical and mechanical topology only.</t>
  </si>
  <si>
    <t xml:space="preserve">Outcome based. Tier III means concurrently maintainable - anything can be taken out for maintenance without touching IT. Tier IV means fault tolerant - a single failure is stopped before it reaches IT, with physical separation and continuous cooling.</t>
  </si>
  <si>
    <t xml:space="preserve">One body, by demonstration. Design documents, constructed facility and operational sustainability are three separate certificates and a design certificate says nothing about what was built.</t>
  </si>
  <si>
    <t xml:space="preserve">TIA-942 Rated</t>
  </si>
  <si>
    <t xml:space="preserve">Rated-1 - Rated-4</t>
  </si>
  <si>
    <t xml:space="preserve">Telecommunications, architectural, electrical and mechanical - four subsystems, each rated.</t>
  </si>
  <si>
    <t xml:space="preserve">Prescriptive. Rated-3 is concurrently maintainable, Rated-4 fault tolerant, and it also covers fire, physical security and site selection, which the Tier scheme does not.</t>
  </si>
  <si>
    <t xml:space="preserve">Licensed assessment bodies, several of them. Ask for the certificate showing all four subsystem ratings, not a single headline number.</t>
  </si>
  <si>
    <t xml:space="preserve">EN 50600 / ISO Availability Class</t>
  </si>
  <si>
    <t xml:space="preserve">Class 1 - 4</t>
  </si>
  <si>
    <t xml:space="preserve">Building, power, environmental control, cabling and physical security.</t>
  </si>
  <si>
    <t xml:space="preserve">Three independent axes, not one: an Availability Class, a Protection Class, and a granularity level for energy efficiency. A facility is a combination, not a number.</t>
  </si>
  <si>
    <t xml:space="preserve">Certification bodies. Note the European and international series are closely related but not identical, and certification to one is not certification to the other.</t>
  </si>
  <si>
    <t xml:space="preserve">BICSI Class F</t>
  </si>
  <si>
    <t xml:space="preserve">F0 - F4</t>
  </si>
  <si>
    <t xml:space="preserve">A full design manual - site, structural, electrical, mechanical, telecoms, security, fire, commissioning and maintenance.</t>
  </si>
  <si>
    <t xml:space="preserve">Five levels, not four, starting at zero. Applied per facility system rather than to the facility as a whole.</t>
  </si>
  <si>
    <t xml:space="preserve">Nobody. There is no certification scheme, which means you can specify it without buying an audit.</t>
  </si>
  <si>
    <t xml:space="preserve">THE AVAILABILITY PERCENTAGES</t>
  </si>
  <si>
    <t xml:space="preserve">The four availability percentages quoted against Tiers everywhere on the internet were never Tier requirements. They come from a benchmarking paper published a quarter of a century ago, where they described the observed performance of the best-performing tenth of sites, and references to expected downtime were removed from the standard long ago. The companion table of annual downtime hours is arithmetic somebody later performed on the percentages and has never appeared in any published document. If a project needs an availability commitment, it belongs in a service agreement with a stated measurement method and stated exclusions.</t>
  </si>
  <si>
    <t xml:space="preserve">COMMISSIONING LEVELS - AGREE THESE, THEN WRITE THEM INTO THE CONTRACT</t>
  </si>
  <si>
    <t xml:space="preserve">There is no published standard that defines these levels. The numbering is industry convention and practitioners do not even agree on how many there are - one to five is the common form, but zero to six and zero to seven are both in use. That means the levels have to be defined in your contract, with witness requirements and acceptance criteria per level, or the word is unenforceable.</t>
  </si>
  <si>
    <t xml:space="preserve">Equipment tested at the factory before it ships, witnessed by the owner or the commissioning agent. The last point at which a defect is the manufacturer's problem rather than yours.</t>
  </si>
  <si>
    <t xml:space="preserve">Received undamaged, correct against the order, installed and terminated per the drawings. Checklists and photographs, not testing.</t>
  </si>
  <si>
    <t xml:space="preserve">Each component energised and started in isolation, with manufacturer start-up records, electrical acceptance testing and calibration.</t>
  </si>
  <si>
    <t xml:space="preserve">Each system proven to do what the design says it does, through its full sequence of operation, including its own failure modes.</t>
  </si>
  <si>
    <t xml:space="preserve">The whole facility under simulated load, including loss of utility supply with no warning. Generator start and load acceptance, transfer, UPS ride-through, cooling restart and pull-down, controls under power loss. The only test that finds common-cause dependencies and control sequence errors.</t>
  </si>
  <si>
    <t xml:space="preserve">DEFINITIONS</t>
  </si>
  <si>
    <t xml:space="preserve">Ready for Service (RFS)</t>
  </si>
  <si>
    <t xml:space="preserve">The gate at which the facility is fully commissioned, permanently energised and able to carry production IT load. Not the same as practical completion, and not the same as the integrated systems test passing.</t>
  </si>
  <si>
    <t xml:space="preserve">Contracted capacity</t>
  </si>
  <si>
    <t xml:space="preserve">The load your connection agreement entitles you to draw. A commercial right. You usually pay standing charges on it whether you use it or not.</t>
  </si>
  <si>
    <t xml:space="preserve">Connected capacity</t>
  </si>
  <si>
    <t xml:space="preserve">The physical network assets exist and the connection has been made. Can lag contracted capacity by years and can arrive in tranches.</t>
  </si>
  <si>
    <t xml:space="preserve">Energised capacity</t>
  </si>
  <si>
    <t xml:space="preserve">Power is flowing and the meter is live. The only one of the three that lets you run load, and the one regulators start their clocks from.</t>
  </si>
  <si>
    <t xml:space="preserve">IT load</t>
  </si>
  <si>
    <t xml:space="preserve">Power drawn by the IT equipment itself, measured at the rack. The unit of account for the whole industry. Facility load is higher by whatever the PUE is.</t>
  </si>
  <si>
    <t xml:space="preserve">Design load</t>
  </si>
  <si>
    <t xml:space="preserve">The IT load the facility is designed to carry at full build. A design intent, not something available on day one - staged builds often energise a fraction of it at RFS.</t>
  </si>
  <si>
    <t xml:space="preserve">Connected load</t>
  </si>
  <si>
    <t xml:space="preserve">The sum of the nameplate ratings of everything plugged in. Almost always far higher than actual draw, which is why demand and diversity factors exist.</t>
  </si>
  <si>
    <t xml:space="preserve">Critical load</t>
  </si>
  <si>
    <t xml:space="preserve">Load on the protected path, behind both UPS and generator. Usually includes network, security and some mechanical control as well as IT.</t>
  </si>
  <si>
    <t xml:space="preserve">The data hall floor where the racks go. Grey space is everything else technical - switchgear, UPS and battery rooms, generator yard, chiller plant, cabling galleries. White space is typically well under half the technical building and falling.</t>
  </si>
  <si>
    <t xml:space="preserve">Stranded capacity</t>
  </si>
  <si>
    <t xml:space="preserve">Capacity that exists and is paid for but cannot be used, because a different resource ran out first or because it is in the wrong place. A hall at seventy per cent on power may have no usable headroom at all.</t>
  </si>
  <si>
    <t xml:space="preserve">PUE</t>
  </si>
  <si>
    <t xml:space="preserve">Facility energy divided by IT energy. Only meaningful with its measurement category stated - where the IT load was measured - and over a full twelve months. A design PUE, a commissioned PUE and an operating PUE are three different numbers.</t>
  </si>
  <si>
    <t xml:space="preserve">Powered shell</t>
  </si>
  <si>
    <t xml:space="preserve">The landlord delivers land, structure, envelope and power to a demarcation point. The tenant delivers everything critical downstream. The scope splits at the building boundary.</t>
  </si>
  <si>
    <t xml:space="preserve">Build to suit</t>
  </si>
  <si>
    <t xml:space="preserve">A developer builds a complete, commissioned facility to a named tenant's specification and leases it. The risk splits, the scope does not - so the tenant runs an assurance programme over someone else's build rather than a delivery programme.</t>
  </si>
  <si>
    <t xml:space="preserve">MOP / SOP / EOP</t>
  </si>
  <si>
    <t xml:space="preserve">Method of Procedure - a scripted, risk-assessed intervention on live infrastructure. Standard Operating Procedure - routine operation. Emergency Operating Procedure - the response to a failure. All three written, approved and rehearsed before RFS, not delivered as a manual afterwards.</t>
  </si>
  <si>
    <t xml:space="preserve">THE SAME THING, CALLED SOMETHING ELSE</t>
  </si>
  <si>
    <t xml:space="preserve">Used here</t>
  </si>
  <si>
    <t xml:space="preserve">Also called</t>
  </si>
  <si>
    <t xml:space="preserve">Data center</t>
  </si>
  <si>
    <t xml:space="preserve">Data centre</t>
  </si>
  <si>
    <t xml:space="preserve">The US spelling is the search term everywhere, including the markets that would otherwise write centre.</t>
  </si>
  <si>
    <t xml:space="preserve">RFS, go live, in service, energised for load</t>
  </si>
  <si>
    <t xml:space="preserve">The gate at which production IT load can be applied.</t>
  </si>
  <si>
    <t xml:space="preserve">Integrated systems test</t>
  </si>
  <si>
    <t xml:space="preserve">IST, black building test, pull the plug test, black start</t>
  </si>
  <si>
    <t xml:space="preserve">The whole facility under load with the supply pulled without warning.</t>
  </si>
  <si>
    <t xml:space="preserve">Data hall, technical space, raised floor</t>
  </si>
  <si>
    <t xml:space="preserve">Where the racks go. Grey space is the plant.</t>
  </si>
  <si>
    <t xml:space="preserve">Maximum import capacity, MIC, agreed capacity, service agreement level</t>
  </si>
  <si>
    <t xml:space="preserve">The load your connection agreement entitles you to draw.</t>
  </si>
  <si>
    <t xml:space="preserve">CxA, commissioning authority, independent commissioning engineer</t>
  </si>
  <si>
    <t xml:space="preserve">Appointed by the owner, not by the contractor. That is the whole point of the role.</t>
  </si>
  <si>
    <t xml:space="preserve">General contractor, GC, principal contractor</t>
  </si>
  <si>
    <t xml:space="preserve">HOW TO READ A CELL</t>
  </si>
  <si>
    <t xml:space="preserve">Pale blue</t>
  </si>
  <si>
    <t xml:space="preserve">You type here.</t>
  </si>
  <si>
    <t xml:space="preserve">Off white</t>
  </si>
  <si>
    <t xml:space="preserve">Worked out for you. Do not type over it.</t>
  </si>
  <si>
    <t xml:space="preserve">Pale cyan</t>
  </si>
  <si>
    <t xml:space="preserve">Column heading.</t>
  </si>
  <si>
    <t xml:space="preserve">Grey</t>
  </si>
  <si>
    <t xml:space="preserve">Reference, or something that does not apply.</t>
  </si>
  <si>
    <t xml:space="preserve">DROPDOWN SOURCES - EDIT THESE AND EVERY LIST IN THE WORKBOOK FOLLOWS</t>
  </si>
  <si>
    <t xml:space="preserve">Party</t>
  </si>
  <si>
    <t xml:space="preserve">Classification</t>
  </si>
  <si>
    <t xml:space="preserve">Cx level</t>
  </si>
  <si>
    <t xml:space="preserve">Hyperscale - self build</t>
  </si>
  <si>
    <t xml:space="preserve">Developer</t>
  </si>
  <si>
    <t xml:space="preserve">Colocation - speculative</t>
  </si>
  <si>
    <t xml:space="preserve">New build - brownfield</t>
  </si>
  <si>
    <t xml:space="preserve">Air - direct expansion</t>
  </si>
  <si>
    <t xml:space="preserve">Retrofit / adaptive reuse</t>
  </si>
  <si>
    <t xml:space="preserve">Air - free / adiabatic</t>
  </si>
  <si>
    <t xml:space="preserve">EN 50600 Availability Class</t>
  </si>
  <si>
    <t xml:space="preserve">Powered shell - landlord scope</t>
  </si>
  <si>
    <t xml:space="preserve">Liquid - direct to chip</t>
  </si>
  <si>
    <t xml:space="preserve">ISO Availability Class</t>
  </si>
  <si>
    <t xml:space="preserve">Enterprise</t>
  </si>
  <si>
    <t xml:space="preserve">Powered shell - tenant fit-out</t>
  </si>
  <si>
    <t xml:space="preserve">Liquid - rear door</t>
  </si>
  <si>
    <t xml:space="preserve">Government</t>
  </si>
  <si>
    <t xml:space="preserve">Expansion of live facility</t>
  </si>
  <si>
    <t xml:space="preserve">Liquid - immersion</t>
  </si>
  <si>
    <t xml:space="preserve">Owner's own standard</t>
  </si>
  <si>
    <t xml:space="preserve">Hybrid air and liquid</t>
  </si>
  <si>
    <t xml:space="preserve">Not yet decided</t>
  </si>
  <si>
    <t xml:space="preserve">Equipment vendor</t>
  </si>
  <si>
    <t xml:space="preserve">Authority</t>
  </si>
  <si>
    <t xml:space="preserve">Cx result</t>
  </si>
  <si>
    <t xml:space="preserve">Readiness domain</t>
  </si>
  <si>
    <t xml:space="preserve">Yes or no</t>
  </si>
  <si>
    <t xml:space="preserve">No</t>
  </si>
  <si>
    <t xml:space="preserve">Not witnessed</t>
  </si>
  <si>
    <t xml:space="preserve">Waived - recorded</t>
  </si>
</sst>
</file>

<file path=xl/styles.xml><?xml version="1.0" encoding="utf-8"?>
<styleSheet xmlns="http://schemas.openxmlformats.org/spreadsheetml/2006/main">
  <numFmts count="8">
    <numFmt numFmtId="164" formatCode="General"/>
    <numFmt numFmtId="165" formatCode="d\ mmm\ yyyy"/>
    <numFmt numFmtId="166" formatCode="#,##0;\-#,##0;\-"/>
    <numFmt numFmtId="167" formatCode="0"/>
    <numFmt numFmtId="168" formatCode="0%;\-0%;\-"/>
    <numFmt numFmtId="169" formatCode="#,##0.0;\-#,##0.0;\-"/>
    <numFmt numFmtId="170" formatCode="\+0;\-0;&quot;on date&quot;"/>
    <numFmt numFmtId="171" formatCode="0.00"/>
  </numFmts>
  <fonts count="37">
    <font>
      <sz val="11"/>
      <color theme="1"/>
      <name val="Calibri"/>
      <family val="2"/>
      <charset val="1"/>
    </font>
    <font>
      <sz val="10"/>
      <name val="Arial"/>
      <family val="0"/>
    </font>
    <font>
      <sz val="10"/>
      <name val="Arial"/>
      <family val="0"/>
    </font>
    <font>
      <sz val="10"/>
      <name val="Arial"/>
      <family val="0"/>
    </font>
    <font>
      <b val="true"/>
      <sz val="11"/>
      <color rgb="FFFFFFFF"/>
      <name val="Inter"/>
      <family val="0"/>
      <charset val="1"/>
    </font>
    <font>
      <b val="true"/>
      <sz val="26"/>
      <color rgb="FF1D3245"/>
      <name val="Inter"/>
      <family val="0"/>
      <charset val="1"/>
    </font>
    <font>
      <sz val="11"/>
      <color rgb="FF3480BC"/>
      <name val="Inter"/>
      <family val="0"/>
      <charset val="1"/>
    </font>
    <font>
      <sz val="10.5"/>
      <color rgb="FF1D3245"/>
      <name val="Inter"/>
      <family val="0"/>
      <charset val="1"/>
    </font>
    <font>
      <b val="true"/>
      <sz val="10"/>
      <color rgb="FF1D3245"/>
      <name val="Inter"/>
      <family val="0"/>
      <charset val="1"/>
    </font>
    <font>
      <b val="true"/>
      <sz val="10"/>
      <color rgb="FF0D3C61"/>
      <name val="Inter"/>
      <family val="0"/>
      <charset val="1"/>
    </font>
    <font>
      <sz val="9.5"/>
      <color rgb="FF1D3245"/>
      <name val="Inter"/>
      <family val="0"/>
      <charset val="1"/>
    </font>
    <font>
      <b val="true"/>
      <sz val="9.5"/>
      <color rgb="FF0D3C61"/>
      <name val="Inter"/>
      <family val="0"/>
      <charset val="1"/>
    </font>
    <font>
      <b val="true"/>
      <u val="single"/>
      <sz val="10"/>
      <color rgb="FF3480BC"/>
      <name val="Inter"/>
      <family val="0"/>
      <charset val="1"/>
    </font>
    <font>
      <b val="true"/>
      <sz val="9"/>
      <color rgb="FF1D3245"/>
      <name val="Inter"/>
      <family val="0"/>
      <charset val="1"/>
    </font>
    <font>
      <b val="true"/>
      <sz val="9.5"/>
      <color rgb="FF4CAF50"/>
      <name val="Inter"/>
      <family val="0"/>
      <charset val="1"/>
    </font>
    <font>
      <b val="true"/>
      <sz val="9.5"/>
      <color rgb="FF0B79D0"/>
      <name val="Inter"/>
      <family val="0"/>
      <charset val="1"/>
    </font>
    <font>
      <b val="true"/>
      <sz val="9.5"/>
      <color rgb="FFFFB547"/>
      <name val="Inter"/>
      <family val="0"/>
      <charset val="1"/>
    </font>
    <font>
      <b val="true"/>
      <sz val="9"/>
      <color rgb="FFFFFFFF"/>
      <name val="Inter"/>
      <family val="0"/>
      <charset val="1"/>
    </font>
    <font>
      <b val="true"/>
      <sz val="9.5"/>
      <color rgb="FFEC6917"/>
      <name val="Inter"/>
      <family val="0"/>
      <charset val="1"/>
    </font>
    <font>
      <b val="true"/>
      <sz val="9.5"/>
      <color rgb="FFE31B0C"/>
      <name val="Inter"/>
      <family val="0"/>
      <charset val="1"/>
    </font>
    <font>
      <b val="true"/>
      <sz val="9.5"/>
      <color rgb="FF8E98A2"/>
      <name val="Inter"/>
      <family val="0"/>
      <charset val="1"/>
    </font>
    <font>
      <u val="single"/>
      <sz val="10"/>
      <color rgb="FF3480BC"/>
      <name val="Inter"/>
      <family val="0"/>
      <charset val="1"/>
    </font>
    <font>
      <b val="true"/>
      <sz val="13"/>
      <color rgb="FFFFFFFF"/>
      <name val="Inter"/>
      <family val="0"/>
      <charset val="1"/>
    </font>
    <font>
      <b val="true"/>
      <sz val="9.5"/>
      <color rgb="FF1D3245"/>
      <name val="Inter"/>
      <family val="0"/>
      <charset val="1"/>
    </font>
    <font>
      <i val="true"/>
      <sz val="9"/>
      <color rgb="FF8E98A2"/>
      <name val="Inter"/>
      <family val="0"/>
      <charset val="1"/>
    </font>
    <font>
      <sz val="10"/>
      <color rgb="FF1D3245"/>
      <name val="Inter"/>
      <family val="0"/>
      <charset val="1"/>
    </font>
    <font>
      <sz val="10"/>
      <color rgb="FF0D3C61"/>
      <name val="Inter"/>
      <family val="0"/>
      <charset val="1"/>
    </font>
    <font>
      <b val="true"/>
      <sz val="16"/>
      <color rgb="FF4CAF50"/>
      <name val="Inter"/>
      <family val="0"/>
      <charset val="1"/>
    </font>
    <font>
      <u val="single"/>
      <sz val="9.5"/>
      <color rgb="FF3480BC"/>
      <name val="Inter"/>
      <family val="0"/>
      <charset val="1"/>
    </font>
    <font>
      <b val="true"/>
      <sz val="20"/>
      <color rgb="FF0B79D0"/>
      <name val="Inter"/>
      <family val="0"/>
      <charset val="1"/>
    </font>
    <font>
      <b val="true"/>
      <sz val="20"/>
      <color rgb="FFE31B0C"/>
      <name val="Inter"/>
      <family val="0"/>
      <charset val="1"/>
    </font>
    <font>
      <b val="true"/>
      <sz val="20"/>
      <color rgb="FFEC6917"/>
      <name val="Inter"/>
      <family val="0"/>
      <charset val="1"/>
    </font>
    <font>
      <b val="true"/>
      <sz val="20"/>
      <color rgb="FFFFB547"/>
      <name val="Inter"/>
      <family val="0"/>
      <charset val="1"/>
    </font>
    <font>
      <b val="true"/>
      <sz val="20"/>
      <color rgb="FF4CAF50"/>
      <name val="Inter"/>
      <family val="0"/>
      <charset val="1"/>
    </font>
    <font>
      <b val="true"/>
      <sz val="12"/>
      <color rgb="FF0D3C61"/>
      <name val="Inter"/>
      <family val="0"/>
      <charset val="1"/>
    </font>
    <font>
      <sz val="9.5"/>
      <color rgb="FF0D3C61"/>
      <name val="Inter"/>
      <family val="0"/>
      <charset val="1"/>
    </font>
    <font>
      <b val="true"/>
      <sz val="9.5"/>
      <color rgb="FFFFFFFF"/>
      <name val="Inter"/>
      <family val="0"/>
      <charset val="1"/>
    </font>
  </fonts>
  <fills count="27">
    <fill>
      <patternFill patternType="none"/>
    </fill>
    <fill>
      <patternFill patternType="gray125"/>
    </fill>
    <fill>
      <patternFill patternType="solid">
        <fgColor rgb="FF1D3245"/>
        <bgColor rgb="FF0D3C61"/>
      </patternFill>
    </fill>
    <fill>
      <patternFill patternType="solid">
        <fgColor rgb="FF3480BC"/>
        <bgColor rgb="FF2F76BB"/>
      </patternFill>
    </fill>
    <fill>
      <patternFill patternType="solid">
        <fgColor rgb="FF0D3C61"/>
        <bgColor rgb="FF1D3245"/>
      </patternFill>
    </fill>
    <fill>
      <patternFill patternType="solid">
        <fgColor rgb="FF64B6F7"/>
        <bgColor rgb="FF33CCCC"/>
      </patternFill>
    </fill>
    <fill>
      <patternFill patternType="solid">
        <fgColor rgb="FFDCE9F4"/>
        <bgColor rgb="FFE3F0FA"/>
      </patternFill>
    </fill>
    <fill>
      <patternFill patternType="solid">
        <fgColor rgb="FF215383"/>
        <bgColor rgb="FF0D3C61"/>
      </patternFill>
    </fill>
    <fill>
      <patternFill patternType="solid">
        <fgColor rgb="FFFFFFFF"/>
        <bgColor rgb="FFF6F9FC"/>
      </patternFill>
    </fill>
    <fill>
      <patternFill patternType="solid">
        <fgColor rgb="FFF5F5F5"/>
        <bgColor rgb="FFF6F9FC"/>
      </patternFill>
    </fill>
    <fill>
      <patternFill patternType="solid">
        <fgColor rgb="FF0B79D0"/>
        <bgColor rgb="FF2F76BB"/>
      </patternFill>
    </fill>
    <fill>
      <patternFill patternType="solid">
        <fgColor rgb="FFE31B0C"/>
        <bgColor rgb="FF993300"/>
      </patternFill>
    </fill>
    <fill>
      <patternFill patternType="solid">
        <fgColor rgb="FFEC6917"/>
        <bgColor rgb="FFFF9900"/>
      </patternFill>
    </fill>
    <fill>
      <patternFill patternType="solid">
        <fgColor rgb="FF039BE5"/>
        <bgColor rgb="FF0B79D0"/>
      </patternFill>
    </fill>
    <fill>
      <patternFill patternType="solid">
        <fgColor rgb="FF4CAF50"/>
        <bgColor rgb="FF8E98A2"/>
      </patternFill>
    </fill>
    <fill>
      <patternFill patternType="solid">
        <fgColor rgb="FF2F76BB"/>
        <bgColor rgb="FF3480BC"/>
      </patternFill>
    </fill>
    <fill>
      <patternFill patternType="solid">
        <fgColor rgb="FF8E98A2"/>
        <bgColor rgb="FF808080"/>
      </patternFill>
    </fill>
    <fill>
      <patternFill patternType="solid">
        <fgColor rgb="FFE8F5E9"/>
        <bgColor rgb="FFEEEEEE"/>
      </patternFill>
    </fill>
    <fill>
      <patternFill patternType="solid">
        <fgColor rgb="FFE3F0FA"/>
        <bgColor rgb="FFDCE9F4"/>
      </patternFill>
    </fill>
    <fill>
      <patternFill patternType="solid">
        <fgColor rgb="FFFFB547"/>
        <bgColor rgb="FFFF9900"/>
      </patternFill>
    </fill>
    <fill>
      <patternFill patternType="solid">
        <fgColor rgb="FFFFF4E0"/>
        <bgColor rgb="FFFDEBE0"/>
      </patternFill>
    </fill>
    <fill>
      <patternFill patternType="solid">
        <fgColor rgb="FFFDEBE0"/>
        <bgColor rgb="FFFDEBE9"/>
      </patternFill>
    </fill>
    <fill>
      <patternFill patternType="solid">
        <fgColor rgb="FFFDEBE9"/>
        <bgColor rgb="FFFDEBE0"/>
      </patternFill>
    </fill>
    <fill>
      <patternFill patternType="solid">
        <fgColor rgb="FFE0E0E0"/>
        <bgColor rgb="FFD3DEE9"/>
      </patternFill>
    </fill>
    <fill>
      <patternFill patternType="solid">
        <fgColor rgb="FFEEEEEE"/>
        <bgColor rgb="FFE8F5E9"/>
      </patternFill>
    </fill>
    <fill>
      <patternFill patternType="solid">
        <fgColor rgb="FFF6F9FC"/>
        <bgColor rgb="FFF5F5F5"/>
      </patternFill>
    </fill>
    <fill>
      <patternFill patternType="solid">
        <fgColor rgb="FFD3DEE9"/>
        <bgColor rgb="FFE0E0E0"/>
      </patternFill>
    </fill>
  </fills>
  <borders count="3">
    <border diagonalUp="false" diagonalDown="false">
      <left/>
      <right/>
      <top/>
      <bottom/>
      <diagonal/>
    </border>
    <border diagonalUp="false" diagonalDown="false">
      <left style="thin">
        <color rgb="FFE0E0E0"/>
      </left>
      <right style="thin">
        <color rgb="FFE0E0E0"/>
      </right>
      <top style="thin">
        <color rgb="FFE0E0E0"/>
      </top>
      <bottom style="thin">
        <color rgb="FFE0E0E0"/>
      </bottom>
      <diagonal/>
    </border>
    <border diagonalUp="false" diagonalDown="false">
      <left style="thin">
        <color rgb="FFE0E0E0"/>
      </left>
      <right style="thin">
        <color rgb="FFE0E0E0"/>
      </right>
      <top style="thin">
        <color rgb="FFE0E0E0"/>
      </top>
      <bottom style="medium">
        <color rgb="FF3480B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3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4" fillId="3" borderId="0" xfId="0" applyFont="true" applyBorder="true" applyAlignment="true" applyProtection="false">
      <alignment horizontal="left" vertical="center" textRotation="0" wrapText="false" indent="1" shrinkToFit="false"/>
      <protection locked="true" hidden="false"/>
    </xf>
    <xf numFmtId="164" fontId="5" fillId="0"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true" applyAlignment="true" applyProtection="false">
      <alignment horizontal="left" vertical="center" textRotation="0" wrapText="false" indent="1" shrinkToFit="false"/>
      <protection locked="true" hidden="false"/>
    </xf>
    <xf numFmtId="164" fontId="7" fillId="0" borderId="0" xfId="0" applyFont="true" applyBorder="true" applyAlignment="true" applyProtection="false">
      <alignment horizontal="left" vertical="top" textRotation="0" wrapText="true" indent="1" shrinkToFit="false"/>
      <protection locked="true" hidden="false"/>
    </xf>
    <xf numFmtId="164" fontId="4" fillId="4" borderId="0" xfId="0" applyFont="true" applyBorder="true" applyAlignment="true" applyProtection="false">
      <alignment horizontal="left" vertical="center" textRotation="0" wrapText="false" indent="1" shrinkToFit="false"/>
      <protection locked="true" hidden="false"/>
    </xf>
    <xf numFmtId="164" fontId="8" fillId="5" borderId="1"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left" vertical="top" textRotation="0" wrapText="true" indent="1" shrinkToFit="false"/>
      <protection locked="true" hidden="false"/>
    </xf>
    <xf numFmtId="164" fontId="10" fillId="0" borderId="0" xfId="0" applyFont="true" applyBorder="true" applyAlignment="true" applyProtection="false">
      <alignment horizontal="left" vertical="top" textRotation="0" wrapText="true" indent="1" shrinkToFit="false"/>
      <protection locked="true" hidden="false"/>
    </xf>
    <xf numFmtId="164" fontId="11" fillId="6" borderId="2" xfId="0" applyFont="true" applyBorder="true" applyAlignment="true" applyProtection="false">
      <alignment horizontal="center" vertical="center" textRotation="0" wrapText="true" indent="0" shrinkToFit="false"/>
      <protection locked="true" hidden="false"/>
    </xf>
    <xf numFmtId="164" fontId="0" fillId="7" borderId="1" xfId="0" applyFont="false" applyBorder="true" applyAlignment="false" applyProtection="false">
      <alignment horizontal="general" vertical="bottom" textRotation="0" wrapText="false" indent="0" shrinkToFit="false"/>
      <protection locked="true" hidden="false"/>
    </xf>
    <xf numFmtId="164" fontId="12" fillId="8" borderId="1" xfId="0" applyFont="true" applyBorder="true" applyAlignment="true" applyProtection="false">
      <alignment horizontal="left" vertical="center" textRotation="0" wrapText="true" indent="1" shrinkToFit="false"/>
      <protection locked="true" hidden="false"/>
    </xf>
    <xf numFmtId="164" fontId="10" fillId="8" borderId="1" xfId="0" applyFont="true" applyBorder="true" applyAlignment="true" applyProtection="false">
      <alignment horizontal="left" vertical="center" textRotation="0" wrapText="true" indent="1"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4" fontId="12" fillId="9" borderId="1" xfId="0" applyFont="true" applyBorder="true" applyAlignment="true" applyProtection="false">
      <alignment horizontal="left" vertical="center" textRotation="0" wrapText="true" indent="1" shrinkToFit="false"/>
      <protection locked="true" hidden="false"/>
    </xf>
    <xf numFmtId="164" fontId="10" fillId="9" borderId="1" xfId="0" applyFont="true" applyBorder="true" applyAlignment="true" applyProtection="false">
      <alignment horizontal="left" vertical="center" textRotation="0" wrapText="true" indent="1" shrinkToFit="false"/>
      <protection locked="true" hidden="false"/>
    </xf>
    <xf numFmtId="164" fontId="0" fillId="10" borderId="1" xfId="0" applyFont="false" applyBorder="true" applyAlignment="false" applyProtection="false">
      <alignment horizontal="general" vertical="bottom" textRotation="0" wrapText="false" indent="0" shrinkToFit="false"/>
      <protection locked="true" hidden="false"/>
    </xf>
    <xf numFmtId="164" fontId="0" fillId="11" borderId="1" xfId="0" applyFont="false" applyBorder="true" applyAlignment="false" applyProtection="false">
      <alignment horizontal="general" vertical="bottom" textRotation="0" wrapText="false" indent="0" shrinkToFit="false"/>
      <protection locked="true" hidden="false"/>
    </xf>
    <xf numFmtId="164" fontId="0" fillId="12" borderId="1" xfId="0" applyFont="false" applyBorder="true" applyAlignment="false" applyProtection="false">
      <alignment horizontal="general" vertical="bottom" textRotation="0" wrapText="false" indent="0" shrinkToFit="false"/>
      <protection locked="true" hidden="false"/>
    </xf>
    <xf numFmtId="164" fontId="0" fillId="13" borderId="1" xfId="0" applyFont="false" applyBorder="true" applyAlignment="false" applyProtection="false">
      <alignment horizontal="general" vertical="bottom" textRotation="0" wrapText="false" indent="0" shrinkToFit="false"/>
      <protection locked="true" hidden="false"/>
    </xf>
    <xf numFmtId="164" fontId="0" fillId="14" borderId="1" xfId="0" applyFont="false" applyBorder="true" applyAlignment="false" applyProtection="false">
      <alignment horizontal="general" vertical="bottom" textRotation="0" wrapText="false" indent="0" shrinkToFit="false"/>
      <protection locked="true" hidden="false"/>
    </xf>
    <xf numFmtId="164" fontId="0" fillId="15" borderId="1" xfId="0" applyFont="false" applyBorder="true" applyAlignment="false" applyProtection="false">
      <alignment horizontal="general" vertical="bottom" textRotation="0" wrapText="false" indent="0" shrinkToFit="false"/>
      <protection locked="true" hidden="false"/>
    </xf>
    <xf numFmtId="164" fontId="0" fillId="16" borderId="1" xfId="0" applyFont="false" applyBorder="true" applyAlignment="false" applyProtection="false">
      <alignment horizontal="general" vertical="bottom" textRotation="0" wrapText="false" indent="0" shrinkToFit="false"/>
      <protection locked="true" hidden="false"/>
    </xf>
    <xf numFmtId="164" fontId="13" fillId="14" borderId="1" xfId="0" applyFont="true" applyBorder="true" applyAlignment="true" applyProtection="false">
      <alignment horizontal="center" vertical="center" textRotation="0" wrapText="false" indent="0" shrinkToFit="false"/>
      <protection locked="true" hidden="false"/>
    </xf>
    <xf numFmtId="164" fontId="14" fillId="17" borderId="1" xfId="0" applyFont="true" applyBorder="true" applyAlignment="true" applyProtection="false">
      <alignment horizontal="left" vertical="center" textRotation="0" wrapText="false" indent="1" shrinkToFit="false"/>
      <protection locked="true" hidden="false"/>
    </xf>
    <xf numFmtId="164" fontId="10" fillId="0" borderId="0" xfId="0" applyFont="true" applyBorder="true" applyAlignment="true" applyProtection="false">
      <alignment horizontal="left" vertical="center" textRotation="0" wrapText="true" indent="1" shrinkToFit="false"/>
      <protection locked="true" hidden="false"/>
    </xf>
    <xf numFmtId="164" fontId="13" fillId="5" borderId="1" xfId="0" applyFont="true" applyBorder="true" applyAlignment="true" applyProtection="false">
      <alignment horizontal="center" vertical="center" textRotation="0" wrapText="false" indent="0" shrinkToFit="false"/>
      <protection locked="true" hidden="false"/>
    </xf>
    <xf numFmtId="164" fontId="15" fillId="18" borderId="1" xfId="0" applyFont="true" applyBorder="true" applyAlignment="true" applyProtection="false">
      <alignment horizontal="left" vertical="center" textRotation="0" wrapText="false" indent="1" shrinkToFit="false"/>
      <protection locked="true" hidden="false"/>
    </xf>
    <xf numFmtId="164" fontId="13" fillId="19" borderId="1" xfId="0" applyFont="true" applyBorder="true" applyAlignment="true" applyProtection="false">
      <alignment horizontal="center" vertical="center" textRotation="0" wrapText="false" indent="0" shrinkToFit="false"/>
      <protection locked="true" hidden="false"/>
    </xf>
    <xf numFmtId="164" fontId="16" fillId="20" borderId="1" xfId="0" applyFont="true" applyBorder="true" applyAlignment="true" applyProtection="false">
      <alignment horizontal="left" vertical="center" textRotation="0" wrapText="false" indent="1" shrinkToFit="false"/>
      <protection locked="true" hidden="false"/>
    </xf>
    <xf numFmtId="164" fontId="17" fillId="12" borderId="1" xfId="0" applyFont="true" applyBorder="true" applyAlignment="true" applyProtection="false">
      <alignment horizontal="center" vertical="center" textRotation="0" wrapText="false" indent="0" shrinkToFit="false"/>
      <protection locked="true" hidden="false"/>
    </xf>
    <xf numFmtId="164" fontId="18" fillId="21" borderId="1" xfId="0" applyFont="true" applyBorder="true" applyAlignment="true" applyProtection="false">
      <alignment horizontal="left" vertical="center" textRotation="0" wrapText="false" indent="1" shrinkToFit="false"/>
      <protection locked="true" hidden="false"/>
    </xf>
    <xf numFmtId="164" fontId="17" fillId="11" borderId="1" xfId="0" applyFont="true" applyBorder="true" applyAlignment="true" applyProtection="false">
      <alignment horizontal="center" vertical="center" textRotation="0" wrapText="false" indent="0" shrinkToFit="false"/>
      <protection locked="true" hidden="false"/>
    </xf>
    <xf numFmtId="164" fontId="19" fillId="22" borderId="1" xfId="0" applyFont="true" applyBorder="true" applyAlignment="true" applyProtection="false">
      <alignment horizontal="left" vertical="center" textRotation="0" wrapText="false" indent="1" shrinkToFit="false"/>
      <protection locked="true" hidden="false"/>
    </xf>
    <xf numFmtId="164" fontId="13" fillId="23" borderId="1" xfId="0" applyFont="true" applyBorder="true" applyAlignment="true" applyProtection="false">
      <alignment horizontal="center" vertical="center" textRotation="0" wrapText="false" indent="0" shrinkToFit="false"/>
      <protection locked="true" hidden="false"/>
    </xf>
    <xf numFmtId="164" fontId="20" fillId="24" borderId="1" xfId="0" applyFont="true" applyBorder="true" applyAlignment="true" applyProtection="false">
      <alignment horizontal="left" vertical="center" textRotation="0" wrapText="false" indent="1" shrinkToFit="false"/>
      <protection locked="true" hidden="false"/>
    </xf>
    <xf numFmtId="164" fontId="19" fillId="0" borderId="0" xfId="0" applyFont="true" applyBorder="true" applyAlignment="true" applyProtection="false">
      <alignment horizontal="left" vertical="center" textRotation="0" wrapText="false" indent="1" shrinkToFit="false"/>
      <protection locked="true" hidden="false"/>
    </xf>
    <xf numFmtId="164" fontId="10" fillId="20" borderId="1" xfId="0" applyFont="true" applyBorder="true" applyAlignment="true" applyProtection="false">
      <alignment horizontal="left" vertical="top" textRotation="0" wrapText="true" indent="1" shrinkToFit="false"/>
      <protection locked="true" hidden="false"/>
    </xf>
    <xf numFmtId="164" fontId="21" fillId="0" borderId="0" xfId="0" applyFont="true" applyBorder="true" applyAlignment="true" applyProtection="false">
      <alignment horizontal="left" vertical="center" textRotation="0" wrapText="false" indent="1" shrinkToFit="false"/>
      <protection locked="true" hidden="false"/>
    </xf>
    <xf numFmtId="164" fontId="22" fillId="2" borderId="0" xfId="0" applyFont="true" applyBorder="true" applyAlignment="true" applyProtection="false">
      <alignment horizontal="left" vertical="center" textRotation="0" wrapText="false" indent="15" shrinkToFit="false"/>
      <protection locked="true" hidden="false"/>
    </xf>
    <xf numFmtId="164" fontId="4" fillId="7" borderId="0" xfId="0" applyFont="true" applyBorder="true" applyAlignment="true" applyProtection="false">
      <alignment horizontal="left" vertical="center" textRotation="0" wrapText="false" indent="1" shrinkToFit="false"/>
      <protection locked="true" hidden="false"/>
    </xf>
    <xf numFmtId="164" fontId="23" fillId="0" borderId="0" xfId="0" applyFont="true" applyBorder="true" applyAlignment="true" applyProtection="false">
      <alignment horizontal="left" vertical="center" textRotation="0" wrapText="false" indent="1" shrinkToFit="false"/>
      <protection locked="true" hidden="false"/>
    </xf>
    <xf numFmtId="164" fontId="24" fillId="0" borderId="0" xfId="0" applyFont="true" applyBorder="true" applyAlignment="true" applyProtection="false">
      <alignment horizontal="left" vertical="top" textRotation="0" wrapText="true" indent="1" shrinkToFit="false"/>
      <protection locked="true" hidden="false"/>
    </xf>
    <xf numFmtId="164" fontId="25" fillId="0" borderId="0" xfId="0" applyFont="true" applyBorder="true" applyAlignment="true" applyProtection="false">
      <alignment horizontal="left" vertical="center" textRotation="0" wrapText="true" indent="1" shrinkToFit="false"/>
      <protection locked="true" hidden="false"/>
    </xf>
    <xf numFmtId="164" fontId="26" fillId="18" borderId="1" xfId="0" applyFont="true" applyBorder="true" applyAlignment="true" applyProtection="false">
      <alignment horizontal="left" vertical="center" textRotation="0" wrapText="false" indent="1" shrinkToFit="false"/>
      <protection locked="true" hidden="false"/>
    </xf>
    <xf numFmtId="165" fontId="26" fillId="18" borderId="1" xfId="0" applyFont="true" applyBorder="true" applyAlignment="true" applyProtection="false">
      <alignment horizontal="left" vertical="center" textRotation="0" wrapText="false" indent="1" shrinkToFit="false"/>
      <protection locked="true" hidden="false"/>
    </xf>
    <xf numFmtId="165" fontId="25" fillId="25" borderId="1" xfId="0" applyFont="true" applyBorder="true" applyAlignment="true" applyProtection="false">
      <alignment horizontal="left" vertical="center" textRotation="0" wrapText="false" indent="1" shrinkToFit="false"/>
      <protection locked="true" hidden="false"/>
    </xf>
    <xf numFmtId="166" fontId="25" fillId="25" borderId="1" xfId="0" applyFont="true" applyBorder="true" applyAlignment="true" applyProtection="false">
      <alignment horizontal="left" vertical="center" textRotation="0" wrapText="false" indent="1" shrinkToFit="false"/>
      <protection locked="true" hidden="false"/>
    </xf>
    <xf numFmtId="167" fontId="26" fillId="18" borderId="1" xfId="0" applyFont="true" applyBorder="true" applyAlignment="true" applyProtection="false">
      <alignment horizontal="left" vertical="center" textRotation="0" wrapText="false" indent="1" shrinkToFit="false"/>
      <protection locked="true" hidden="false"/>
    </xf>
    <xf numFmtId="164" fontId="25" fillId="0" borderId="0" xfId="0" applyFont="true" applyBorder="true" applyAlignment="true" applyProtection="false">
      <alignment horizontal="left" vertical="center" textRotation="0" wrapText="false" indent="1" shrinkToFit="false"/>
      <protection locked="true" hidden="false"/>
    </xf>
    <xf numFmtId="168" fontId="27" fillId="25" borderId="1" xfId="0" applyFont="true" applyBorder="true" applyAlignment="true" applyProtection="false">
      <alignment horizontal="center" vertical="center" textRotation="0" wrapText="false" indent="0" shrinkToFit="false"/>
      <protection locked="true" hidden="false"/>
    </xf>
    <xf numFmtId="164" fontId="28" fillId="0" borderId="0" xfId="0" applyFont="true" applyBorder="true" applyAlignment="true" applyProtection="false">
      <alignment horizontal="right" vertical="center" textRotation="0" wrapText="false" indent="1" shrinkToFit="false"/>
      <protection locked="true" hidden="false"/>
    </xf>
    <xf numFmtId="164" fontId="23" fillId="18" borderId="1" xfId="0" applyFont="true" applyBorder="true" applyAlignment="true" applyProtection="false">
      <alignment horizontal="center" vertical="center" textRotation="0" wrapText="true" indent="0" shrinkToFit="false"/>
      <protection locked="true" hidden="false"/>
    </xf>
    <xf numFmtId="164" fontId="23" fillId="22" borderId="1" xfId="0" applyFont="true" applyBorder="true" applyAlignment="true" applyProtection="false">
      <alignment horizontal="center" vertical="center" textRotation="0" wrapText="true" indent="0" shrinkToFit="false"/>
      <protection locked="true" hidden="false"/>
    </xf>
    <xf numFmtId="164" fontId="23" fillId="21" borderId="1" xfId="0" applyFont="true" applyBorder="true" applyAlignment="true" applyProtection="false">
      <alignment horizontal="center" vertical="center" textRotation="0" wrapText="true" indent="0" shrinkToFit="false"/>
      <protection locked="true" hidden="false"/>
    </xf>
    <xf numFmtId="166" fontId="29" fillId="18" borderId="1" xfId="0" applyFont="true" applyBorder="true" applyAlignment="true" applyProtection="false">
      <alignment horizontal="center" vertical="center" textRotation="0" wrapText="false" indent="0" shrinkToFit="false"/>
      <protection locked="true" hidden="false"/>
    </xf>
    <xf numFmtId="167" fontId="30" fillId="22" borderId="1" xfId="0" applyFont="true" applyBorder="true" applyAlignment="true" applyProtection="false">
      <alignment horizontal="center" vertical="center" textRotation="0" wrapText="false" indent="0" shrinkToFit="false"/>
      <protection locked="true" hidden="false"/>
    </xf>
    <xf numFmtId="166" fontId="31" fillId="21" borderId="1" xfId="0" applyFont="true" applyBorder="true" applyAlignment="true" applyProtection="false">
      <alignment horizontal="center" vertical="center" textRotation="0" wrapText="false" indent="0" shrinkToFit="false"/>
      <protection locked="true" hidden="false"/>
    </xf>
    <xf numFmtId="164" fontId="23" fillId="20" borderId="1" xfId="0" applyFont="true" applyBorder="true" applyAlignment="true" applyProtection="false">
      <alignment horizontal="center" vertical="center" textRotation="0" wrapText="true" indent="0" shrinkToFit="false"/>
      <protection locked="true" hidden="false"/>
    </xf>
    <xf numFmtId="164" fontId="23" fillId="17" borderId="1" xfId="0" applyFont="true" applyBorder="true" applyAlignment="true" applyProtection="false">
      <alignment horizontal="center" vertical="center" textRotation="0" wrapText="true" indent="0" shrinkToFit="false"/>
      <protection locked="true" hidden="false"/>
    </xf>
    <xf numFmtId="167" fontId="31" fillId="21" borderId="1" xfId="0" applyFont="true" applyBorder="true" applyAlignment="true" applyProtection="false">
      <alignment horizontal="center" vertical="center" textRotation="0" wrapText="false" indent="0" shrinkToFit="false"/>
      <protection locked="true" hidden="false"/>
    </xf>
    <xf numFmtId="168" fontId="29" fillId="18" borderId="1" xfId="0" applyFont="true" applyBorder="true" applyAlignment="true" applyProtection="false">
      <alignment horizontal="center" vertical="center" textRotation="0" wrapText="false" indent="0" shrinkToFit="false"/>
      <protection locked="true" hidden="false"/>
    </xf>
    <xf numFmtId="167" fontId="32" fillId="20" borderId="1" xfId="0" applyFont="true" applyBorder="true" applyAlignment="true" applyProtection="false">
      <alignment horizontal="center" vertical="center" textRotation="0" wrapText="false" indent="0" shrinkToFit="false"/>
      <protection locked="true" hidden="false"/>
    </xf>
    <xf numFmtId="168" fontId="33" fillId="17" borderId="1" xfId="0" applyFont="true" applyBorder="true" applyAlignment="true" applyProtection="false">
      <alignment horizontal="center" vertical="center" textRotation="0" wrapText="false" indent="0" shrinkToFit="false"/>
      <protection locked="true" hidden="false"/>
    </xf>
    <xf numFmtId="166" fontId="34" fillId="25" borderId="1" xfId="0" applyFont="true" applyBorder="true" applyAlignment="true" applyProtection="false">
      <alignment horizontal="center" vertical="center" textRotation="0" wrapText="false" indent="0" shrinkToFit="false"/>
      <protection locked="true" hidden="false"/>
    </xf>
    <xf numFmtId="169" fontId="34" fillId="25" borderId="1" xfId="0" applyFont="true" applyBorder="true" applyAlignment="true" applyProtection="false">
      <alignment horizontal="center" vertical="center" textRotation="0" wrapText="false" indent="0" shrinkToFit="false"/>
      <protection locked="true" hidden="false"/>
    </xf>
    <xf numFmtId="164" fontId="11" fillId="8" borderId="1" xfId="0" applyFont="true" applyBorder="true" applyAlignment="true" applyProtection="false">
      <alignment horizontal="left" vertical="center" textRotation="0" wrapText="true" indent="1" shrinkToFit="false"/>
      <protection locked="true" hidden="false"/>
    </xf>
    <xf numFmtId="164" fontId="26" fillId="18" borderId="1" xfId="0" applyFont="true" applyBorder="true" applyAlignment="true" applyProtection="false">
      <alignment horizontal="left" vertical="center" textRotation="0" wrapText="true" indent="1" shrinkToFit="false"/>
      <protection locked="true" hidden="false"/>
    </xf>
    <xf numFmtId="165" fontId="26" fillId="18" borderId="1" xfId="0" applyFont="true" applyBorder="true" applyAlignment="true" applyProtection="false">
      <alignment horizontal="center" vertical="center" textRotation="0" wrapText="false" indent="1" shrinkToFit="false"/>
      <protection locked="true" hidden="false"/>
    </xf>
    <xf numFmtId="170" fontId="23" fillId="25" borderId="1" xfId="0" applyFont="true" applyBorder="true" applyAlignment="true" applyProtection="false">
      <alignment horizontal="center" vertical="center" textRotation="0" wrapText="false" indent="0" shrinkToFit="false"/>
      <protection locked="true" hidden="false"/>
    </xf>
    <xf numFmtId="164" fontId="11" fillId="9" borderId="1" xfId="0" applyFont="true" applyBorder="true" applyAlignment="true" applyProtection="false">
      <alignment horizontal="left" vertical="center" textRotation="0" wrapText="true" indent="1" shrinkToFit="false"/>
      <protection locked="true" hidden="false"/>
    </xf>
    <xf numFmtId="164" fontId="35" fillId="8" borderId="1" xfId="0" applyFont="true" applyBorder="true" applyAlignment="true" applyProtection="false">
      <alignment horizontal="left" vertical="center" textRotation="0" wrapText="false" indent="1" shrinkToFit="false"/>
      <protection locked="true" hidden="false"/>
    </xf>
    <xf numFmtId="167" fontId="10" fillId="25" borderId="1" xfId="0" applyFont="true" applyBorder="true" applyAlignment="true" applyProtection="false">
      <alignment horizontal="center" vertical="center" textRotation="0" wrapText="false" indent="0" shrinkToFit="false"/>
      <protection locked="true" hidden="false"/>
    </xf>
    <xf numFmtId="168" fontId="10" fillId="25" borderId="1" xfId="0" applyFont="true" applyBorder="true" applyAlignment="true" applyProtection="false">
      <alignment horizontal="center" vertical="center" textRotation="0" wrapText="false" indent="0" shrinkToFit="false"/>
      <protection locked="true" hidden="false"/>
    </xf>
    <xf numFmtId="164" fontId="35" fillId="9" borderId="1" xfId="0" applyFont="true" applyBorder="true" applyAlignment="true" applyProtection="false">
      <alignment horizontal="left" vertical="center" textRotation="0" wrapText="false" indent="1" shrinkToFit="false"/>
      <protection locked="true" hidden="false"/>
    </xf>
    <xf numFmtId="164" fontId="4" fillId="10" borderId="0" xfId="0" applyFont="true" applyBorder="true" applyAlignment="true" applyProtection="false">
      <alignment horizontal="left" vertical="center" textRotation="0" wrapText="false" indent="1" shrinkToFit="false"/>
      <protection locked="true" hidden="false"/>
    </xf>
    <xf numFmtId="164" fontId="11" fillId="26" borderId="2" xfId="0" applyFont="true" applyBorder="true" applyAlignment="true" applyProtection="false">
      <alignment horizontal="center" vertical="center" textRotation="0" wrapText="true" indent="0" shrinkToFit="false"/>
      <protection locked="true" hidden="false"/>
    </xf>
    <xf numFmtId="164" fontId="23" fillId="25" borderId="1" xfId="0" applyFont="true" applyBorder="true" applyAlignment="true" applyProtection="false">
      <alignment horizontal="center" vertical="center" textRotation="0" wrapText="false" indent="0" shrinkToFit="false"/>
      <protection locked="true" hidden="false"/>
    </xf>
    <xf numFmtId="164" fontId="35" fillId="8" borderId="1" xfId="0" applyFont="true" applyBorder="true" applyAlignment="true" applyProtection="false">
      <alignment horizontal="left" vertical="center" textRotation="0" wrapText="true" indent="1" shrinkToFit="false"/>
      <protection locked="true" hidden="false"/>
    </xf>
    <xf numFmtId="165" fontId="35" fillId="8" borderId="1" xfId="0" applyFont="true" applyBorder="true" applyAlignment="true" applyProtection="false">
      <alignment horizontal="center" vertical="center" textRotation="0" wrapText="false" indent="0" shrinkToFit="false"/>
      <protection locked="true" hidden="false"/>
    </xf>
    <xf numFmtId="170" fontId="10" fillId="25" borderId="1" xfId="0" applyFont="true" applyBorder="true" applyAlignment="true" applyProtection="false">
      <alignment horizontal="center" vertical="center" textRotation="0" wrapText="false" indent="0" shrinkToFit="false"/>
      <protection locked="true" hidden="false"/>
    </xf>
    <xf numFmtId="168" fontId="35" fillId="8" borderId="1" xfId="0" applyFont="true" applyBorder="true" applyAlignment="true" applyProtection="false">
      <alignment horizontal="center" vertical="center" textRotation="0" wrapText="false" indent="0" shrinkToFit="false"/>
      <protection locked="true" hidden="false"/>
    </xf>
    <xf numFmtId="166" fontId="10" fillId="25" borderId="1" xfId="0" applyFont="true" applyBorder="true" applyAlignment="true" applyProtection="false">
      <alignment horizontal="right" vertical="center" textRotation="0" wrapText="false" indent="1" shrinkToFit="false"/>
      <protection locked="true" hidden="false"/>
    </xf>
    <xf numFmtId="164" fontId="10" fillId="25" borderId="1" xfId="0" applyFont="true" applyBorder="true" applyAlignment="true" applyProtection="false">
      <alignment horizontal="left" vertical="center" textRotation="0" wrapText="true" indent="1" shrinkToFit="false"/>
      <protection locked="true" hidden="false"/>
    </xf>
    <xf numFmtId="164" fontId="35" fillId="9" borderId="1" xfId="0" applyFont="true" applyBorder="true" applyAlignment="true" applyProtection="false">
      <alignment horizontal="left" vertical="center" textRotation="0" wrapText="true" indent="1" shrinkToFit="false"/>
      <protection locked="true" hidden="false"/>
    </xf>
    <xf numFmtId="165" fontId="35" fillId="9" borderId="1" xfId="0" applyFont="true" applyBorder="true" applyAlignment="true" applyProtection="false">
      <alignment horizontal="center" vertical="center" textRotation="0" wrapText="false" indent="0" shrinkToFit="false"/>
      <protection locked="true" hidden="false"/>
    </xf>
    <xf numFmtId="168" fontId="35" fillId="9" borderId="1" xfId="0" applyFont="true" applyBorder="true" applyAlignment="true" applyProtection="false">
      <alignment horizontal="center" vertical="center" textRotation="0" wrapText="false" indent="0" shrinkToFit="false"/>
      <protection locked="true" hidden="false"/>
    </xf>
    <xf numFmtId="164" fontId="4" fillId="11" borderId="0" xfId="0" applyFont="true" applyBorder="true" applyAlignment="true" applyProtection="false">
      <alignment horizontal="left" vertical="center" textRotation="0" wrapText="false" indent="1" shrinkToFit="false"/>
      <protection locked="true" hidden="false"/>
    </xf>
    <xf numFmtId="169" fontId="35" fillId="8" borderId="1" xfId="0" applyFont="true" applyBorder="true" applyAlignment="true" applyProtection="false">
      <alignment horizontal="right" vertical="center" textRotation="0" wrapText="false" indent="1" shrinkToFit="false"/>
      <protection locked="true" hidden="false"/>
    </xf>
    <xf numFmtId="169" fontId="35" fillId="9" borderId="1" xfId="0" applyFont="true" applyBorder="true" applyAlignment="true" applyProtection="false">
      <alignment horizontal="right" vertical="center" textRotation="0" wrapText="false" indent="1" shrinkToFit="false"/>
      <protection locked="true" hidden="false"/>
    </xf>
    <xf numFmtId="169" fontId="26" fillId="18" borderId="1" xfId="0" applyFont="true" applyBorder="true" applyAlignment="true" applyProtection="false">
      <alignment horizontal="center" vertical="center" textRotation="0" wrapText="false" indent="0" shrinkToFit="false"/>
      <protection locked="true" hidden="false"/>
    </xf>
    <xf numFmtId="169" fontId="25" fillId="25" borderId="1" xfId="0" applyFont="true" applyBorder="true" applyAlignment="true" applyProtection="false">
      <alignment horizontal="center" vertical="center" textRotation="0" wrapText="false" indent="0" shrinkToFit="false"/>
      <protection locked="true" hidden="false"/>
    </xf>
    <xf numFmtId="165" fontId="25" fillId="25" borderId="1" xfId="0" applyFont="true" applyBorder="true" applyAlignment="true" applyProtection="false">
      <alignment horizontal="center" vertical="center" textRotation="0" wrapText="false" indent="0" shrinkToFit="false"/>
      <protection locked="true" hidden="false"/>
    </xf>
    <xf numFmtId="166" fontId="25" fillId="25" borderId="1" xfId="0" applyFont="true" applyBorder="true" applyAlignment="true" applyProtection="false">
      <alignment horizontal="center" vertical="center" textRotation="0" wrapText="false" indent="0" shrinkToFit="false"/>
      <protection locked="true" hidden="false"/>
    </xf>
    <xf numFmtId="164" fontId="4" fillId="12" borderId="0" xfId="0" applyFont="true" applyBorder="true" applyAlignment="true" applyProtection="false">
      <alignment horizontal="left" vertical="center" textRotation="0" wrapText="false" indent="1" shrinkToFit="false"/>
      <protection locked="true" hidden="false"/>
    </xf>
    <xf numFmtId="166" fontId="35" fillId="8" borderId="1" xfId="0" applyFont="true" applyBorder="true" applyAlignment="true" applyProtection="false">
      <alignment horizontal="right" vertical="center" textRotation="0" wrapText="false" indent="1" shrinkToFit="false"/>
      <protection locked="true" hidden="false"/>
    </xf>
    <xf numFmtId="167" fontId="35" fillId="8" borderId="1" xfId="0" applyFont="true" applyBorder="true" applyAlignment="true" applyProtection="false">
      <alignment horizontal="center" vertical="center" textRotation="0" wrapText="false" indent="0" shrinkToFit="false"/>
      <protection locked="true" hidden="false"/>
    </xf>
    <xf numFmtId="165" fontId="10" fillId="25" borderId="1" xfId="0" applyFont="true" applyBorder="true" applyAlignment="true" applyProtection="false">
      <alignment horizontal="center" vertical="center" textRotation="0" wrapText="false" indent="0" shrinkToFit="false"/>
      <protection locked="true" hidden="false"/>
    </xf>
    <xf numFmtId="166" fontId="35" fillId="9" borderId="1" xfId="0" applyFont="true" applyBorder="true" applyAlignment="true" applyProtection="false">
      <alignment horizontal="right" vertical="center" textRotation="0" wrapText="false" indent="1" shrinkToFit="false"/>
      <protection locked="true" hidden="false"/>
    </xf>
    <xf numFmtId="167" fontId="35" fillId="9" borderId="1" xfId="0" applyFont="true" applyBorder="true" applyAlignment="true" applyProtection="false">
      <alignment horizontal="center" vertical="center" textRotation="0" wrapText="false" indent="0" shrinkToFit="false"/>
      <protection locked="true" hidden="false"/>
    </xf>
    <xf numFmtId="164" fontId="4" fillId="13" borderId="0" xfId="0" applyFont="true" applyBorder="true" applyAlignment="true" applyProtection="false">
      <alignment horizontal="left" vertical="center" textRotation="0" wrapText="false" indent="1" shrinkToFit="false"/>
      <protection locked="true" hidden="false"/>
    </xf>
    <xf numFmtId="164" fontId="4" fillId="14" borderId="0" xfId="0" applyFont="true" applyBorder="true" applyAlignment="true" applyProtection="false">
      <alignment horizontal="left" vertical="center" textRotation="0" wrapText="false" indent="1" shrinkToFit="false"/>
      <protection locked="true" hidden="false"/>
    </xf>
    <xf numFmtId="164" fontId="4" fillId="15" borderId="0" xfId="0" applyFont="true" applyBorder="true" applyAlignment="true" applyProtection="false">
      <alignment horizontal="left" vertical="center" textRotation="0" wrapText="false" indent="1" shrinkToFit="false"/>
      <protection locked="true" hidden="false"/>
    </xf>
    <xf numFmtId="169" fontId="26" fillId="18" borderId="1" xfId="0" applyFont="true" applyBorder="true" applyAlignment="true" applyProtection="false">
      <alignment horizontal="left" vertical="center" textRotation="0" wrapText="false" indent="1" shrinkToFit="false"/>
      <protection locked="true" hidden="false"/>
    </xf>
    <xf numFmtId="171" fontId="26" fillId="18" borderId="1" xfId="0" applyFont="true" applyBorder="true" applyAlignment="true" applyProtection="false">
      <alignment horizontal="left" vertical="center" textRotation="0" wrapText="false" indent="1" shrinkToFit="false"/>
      <protection locked="true" hidden="false"/>
    </xf>
    <xf numFmtId="169" fontId="25" fillId="25" borderId="1" xfId="0" applyFont="true" applyBorder="true" applyAlignment="true" applyProtection="false">
      <alignment horizontal="left" vertical="center" textRotation="0" wrapText="false" indent="1" shrinkToFit="false"/>
      <protection locked="true" hidden="false"/>
    </xf>
    <xf numFmtId="166" fontId="26" fillId="18" borderId="1" xfId="0" applyFont="true" applyBorder="true" applyAlignment="true" applyProtection="false">
      <alignment horizontal="left" vertical="center" textRotation="0" wrapText="false" indent="1" shrinkToFit="false"/>
      <protection locked="true" hidden="false"/>
    </xf>
    <xf numFmtId="164" fontId="26" fillId="18" borderId="1" xfId="0" applyFont="true" applyBorder="true" applyAlignment="true" applyProtection="false">
      <alignment horizontal="center" vertical="center" textRotation="0" wrapText="false" indent="1" shrinkToFit="false"/>
      <protection locked="true" hidden="false"/>
    </xf>
    <xf numFmtId="164" fontId="4" fillId="16" borderId="0" xfId="0" applyFont="true" applyBorder="true" applyAlignment="true" applyProtection="false">
      <alignment horizontal="left" vertical="center" textRotation="0" wrapText="false" indent="1" shrinkToFit="false"/>
      <protection locked="true" hidden="false"/>
    </xf>
    <xf numFmtId="164" fontId="23" fillId="14" borderId="1" xfId="0" applyFont="true" applyBorder="true" applyAlignment="true" applyProtection="false">
      <alignment horizontal="center" vertical="center" textRotation="0" wrapText="false" indent="0" shrinkToFit="false"/>
      <protection locked="true" hidden="false"/>
    </xf>
    <xf numFmtId="164" fontId="10" fillId="0" borderId="1" xfId="0" applyFont="true" applyBorder="true" applyAlignment="true" applyProtection="false">
      <alignment horizontal="left" vertical="center" textRotation="0" wrapText="true" indent="1" shrinkToFit="false"/>
      <protection locked="true" hidden="false"/>
    </xf>
    <xf numFmtId="164" fontId="23" fillId="5" borderId="1" xfId="0" applyFont="true" applyBorder="true" applyAlignment="true" applyProtection="false">
      <alignment horizontal="center" vertical="center" textRotation="0" wrapText="false" indent="0" shrinkToFit="false"/>
      <protection locked="true" hidden="false"/>
    </xf>
    <xf numFmtId="164" fontId="23" fillId="19" borderId="1" xfId="0" applyFont="true" applyBorder="true" applyAlignment="true" applyProtection="false">
      <alignment horizontal="center" vertical="center" textRotation="0" wrapText="false" indent="0" shrinkToFit="false"/>
      <protection locked="true" hidden="false"/>
    </xf>
    <xf numFmtId="164" fontId="36" fillId="12" borderId="1" xfId="0" applyFont="true" applyBorder="true" applyAlignment="true" applyProtection="false">
      <alignment horizontal="center" vertical="center" textRotation="0" wrapText="false" indent="0" shrinkToFit="false"/>
      <protection locked="true" hidden="false"/>
    </xf>
    <xf numFmtId="164" fontId="36" fillId="11" borderId="1" xfId="0" applyFont="true" applyBorder="true" applyAlignment="true" applyProtection="false">
      <alignment horizontal="center" vertical="center" textRotation="0" wrapText="false" indent="0" shrinkToFit="false"/>
      <protection locked="true" hidden="false"/>
    </xf>
    <xf numFmtId="164" fontId="23" fillId="23" borderId="1" xfId="0" applyFont="true" applyBorder="true" applyAlignment="true" applyProtection="false">
      <alignment horizontal="center" vertical="center" textRotation="0" wrapText="false" indent="0" shrinkToFit="false"/>
      <protection locked="true" hidden="false"/>
    </xf>
    <xf numFmtId="164" fontId="11" fillId="8" borderId="1" xfId="0" applyFont="true" applyBorder="true" applyAlignment="true" applyProtection="false">
      <alignment horizontal="left" vertical="top" textRotation="0" wrapText="true" indent="1" shrinkToFit="false"/>
      <protection locked="true" hidden="false"/>
    </xf>
    <xf numFmtId="164" fontId="23" fillId="8" borderId="1" xfId="0" applyFont="true" applyBorder="true" applyAlignment="true" applyProtection="false">
      <alignment horizontal="center" vertical="top" textRotation="0" wrapText="true" indent="0" shrinkToFit="false"/>
      <protection locked="true" hidden="false"/>
    </xf>
    <xf numFmtId="164" fontId="10" fillId="8" borderId="1" xfId="0" applyFont="true" applyBorder="true" applyAlignment="true" applyProtection="false">
      <alignment horizontal="left" vertical="top" textRotation="0" wrapText="true" indent="1" shrinkToFit="false"/>
      <protection locked="true" hidden="false"/>
    </xf>
    <xf numFmtId="164" fontId="11" fillId="9" borderId="1" xfId="0" applyFont="true" applyBorder="true" applyAlignment="true" applyProtection="false">
      <alignment horizontal="left" vertical="top" textRotation="0" wrapText="true" indent="1" shrinkToFit="false"/>
      <protection locked="true" hidden="false"/>
    </xf>
    <xf numFmtId="164" fontId="23" fillId="9" borderId="1" xfId="0" applyFont="true" applyBorder="true" applyAlignment="true" applyProtection="false">
      <alignment horizontal="center" vertical="top" textRotation="0" wrapText="true" indent="0" shrinkToFit="false"/>
      <protection locked="true" hidden="false"/>
    </xf>
    <xf numFmtId="164" fontId="10" fillId="9" borderId="1" xfId="0" applyFont="true" applyBorder="true" applyAlignment="true" applyProtection="false">
      <alignment horizontal="left" vertical="top" textRotation="0" wrapText="true" indent="1" shrinkToFit="false"/>
      <protection locked="true" hidden="false"/>
    </xf>
    <xf numFmtId="164" fontId="10" fillId="22" borderId="1" xfId="0" applyFont="true" applyBorder="true" applyAlignment="true" applyProtection="false">
      <alignment horizontal="left" vertical="top" textRotation="0" wrapText="true" indent="1" shrinkToFit="false"/>
      <protection locked="true" hidden="false"/>
    </xf>
    <xf numFmtId="164" fontId="11" fillId="18" borderId="1" xfId="0" applyFont="true" applyBorder="true" applyAlignment="true" applyProtection="false">
      <alignment horizontal="left" vertical="center" textRotation="0" wrapText="false" indent="1" shrinkToFit="false"/>
      <protection locked="true" hidden="false"/>
    </xf>
    <xf numFmtId="164" fontId="10" fillId="0" borderId="0" xfId="0" applyFont="true" applyBorder="true" applyAlignment="true" applyProtection="false">
      <alignment horizontal="left" vertical="center" textRotation="0" wrapText="false" indent="1" shrinkToFit="false"/>
      <protection locked="true" hidden="false"/>
    </xf>
    <xf numFmtId="164" fontId="11" fillId="25" borderId="1" xfId="0" applyFont="true" applyBorder="true" applyAlignment="true" applyProtection="false">
      <alignment horizontal="left" vertical="center" textRotation="0" wrapText="false" indent="1" shrinkToFit="false"/>
      <protection locked="true" hidden="false"/>
    </xf>
    <xf numFmtId="164" fontId="11" fillId="6" borderId="1" xfId="0" applyFont="true" applyBorder="true" applyAlignment="true" applyProtection="false">
      <alignment horizontal="left" vertical="center" textRotation="0" wrapText="false" indent="1" shrinkToFit="false"/>
      <protection locked="true" hidden="false"/>
    </xf>
    <xf numFmtId="164" fontId="11" fillId="24" borderId="1" xfId="0" applyFont="true" applyBorder="true" applyAlignment="true" applyProtection="false">
      <alignment horizontal="left" vertical="center" textRotation="0" wrapText="false" indent="1" shrinkToFit="false"/>
      <protection locked="true" hidden="false"/>
    </xf>
    <xf numFmtId="164" fontId="11" fillId="6" borderId="2" xfId="0" applyFont="true" applyBorder="true" applyAlignment="true" applyProtection="false">
      <alignment horizontal="left" vertical="center" textRotation="0" wrapText="fals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7">
    <dxf>
      <fill>
        <patternFill>
          <bgColor rgb="FFFFF4E0"/>
        </patternFill>
      </fill>
    </dxf>
    <dxf>
      <font>
        <name val="Inter"/>
        <charset val="1"/>
        <family val="0"/>
        <b val="1"/>
        <color rgb="FFFFB547"/>
        <sz val="16"/>
      </font>
      <fill>
        <patternFill>
          <bgColor rgb="FFFFF4E0"/>
        </patternFill>
      </fill>
    </dxf>
    <dxf>
      <font>
        <name val="Inter"/>
        <charset val="1"/>
        <family val="0"/>
        <b val="1"/>
        <color rgb="FFE31B0C"/>
        <sz val="20"/>
      </font>
      <fill>
        <patternFill>
          <bgColor rgb="FFFDEBE9"/>
        </patternFill>
      </fill>
    </dxf>
    <dxf>
      <font>
        <name val="Inter"/>
        <charset val="1"/>
        <family val="0"/>
        <b val="1"/>
        <color rgb="FFE31B0C"/>
        <sz val="12"/>
      </font>
      <fill>
        <patternFill>
          <bgColor rgb="FFFDEBE9"/>
        </patternFill>
      </fill>
    </dxf>
    <dxf>
      <fill>
        <patternFill>
          <bgColor rgb="FFE8F5E9"/>
        </patternFill>
      </fill>
    </dxf>
    <dxf>
      <fill>
        <patternFill>
          <bgColor rgb="FFFDEBE0"/>
        </patternFill>
      </fill>
    </dxf>
    <dxf>
      <font>
        <name val="Inter"/>
        <charset val="1"/>
        <family val="0"/>
        <b val="1"/>
        <color rgb="FFEC6917"/>
        <sz val="9"/>
      </font>
      <fill>
        <patternFill>
          <bgColor rgb="FFFDEBE0"/>
        </patternFill>
      </fill>
    </dxf>
    <dxf>
      <font>
        <name val="Inter"/>
        <charset val="1"/>
        <family val="0"/>
        <b val="1"/>
        <color rgb="FFE31B0C"/>
        <sz val="9"/>
      </font>
      <fill>
        <patternFill>
          <bgColor rgb="FFFDEBE9"/>
        </patternFill>
      </fill>
    </dxf>
    <dxf>
      <fill>
        <patternFill patternType="solid">
          <fgColor rgb="FFD3DEE9"/>
          <bgColor rgb="FF000000"/>
        </patternFill>
      </fill>
    </dxf>
    <dxf>
      <fill>
        <patternFill patternType="solid">
          <fgColor rgb="FFE8F5E9"/>
          <bgColor rgb="FF000000"/>
        </patternFill>
      </fill>
    </dxf>
    <dxf>
      <fill>
        <patternFill patternType="solid">
          <fgColor rgb="FFF6F9FC"/>
          <bgColor rgb="FF000000"/>
        </patternFill>
      </fill>
    </dxf>
    <dxf>
      <fill>
        <patternFill patternType="solid">
          <fgColor rgb="FFFDEBE0"/>
          <bgColor rgb="FF000000"/>
        </patternFill>
      </fill>
    </dxf>
    <dxf>
      <fill>
        <patternFill patternType="solid">
          <fgColor rgb="FFFDEBE9"/>
          <bgColor rgb="FF000000"/>
        </patternFill>
      </fill>
    </dxf>
    <dxf>
      <fill>
        <patternFill patternType="solid">
          <fgColor rgb="FFFFF4E0"/>
          <bgColor rgb="FF000000"/>
        </patternFill>
      </fill>
    </dxf>
    <dxf>
      <fill>
        <patternFill patternType="solid">
          <fgColor rgb="FF0D3C61"/>
          <bgColor rgb="FF000000"/>
        </patternFill>
      </fill>
    </dxf>
    <dxf>
      <fill>
        <patternFill patternType="solid">
          <fgColor rgb="FF1D3245"/>
          <bgColor rgb="FF000000"/>
        </patternFill>
      </fill>
    </dxf>
    <dxf>
      <fill>
        <patternFill patternType="solid">
          <fgColor rgb="FFDCE9F4"/>
          <bgColor rgb="FF000000"/>
        </patternFill>
      </fill>
    </dxf>
    <dxf>
      <fill>
        <patternFill patternType="solid">
          <fgColor rgb="FFF5F5F5"/>
          <bgColor rgb="FF000000"/>
        </patternFill>
      </fill>
    </dxf>
    <dxf>
      <fill>
        <patternFill patternType="solid">
          <fgColor rgb="FFFFFFFF"/>
          <bgColor rgb="FF000000"/>
        </patternFill>
      </fill>
    </dxf>
    <dxf>
      <fill>
        <patternFill>
          <bgColor rgb="FFFDEBE9"/>
        </patternFill>
      </fill>
    </dxf>
    <dxf>
      <font>
        <name val="Inter"/>
        <charset val="1"/>
        <family val="0"/>
        <b val="1"/>
        <color rgb="FF0D3C61"/>
        <sz val="9"/>
      </font>
    </dxf>
    <dxf>
      <font>
        <name val="Inter"/>
        <charset val="1"/>
        <family val="0"/>
        <b val="1"/>
        <color rgb="FFE31B0C"/>
        <sz val="10"/>
      </font>
      <fill>
        <patternFill>
          <bgColor rgb="FFFDEBE9"/>
        </patternFill>
      </fill>
    </dxf>
    <dxf>
      <font>
        <name val="Inter"/>
        <charset val="1"/>
        <family val="0"/>
        <b val="1"/>
        <color rgb="FF4CAF50"/>
        <sz val="10"/>
      </font>
      <fill>
        <patternFill>
          <bgColor rgb="FFE8F5E9"/>
        </patternFill>
      </fill>
    </dxf>
    <dxf>
      <fill>
        <patternFill patternType="solid">
          <fgColor rgb="FFE3F0FA"/>
          <bgColor rgb="FF000000"/>
        </patternFill>
      </fill>
    </dxf>
    <dxf>
      <fill>
        <patternFill>
          <bgColor rgb="FFE3F0FA"/>
        </patternFill>
      </fill>
    </dxf>
    <dxf>
      <fill>
        <patternFill patternType="solid">
          <fgColor rgb="FFE31B0C"/>
          <bgColor rgb="FF000000"/>
        </patternFill>
      </fill>
    </dxf>
    <dxf>
      <font>
        <name val="Inter"/>
        <charset val="1"/>
        <family val="0"/>
        <b val="1"/>
        <color rgb="FFE31B0C"/>
        <sz val="9"/>
      </font>
    </dxf>
  </dxfs>
  <colors>
    <indexedColors>
      <rgbColor rgb="FF000000"/>
      <rgbColor rgb="FFFFFFFF"/>
      <rgbColor rgb="FFE31B0C"/>
      <rgbColor rgb="FF00FF00"/>
      <rgbColor rgb="FF0000FF"/>
      <rgbColor rgb="FFF6F9FC"/>
      <rgbColor rgb="FFFF00FF"/>
      <rgbColor rgb="FF00FFFF"/>
      <rgbColor rgb="FF800000"/>
      <rgbColor rgb="FF008000"/>
      <rgbColor rgb="FF000080"/>
      <rgbColor rgb="FF808000"/>
      <rgbColor rgb="FF800080"/>
      <rgbColor rgb="FF3480BC"/>
      <rgbColor rgb="FFE0E0E0"/>
      <rgbColor rgb="FF808080"/>
      <rgbColor rgb="FF9999FF"/>
      <rgbColor rgb="FF993366"/>
      <rgbColor rgb="FFFFF4E0"/>
      <rgbColor rgb="FFE3F0FA"/>
      <rgbColor rgb="FF660066"/>
      <rgbColor rgb="FFFF8080"/>
      <rgbColor rgb="FF0B79D0"/>
      <rgbColor rgb="FFD3DEE9"/>
      <rgbColor rgb="FF000080"/>
      <rgbColor rgb="FFFF00FF"/>
      <rgbColor rgb="FFFFFF00"/>
      <rgbColor rgb="FF00FFFF"/>
      <rgbColor rgb="FF800080"/>
      <rgbColor rgb="FF800000"/>
      <rgbColor rgb="FF008080"/>
      <rgbColor rgb="FF0000FF"/>
      <rgbColor rgb="FF039BE5"/>
      <rgbColor rgb="FFE8F5E9"/>
      <rgbColor rgb="FFDCE9F4"/>
      <rgbColor rgb="FFFDEBE0"/>
      <rgbColor rgb="FF64B6F7"/>
      <rgbColor rgb="FFEEEEEE"/>
      <rgbColor rgb="FFF5F5F5"/>
      <rgbColor rgb="FFFDEBE9"/>
      <rgbColor rgb="FF2F76BB"/>
      <rgbColor rgb="FF33CCCC"/>
      <rgbColor rgb="FF99CC00"/>
      <rgbColor rgb="FFFFB547"/>
      <rgbColor rgb="FFFF9900"/>
      <rgbColor rgb="FFEC6917"/>
      <rgbColor rgb="FF666699"/>
      <rgbColor rgb="FF8E98A2"/>
      <rgbColor rgb="FF0D3C61"/>
      <rgbColor rgb="FF4CAF50"/>
      <rgbColor rgb="FF003300"/>
      <rgbColor rgb="FF333300"/>
      <rgbColor rgb="FF993300"/>
      <rgbColor rgb="FF993366"/>
      <rgbColor rgb="FF215383"/>
      <rgbColor rgb="FF1D32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10.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2.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3.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4.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5.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6.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7.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8.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9.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95400</xdr:colOff>
      <xdr:row>0</xdr:row>
      <xdr:rowOff>114480</xdr:rowOff>
    </xdr:from>
    <xdr:to>
      <xdr:col>2</xdr:col>
      <xdr:colOff>1413000</xdr:colOff>
      <xdr:row>0</xdr:row>
      <xdr:rowOff>590400</xdr:rowOff>
    </xdr:to>
    <xdr:pic>
      <xdr:nvPicPr>
        <xdr:cNvPr id="0"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50200" y="114480"/>
          <a:ext cx="1599840" cy="47592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9"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1"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2"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458640</xdr:colOff>
      <xdr:row>0</xdr:row>
      <xdr:rowOff>313920</xdr:rowOff>
    </xdr:to>
    <xdr:pic>
      <xdr:nvPicPr>
        <xdr:cNvPr id="3"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4"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458640</xdr:colOff>
      <xdr:row>0</xdr:row>
      <xdr:rowOff>313920</xdr:rowOff>
    </xdr:to>
    <xdr:pic>
      <xdr:nvPicPr>
        <xdr:cNvPr id="5"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458640</xdr:colOff>
      <xdr:row>0</xdr:row>
      <xdr:rowOff>313920</xdr:rowOff>
    </xdr:to>
    <xdr:pic>
      <xdr:nvPicPr>
        <xdr:cNvPr id="6"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458640</xdr:colOff>
      <xdr:row>0</xdr:row>
      <xdr:rowOff>313920</xdr:rowOff>
    </xdr:to>
    <xdr:pic>
      <xdr:nvPicPr>
        <xdr:cNvPr id="7"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8"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1.xml"/>
</Relationships>
</file>

<file path=xl/worksheets/_rels/sheet10.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10.xml"/>
</Relationships>
</file>

<file path=xl/worksheets/_rels/sheet2.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8.xml"/>
</Relationships>
</file>

<file path=xl/worksheets/_rels/sheet9.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D3245"/>
    <pageSetUpPr fitToPage="true"/>
  </sheetPr>
  <dimension ref="B1:G143"/>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4"/>
    <col collapsed="false" customWidth="true" hidden="false" outlineLevel="0" max="3" min="3" style="0" width="30"/>
    <col collapsed="false" customWidth="true" hidden="false" outlineLevel="0" max="4" min="4" style="0" width="22"/>
    <col collapsed="false" customWidth="true" hidden="false" outlineLevel="0" max="5" min="5" style="0" width="20"/>
    <col collapsed="false" customWidth="true" hidden="false" outlineLevel="0" max="6" min="6" style="0" width="16"/>
    <col collapsed="false" customWidth="true" hidden="false" outlineLevel="0" max="7" min="7" style="0" width="12"/>
    <col collapsed="false" customWidth="true" hidden="false" outlineLevel="0" max="8" min="8" style="0" width="2.2"/>
  </cols>
  <sheetData>
    <row r="1" customFormat="false" ht="51.75" hidden="false" customHeight="true" outlineLevel="0" collapsed="false">
      <c r="B1" s="1"/>
      <c r="C1" s="1"/>
      <c r="D1" s="1"/>
      <c r="E1" s="1"/>
      <c r="F1" s="1"/>
      <c r="G1" s="1"/>
    </row>
    <row r="2" customFormat="false" ht="4.5" hidden="false" customHeight="true" outlineLevel="0" collapsed="false">
      <c r="B2" s="2"/>
      <c r="C2" s="2"/>
      <c r="D2" s="2"/>
      <c r="E2" s="2"/>
      <c r="F2" s="2"/>
      <c r="G2" s="2"/>
    </row>
    <row r="4" customFormat="false" ht="37.5" hidden="false" customHeight="true" outlineLevel="0" collapsed="false">
      <c r="B4" s="3" t="s">
        <v>0</v>
      </c>
      <c r="C4" s="3"/>
      <c r="D4" s="3"/>
      <c r="E4" s="3"/>
      <c r="F4" s="3"/>
      <c r="G4" s="3"/>
    </row>
    <row r="5" customFormat="false" ht="21.75" hidden="false" customHeight="true" outlineLevel="0" collapsed="false">
      <c r="B5" s="4" t="s">
        <v>1</v>
      </c>
      <c r="C5" s="4"/>
      <c r="D5" s="4"/>
      <c r="E5" s="4"/>
      <c r="F5" s="4"/>
      <c r="G5" s="4"/>
    </row>
    <row r="7" customFormat="false" ht="15" hidden="false" customHeight="true" outlineLevel="0" collapsed="false">
      <c r="B7" s="5" t="s">
        <v>2</v>
      </c>
      <c r="C7" s="5"/>
      <c r="D7" s="5"/>
      <c r="E7" s="5"/>
      <c r="F7" s="5"/>
      <c r="G7" s="5"/>
    </row>
    <row r="8" customFormat="false" ht="15" hidden="false" customHeight="true" outlineLevel="0" collapsed="false">
      <c r="B8" s="5"/>
      <c r="C8" s="5"/>
      <c r="D8" s="5"/>
      <c r="E8" s="5"/>
      <c r="F8" s="5"/>
      <c r="G8" s="5"/>
    </row>
    <row r="9" customFormat="false" ht="15" hidden="false" customHeight="true" outlineLevel="0" collapsed="false">
      <c r="B9" s="5"/>
      <c r="C9" s="5"/>
      <c r="D9" s="5"/>
      <c r="E9" s="5"/>
      <c r="F9" s="5"/>
      <c r="G9" s="5"/>
    </row>
    <row r="10" customFormat="false" ht="15" hidden="false" customHeight="true" outlineLevel="0" collapsed="false">
      <c r="B10" s="5"/>
      <c r="C10" s="5"/>
      <c r="D10" s="5"/>
      <c r="E10" s="5"/>
      <c r="F10" s="5"/>
      <c r="G10" s="5"/>
    </row>
    <row r="12" customFormat="false" ht="24" hidden="false" customHeight="true" outlineLevel="0" collapsed="false">
      <c r="B12" s="6" t="s">
        <v>3</v>
      </c>
      <c r="C12" s="6"/>
      <c r="D12" s="6"/>
      <c r="E12" s="6"/>
      <c r="F12" s="6"/>
      <c r="G12" s="6"/>
    </row>
    <row r="13" customFormat="false" ht="13.5" hidden="false" customHeight="true" outlineLevel="0" collapsed="false">
      <c r="B13" s="7" t="s">
        <v>4</v>
      </c>
      <c r="C13" s="8" t="s">
        <v>5</v>
      </c>
      <c r="D13" s="9" t="s">
        <v>6</v>
      </c>
      <c r="E13" s="9"/>
      <c r="F13" s="9"/>
      <c r="G13" s="9"/>
    </row>
    <row r="14" customFormat="false" ht="13.5" hidden="false" customHeight="true" outlineLevel="0" collapsed="false">
      <c r="C14" s="8"/>
      <c r="D14" s="8"/>
      <c r="E14" s="9"/>
      <c r="F14" s="9"/>
      <c r="G14" s="9"/>
    </row>
    <row r="15" customFormat="false" ht="13.5" hidden="false" customHeight="true" outlineLevel="0" collapsed="false">
      <c r="C15" s="8"/>
      <c r="D15" s="8"/>
      <c r="E15" s="9"/>
      <c r="F15" s="9"/>
      <c r="G15" s="9"/>
    </row>
    <row r="16" customFormat="false" ht="13.5" hidden="false" customHeight="true" outlineLevel="0" collapsed="false">
      <c r="C16" s="8"/>
      <c r="D16" s="8"/>
      <c r="E16" s="9"/>
      <c r="F16" s="9"/>
      <c r="G16" s="9"/>
    </row>
    <row r="18" customFormat="false" ht="13.5" hidden="false" customHeight="true" outlineLevel="0" collapsed="false">
      <c r="B18" s="7" t="s">
        <v>7</v>
      </c>
      <c r="C18" s="8" t="s">
        <v>8</v>
      </c>
      <c r="D18" s="9" t="s">
        <v>9</v>
      </c>
      <c r="E18" s="9"/>
      <c r="F18" s="9"/>
      <c r="G18" s="9"/>
    </row>
    <row r="19" customFormat="false" ht="13.5" hidden="false" customHeight="true" outlineLevel="0" collapsed="false">
      <c r="C19" s="8"/>
      <c r="D19" s="8"/>
      <c r="E19" s="9"/>
      <c r="F19" s="9"/>
      <c r="G19" s="9"/>
    </row>
    <row r="20" customFormat="false" ht="13.5" hidden="false" customHeight="true" outlineLevel="0" collapsed="false">
      <c r="C20" s="8"/>
      <c r="D20" s="8"/>
      <c r="E20" s="9"/>
      <c r="F20" s="9"/>
      <c r="G20" s="9"/>
    </row>
    <row r="21" customFormat="false" ht="13.5" hidden="false" customHeight="true" outlineLevel="0" collapsed="false">
      <c r="C21" s="8"/>
      <c r="D21" s="8"/>
      <c r="E21" s="9"/>
      <c r="F21" s="9"/>
      <c r="G21" s="9"/>
    </row>
    <row r="23" customFormat="false" ht="13.5" hidden="false" customHeight="true" outlineLevel="0" collapsed="false">
      <c r="B23" s="7" t="s">
        <v>10</v>
      </c>
      <c r="C23" s="8" t="s">
        <v>11</v>
      </c>
      <c r="D23" s="9" t="s">
        <v>12</v>
      </c>
      <c r="E23" s="9"/>
      <c r="F23" s="9"/>
      <c r="G23" s="9"/>
    </row>
    <row r="24" customFormat="false" ht="13.5" hidden="false" customHeight="true" outlineLevel="0" collapsed="false">
      <c r="C24" s="8"/>
      <c r="D24" s="8"/>
      <c r="E24" s="9"/>
      <c r="F24" s="9"/>
      <c r="G24" s="9"/>
    </row>
    <row r="25" customFormat="false" ht="13.5" hidden="false" customHeight="true" outlineLevel="0" collapsed="false">
      <c r="C25" s="8"/>
      <c r="D25" s="8"/>
      <c r="E25" s="9"/>
      <c r="F25" s="9"/>
      <c r="G25" s="9"/>
    </row>
    <row r="26" customFormat="false" ht="13.5" hidden="false" customHeight="true" outlineLevel="0" collapsed="false">
      <c r="C26" s="8"/>
      <c r="D26" s="8"/>
      <c r="E26" s="9"/>
      <c r="F26" s="9"/>
      <c r="G26" s="9"/>
    </row>
    <row r="28" customFormat="false" ht="13.5" hidden="false" customHeight="true" outlineLevel="0" collapsed="false">
      <c r="B28" s="7" t="s">
        <v>13</v>
      </c>
      <c r="C28" s="8" t="s">
        <v>14</v>
      </c>
      <c r="D28" s="9" t="s">
        <v>15</v>
      </c>
      <c r="E28" s="9"/>
      <c r="F28" s="9"/>
      <c r="G28" s="9"/>
    </row>
    <row r="29" customFormat="false" ht="13.5" hidden="false" customHeight="true" outlineLevel="0" collapsed="false">
      <c r="C29" s="8"/>
      <c r="D29" s="8"/>
      <c r="E29" s="9"/>
      <c r="F29" s="9"/>
      <c r="G29" s="9"/>
    </row>
    <row r="30" customFormat="false" ht="13.5" hidden="false" customHeight="true" outlineLevel="0" collapsed="false">
      <c r="C30" s="8"/>
      <c r="D30" s="8"/>
      <c r="E30" s="9"/>
      <c r="F30" s="9"/>
      <c r="G30" s="9"/>
    </row>
    <row r="31" customFormat="false" ht="13.5" hidden="false" customHeight="true" outlineLevel="0" collapsed="false">
      <c r="C31" s="8"/>
      <c r="D31" s="8"/>
      <c r="E31" s="9"/>
      <c r="F31" s="9"/>
      <c r="G31" s="9"/>
    </row>
    <row r="33" customFormat="false" ht="13.5" hidden="false" customHeight="true" outlineLevel="0" collapsed="false">
      <c r="B33" s="7" t="s">
        <v>16</v>
      </c>
      <c r="C33" s="8" t="s">
        <v>17</v>
      </c>
      <c r="D33" s="9" t="s">
        <v>18</v>
      </c>
      <c r="E33" s="9"/>
      <c r="F33" s="9"/>
      <c r="G33" s="9"/>
    </row>
    <row r="34" customFormat="false" ht="13.5" hidden="false" customHeight="true" outlineLevel="0" collapsed="false">
      <c r="C34" s="8"/>
      <c r="D34" s="8"/>
      <c r="E34" s="9"/>
      <c r="F34" s="9"/>
      <c r="G34" s="9"/>
    </row>
    <row r="35" customFormat="false" ht="13.5" hidden="false" customHeight="true" outlineLevel="0" collapsed="false">
      <c r="C35" s="8"/>
      <c r="D35" s="8"/>
      <c r="E35" s="9"/>
      <c r="F35" s="9"/>
      <c r="G35" s="9"/>
    </row>
    <row r="36" customFormat="false" ht="13.5" hidden="false" customHeight="true" outlineLevel="0" collapsed="false">
      <c r="C36" s="8"/>
      <c r="D36" s="8"/>
      <c r="E36" s="9"/>
      <c r="F36" s="9"/>
      <c r="G36" s="9"/>
    </row>
    <row r="38" customFormat="false" ht="13.5" hidden="false" customHeight="true" outlineLevel="0" collapsed="false">
      <c r="B38" s="7" t="s">
        <v>19</v>
      </c>
      <c r="C38" s="8" t="s">
        <v>20</v>
      </c>
      <c r="D38" s="9" t="s">
        <v>21</v>
      </c>
      <c r="E38" s="9"/>
      <c r="F38" s="9"/>
      <c r="G38" s="9"/>
    </row>
    <row r="39" customFormat="false" ht="13.5" hidden="false" customHeight="true" outlineLevel="0" collapsed="false">
      <c r="C39" s="8"/>
      <c r="D39" s="8"/>
      <c r="E39" s="9"/>
      <c r="F39" s="9"/>
      <c r="G39" s="9"/>
    </row>
    <row r="40" customFormat="false" ht="13.5" hidden="false" customHeight="true" outlineLevel="0" collapsed="false">
      <c r="C40" s="8"/>
      <c r="D40" s="8"/>
      <c r="E40" s="9"/>
      <c r="F40" s="9"/>
      <c r="G40" s="9"/>
    </row>
    <row r="41" customFormat="false" ht="13.5" hidden="false" customHeight="true" outlineLevel="0" collapsed="false">
      <c r="C41" s="8"/>
      <c r="D41" s="8"/>
      <c r="E41" s="9"/>
      <c r="F41" s="9"/>
      <c r="G41" s="9"/>
    </row>
    <row r="43" customFormat="false" ht="13.5" hidden="false" customHeight="true" outlineLevel="0" collapsed="false">
      <c r="B43" s="7" t="s">
        <v>22</v>
      </c>
      <c r="C43" s="8" t="s">
        <v>23</v>
      </c>
      <c r="D43" s="9" t="s">
        <v>24</v>
      </c>
      <c r="E43" s="9"/>
      <c r="F43" s="9"/>
      <c r="G43" s="9"/>
    </row>
    <row r="44" customFormat="false" ht="13.5" hidden="false" customHeight="true" outlineLevel="0" collapsed="false">
      <c r="C44" s="8"/>
      <c r="D44" s="8"/>
      <c r="E44" s="9"/>
      <c r="F44" s="9"/>
      <c r="G44" s="9"/>
    </row>
    <row r="45" customFormat="false" ht="13.5" hidden="false" customHeight="true" outlineLevel="0" collapsed="false">
      <c r="C45" s="8"/>
      <c r="D45" s="8"/>
      <c r="E45" s="9"/>
      <c r="F45" s="9"/>
      <c r="G45" s="9"/>
    </row>
    <row r="46" customFormat="false" ht="13.5" hidden="false" customHeight="true" outlineLevel="0" collapsed="false">
      <c r="C46" s="8"/>
      <c r="D46" s="8"/>
      <c r="E46" s="9"/>
      <c r="F46" s="9"/>
      <c r="G46" s="9"/>
    </row>
    <row r="49" customFormat="false" ht="24" hidden="false" customHeight="true" outlineLevel="0" collapsed="false">
      <c r="B49" s="6" t="s">
        <v>25</v>
      </c>
      <c r="C49" s="6"/>
      <c r="D49" s="6"/>
      <c r="E49" s="6"/>
      <c r="F49" s="6"/>
      <c r="G49" s="6"/>
    </row>
    <row r="50" customFormat="false" ht="18.75" hidden="false" customHeight="true" outlineLevel="0" collapsed="false">
      <c r="B50" s="10"/>
      <c r="C50" s="10" t="s">
        <v>26</v>
      </c>
      <c r="D50" s="10" t="s">
        <v>27</v>
      </c>
      <c r="E50" s="10"/>
      <c r="F50" s="10"/>
      <c r="G50" s="10"/>
    </row>
    <row r="51" customFormat="false" ht="31.5" hidden="false" customHeight="true" outlineLevel="0" collapsed="false">
      <c r="B51" s="11"/>
      <c r="C51" s="12" t="s">
        <v>28</v>
      </c>
      <c r="D51" s="13" t="s">
        <v>29</v>
      </c>
      <c r="E51" s="13"/>
      <c r="F51" s="13"/>
      <c r="G51" s="13"/>
    </row>
    <row r="52" customFormat="false" ht="31.5" hidden="false" customHeight="true" outlineLevel="0" collapsed="false">
      <c r="B52" s="14"/>
      <c r="C52" s="15" t="s">
        <v>30</v>
      </c>
      <c r="D52" s="16" t="s">
        <v>31</v>
      </c>
      <c r="E52" s="16"/>
      <c r="F52" s="16"/>
      <c r="G52" s="16"/>
    </row>
    <row r="53" customFormat="false" ht="31.5" hidden="false" customHeight="true" outlineLevel="0" collapsed="false">
      <c r="B53" s="17"/>
      <c r="C53" s="12" t="s">
        <v>32</v>
      </c>
      <c r="D53" s="13" t="s">
        <v>33</v>
      </c>
      <c r="E53" s="13"/>
      <c r="F53" s="13"/>
      <c r="G53" s="13"/>
    </row>
    <row r="54" customFormat="false" ht="31.5" hidden="false" customHeight="true" outlineLevel="0" collapsed="false">
      <c r="B54" s="18"/>
      <c r="C54" s="15" t="s">
        <v>34</v>
      </c>
      <c r="D54" s="16" t="s">
        <v>35</v>
      </c>
      <c r="E54" s="16"/>
      <c r="F54" s="16"/>
      <c r="G54" s="16"/>
    </row>
    <row r="55" customFormat="false" ht="31.5" hidden="false" customHeight="true" outlineLevel="0" collapsed="false">
      <c r="B55" s="19"/>
      <c r="C55" s="12" t="s">
        <v>36</v>
      </c>
      <c r="D55" s="13" t="s">
        <v>37</v>
      </c>
      <c r="E55" s="13"/>
      <c r="F55" s="13"/>
      <c r="G55" s="13"/>
    </row>
    <row r="56" customFormat="false" ht="31.5" hidden="false" customHeight="true" outlineLevel="0" collapsed="false">
      <c r="B56" s="20"/>
      <c r="C56" s="15" t="s">
        <v>38</v>
      </c>
      <c r="D56" s="16" t="s">
        <v>39</v>
      </c>
      <c r="E56" s="16"/>
      <c r="F56" s="16"/>
      <c r="G56" s="16"/>
    </row>
    <row r="57" customFormat="false" ht="31.5" hidden="false" customHeight="true" outlineLevel="0" collapsed="false">
      <c r="B57" s="21"/>
      <c r="C57" s="12" t="s">
        <v>40</v>
      </c>
      <c r="D57" s="13" t="s">
        <v>41</v>
      </c>
      <c r="E57" s="13"/>
      <c r="F57" s="13"/>
      <c r="G57" s="13"/>
    </row>
    <row r="58" customFormat="false" ht="31.5" hidden="false" customHeight="true" outlineLevel="0" collapsed="false">
      <c r="B58" s="22"/>
      <c r="C58" s="15" t="s">
        <v>42</v>
      </c>
      <c r="D58" s="16" t="s">
        <v>43</v>
      </c>
      <c r="E58" s="16"/>
      <c r="F58" s="16"/>
      <c r="G58" s="16"/>
    </row>
    <row r="59" customFormat="false" ht="31.5" hidden="false" customHeight="true" outlineLevel="0" collapsed="false">
      <c r="B59" s="23"/>
      <c r="C59" s="12" t="s">
        <v>44</v>
      </c>
      <c r="D59" s="13" t="s">
        <v>45</v>
      </c>
      <c r="E59" s="13"/>
      <c r="F59" s="13"/>
      <c r="G59" s="13"/>
    </row>
    <row r="61" customFormat="false" ht="24" hidden="false" customHeight="true" outlineLevel="0" collapsed="false">
      <c r="B61" s="6" t="s">
        <v>46</v>
      </c>
      <c r="C61" s="6"/>
      <c r="D61" s="6"/>
      <c r="E61" s="6"/>
      <c r="F61" s="6"/>
      <c r="G61" s="6"/>
    </row>
    <row r="62" customFormat="false" ht="25.5" hidden="false" customHeight="true" outlineLevel="0" collapsed="false">
      <c r="B62" s="24"/>
      <c r="C62" s="25" t="s">
        <v>47</v>
      </c>
      <c r="D62" s="26" t="s">
        <v>48</v>
      </c>
      <c r="E62" s="26"/>
      <c r="F62" s="26"/>
      <c r="G62" s="26"/>
    </row>
    <row r="63" customFormat="false" ht="25.5" hidden="false" customHeight="true" outlineLevel="0" collapsed="false">
      <c r="B63" s="27"/>
      <c r="C63" s="28" t="s">
        <v>49</v>
      </c>
      <c r="D63" s="26" t="s">
        <v>50</v>
      </c>
      <c r="E63" s="26"/>
      <c r="F63" s="26"/>
      <c r="G63" s="26"/>
    </row>
    <row r="64" customFormat="false" ht="25.5" hidden="false" customHeight="true" outlineLevel="0" collapsed="false">
      <c r="B64" s="29"/>
      <c r="C64" s="30" t="s">
        <v>51</v>
      </c>
      <c r="D64" s="26" t="s">
        <v>52</v>
      </c>
      <c r="E64" s="26"/>
      <c r="F64" s="26"/>
      <c r="G64" s="26"/>
    </row>
    <row r="65" customFormat="false" ht="25.5" hidden="false" customHeight="true" outlineLevel="0" collapsed="false">
      <c r="B65" s="31"/>
      <c r="C65" s="32" t="s">
        <v>53</v>
      </c>
      <c r="D65" s="26" t="s">
        <v>54</v>
      </c>
      <c r="E65" s="26"/>
      <c r="F65" s="26"/>
      <c r="G65" s="26"/>
    </row>
    <row r="66" customFormat="false" ht="25.5" hidden="false" customHeight="true" outlineLevel="0" collapsed="false">
      <c r="B66" s="33"/>
      <c r="C66" s="34" t="s">
        <v>55</v>
      </c>
      <c r="D66" s="26" t="s">
        <v>56</v>
      </c>
      <c r="E66" s="26"/>
      <c r="F66" s="26"/>
      <c r="G66" s="26"/>
    </row>
    <row r="67" customFormat="false" ht="25.5" hidden="false" customHeight="true" outlineLevel="0" collapsed="false">
      <c r="B67" s="35"/>
      <c r="C67" s="36" t="s">
        <v>57</v>
      </c>
      <c r="D67" s="26" t="s">
        <v>58</v>
      </c>
      <c r="E67" s="26"/>
      <c r="F67" s="26"/>
      <c r="G67" s="26"/>
    </row>
    <row r="69" customFormat="false" ht="24" hidden="false" customHeight="true" outlineLevel="0" collapsed="false">
      <c r="B69" s="6" t="s">
        <v>59</v>
      </c>
      <c r="C69" s="6"/>
      <c r="D69" s="6"/>
      <c r="E69" s="6"/>
      <c r="F69" s="6"/>
      <c r="G69" s="6"/>
    </row>
    <row r="70" customFormat="false" ht="13.5" hidden="false" customHeight="true" outlineLevel="0" collapsed="false">
      <c r="C70" s="8" t="s">
        <v>60</v>
      </c>
      <c r="D70" s="9" t="s">
        <v>61</v>
      </c>
      <c r="E70" s="9"/>
      <c r="F70" s="9"/>
      <c r="G70" s="9"/>
    </row>
    <row r="71" customFormat="false" ht="13.5" hidden="false" customHeight="true" outlineLevel="0" collapsed="false">
      <c r="C71" s="8"/>
      <c r="D71" s="8"/>
      <c r="E71" s="9"/>
      <c r="F71" s="9"/>
      <c r="G71" s="9"/>
    </row>
    <row r="72" customFormat="false" ht="13.5" hidden="false" customHeight="true" outlineLevel="0" collapsed="false">
      <c r="C72" s="8"/>
      <c r="D72" s="8"/>
      <c r="E72" s="9"/>
      <c r="F72" s="9"/>
      <c r="G72" s="9"/>
    </row>
    <row r="73" customFormat="false" ht="13.5" hidden="false" customHeight="true" outlineLevel="0" collapsed="false">
      <c r="C73" s="8"/>
      <c r="D73" s="8"/>
      <c r="E73" s="9"/>
      <c r="F73" s="9"/>
      <c r="G73" s="9"/>
    </row>
    <row r="75" customFormat="false" ht="13.5" hidden="false" customHeight="true" outlineLevel="0" collapsed="false">
      <c r="C75" s="8" t="s">
        <v>62</v>
      </c>
      <c r="D75" s="9" t="s">
        <v>63</v>
      </c>
      <c r="E75" s="9"/>
      <c r="F75" s="9"/>
      <c r="G75" s="9"/>
    </row>
    <row r="76" customFormat="false" ht="13.5" hidden="false" customHeight="true" outlineLevel="0" collapsed="false">
      <c r="C76" s="8"/>
      <c r="D76" s="8"/>
      <c r="E76" s="9"/>
      <c r="F76" s="9"/>
      <c r="G76" s="9"/>
    </row>
    <row r="77" customFormat="false" ht="13.5" hidden="false" customHeight="true" outlineLevel="0" collapsed="false">
      <c r="C77" s="8"/>
      <c r="D77" s="8"/>
      <c r="E77" s="9"/>
      <c r="F77" s="9"/>
      <c r="G77" s="9"/>
    </row>
    <row r="78" customFormat="false" ht="13.5" hidden="false" customHeight="true" outlineLevel="0" collapsed="false">
      <c r="C78" s="8"/>
      <c r="D78" s="8"/>
      <c r="E78" s="9"/>
      <c r="F78" s="9"/>
      <c r="G78" s="9"/>
    </row>
    <row r="80" customFormat="false" ht="13.5" hidden="false" customHeight="true" outlineLevel="0" collapsed="false">
      <c r="C80" s="8" t="s">
        <v>64</v>
      </c>
      <c r="D80" s="9" t="s">
        <v>65</v>
      </c>
      <c r="E80" s="9"/>
      <c r="F80" s="9"/>
      <c r="G80" s="9"/>
    </row>
    <row r="81" customFormat="false" ht="13.5" hidden="false" customHeight="true" outlineLevel="0" collapsed="false">
      <c r="C81" s="8"/>
      <c r="D81" s="8"/>
      <c r="E81" s="9"/>
      <c r="F81" s="9"/>
      <c r="G81" s="9"/>
    </row>
    <row r="82" customFormat="false" ht="13.5" hidden="false" customHeight="true" outlineLevel="0" collapsed="false">
      <c r="C82" s="8"/>
      <c r="D82" s="8"/>
      <c r="E82" s="9"/>
      <c r="F82" s="9"/>
      <c r="G82" s="9"/>
    </row>
    <row r="83" customFormat="false" ht="13.5" hidden="false" customHeight="true" outlineLevel="0" collapsed="false">
      <c r="C83" s="8"/>
      <c r="D83" s="8"/>
      <c r="E83" s="9"/>
      <c r="F83" s="9"/>
      <c r="G83" s="9"/>
    </row>
    <row r="85" customFormat="false" ht="13.5" hidden="false" customHeight="true" outlineLevel="0" collapsed="false">
      <c r="C85" s="8" t="s">
        <v>66</v>
      </c>
      <c r="D85" s="9" t="s">
        <v>67</v>
      </c>
      <c r="E85" s="9"/>
      <c r="F85" s="9"/>
      <c r="G85" s="9"/>
    </row>
    <row r="86" customFormat="false" ht="13.5" hidden="false" customHeight="true" outlineLevel="0" collapsed="false">
      <c r="C86" s="8"/>
      <c r="D86" s="8"/>
      <c r="E86" s="9"/>
      <c r="F86" s="9"/>
      <c r="G86" s="9"/>
    </row>
    <row r="87" customFormat="false" ht="13.5" hidden="false" customHeight="true" outlineLevel="0" collapsed="false">
      <c r="C87" s="8"/>
      <c r="D87" s="8"/>
      <c r="E87" s="9"/>
      <c r="F87" s="9"/>
      <c r="G87" s="9"/>
    </row>
    <row r="88" customFormat="false" ht="13.5" hidden="false" customHeight="true" outlineLevel="0" collapsed="false">
      <c r="C88" s="8"/>
      <c r="D88" s="8"/>
      <c r="E88" s="9"/>
      <c r="F88" s="9"/>
      <c r="G88" s="9"/>
    </row>
    <row r="90" customFormat="false" ht="13.5" hidden="false" customHeight="true" outlineLevel="0" collapsed="false">
      <c r="C90" s="8" t="s">
        <v>68</v>
      </c>
      <c r="D90" s="9" t="s">
        <v>69</v>
      </c>
      <c r="E90" s="9"/>
      <c r="F90" s="9"/>
      <c r="G90" s="9"/>
    </row>
    <row r="91" customFormat="false" ht="13.5" hidden="false" customHeight="true" outlineLevel="0" collapsed="false">
      <c r="C91" s="8"/>
      <c r="D91" s="8"/>
      <c r="E91" s="9"/>
      <c r="F91" s="9"/>
      <c r="G91" s="9"/>
    </row>
    <row r="92" customFormat="false" ht="13.5" hidden="false" customHeight="true" outlineLevel="0" collapsed="false">
      <c r="C92" s="8"/>
      <c r="D92" s="8"/>
      <c r="E92" s="9"/>
      <c r="F92" s="9"/>
      <c r="G92" s="9"/>
    </row>
    <row r="93" customFormat="false" ht="13.5" hidden="false" customHeight="true" outlineLevel="0" collapsed="false">
      <c r="C93" s="8"/>
      <c r="D93" s="8"/>
      <c r="E93" s="9"/>
      <c r="F93" s="9"/>
      <c r="G93" s="9"/>
    </row>
    <row r="95" customFormat="false" ht="13.5" hidden="false" customHeight="true" outlineLevel="0" collapsed="false">
      <c r="C95" s="8" t="s">
        <v>70</v>
      </c>
      <c r="D95" s="9" t="s">
        <v>71</v>
      </c>
      <c r="E95" s="9"/>
      <c r="F95" s="9"/>
      <c r="G95" s="9"/>
    </row>
    <row r="96" customFormat="false" ht="13.5" hidden="false" customHeight="true" outlineLevel="0" collapsed="false">
      <c r="C96" s="8"/>
      <c r="D96" s="8"/>
      <c r="E96" s="9"/>
      <c r="F96" s="9"/>
      <c r="G96" s="9"/>
    </row>
    <row r="97" customFormat="false" ht="13.5" hidden="false" customHeight="true" outlineLevel="0" collapsed="false">
      <c r="C97" s="8"/>
      <c r="D97" s="8"/>
      <c r="E97" s="9"/>
      <c r="F97" s="9"/>
      <c r="G97" s="9"/>
    </row>
    <row r="98" customFormat="false" ht="13.5" hidden="false" customHeight="true" outlineLevel="0" collapsed="false">
      <c r="C98" s="8"/>
      <c r="D98" s="8"/>
      <c r="E98" s="9"/>
      <c r="F98" s="9"/>
      <c r="G98" s="9"/>
    </row>
    <row r="100" customFormat="false" ht="13.5" hidden="false" customHeight="true" outlineLevel="0" collapsed="false">
      <c r="C100" s="8" t="s">
        <v>72</v>
      </c>
      <c r="D100" s="9" t="s">
        <v>73</v>
      </c>
      <c r="E100" s="9"/>
      <c r="F100" s="9"/>
      <c r="G100" s="9"/>
    </row>
    <row r="101" customFormat="false" ht="13.5" hidden="false" customHeight="true" outlineLevel="0" collapsed="false">
      <c r="C101" s="8"/>
      <c r="D101" s="8"/>
      <c r="E101" s="9"/>
      <c r="F101" s="9"/>
      <c r="G101" s="9"/>
    </row>
    <row r="102" customFormat="false" ht="13.5" hidden="false" customHeight="true" outlineLevel="0" collapsed="false">
      <c r="C102" s="8"/>
      <c r="D102" s="8"/>
      <c r="E102" s="9"/>
      <c r="F102" s="9"/>
      <c r="G102" s="9"/>
    </row>
    <row r="103" customFormat="false" ht="13.5" hidden="false" customHeight="true" outlineLevel="0" collapsed="false">
      <c r="C103" s="8"/>
      <c r="D103" s="8"/>
      <c r="E103" s="9"/>
      <c r="F103" s="9"/>
      <c r="G103" s="9"/>
    </row>
    <row r="105" customFormat="false" ht="24" hidden="false" customHeight="true" outlineLevel="0" collapsed="false">
      <c r="B105" s="6" t="s">
        <v>74</v>
      </c>
      <c r="C105" s="6"/>
      <c r="D105" s="6"/>
      <c r="E105" s="6"/>
      <c r="F105" s="6"/>
      <c r="G105" s="6"/>
    </row>
    <row r="106" customFormat="false" ht="13.5" hidden="false" customHeight="true" outlineLevel="0" collapsed="false">
      <c r="C106" s="8" t="s">
        <v>75</v>
      </c>
      <c r="D106" s="9" t="s">
        <v>76</v>
      </c>
      <c r="E106" s="9"/>
      <c r="F106" s="9"/>
      <c r="G106" s="9"/>
    </row>
    <row r="107" customFormat="false" ht="13.5" hidden="false" customHeight="true" outlineLevel="0" collapsed="false">
      <c r="C107" s="8"/>
      <c r="D107" s="8"/>
      <c r="E107" s="9"/>
      <c r="F107" s="9"/>
      <c r="G107" s="9"/>
    </row>
    <row r="108" customFormat="false" ht="13.5" hidden="false" customHeight="true" outlineLevel="0" collapsed="false">
      <c r="C108" s="8"/>
      <c r="D108" s="8"/>
      <c r="E108" s="9"/>
      <c r="F108" s="9"/>
      <c r="G108" s="9"/>
    </row>
    <row r="109" customFormat="false" ht="13.5" hidden="false" customHeight="true" outlineLevel="0" collapsed="false">
      <c r="C109" s="8"/>
      <c r="D109" s="8"/>
      <c r="E109" s="9"/>
      <c r="F109" s="9"/>
      <c r="G109" s="9"/>
    </row>
    <row r="111" customFormat="false" ht="13.5" hidden="false" customHeight="true" outlineLevel="0" collapsed="false">
      <c r="C111" s="8" t="s">
        <v>77</v>
      </c>
      <c r="D111" s="9" t="s">
        <v>78</v>
      </c>
      <c r="E111" s="9"/>
      <c r="F111" s="9"/>
      <c r="G111" s="9"/>
    </row>
    <row r="112" customFormat="false" ht="13.5" hidden="false" customHeight="true" outlineLevel="0" collapsed="false">
      <c r="C112" s="8"/>
      <c r="D112" s="8"/>
      <c r="E112" s="9"/>
      <c r="F112" s="9"/>
      <c r="G112" s="9"/>
    </row>
    <row r="113" customFormat="false" ht="13.5" hidden="false" customHeight="true" outlineLevel="0" collapsed="false">
      <c r="C113" s="8"/>
      <c r="D113" s="8"/>
      <c r="E113" s="9"/>
      <c r="F113" s="9"/>
      <c r="G113" s="9"/>
    </row>
    <row r="114" customFormat="false" ht="13.5" hidden="false" customHeight="true" outlineLevel="0" collapsed="false">
      <c r="C114" s="8"/>
      <c r="D114" s="8"/>
      <c r="E114" s="9"/>
      <c r="F114" s="9"/>
      <c r="G114" s="9"/>
    </row>
    <row r="116" customFormat="false" ht="13.5" hidden="false" customHeight="true" outlineLevel="0" collapsed="false">
      <c r="C116" s="8" t="s">
        <v>79</v>
      </c>
      <c r="D116" s="9" t="s">
        <v>80</v>
      </c>
      <c r="E116" s="9"/>
      <c r="F116" s="9"/>
      <c r="G116" s="9"/>
    </row>
    <row r="117" customFormat="false" ht="13.5" hidden="false" customHeight="true" outlineLevel="0" collapsed="false">
      <c r="C117" s="8"/>
      <c r="D117" s="8"/>
      <c r="E117" s="9"/>
      <c r="F117" s="9"/>
      <c r="G117" s="9"/>
    </row>
    <row r="118" customFormat="false" ht="13.5" hidden="false" customHeight="true" outlineLevel="0" collapsed="false">
      <c r="C118" s="8"/>
      <c r="D118" s="8"/>
      <c r="E118" s="9"/>
      <c r="F118" s="9"/>
      <c r="G118" s="9"/>
    </row>
    <row r="119" customFormat="false" ht="13.5" hidden="false" customHeight="true" outlineLevel="0" collapsed="false">
      <c r="C119" s="8"/>
      <c r="D119" s="8"/>
      <c r="E119" s="9"/>
      <c r="F119" s="9"/>
      <c r="G119" s="9"/>
    </row>
    <row r="121" customFormat="false" ht="13.5" hidden="false" customHeight="true" outlineLevel="0" collapsed="false">
      <c r="C121" s="8" t="s">
        <v>81</v>
      </c>
      <c r="D121" s="9" t="s">
        <v>82</v>
      </c>
      <c r="E121" s="9"/>
      <c r="F121" s="9"/>
      <c r="G121" s="9"/>
    </row>
    <row r="122" customFormat="false" ht="13.5" hidden="false" customHeight="true" outlineLevel="0" collapsed="false">
      <c r="C122" s="8"/>
      <c r="D122" s="8"/>
      <c r="E122" s="9"/>
      <c r="F122" s="9"/>
      <c r="G122" s="9"/>
    </row>
    <row r="123" customFormat="false" ht="13.5" hidden="false" customHeight="true" outlineLevel="0" collapsed="false">
      <c r="C123" s="8"/>
      <c r="D123" s="8"/>
      <c r="E123" s="9"/>
      <c r="F123" s="9"/>
      <c r="G123" s="9"/>
    </row>
    <row r="124" customFormat="false" ht="13.5" hidden="false" customHeight="true" outlineLevel="0" collapsed="false">
      <c r="C124" s="8"/>
      <c r="D124" s="8"/>
      <c r="E124" s="9"/>
      <c r="F124" s="9"/>
      <c r="G124" s="9"/>
    </row>
    <row r="126" customFormat="false" ht="13.5" hidden="false" customHeight="true" outlineLevel="0" collapsed="false">
      <c r="C126" s="8" t="s">
        <v>83</v>
      </c>
      <c r="D126" s="9" t="s">
        <v>84</v>
      </c>
      <c r="E126" s="9"/>
      <c r="F126" s="9"/>
      <c r="G126" s="9"/>
    </row>
    <row r="127" customFormat="false" ht="13.5" hidden="false" customHeight="true" outlineLevel="0" collapsed="false">
      <c r="C127" s="8"/>
      <c r="D127" s="8"/>
      <c r="E127" s="9"/>
      <c r="F127" s="9"/>
      <c r="G127" s="9"/>
    </row>
    <row r="128" customFormat="false" ht="13.5" hidden="false" customHeight="true" outlineLevel="0" collapsed="false">
      <c r="C128" s="8"/>
      <c r="D128" s="8"/>
      <c r="E128" s="9"/>
      <c r="F128" s="9"/>
      <c r="G128" s="9"/>
    </row>
    <row r="129" customFormat="false" ht="13.5" hidden="false" customHeight="true" outlineLevel="0" collapsed="false">
      <c r="C129" s="8"/>
      <c r="D129" s="8"/>
      <c r="E129" s="9"/>
      <c r="F129" s="9"/>
      <c r="G129" s="9"/>
    </row>
    <row r="131" customFormat="false" ht="13.5" hidden="false" customHeight="true" outlineLevel="0" collapsed="false">
      <c r="C131" s="8" t="s">
        <v>85</v>
      </c>
      <c r="D131" s="9" t="s">
        <v>86</v>
      </c>
      <c r="E131" s="9"/>
      <c r="F131" s="9"/>
      <c r="G131" s="9"/>
    </row>
    <row r="132" customFormat="false" ht="13.5" hidden="false" customHeight="true" outlineLevel="0" collapsed="false">
      <c r="C132" s="8"/>
      <c r="D132" s="8"/>
      <c r="E132" s="9"/>
      <c r="F132" s="9"/>
      <c r="G132" s="9"/>
    </row>
    <row r="133" customFormat="false" ht="13.5" hidden="false" customHeight="true" outlineLevel="0" collapsed="false">
      <c r="C133" s="8"/>
      <c r="D133" s="8"/>
      <c r="E133" s="9"/>
      <c r="F133" s="9"/>
      <c r="G133" s="9"/>
    </row>
    <row r="134" customFormat="false" ht="13.5" hidden="false" customHeight="true" outlineLevel="0" collapsed="false">
      <c r="C134" s="8"/>
      <c r="D134" s="8"/>
      <c r="E134" s="9"/>
      <c r="F134" s="9"/>
      <c r="G134" s="9"/>
    </row>
    <row r="136" customFormat="false" ht="15" hidden="false" customHeight="false" outlineLevel="0" collapsed="false">
      <c r="B136" s="37" t="s">
        <v>87</v>
      </c>
      <c r="C136" s="37"/>
      <c r="D136" s="37"/>
      <c r="E136" s="37"/>
      <c r="F136" s="37"/>
      <c r="G136" s="37"/>
    </row>
    <row r="137" customFormat="false" ht="13.5" hidden="false" customHeight="true" outlineLevel="0" collapsed="false">
      <c r="B137" s="38" t="s">
        <v>88</v>
      </c>
      <c r="C137" s="38"/>
      <c r="D137" s="38"/>
      <c r="E137" s="38"/>
      <c r="F137" s="38"/>
      <c r="G137" s="38"/>
    </row>
    <row r="138" customFormat="false" ht="13.5" hidden="false" customHeight="true" outlineLevel="0" collapsed="false">
      <c r="B138" s="38"/>
      <c r="C138" s="38"/>
      <c r="D138" s="38"/>
      <c r="E138" s="38"/>
      <c r="F138" s="38"/>
      <c r="G138" s="38"/>
    </row>
    <row r="139" customFormat="false" ht="13.5" hidden="false" customHeight="true" outlineLevel="0" collapsed="false">
      <c r="B139" s="38"/>
      <c r="C139" s="38"/>
      <c r="D139" s="38"/>
      <c r="E139" s="38"/>
      <c r="F139" s="38"/>
      <c r="G139" s="38"/>
    </row>
    <row r="140" customFormat="false" ht="13.5" hidden="false" customHeight="true" outlineLevel="0" collapsed="false">
      <c r="B140" s="38"/>
      <c r="C140" s="38"/>
      <c r="D140" s="38"/>
      <c r="E140" s="38"/>
      <c r="F140" s="38"/>
      <c r="G140" s="38"/>
    </row>
    <row r="141" customFormat="false" ht="13.5" hidden="false" customHeight="true" outlineLevel="0" collapsed="false">
      <c r="B141" s="38"/>
      <c r="C141" s="38"/>
      <c r="D141" s="38"/>
      <c r="E141" s="38"/>
      <c r="F141" s="38"/>
      <c r="G141" s="38"/>
    </row>
    <row r="143" customFormat="false" ht="19.5" hidden="false" customHeight="true" outlineLevel="0" collapsed="false">
      <c r="B143" s="39" t="s">
        <v>89</v>
      </c>
      <c r="C143" s="39"/>
      <c r="D143" s="39"/>
      <c r="E143" s="39"/>
      <c r="F143" s="39"/>
      <c r="G143" s="39"/>
    </row>
  </sheetData>
  <mergeCells count="69">
    <mergeCell ref="B1:G1"/>
    <mergeCell ref="B2:G2"/>
    <mergeCell ref="B4:G4"/>
    <mergeCell ref="B5:G5"/>
    <mergeCell ref="B7:G10"/>
    <mergeCell ref="B12:G12"/>
    <mergeCell ref="C13:C16"/>
    <mergeCell ref="D13:G16"/>
    <mergeCell ref="C18:C21"/>
    <mergeCell ref="D18:G21"/>
    <mergeCell ref="C23:C26"/>
    <mergeCell ref="D23:G26"/>
    <mergeCell ref="C28:C31"/>
    <mergeCell ref="D28:G31"/>
    <mergeCell ref="C33:C36"/>
    <mergeCell ref="D33:G36"/>
    <mergeCell ref="C38:C41"/>
    <mergeCell ref="D38:G41"/>
    <mergeCell ref="C43:C46"/>
    <mergeCell ref="D43:G46"/>
    <mergeCell ref="B49:G49"/>
    <mergeCell ref="D50:G50"/>
    <mergeCell ref="D51:G51"/>
    <mergeCell ref="D52:G52"/>
    <mergeCell ref="D53:G53"/>
    <mergeCell ref="D54:G54"/>
    <mergeCell ref="D55:G55"/>
    <mergeCell ref="D56:G56"/>
    <mergeCell ref="D57:G57"/>
    <mergeCell ref="D58:G58"/>
    <mergeCell ref="D59:G59"/>
    <mergeCell ref="B61:G61"/>
    <mergeCell ref="D62:G62"/>
    <mergeCell ref="D63:G63"/>
    <mergeCell ref="D64:G64"/>
    <mergeCell ref="D65:G65"/>
    <mergeCell ref="D66:G66"/>
    <mergeCell ref="D67:G67"/>
    <mergeCell ref="B69:G69"/>
    <mergeCell ref="C70:C73"/>
    <mergeCell ref="D70:G73"/>
    <mergeCell ref="C75:C78"/>
    <mergeCell ref="D75:G78"/>
    <mergeCell ref="C80:C83"/>
    <mergeCell ref="D80:G83"/>
    <mergeCell ref="C85:C88"/>
    <mergeCell ref="D85:G88"/>
    <mergeCell ref="C90:C93"/>
    <mergeCell ref="D90:G93"/>
    <mergeCell ref="C95:C98"/>
    <mergeCell ref="D95:G98"/>
    <mergeCell ref="C100:C103"/>
    <mergeCell ref="D100:G103"/>
    <mergeCell ref="B105:G105"/>
    <mergeCell ref="C106:C109"/>
    <mergeCell ref="D106:G109"/>
    <mergeCell ref="C111:C114"/>
    <mergeCell ref="D111:G114"/>
    <mergeCell ref="C116:C119"/>
    <mergeCell ref="D116:G119"/>
    <mergeCell ref="C121:C124"/>
    <mergeCell ref="D121:G124"/>
    <mergeCell ref="C126:C129"/>
    <mergeCell ref="D126:G129"/>
    <mergeCell ref="C131:C134"/>
    <mergeCell ref="D131:G134"/>
    <mergeCell ref="B136:G136"/>
    <mergeCell ref="B137:G141"/>
    <mergeCell ref="B143:G143"/>
  </mergeCells>
  <hyperlinks>
    <hyperlink ref="C51" location="'Setup'!A1" display="Setup"/>
    <hyperlink ref="C52" location="'Programme Summary'!A1" display="Programme Summary"/>
    <hyperlink ref="C53" location="'Programme'!A1" display="Programme"/>
    <hyperlink ref="C54" location="'Power &amp; Grid'!A1" display="Power &amp; Grid"/>
    <hyperlink ref="C55" location="'Long-Lead Procurement'!A1" display="Long-Lead Procurement"/>
    <hyperlink ref="C56" location="'Commissioning'!A1" display="Commissioning"/>
    <hyperlink ref="C57" location="'Operational Readiness'!A1" display="Operational Readiness"/>
    <hyperlink ref="C58" location="'Design Basis'!A1" display="Design Basis"/>
    <hyperlink ref="C59" location="'Reference'!A1" display="Reference"/>
    <hyperlink ref="B143" r:id="rId1" display="Built for teams delivering capital projects, programs and portfolios  ·  mastt.com"/>
  </hyperlinks>
  <printOptions headings="false" gridLines="false" gridLinesSet="true" horizontalCentered="false" verticalCentered="false"/>
  <pageMargins left="0.3" right="0.3" top="0.5" bottom="0.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rowBreaks count="3" manualBreakCount="3">
    <brk id="48" man="true" max="16383" min="0"/>
    <brk id="68" man="true" max="16383" min="0"/>
    <brk id="104" man="true" max="16383" min="0"/>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98A2"/>
    <pageSetUpPr fitToPage="true"/>
  </sheetPr>
  <dimension ref="B1:H10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0"/>
    <col collapsed="false" customWidth="true" hidden="false" outlineLevel="0" max="6" min="3" style="0" width="18"/>
    <col collapsed="false" customWidth="true" hidden="false" outlineLevel="0" max="7" min="7" style="0" width="40"/>
    <col collapsed="false" customWidth="true" hidden="false" outlineLevel="0" max="8" min="8" style="0" width="48"/>
    <col collapsed="false" customWidth="true" hidden="false" outlineLevel="0" max="9" min="9" style="0" width="2.2"/>
  </cols>
  <sheetData>
    <row r="1" customFormat="false" ht="33.75" hidden="false" customHeight="true" outlineLevel="0" collapsed="false">
      <c r="B1" s="40" t="s">
        <v>540</v>
      </c>
      <c r="C1" s="40"/>
      <c r="D1" s="40"/>
      <c r="E1" s="40"/>
      <c r="F1" s="40"/>
      <c r="G1" s="40"/>
      <c r="H1" s="40"/>
    </row>
    <row r="2" customFormat="false" ht="4.5" hidden="false" customHeight="true" outlineLevel="0" collapsed="false">
      <c r="B2" s="109"/>
      <c r="C2" s="109"/>
      <c r="D2" s="109"/>
      <c r="E2" s="109"/>
      <c r="F2" s="109"/>
      <c r="G2" s="109"/>
      <c r="H2" s="109"/>
    </row>
    <row r="4" customFormat="false" ht="25.5" hidden="false" customHeight="true" outlineLevel="0" collapsed="false">
      <c r="B4" s="43" t="s">
        <v>541</v>
      </c>
      <c r="C4" s="43"/>
      <c r="D4" s="43"/>
      <c r="E4" s="43"/>
      <c r="F4" s="43"/>
      <c r="G4" s="43"/>
      <c r="H4" s="43"/>
    </row>
    <row r="6" customFormat="false" ht="21.75" hidden="false" customHeight="true" outlineLevel="0" collapsed="false">
      <c r="B6" s="6" t="s">
        <v>542</v>
      </c>
      <c r="C6" s="6"/>
      <c r="D6" s="6"/>
      <c r="E6" s="6"/>
      <c r="F6" s="6"/>
      <c r="G6" s="6"/>
      <c r="H6" s="6"/>
    </row>
    <row r="7" customFormat="false" ht="19.5" hidden="false" customHeight="true" outlineLevel="0" collapsed="false">
      <c r="B7" s="10" t="s">
        <v>543</v>
      </c>
      <c r="C7" s="10" t="s">
        <v>544</v>
      </c>
      <c r="D7" s="10"/>
      <c r="E7" s="10"/>
      <c r="F7" s="10"/>
      <c r="G7" s="10" t="s">
        <v>545</v>
      </c>
      <c r="H7" s="10"/>
    </row>
    <row r="8" customFormat="false" ht="27.75" hidden="false" customHeight="true" outlineLevel="0" collapsed="false">
      <c r="B8" s="110" t="s">
        <v>546</v>
      </c>
      <c r="C8" s="25" t="s">
        <v>47</v>
      </c>
      <c r="D8" s="25"/>
      <c r="E8" s="25"/>
      <c r="F8" s="25"/>
      <c r="G8" s="111" t="s">
        <v>48</v>
      </c>
      <c r="H8" s="111"/>
    </row>
    <row r="9" customFormat="false" ht="27.75" hidden="false" customHeight="true" outlineLevel="0" collapsed="false">
      <c r="B9" s="112" t="s">
        <v>547</v>
      </c>
      <c r="C9" s="28" t="s">
        <v>49</v>
      </c>
      <c r="D9" s="28"/>
      <c r="E9" s="28"/>
      <c r="F9" s="28"/>
      <c r="G9" s="111" t="s">
        <v>50</v>
      </c>
      <c r="H9" s="111"/>
    </row>
    <row r="10" customFormat="false" ht="27.75" hidden="false" customHeight="true" outlineLevel="0" collapsed="false">
      <c r="B10" s="113" t="s">
        <v>548</v>
      </c>
      <c r="C10" s="30" t="s">
        <v>51</v>
      </c>
      <c r="D10" s="30"/>
      <c r="E10" s="30"/>
      <c r="F10" s="30"/>
      <c r="G10" s="111" t="s">
        <v>52</v>
      </c>
      <c r="H10" s="111"/>
    </row>
    <row r="11" customFormat="false" ht="27.75" hidden="false" customHeight="true" outlineLevel="0" collapsed="false">
      <c r="B11" s="114" t="s">
        <v>549</v>
      </c>
      <c r="C11" s="32" t="s">
        <v>53</v>
      </c>
      <c r="D11" s="32"/>
      <c r="E11" s="32"/>
      <c r="F11" s="32"/>
      <c r="G11" s="111" t="s">
        <v>54</v>
      </c>
      <c r="H11" s="111"/>
    </row>
    <row r="12" customFormat="false" ht="27.75" hidden="false" customHeight="true" outlineLevel="0" collapsed="false">
      <c r="B12" s="115" t="s">
        <v>550</v>
      </c>
      <c r="C12" s="34" t="s">
        <v>55</v>
      </c>
      <c r="D12" s="34"/>
      <c r="E12" s="34"/>
      <c r="F12" s="34"/>
      <c r="G12" s="111" t="s">
        <v>56</v>
      </c>
      <c r="H12" s="111"/>
    </row>
    <row r="13" customFormat="false" ht="27.75" hidden="false" customHeight="true" outlineLevel="0" collapsed="false">
      <c r="B13" s="116" t="s">
        <v>551</v>
      </c>
      <c r="C13" s="36" t="s">
        <v>57</v>
      </c>
      <c r="D13" s="36"/>
      <c r="E13" s="36"/>
      <c r="F13" s="36"/>
      <c r="G13" s="111" t="s">
        <v>58</v>
      </c>
      <c r="H13" s="111"/>
    </row>
    <row r="15" customFormat="false" ht="21.75" hidden="false" customHeight="true" outlineLevel="0" collapsed="false">
      <c r="B15" s="6" t="s">
        <v>552</v>
      </c>
      <c r="C15" s="6"/>
      <c r="D15" s="6"/>
      <c r="E15" s="6"/>
      <c r="F15" s="6"/>
      <c r="G15" s="6"/>
      <c r="H15" s="6"/>
    </row>
    <row r="16" customFormat="false" ht="13.5" hidden="false" customHeight="true" outlineLevel="0" collapsed="false">
      <c r="B16" s="38" t="s">
        <v>553</v>
      </c>
      <c r="C16" s="38"/>
      <c r="D16" s="38"/>
      <c r="E16" s="38"/>
      <c r="F16" s="38"/>
      <c r="G16" s="38"/>
      <c r="H16" s="38"/>
    </row>
    <row r="17" customFormat="false" ht="13.5" hidden="false" customHeight="true" outlineLevel="0" collapsed="false">
      <c r="B17" s="38"/>
      <c r="C17" s="38"/>
      <c r="D17" s="38"/>
      <c r="E17" s="38"/>
      <c r="F17" s="38"/>
      <c r="G17" s="38"/>
      <c r="H17" s="38"/>
    </row>
    <row r="18" customFormat="false" ht="13.5" hidden="false" customHeight="true" outlineLevel="0" collapsed="false">
      <c r="B18" s="38"/>
      <c r="C18" s="38"/>
      <c r="D18" s="38"/>
      <c r="E18" s="38"/>
      <c r="F18" s="38"/>
      <c r="G18" s="38"/>
      <c r="H18" s="38"/>
    </row>
    <row r="19" customFormat="false" ht="13.5" hidden="false" customHeight="true" outlineLevel="0" collapsed="false">
      <c r="B19" s="38"/>
      <c r="C19" s="38"/>
      <c r="D19" s="38"/>
      <c r="E19" s="38"/>
      <c r="F19" s="38"/>
      <c r="G19" s="38"/>
      <c r="H19" s="38"/>
    </row>
    <row r="21" customFormat="false" ht="21.75" hidden="false" customHeight="true" outlineLevel="0" collapsed="false">
      <c r="B21" s="10" t="s">
        <v>554</v>
      </c>
      <c r="C21" s="10" t="s">
        <v>555</v>
      </c>
      <c r="D21" s="10" t="s">
        <v>556</v>
      </c>
      <c r="E21" s="10"/>
      <c r="F21" s="10"/>
      <c r="G21" s="10" t="s">
        <v>557</v>
      </c>
      <c r="H21" s="10" t="s">
        <v>558</v>
      </c>
    </row>
    <row r="22" customFormat="false" ht="78" hidden="false" customHeight="true" outlineLevel="0" collapsed="false">
      <c r="B22" s="117" t="s">
        <v>489</v>
      </c>
      <c r="C22" s="118" t="s">
        <v>559</v>
      </c>
      <c r="D22" s="119" t="s">
        <v>560</v>
      </c>
      <c r="E22" s="119"/>
      <c r="F22" s="119"/>
      <c r="G22" s="119" t="s">
        <v>561</v>
      </c>
      <c r="H22" s="119" t="s">
        <v>562</v>
      </c>
    </row>
    <row r="23" customFormat="false" ht="78" hidden="false" customHeight="true" outlineLevel="0" collapsed="false">
      <c r="B23" s="120" t="s">
        <v>563</v>
      </c>
      <c r="C23" s="121" t="s">
        <v>564</v>
      </c>
      <c r="D23" s="122" t="s">
        <v>565</v>
      </c>
      <c r="E23" s="122"/>
      <c r="F23" s="122"/>
      <c r="G23" s="122" t="s">
        <v>566</v>
      </c>
      <c r="H23" s="122" t="s">
        <v>567</v>
      </c>
    </row>
    <row r="24" customFormat="false" ht="78" hidden="false" customHeight="true" outlineLevel="0" collapsed="false">
      <c r="B24" s="117" t="s">
        <v>568</v>
      </c>
      <c r="C24" s="118" t="s">
        <v>569</v>
      </c>
      <c r="D24" s="119" t="s">
        <v>570</v>
      </c>
      <c r="E24" s="119"/>
      <c r="F24" s="119"/>
      <c r="G24" s="119" t="s">
        <v>571</v>
      </c>
      <c r="H24" s="119" t="s">
        <v>572</v>
      </c>
    </row>
    <row r="25" customFormat="false" ht="78" hidden="false" customHeight="true" outlineLevel="0" collapsed="false">
      <c r="B25" s="120" t="s">
        <v>573</v>
      </c>
      <c r="C25" s="121" t="s">
        <v>574</v>
      </c>
      <c r="D25" s="122" t="s">
        <v>575</v>
      </c>
      <c r="E25" s="122"/>
      <c r="F25" s="122"/>
      <c r="G25" s="122" t="s">
        <v>576</v>
      </c>
      <c r="H25" s="122" t="s">
        <v>577</v>
      </c>
    </row>
    <row r="27" customFormat="false" ht="15" hidden="false" customHeight="false" outlineLevel="0" collapsed="false">
      <c r="B27" s="37" t="s">
        <v>578</v>
      </c>
      <c r="C27" s="37"/>
      <c r="D27" s="37"/>
      <c r="E27" s="37"/>
      <c r="F27" s="37"/>
      <c r="G27" s="37"/>
      <c r="H27" s="37"/>
    </row>
    <row r="28" customFormat="false" ht="13.5" hidden="false" customHeight="true" outlineLevel="0" collapsed="false">
      <c r="B28" s="123" t="s">
        <v>579</v>
      </c>
      <c r="C28" s="123"/>
      <c r="D28" s="123"/>
      <c r="E28" s="123"/>
      <c r="F28" s="123"/>
      <c r="G28" s="123"/>
      <c r="H28" s="123"/>
    </row>
    <row r="29" customFormat="false" ht="13.5" hidden="false" customHeight="true" outlineLevel="0" collapsed="false">
      <c r="B29" s="123"/>
      <c r="C29" s="123"/>
      <c r="D29" s="123"/>
      <c r="E29" s="123"/>
      <c r="F29" s="123"/>
      <c r="G29" s="123"/>
      <c r="H29" s="123"/>
    </row>
    <row r="30" customFormat="false" ht="13.5" hidden="false" customHeight="true" outlineLevel="0" collapsed="false">
      <c r="B30" s="123"/>
      <c r="C30" s="123"/>
      <c r="D30" s="123"/>
      <c r="E30" s="123"/>
      <c r="F30" s="123"/>
      <c r="G30" s="123"/>
      <c r="H30" s="123"/>
    </row>
    <row r="31" customFormat="false" ht="13.5" hidden="false" customHeight="true" outlineLevel="0" collapsed="false">
      <c r="B31" s="123"/>
      <c r="C31" s="123"/>
      <c r="D31" s="123"/>
      <c r="E31" s="123"/>
      <c r="F31" s="123"/>
      <c r="G31" s="123"/>
      <c r="H31" s="123"/>
    </row>
    <row r="33" customFormat="false" ht="21.75" hidden="false" customHeight="true" outlineLevel="0" collapsed="false">
      <c r="B33" s="6" t="s">
        <v>580</v>
      </c>
      <c r="C33" s="6"/>
      <c r="D33" s="6"/>
      <c r="E33" s="6"/>
      <c r="F33" s="6"/>
      <c r="G33" s="6"/>
      <c r="H33" s="6"/>
    </row>
    <row r="34" customFormat="false" ht="13.5" hidden="false" customHeight="true" outlineLevel="0" collapsed="false">
      <c r="B34" s="38" t="s">
        <v>581</v>
      </c>
      <c r="C34" s="38"/>
      <c r="D34" s="38"/>
      <c r="E34" s="38"/>
      <c r="F34" s="38"/>
      <c r="G34" s="38"/>
      <c r="H34" s="38"/>
    </row>
    <row r="35" customFormat="false" ht="13.5" hidden="false" customHeight="true" outlineLevel="0" collapsed="false">
      <c r="B35" s="38"/>
      <c r="C35" s="38"/>
      <c r="D35" s="38"/>
      <c r="E35" s="38"/>
      <c r="F35" s="38"/>
      <c r="G35" s="38"/>
      <c r="H35" s="38"/>
    </row>
    <row r="36" customFormat="false" ht="13.5" hidden="false" customHeight="true" outlineLevel="0" collapsed="false">
      <c r="B36" s="38"/>
      <c r="C36" s="38"/>
      <c r="D36" s="38"/>
      <c r="E36" s="38"/>
      <c r="F36" s="38"/>
      <c r="G36" s="38"/>
      <c r="H36" s="38"/>
    </row>
    <row r="38" customFormat="false" ht="19.5" hidden="false" customHeight="true" outlineLevel="0" collapsed="false">
      <c r="B38" s="10" t="s">
        <v>187</v>
      </c>
      <c r="C38" s="10"/>
      <c r="D38" s="10" t="s">
        <v>377</v>
      </c>
      <c r="E38" s="10"/>
      <c r="F38" s="10"/>
      <c r="G38" s="10"/>
      <c r="H38" s="10"/>
    </row>
    <row r="39" customFormat="false" ht="43.5" hidden="false" customHeight="true" outlineLevel="0" collapsed="false">
      <c r="B39" s="117" t="s">
        <v>192</v>
      </c>
      <c r="C39" s="117"/>
      <c r="D39" s="119" t="s">
        <v>582</v>
      </c>
      <c r="E39" s="119"/>
      <c r="F39" s="119"/>
      <c r="G39" s="119"/>
      <c r="H39" s="119"/>
    </row>
    <row r="40" customFormat="false" ht="43.5" hidden="false" customHeight="true" outlineLevel="0" collapsed="false">
      <c r="B40" s="120" t="s">
        <v>193</v>
      </c>
      <c r="C40" s="120"/>
      <c r="D40" s="122" t="s">
        <v>583</v>
      </c>
      <c r="E40" s="122"/>
      <c r="F40" s="122"/>
      <c r="G40" s="122"/>
      <c r="H40" s="122"/>
    </row>
    <row r="41" customFormat="false" ht="43.5" hidden="false" customHeight="true" outlineLevel="0" collapsed="false">
      <c r="B41" s="117" t="s">
        <v>194</v>
      </c>
      <c r="C41" s="117"/>
      <c r="D41" s="119" t="s">
        <v>584</v>
      </c>
      <c r="E41" s="119"/>
      <c r="F41" s="119"/>
      <c r="G41" s="119"/>
      <c r="H41" s="119"/>
    </row>
    <row r="42" customFormat="false" ht="43.5" hidden="false" customHeight="true" outlineLevel="0" collapsed="false">
      <c r="B42" s="120" t="s">
        <v>195</v>
      </c>
      <c r="C42" s="120"/>
      <c r="D42" s="122" t="s">
        <v>585</v>
      </c>
      <c r="E42" s="122"/>
      <c r="F42" s="122"/>
      <c r="G42" s="122"/>
      <c r="H42" s="122"/>
    </row>
    <row r="43" customFormat="false" ht="43.5" hidden="false" customHeight="true" outlineLevel="0" collapsed="false">
      <c r="B43" s="117" t="s">
        <v>196</v>
      </c>
      <c r="C43" s="117"/>
      <c r="D43" s="119" t="s">
        <v>586</v>
      </c>
      <c r="E43" s="119"/>
      <c r="F43" s="119"/>
      <c r="G43" s="119"/>
      <c r="H43" s="119"/>
    </row>
    <row r="45" customFormat="false" ht="21.75" hidden="false" customHeight="true" outlineLevel="0" collapsed="false">
      <c r="B45" s="6" t="s">
        <v>587</v>
      </c>
      <c r="C45" s="6"/>
      <c r="D45" s="6"/>
      <c r="E45" s="6"/>
      <c r="F45" s="6"/>
      <c r="G45" s="6"/>
      <c r="H45" s="6"/>
    </row>
    <row r="46" customFormat="false" ht="30" hidden="false" customHeight="true" outlineLevel="0" collapsed="false">
      <c r="B46" s="117" t="s">
        <v>588</v>
      </c>
      <c r="C46" s="117"/>
      <c r="D46" s="119" t="s">
        <v>589</v>
      </c>
      <c r="E46" s="119"/>
      <c r="F46" s="119"/>
      <c r="G46" s="119"/>
      <c r="H46" s="119"/>
    </row>
    <row r="47" customFormat="false" ht="30" hidden="false" customHeight="true" outlineLevel="0" collapsed="false">
      <c r="B47" s="120" t="s">
        <v>590</v>
      </c>
      <c r="C47" s="120"/>
      <c r="D47" s="122" t="s">
        <v>591</v>
      </c>
      <c r="E47" s="122"/>
      <c r="F47" s="122"/>
      <c r="G47" s="122"/>
      <c r="H47" s="122"/>
    </row>
    <row r="48" customFormat="false" ht="30" hidden="false" customHeight="true" outlineLevel="0" collapsed="false">
      <c r="B48" s="117" t="s">
        <v>592</v>
      </c>
      <c r="C48" s="117"/>
      <c r="D48" s="119" t="s">
        <v>593</v>
      </c>
      <c r="E48" s="119"/>
      <c r="F48" s="119"/>
      <c r="G48" s="119"/>
      <c r="H48" s="119"/>
    </row>
    <row r="49" customFormat="false" ht="30" hidden="false" customHeight="true" outlineLevel="0" collapsed="false">
      <c r="B49" s="120" t="s">
        <v>594</v>
      </c>
      <c r="C49" s="120"/>
      <c r="D49" s="122" t="s">
        <v>595</v>
      </c>
      <c r="E49" s="122"/>
      <c r="F49" s="122"/>
      <c r="G49" s="122"/>
      <c r="H49" s="122"/>
    </row>
    <row r="50" customFormat="false" ht="30" hidden="false" customHeight="true" outlineLevel="0" collapsed="false">
      <c r="B50" s="117" t="s">
        <v>596</v>
      </c>
      <c r="C50" s="117"/>
      <c r="D50" s="119" t="s">
        <v>597</v>
      </c>
      <c r="E50" s="119"/>
      <c r="F50" s="119"/>
      <c r="G50" s="119"/>
      <c r="H50" s="119"/>
    </row>
    <row r="51" customFormat="false" ht="30" hidden="false" customHeight="true" outlineLevel="0" collapsed="false">
      <c r="B51" s="120" t="s">
        <v>598</v>
      </c>
      <c r="C51" s="120"/>
      <c r="D51" s="122" t="s">
        <v>599</v>
      </c>
      <c r="E51" s="122"/>
      <c r="F51" s="122"/>
      <c r="G51" s="122"/>
      <c r="H51" s="122"/>
    </row>
    <row r="52" customFormat="false" ht="30" hidden="false" customHeight="true" outlineLevel="0" collapsed="false">
      <c r="B52" s="117" t="s">
        <v>600</v>
      </c>
      <c r="C52" s="117"/>
      <c r="D52" s="119" t="s">
        <v>601</v>
      </c>
      <c r="E52" s="119"/>
      <c r="F52" s="119"/>
      <c r="G52" s="119"/>
      <c r="H52" s="119"/>
    </row>
    <row r="53" customFormat="false" ht="30" hidden="false" customHeight="true" outlineLevel="0" collapsed="false">
      <c r="B53" s="120" t="s">
        <v>602</v>
      </c>
      <c r="C53" s="120"/>
      <c r="D53" s="122" t="s">
        <v>603</v>
      </c>
      <c r="E53" s="122"/>
      <c r="F53" s="122"/>
      <c r="G53" s="122"/>
      <c r="H53" s="122"/>
    </row>
    <row r="54" customFormat="false" ht="30" hidden="false" customHeight="true" outlineLevel="0" collapsed="false">
      <c r="B54" s="117" t="s">
        <v>369</v>
      </c>
      <c r="C54" s="117"/>
      <c r="D54" s="119" t="s">
        <v>604</v>
      </c>
      <c r="E54" s="119"/>
      <c r="F54" s="119"/>
      <c r="G54" s="119"/>
      <c r="H54" s="119"/>
    </row>
    <row r="55" customFormat="false" ht="30" hidden="false" customHeight="true" outlineLevel="0" collapsed="false">
      <c r="B55" s="120" t="s">
        <v>605</v>
      </c>
      <c r="C55" s="120"/>
      <c r="D55" s="122" t="s">
        <v>606</v>
      </c>
      <c r="E55" s="122"/>
      <c r="F55" s="122"/>
      <c r="G55" s="122"/>
      <c r="H55" s="122"/>
    </row>
    <row r="56" customFormat="false" ht="30" hidden="false" customHeight="true" outlineLevel="0" collapsed="false">
      <c r="B56" s="117" t="s">
        <v>607</v>
      </c>
      <c r="C56" s="117"/>
      <c r="D56" s="119" t="s">
        <v>608</v>
      </c>
      <c r="E56" s="119"/>
      <c r="F56" s="119"/>
      <c r="G56" s="119"/>
      <c r="H56" s="119"/>
    </row>
    <row r="57" customFormat="false" ht="30" hidden="false" customHeight="true" outlineLevel="0" collapsed="false">
      <c r="B57" s="120" t="s">
        <v>609</v>
      </c>
      <c r="C57" s="120"/>
      <c r="D57" s="122" t="s">
        <v>610</v>
      </c>
      <c r="E57" s="122"/>
      <c r="F57" s="122"/>
      <c r="G57" s="122"/>
      <c r="H57" s="122"/>
    </row>
    <row r="58" customFormat="false" ht="30" hidden="false" customHeight="true" outlineLevel="0" collapsed="false">
      <c r="B58" s="117" t="s">
        <v>611</v>
      </c>
      <c r="C58" s="117"/>
      <c r="D58" s="119" t="s">
        <v>612</v>
      </c>
      <c r="E58" s="119"/>
      <c r="F58" s="119"/>
      <c r="G58" s="119"/>
      <c r="H58" s="119"/>
    </row>
    <row r="59" customFormat="false" ht="30" hidden="false" customHeight="true" outlineLevel="0" collapsed="false">
      <c r="B59" s="120" t="s">
        <v>613</v>
      </c>
      <c r="C59" s="120"/>
      <c r="D59" s="122" t="s">
        <v>614</v>
      </c>
      <c r="E59" s="122"/>
      <c r="F59" s="122"/>
      <c r="G59" s="122"/>
      <c r="H59" s="122"/>
    </row>
    <row r="61" customFormat="false" ht="21.75" hidden="false" customHeight="true" outlineLevel="0" collapsed="false">
      <c r="B61" s="6" t="s">
        <v>615</v>
      </c>
      <c r="C61" s="6"/>
      <c r="D61" s="6"/>
      <c r="E61" s="6"/>
      <c r="F61" s="6"/>
      <c r="G61" s="6"/>
      <c r="H61" s="6"/>
    </row>
    <row r="62" customFormat="false" ht="19.5" hidden="false" customHeight="true" outlineLevel="0" collapsed="false">
      <c r="B62" s="10" t="s">
        <v>616</v>
      </c>
      <c r="C62" s="10"/>
      <c r="D62" s="10" t="s">
        <v>617</v>
      </c>
      <c r="E62" s="10"/>
      <c r="F62" s="10"/>
      <c r="G62" s="10" t="s">
        <v>222</v>
      </c>
      <c r="H62" s="10"/>
    </row>
    <row r="63" customFormat="false" ht="30" hidden="false" customHeight="true" outlineLevel="0" collapsed="false">
      <c r="B63" s="117" t="s">
        <v>618</v>
      </c>
      <c r="C63" s="117"/>
      <c r="D63" s="119" t="s">
        <v>619</v>
      </c>
      <c r="E63" s="119"/>
      <c r="F63" s="119"/>
      <c r="G63" s="119" t="s">
        <v>620</v>
      </c>
      <c r="H63" s="119"/>
    </row>
    <row r="64" customFormat="false" ht="30" hidden="false" customHeight="true" outlineLevel="0" collapsed="false">
      <c r="B64" s="120" t="s">
        <v>166</v>
      </c>
      <c r="C64" s="120"/>
      <c r="D64" s="122" t="s">
        <v>621</v>
      </c>
      <c r="E64" s="122"/>
      <c r="F64" s="122"/>
      <c r="G64" s="122" t="s">
        <v>622</v>
      </c>
      <c r="H64" s="122"/>
    </row>
    <row r="65" customFormat="false" ht="30" hidden="false" customHeight="true" outlineLevel="0" collapsed="false">
      <c r="B65" s="117" t="s">
        <v>623</v>
      </c>
      <c r="C65" s="117"/>
      <c r="D65" s="119" t="s">
        <v>624</v>
      </c>
      <c r="E65" s="119"/>
      <c r="F65" s="119"/>
      <c r="G65" s="119" t="s">
        <v>625</v>
      </c>
      <c r="H65" s="119"/>
    </row>
    <row r="66" customFormat="false" ht="30" hidden="false" customHeight="true" outlineLevel="0" collapsed="false">
      <c r="B66" s="120" t="s">
        <v>369</v>
      </c>
      <c r="C66" s="120"/>
      <c r="D66" s="122" t="s">
        <v>626</v>
      </c>
      <c r="E66" s="122"/>
      <c r="F66" s="122"/>
      <c r="G66" s="122" t="s">
        <v>627</v>
      </c>
      <c r="H66" s="122"/>
    </row>
    <row r="67" customFormat="false" ht="30" hidden="false" customHeight="true" outlineLevel="0" collapsed="false">
      <c r="B67" s="117" t="s">
        <v>590</v>
      </c>
      <c r="C67" s="117"/>
      <c r="D67" s="119" t="s">
        <v>628</v>
      </c>
      <c r="E67" s="119"/>
      <c r="F67" s="119"/>
      <c r="G67" s="119" t="s">
        <v>629</v>
      </c>
      <c r="H67" s="119"/>
    </row>
    <row r="68" customFormat="false" ht="30" hidden="false" customHeight="true" outlineLevel="0" collapsed="false">
      <c r="B68" s="120" t="s">
        <v>162</v>
      </c>
      <c r="C68" s="120"/>
      <c r="D68" s="122" t="s">
        <v>630</v>
      </c>
      <c r="E68" s="122"/>
      <c r="F68" s="122"/>
      <c r="G68" s="122" t="s">
        <v>631</v>
      </c>
      <c r="H68" s="122"/>
    </row>
    <row r="69" customFormat="false" ht="30" hidden="false" customHeight="true" outlineLevel="0" collapsed="false">
      <c r="B69" s="117" t="s">
        <v>158</v>
      </c>
      <c r="C69" s="117"/>
      <c r="D69" s="119" t="s">
        <v>632</v>
      </c>
      <c r="E69" s="119"/>
      <c r="F69" s="119"/>
      <c r="G69" s="119"/>
      <c r="H69" s="119"/>
    </row>
    <row r="71" customFormat="false" ht="21.75" hidden="false" customHeight="true" outlineLevel="0" collapsed="false">
      <c r="B71" s="6" t="s">
        <v>633</v>
      </c>
      <c r="C71" s="6"/>
      <c r="D71" s="6"/>
      <c r="E71" s="6"/>
      <c r="F71" s="6"/>
      <c r="G71" s="6"/>
      <c r="H71" s="6"/>
    </row>
    <row r="72" customFormat="false" ht="18.75" hidden="false" customHeight="true" outlineLevel="0" collapsed="false">
      <c r="B72" s="124" t="s">
        <v>634</v>
      </c>
      <c r="C72" s="125" t="s">
        <v>635</v>
      </c>
      <c r="D72" s="125"/>
      <c r="E72" s="125"/>
      <c r="F72" s="125"/>
      <c r="G72" s="125"/>
      <c r="H72" s="125"/>
    </row>
    <row r="73" customFormat="false" ht="18.75" hidden="false" customHeight="true" outlineLevel="0" collapsed="false">
      <c r="B73" s="126" t="s">
        <v>636</v>
      </c>
      <c r="C73" s="125" t="s">
        <v>637</v>
      </c>
      <c r="D73" s="125"/>
      <c r="E73" s="125"/>
      <c r="F73" s="125"/>
      <c r="G73" s="125"/>
      <c r="H73" s="125"/>
    </row>
    <row r="74" customFormat="false" ht="18.75" hidden="false" customHeight="true" outlineLevel="0" collapsed="false">
      <c r="B74" s="127" t="s">
        <v>638</v>
      </c>
      <c r="C74" s="125" t="s">
        <v>639</v>
      </c>
      <c r="D74" s="125"/>
      <c r="E74" s="125"/>
      <c r="F74" s="125"/>
      <c r="G74" s="125"/>
      <c r="H74" s="125"/>
    </row>
    <row r="75" customFormat="false" ht="18.75" hidden="false" customHeight="true" outlineLevel="0" collapsed="false">
      <c r="B75" s="128" t="s">
        <v>640</v>
      </c>
      <c r="C75" s="125" t="s">
        <v>641</v>
      </c>
      <c r="D75" s="125"/>
      <c r="E75" s="125"/>
      <c r="F75" s="125"/>
      <c r="G75" s="125"/>
      <c r="H75" s="125"/>
    </row>
    <row r="77" customFormat="false" ht="21.75" hidden="false" customHeight="true" outlineLevel="0" collapsed="false">
      <c r="B77" s="6" t="s">
        <v>642</v>
      </c>
      <c r="C77" s="6"/>
      <c r="D77" s="6"/>
      <c r="E77" s="6"/>
      <c r="F77" s="6"/>
      <c r="G77" s="6"/>
      <c r="H77" s="6"/>
    </row>
    <row r="78" customFormat="false" ht="19.5" hidden="false" customHeight="true" outlineLevel="0" collapsed="false">
      <c r="B78" s="129" t="s">
        <v>171</v>
      </c>
      <c r="C78" s="129" t="s">
        <v>643</v>
      </c>
      <c r="D78" s="129" t="s">
        <v>104</v>
      </c>
      <c r="E78" s="129" t="s">
        <v>107</v>
      </c>
      <c r="F78" s="129" t="s">
        <v>347</v>
      </c>
      <c r="G78" s="129" t="s">
        <v>644</v>
      </c>
      <c r="H78" s="129" t="s">
        <v>645</v>
      </c>
    </row>
    <row r="79" customFormat="false" ht="24" hidden="false" customHeight="true" outlineLevel="0" collapsed="false">
      <c r="B79" s="13" t="s">
        <v>176</v>
      </c>
      <c r="C79" s="13" t="s">
        <v>97</v>
      </c>
      <c r="D79" s="13" t="s">
        <v>646</v>
      </c>
      <c r="E79" s="13" t="s">
        <v>108</v>
      </c>
      <c r="F79" s="13" t="s">
        <v>481</v>
      </c>
      <c r="G79" s="13" t="s">
        <v>489</v>
      </c>
      <c r="H79" s="13" t="s">
        <v>192</v>
      </c>
    </row>
    <row r="80" customFormat="false" ht="24" hidden="false" customHeight="true" outlineLevel="0" collapsed="false">
      <c r="B80" s="16" t="s">
        <v>177</v>
      </c>
      <c r="C80" s="16" t="s">
        <v>647</v>
      </c>
      <c r="D80" s="16" t="s">
        <v>648</v>
      </c>
      <c r="E80" s="16" t="s">
        <v>649</v>
      </c>
      <c r="F80" s="16" t="s">
        <v>650</v>
      </c>
      <c r="G80" s="16" t="s">
        <v>563</v>
      </c>
      <c r="H80" s="16" t="s">
        <v>193</v>
      </c>
    </row>
    <row r="81" customFormat="false" ht="24" hidden="false" customHeight="true" outlineLevel="0" collapsed="false">
      <c r="B81" s="13" t="s">
        <v>178</v>
      </c>
      <c r="C81" s="13" t="s">
        <v>160</v>
      </c>
      <c r="D81" s="13" t="s">
        <v>105</v>
      </c>
      <c r="E81" s="13" t="s">
        <v>651</v>
      </c>
      <c r="F81" s="13" t="s">
        <v>652</v>
      </c>
      <c r="G81" s="13" t="s">
        <v>653</v>
      </c>
      <c r="H81" s="13" t="s">
        <v>194</v>
      </c>
    </row>
    <row r="82" customFormat="false" ht="24" hidden="false" customHeight="true" outlineLevel="0" collapsed="false">
      <c r="B82" s="16" t="s">
        <v>179</v>
      </c>
      <c r="C82" s="16" t="s">
        <v>155</v>
      </c>
      <c r="D82" s="16" t="s">
        <v>611</v>
      </c>
      <c r="E82" s="16" t="s">
        <v>654</v>
      </c>
      <c r="F82" s="16" t="s">
        <v>655</v>
      </c>
      <c r="G82" s="16" t="s">
        <v>656</v>
      </c>
      <c r="H82" s="16" t="s">
        <v>195</v>
      </c>
    </row>
    <row r="83" customFormat="false" ht="24" hidden="false" customHeight="true" outlineLevel="0" collapsed="false">
      <c r="B83" s="13" t="s">
        <v>180</v>
      </c>
      <c r="C83" s="13" t="s">
        <v>158</v>
      </c>
      <c r="D83" s="13" t="s">
        <v>657</v>
      </c>
      <c r="E83" s="13" t="s">
        <v>658</v>
      </c>
      <c r="F83" s="13" t="s">
        <v>659</v>
      </c>
      <c r="G83" s="13" t="s">
        <v>573</v>
      </c>
      <c r="H83" s="13" t="s">
        <v>196</v>
      </c>
    </row>
    <row r="84" customFormat="false" ht="24" hidden="false" customHeight="true" outlineLevel="0" collapsed="false">
      <c r="B84" s="16" t="s">
        <v>181</v>
      </c>
      <c r="C84" s="16" t="s">
        <v>244</v>
      </c>
      <c r="D84" s="16" t="s">
        <v>660</v>
      </c>
      <c r="E84" s="16" t="s">
        <v>661</v>
      </c>
      <c r="F84" s="16" t="s">
        <v>662</v>
      </c>
      <c r="G84" s="16" t="s">
        <v>663</v>
      </c>
    </row>
    <row r="85" customFormat="false" ht="24" hidden="false" customHeight="true" outlineLevel="0" collapsed="false">
      <c r="B85" s="13" t="s">
        <v>182</v>
      </c>
      <c r="C85" s="13" t="s">
        <v>162</v>
      </c>
      <c r="F85" s="13" t="s">
        <v>664</v>
      </c>
      <c r="G85" s="13" t="s">
        <v>665</v>
      </c>
    </row>
    <row r="86" customFormat="false" ht="24" hidden="false" customHeight="true" outlineLevel="0" collapsed="false">
      <c r="B86" s="16" t="s">
        <v>38</v>
      </c>
      <c r="C86" s="16" t="s">
        <v>666</v>
      </c>
    </row>
    <row r="87" customFormat="false" ht="24" hidden="false" customHeight="true" outlineLevel="0" collapsed="false">
      <c r="B87" s="13" t="s">
        <v>183</v>
      </c>
      <c r="C87" s="13" t="s">
        <v>667</v>
      </c>
    </row>
    <row r="88" customFormat="false" ht="24" hidden="false" customHeight="true" outlineLevel="0" collapsed="false">
      <c r="B88" s="16" t="s">
        <v>184</v>
      </c>
      <c r="C88" s="16" t="s">
        <v>165</v>
      </c>
    </row>
    <row r="89" customFormat="false" ht="24" hidden="false" customHeight="true" outlineLevel="0" collapsed="false">
      <c r="B89" s="13" t="s">
        <v>185</v>
      </c>
      <c r="C89" s="13" t="s">
        <v>168</v>
      </c>
    </row>
    <row r="91" customFormat="false" ht="19.5" hidden="false" customHeight="true" outlineLevel="0" collapsed="false">
      <c r="B91" s="129" t="s">
        <v>668</v>
      </c>
      <c r="C91" s="129" t="s">
        <v>669</v>
      </c>
      <c r="D91" s="129" t="s">
        <v>670</v>
      </c>
    </row>
    <row r="92" customFormat="false" ht="24" hidden="false" customHeight="true" outlineLevel="0" collapsed="false">
      <c r="B92" s="13" t="s">
        <v>386</v>
      </c>
      <c r="C92" s="13" t="s">
        <v>202</v>
      </c>
      <c r="D92" s="13" t="s">
        <v>497</v>
      </c>
    </row>
    <row r="93" customFormat="false" ht="24" hidden="false" customHeight="true" outlineLevel="0" collapsed="false">
      <c r="B93" s="16" t="s">
        <v>383</v>
      </c>
      <c r="C93" s="16" t="s">
        <v>203</v>
      </c>
      <c r="D93" s="16" t="s">
        <v>671</v>
      </c>
    </row>
    <row r="94" customFormat="false" ht="24" hidden="false" customHeight="true" outlineLevel="0" collapsed="false">
      <c r="B94" s="13" t="s">
        <v>396</v>
      </c>
      <c r="C94" s="13" t="s">
        <v>204</v>
      </c>
    </row>
    <row r="95" customFormat="false" ht="24" hidden="false" customHeight="true" outlineLevel="0" collapsed="false">
      <c r="B95" s="16" t="s">
        <v>672</v>
      </c>
      <c r="C95" s="16" t="s">
        <v>205</v>
      </c>
    </row>
    <row r="96" customFormat="false" ht="24" hidden="false" customHeight="true" outlineLevel="0" collapsed="false">
      <c r="B96" s="13" t="s">
        <v>673</v>
      </c>
      <c r="C96" s="13" t="s">
        <v>206</v>
      </c>
    </row>
    <row r="97" customFormat="false" ht="24" hidden="false" customHeight="true" outlineLevel="0" collapsed="false">
      <c r="C97" s="16" t="s">
        <v>207</v>
      </c>
    </row>
    <row r="98" customFormat="false" ht="24" hidden="false" customHeight="true" outlineLevel="0" collapsed="false">
      <c r="C98" s="13" t="s">
        <v>208</v>
      </c>
    </row>
    <row r="99" customFormat="false" ht="24" hidden="false" customHeight="true" outlineLevel="0" collapsed="false">
      <c r="C99" s="16" t="s">
        <v>209</v>
      </c>
    </row>
    <row r="101" customFormat="false" ht="18" hidden="false" customHeight="true" outlineLevel="0" collapsed="false">
      <c r="B101" s="52" t="s">
        <v>129</v>
      </c>
      <c r="C101" s="52"/>
      <c r="D101" s="52"/>
      <c r="E101" s="52"/>
      <c r="F101" s="52"/>
      <c r="G101" s="52"/>
      <c r="H101" s="52"/>
    </row>
  </sheetData>
  <mergeCells count="102">
    <mergeCell ref="B1:H1"/>
    <mergeCell ref="B2:H2"/>
    <mergeCell ref="B4:H4"/>
    <mergeCell ref="B6:H6"/>
    <mergeCell ref="C7:F7"/>
    <mergeCell ref="G7:H7"/>
    <mergeCell ref="C8:F8"/>
    <mergeCell ref="G8:H8"/>
    <mergeCell ref="C9:F9"/>
    <mergeCell ref="G9:H9"/>
    <mergeCell ref="C10:F10"/>
    <mergeCell ref="G10:H10"/>
    <mergeCell ref="C11:F11"/>
    <mergeCell ref="G11:H11"/>
    <mergeCell ref="C12:F12"/>
    <mergeCell ref="G12:H12"/>
    <mergeCell ref="C13:F13"/>
    <mergeCell ref="G13:H13"/>
    <mergeCell ref="B15:H15"/>
    <mergeCell ref="B16:H19"/>
    <mergeCell ref="D21:F21"/>
    <mergeCell ref="D22:F22"/>
    <mergeCell ref="D23:F23"/>
    <mergeCell ref="D24:F24"/>
    <mergeCell ref="D25:F25"/>
    <mergeCell ref="B27:H27"/>
    <mergeCell ref="B28:H31"/>
    <mergeCell ref="B33:H33"/>
    <mergeCell ref="B34:H36"/>
    <mergeCell ref="B38:C38"/>
    <mergeCell ref="D38:H38"/>
    <mergeCell ref="B39:C39"/>
    <mergeCell ref="D39:H39"/>
    <mergeCell ref="B40:C40"/>
    <mergeCell ref="D40:H40"/>
    <mergeCell ref="B41:C41"/>
    <mergeCell ref="D41:H41"/>
    <mergeCell ref="B42:C42"/>
    <mergeCell ref="D42:H42"/>
    <mergeCell ref="B43:C43"/>
    <mergeCell ref="D43:H43"/>
    <mergeCell ref="B45:H45"/>
    <mergeCell ref="B46:C46"/>
    <mergeCell ref="D46:H46"/>
    <mergeCell ref="B47:C47"/>
    <mergeCell ref="D47:H47"/>
    <mergeCell ref="B48:C48"/>
    <mergeCell ref="D48:H48"/>
    <mergeCell ref="B49:C49"/>
    <mergeCell ref="D49:H49"/>
    <mergeCell ref="B50:C50"/>
    <mergeCell ref="D50:H50"/>
    <mergeCell ref="B51:C51"/>
    <mergeCell ref="D51:H51"/>
    <mergeCell ref="B52:C52"/>
    <mergeCell ref="D52:H52"/>
    <mergeCell ref="B53:C53"/>
    <mergeCell ref="D53:H53"/>
    <mergeCell ref="B54:C54"/>
    <mergeCell ref="D54:H54"/>
    <mergeCell ref="B55:C55"/>
    <mergeCell ref="D55:H55"/>
    <mergeCell ref="B56:C56"/>
    <mergeCell ref="D56:H56"/>
    <mergeCell ref="B57:C57"/>
    <mergeCell ref="D57:H57"/>
    <mergeCell ref="B58:C58"/>
    <mergeCell ref="D58:H58"/>
    <mergeCell ref="B59:C59"/>
    <mergeCell ref="D59:H59"/>
    <mergeCell ref="B61:H61"/>
    <mergeCell ref="B62:C62"/>
    <mergeCell ref="D62:F62"/>
    <mergeCell ref="G62:H62"/>
    <mergeCell ref="B63:C63"/>
    <mergeCell ref="D63:F63"/>
    <mergeCell ref="G63:H63"/>
    <mergeCell ref="B64:C64"/>
    <mergeCell ref="D64:F64"/>
    <mergeCell ref="G64:H64"/>
    <mergeCell ref="B65:C65"/>
    <mergeCell ref="D65:F65"/>
    <mergeCell ref="G65:H65"/>
    <mergeCell ref="B66:C66"/>
    <mergeCell ref="D66:F66"/>
    <mergeCell ref="G66:H66"/>
    <mergeCell ref="B67:C67"/>
    <mergeCell ref="D67:F67"/>
    <mergeCell ref="G67:H67"/>
    <mergeCell ref="B68:C68"/>
    <mergeCell ref="D68:F68"/>
    <mergeCell ref="G68:H68"/>
    <mergeCell ref="B69:C69"/>
    <mergeCell ref="D69:F69"/>
    <mergeCell ref="G69:H69"/>
    <mergeCell ref="B71:H71"/>
    <mergeCell ref="C72:H72"/>
    <mergeCell ref="C73:H73"/>
    <mergeCell ref="C74:H74"/>
    <mergeCell ref="C75:H75"/>
    <mergeCell ref="B77:H77"/>
    <mergeCell ref="B101:H101"/>
  </mergeCells>
  <hyperlinks>
    <hyperlink ref="B101" r:id="rId1" display="Visit mastt.com"/>
  </hyperlink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rowBreaks count="2" manualBreakCount="2">
    <brk id="14" man="true" max="16383" min="0"/>
    <brk id="32" man="true" max="16383" min="0"/>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15383"/>
    <pageSetUpPr fitToPage="true"/>
  </sheetPr>
  <dimension ref="B1:H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6"/>
    <col collapsed="false" customWidth="true" hidden="false" outlineLevel="0" max="3" min="3" style="0" width="4"/>
    <col collapsed="false" customWidth="true" hidden="false" outlineLevel="0" max="4" min="4" style="0" width="30"/>
    <col collapsed="false" customWidth="true" hidden="false" outlineLevel="0" max="5" min="5" style="0" width="22"/>
    <col collapsed="false" customWidth="true" hidden="false" outlineLevel="0" max="7" min="6" style="0" width="16"/>
    <col collapsed="false" customWidth="true" hidden="false" outlineLevel="0" max="8" min="8" style="0" width="18"/>
    <col collapsed="false" customWidth="true" hidden="false" outlineLevel="0" max="9" min="9" style="0" width="2.2"/>
  </cols>
  <sheetData>
    <row r="1" customFormat="false" ht="33.75" hidden="false" customHeight="true" outlineLevel="0" collapsed="false">
      <c r="B1" s="40" t="s">
        <v>90</v>
      </c>
      <c r="C1" s="40"/>
      <c r="D1" s="40"/>
      <c r="E1" s="40"/>
      <c r="F1" s="40"/>
      <c r="G1" s="40"/>
      <c r="H1" s="40"/>
    </row>
    <row r="2" customFormat="false" ht="4.5" hidden="false" customHeight="true" outlineLevel="0" collapsed="false">
      <c r="B2" s="41"/>
      <c r="C2" s="41"/>
      <c r="D2" s="41"/>
      <c r="E2" s="41"/>
      <c r="F2" s="41"/>
      <c r="G2" s="41"/>
      <c r="H2" s="41"/>
    </row>
    <row r="3" customFormat="false" ht="16.5" hidden="false" customHeight="true" outlineLevel="0" collapsed="false">
      <c r="B3" s="42" t="str">
        <f aca="false">IF(LEFT(Setup!$D$7,7)&lt;&gt;"EXAMPLE","","EXAMPLE DATA - type your own project name on Setup to clear this.")</f>
        <v>EXAMPLE DATA - type your own project name on Setup to clear this.</v>
      </c>
      <c r="C3" s="42"/>
      <c r="D3" s="42"/>
      <c r="E3" s="42"/>
      <c r="F3" s="42"/>
      <c r="G3" s="42"/>
      <c r="H3" s="42"/>
    </row>
    <row r="4" customFormat="false" ht="25.5" hidden="false" customHeight="true" outlineLevel="0" collapsed="false">
      <c r="B4" s="43" t="s">
        <v>91</v>
      </c>
      <c r="C4" s="43"/>
      <c r="D4" s="43"/>
      <c r="E4" s="43"/>
      <c r="F4" s="43"/>
      <c r="G4" s="43"/>
      <c r="H4" s="43"/>
    </row>
    <row r="6" customFormat="false" ht="21.75" hidden="false" customHeight="true" outlineLevel="0" collapsed="false">
      <c r="B6" s="6" t="s">
        <v>92</v>
      </c>
      <c r="C6" s="6"/>
      <c r="D6" s="6"/>
      <c r="E6" s="6"/>
      <c r="F6" s="6"/>
      <c r="G6" s="6"/>
      <c r="H6" s="6"/>
    </row>
    <row r="7" customFormat="false" ht="21.75" hidden="false" customHeight="true" outlineLevel="0" collapsed="false">
      <c r="B7" s="44" t="s">
        <v>93</v>
      </c>
      <c r="C7" s="44"/>
      <c r="D7" s="45" t="s">
        <v>94</v>
      </c>
    </row>
    <row r="8" customFormat="false" ht="21.75" hidden="false" customHeight="true" outlineLevel="0" collapsed="false">
      <c r="B8" s="44" t="s">
        <v>95</v>
      </c>
      <c r="C8" s="44"/>
      <c r="D8" s="45" t="s">
        <v>96</v>
      </c>
    </row>
    <row r="9" customFormat="false" ht="21.75" hidden="false" customHeight="true" outlineLevel="0" collapsed="false">
      <c r="B9" s="44" t="s">
        <v>97</v>
      </c>
      <c r="C9" s="44"/>
      <c r="D9" s="45" t="s">
        <v>98</v>
      </c>
    </row>
    <row r="10" customFormat="false" ht="21.75" hidden="false" customHeight="true" outlineLevel="0" collapsed="false">
      <c r="B10" s="44" t="s">
        <v>99</v>
      </c>
      <c r="C10" s="44"/>
      <c r="D10" s="45" t="s">
        <v>100</v>
      </c>
      <c r="E10" s="43" t="s">
        <v>101</v>
      </c>
      <c r="F10" s="43"/>
      <c r="G10" s="43"/>
      <c r="H10" s="43"/>
    </row>
    <row r="11" customFormat="false" ht="21.75" hidden="false" customHeight="true" outlineLevel="0" collapsed="false">
      <c r="B11" s="44" t="s">
        <v>102</v>
      </c>
      <c r="C11" s="44"/>
      <c r="D11" s="45" t="s">
        <v>103</v>
      </c>
    </row>
    <row r="12" customFormat="false" ht="33.75" hidden="false" customHeight="true" outlineLevel="0" collapsed="false">
      <c r="B12" s="44" t="s">
        <v>104</v>
      </c>
      <c r="C12" s="44"/>
      <c r="D12" s="45" t="s">
        <v>105</v>
      </c>
      <c r="E12" s="43" t="s">
        <v>106</v>
      </c>
      <c r="F12" s="43"/>
      <c r="G12" s="43"/>
      <c r="H12" s="43"/>
    </row>
    <row r="13" customFormat="false" ht="30" hidden="false" customHeight="true" outlineLevel="0" collapsed="false">
      <c r="B13" s="44" t="s">
        <v>107</v>
      </c>
      <c r="C13" s="44"/>
      <c r="D13" s="45" t="s">
        <v>108</v>
      </c>
      <c r="E13" s="43" t="s">
        <v>109</v>
      </c>
      <c r="F13" s="43"/>
      <c r="G13" s="43"/>
      <c r="H13" s="43"/>
    </row>
    <row r="15" customFormat="false" ht="21.75" hidden="false" customHeight="true" outlineLevel="0" collapsed="false">
      <c r="B15" s="6" t="s">
        <v>110</v>
      </c>
      <c r="C15" s="6"/>
      <c r="D15" s="6"/>
      <c r="E15" s="6"/>
      <c r="F15" s="6"/>
      <c r="G15" s="6"/>
      <c r="H15" s="6"/>
    </row>
    <row r="16" customFormat="false" ht="12.75" hidden="false" customHeight="true" outlineLevel="0" collapsed="false">
      <c r="B16" s="43" t="s">
        <v>111</v>
      </c>
      <c r="C16" s="43"/>
      <c r="D16" s="43"/>
      <c r="E16" s="43"/>
      <c r="F16" s="43"/>
      <c r="G16" s="43"/>
      <c r="H16" s="43"/>
    </row>
    <row r="17" customFormat="false" ht="12.75" hidden="false" customHeight="true" outlineLevel="0" collapsed="false">
      <c r="B17" s="43"/>
      <c r="C17" s="43"/>
      <c r="D17" s="43"/>
      <c r="E17" s="43"/>
      <c r="F17" s="43"/>
      <c r="G17" s="43"/>
      <c r="H17" s="43"/>
    </row>
    <row r="18" customFormat="false" ht="21.75" hidden="false" customHeight="true" outlineLevel="0" collapsed="false">
      <c r="B18" s="44" t="s">
        <v>112</v>
      </c>
      <c r="C18" s="44"/>
      <c r="D18" s="46" t="n">
        <f aca="true">TODAY()+95</f>
        <v>46346</v>
      </c>
      <c r="E18" s="43" t="s">
        <v>113</v>
      </c>
      <c r="F18" s="43"/>
      <c r="G18" s="43"/>
      <c r="H18" s="43"/>
    </row>
    <row r="19" customFormat="false" ht="21.75" hidden="false" customHeight="true" outlineLevel="0" collapsed="false">
      <c r="B19" s="44" t="s">
        <v>114</v>
      </c>
      <c r="C19" s="44"/>
      <c r="D19" s="47" t="n">
        <f aca="true">TODAY()</f>
        <v>46251</v>
      </c>
      <c r="E19" s="43" t="s">
        <v>115</v>
      </c>
      <c r="F19" s="43"/>
      <c r="G19" s="43"/>
      <c r="H19" s="43"/>
    </row>
    <row r="20" customFormat="false" ht="21.75" hidden="false" customHeight="true" outlineLevel="0" collapsed="false">
      <c r="B20" s="44" t="s">
        <v>116</v>
      </c>
      <c r="C20" s="44"/>
      <c r="D20" s="48" t="n">
        <f aca="false">IF(Setup!$D$18="","",Setup!$D$18-Setup!$D$19)</f>
        <v>95</v>
      </c>
    </row>
    <row r="22" customFormat="false" ht="21.75" hidden="false" customHeight="true" outlineLevel="0" collapsed="false">
      <c r="B22" s="6" t="s">
        <v>117</v>
      </c>
      <c r="C22" s="6"/>
      <c r="D22" s="6"/>
      <c r="E22" s="6"/>
      <c r="F22" s="6"/>
      <c r="G22" s="6"/>
      <c r="H22" s="6"/>
    </row>
    <row r="23" customFormat="false" ht="21.75" hidden="false" customHeight="true" outlineLevel="0" collapsed="false">
      <c r="B23" s="44" t="s">
        <v>118</v>
      </c>
      <c r="C23" s="44"/>
      <c r="D23" s="49" t="n">
        <v>14</v>
      </c>
      <c r="E23" s="43" t="s">
        <v>119</v>
      </c>
      <c r="F23" s="43"/>
      <c r="G23" s="43"/>
      <c r="H23" s="43"/>
    </row>
    <row r="24" customFormat="false" ht="33.75" hidden="false" customHeight="true" outlineLevel="0" collapsed="false">
      <c r="B24" s="44" t="s">
        <v>120</v>
      </c>
      <c r="C24" s="44"/>
      <c r="D24" s="49" t="n">
        <v>6</v>
      </c>
      <c r="E24" s="43" t="s">
        <v>121</v>
      </c>
      <c r="F24" s="43"/>
      <c r="G24" s="43"/>
      <c r="H24" s="43"/>
    </row>
    <row r="25" customFormat="false" ht="21.75" hidden="false" customHeight="true" outlineLevel="0" collapsed="false">
      <c r="B25" s="44" t="s">
        <v>122</v>
      </c>
      <c r="C25" s="44"/>
      <c r="D25" s="49" t="n">
        <v>8</v>
      </c>
      <c r="E25" s="43" t="s">
        <v>123</v>
      </c>
      <c r="F25" s="43"/>
      <c r="G25" s="43"/>
      <c r="H25" s="43"/>
    </row>
    <row r="26" customFormat="false" ht="33.75" hidden="false" customHeight="true" outlineLevel="0" collapsed="false">
      <c r="B26" s="44" t="s">
        <v>124</v>
      </c>
      <c r="C26" s="44"/>
      <c r="D26" s="49" t="n">
        <v>8</v>
      </c>
      <c r="E26" s="43" t="s">
        <v>125</v>
      </c>
      <c r="F26" s="43"/>
      <c r="G26" s="43"/>
      <c r="H26" s="43"/>
    </row>
    <row r="28" customFormat="false" ht="21.75" hidden="false" customHeight="true" outlineLevel="0" collapsed="false">
      <c r="B28" s="6" t="s">
        <v>126</v>
      </c>
      <c r="C28" s="6"/>
      <c r="D28" s="6"/>
      <c r="E28" s="6"/>
      <c r="F28" s="6"/>
      <c r="G28" s="6"/>
      <c r="H28" s="6"/>
    </row>
    <row r="29" customFormat="false" ht="27.75" hidden="false" customHeight="true" outlineLevel="0" collapsed="false">
      <c r="B29" s="50" t="s">
        <v>127</v>
      </c>
      <c r="C29" s="50"/>
      <c r="D29" s="51" t="n">
        <f aca="false">(IF(Setup!$D$7="",0,1)+IF(Setup!$D$8="",0,1)+IF(Setup!$D$9="",0,1)+IF(Setup!$D$10="",0,1)+IF(Setup!$D$18="",0,1)+IF(Setup!$D$23="",0,1)+IF(Setup!$D$24="",0,1))/7</f>
        <v>1</v>
      </c>
      <c r="E29" s="43" t="s">
        <v>128</v>
      </c>
      <c r="F29" s="43"/>
      <c r="G29" s="43"/>
      <c r="H29" s="43"/>
    </row>
    <row r="31" customFormat="false" ht="18" hidden="false" customHeight="true" outlineLevel="0" collapsed="false">
      <c r="B31" s="52" t="s">
        <v>129</v>
      </c>
      <c r="C31" s="52"/>
      <c r="D31" s="52"/>
      <c r="E31" s="52"/>
      <c r="F31" s="52"/>
      <c r="G31" s="52"/>
      <c r="H31" s="52"/>
    </row>
  </sheetData>
  <mergeCells count="35">
    <mergeCell ref="B1:H1"/>
    <mergeCell ref="B2:H2"/>
    <mergeCell ref="B3:H3"/>
    <mergeCell ref="B4:H4"/>
    <mergeCell ref="B6:H6"/>
    <mergeCell ref="B7:C7"/>
    <mergeCell ref="B8:C8"/>
    <mergeCell ref="B9:C9"/>
    <mergeCell ref="B10:C10"/>
    <mergeCell ref="E10:H10"/>
    <mergeCell ref="B11:C11"/>
    <mergeCell ref="B12:C12"/>
    <mergeCell ref="E12:H12"/>
    <mergeCell ref="B13:C13"/>
    <mergeCell ref="E13:H13"/>
    <mergeCell ref="B15:H15"/>
    <mergeCell ref="B16:H17"/>
    <mergeCell ref="B18:C18"/>
    <mergeCell ref="E18:H18"/>
    <mergeCell ref="B19:C19"/>
    <mergeCell ref="E19:H19"/>
    <mergeCell ref="B20:C20"/>
    <mergeCell ref="B22:H22"/>
    <mergeCell ref="B23:C23"/>
    <mergeCell ref="E23:H23"/>
    <mergeCell ref="B24:C24"/>
    <mergeCell ref="E24:H24"/>
    <mergeCell ref="B25:C25"/>
    <mergeCell ref="E25:H25"/>
    <mergeCell ref="B26:C26"/>
    <mergeCell ref="E26:H26"/>
    <mergeCell ref="B28:H28"/>
    <mergeCell ref="B29:C29"/>
    <mergeCell ref="E29:H29"/>
    <mergeCell ref="B31:H31"/>
  </mergeCells>
  <conditionalFormatting sqref="B3:H3">
    <cfRule type="expression" priority="2" aboveAverage="0" equalAverage="0" bottom="0" percent="0" rank="0" text="" dxfId="0">
      <formula>LEN($B$3)&gt;0</formula>
    </cfRule>
  </conditionalFormatting>
  <conditionalFormatting sqref="D29">
    <cfRule type="expression" priority="3" aboveAverage="0" equalAverage="0" bottom="0" percent="0" rank="0" text="" dxfId="1">
      <formula>$D29&lt;1</formula>
    </cfRule>
  </conditionalFormatting>
  <dataValidations count="2">
    <dataValidation allowBlank="true" errorStyle="stop" operator="between" showDropDown="false" showErrorMessage="false" showInputMessage="false" sqref="D12" type="list">
      <formula1>Reference!$D$79:$D$84</formula1>
      <formula2>0</formula2>
    </dataValidation>
    <dataValidation allowBlank="true" errorStyle="stop" operator="between" showDropDown="false" showErrorMessage="false" showInputMessage="false" sqref="D13" type="list">
      <formula1>Reference!$E$79:$E$84</formula1>
      <formula2>0</formula2>
    </dataValidation>
  </dataValidations>
  <hyperlinks>
    <hyperlink ref="B31" r:id="rId1" display="Visit mastt.com"/>
  </hyperlinks>
  <printOptions headings="false" gridLines="false" gridLinesSet="true" horizontalCentered="false" verticalCentered="false"/>
  <pageMargins left="0.3" right="0.3" top="0.5" bottom="0.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B1:I6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9" min="2" style="0" width="20"/>
    <col collapsed="false" customWidth="true" hidden="false" outlineLevel="0" max="10" min="10" style="0" width="2.2"/>
  </cols>
  <sheetData>
    <row r="1" customFormat="false" ht="33.75" hidden="false" customHeight="true" outlineLevel="0" collapsed="false">
      <c r="B1" s="40" t="s">
        <v>130</v>
      </c>
      <c r="C1" s="40"/>
      <c r="D1" s="40"/>
      <c r="E1" s="40"/>
      <c r="F1" s="40"/>
      <c r="G1" s="40"/>
      <c r="H1" s="40"/>
      <c r="I1" s="40"/>
    </row>
    <row r="2" customFormat="false" ht="4.5" hidden="false" customHeight="true" outlineLevel="0" collapsed="false">
      <c r="B2" s="6"/>
      <c r="C2" s="6"/>
      <c r="D2" s="6"/>
      <c r="E2" s="6"/>
      <c r="F2" s="6"/>
      <c r="G2" s="6"/>
      <c r="H2" s="6"/>
      <c r="I2" s="6"/>
    </row>
    <row r="3" customFormat="false" ht="16.5" hidden="false" customHeight="true" outlineLevel="0" collapsed="false">
      <c r="B3" s="42" t="str">
        <f aca="false">IF(LEFT(Setup!$D$7,7)&lt;&gt;"EXAMPLE","","EXAMPLE DATA - type your own project name on Setup to clear this.")</f>
        <v>EXAMPLE DATA - type your own project name on Setup to clear this.</v>
      </c>
      <c r="C3" s="42"/>
      <c r="D3" s="42"/>
      <c r="E3" s="42"/>
      <c r="F3" s="42"/>
      <c r="G3" s="42"/>
      <c r="H3" s="42"/>
      <c r="I3" s="42"/>
    </row>
    <row r="4" customFormat="false" ht="25.5" hidden="false" customHeight="true" outlineLevel="0" collapsed="false">
      <c r="B4" s="43" t="s">
        <v>131</v>
      </c>
      <c r="C4" s="43"/>
      <c r="D4" s="43"/>
      <c r="E4" s="43"/>
      <c r="F4" s="43"/>
      <c r="G4" s="43"/>
      <c r="H4" s="43"/>
      <c r="I4" s="43"/>
    </row>
    <row r="6" customFormat="false" ht="21.75" hidden="false" customHeight="true" outlineLevel="0" collapsed="false">
      <c r="B6" s="6" t="s">
        <v>132</v>
      </c>
      <c r="C6" s="6"/>
      <c r="D6" s="6"/>
      <c r="E6" s="6"/>
      <c r="F6" s="6"/>
      <c r="G6" s="6"/>
      <c r="H6" s="6"/>
      <c r="I6" s="6"/>
    </row>
    <row r="7" customFormat="false" ht="25.5" hidden="false" customHeight="true" outlineLevel="0" collapsed="false">
      <c r="B7" s="53" t="s">
        <v>133</v>
      </c>
      <c r="C7" s="53"/>
      <c r="D7" s="54" t="s">
        <v>134</v>
      </c>
      <c r="E7" s="54"/>
      <c r="F7" s="54" t="s">
        <v>135</v>
      </c>
      <c r="G7" s="54"/>
      <c r="H7" s="55" t="s">
        <v>136</v>
      </c>
      <c r="I7" s="55"/>
    </row>
    <row r="8" customFormat="false" ht="30" hidden="false" customHeight="true" outlineLevel="0" collapsed="false">
      <c r="B8" s="56" t="n">
        <f aca="false">Setup!$D$20</f>
        <v>95</v>
      </c>
      <c r="C8" s="56"/>
      <c r="D8" s="57" t="n">
        <f aca="false">COUNTIF(Programme!$M$7:$M$40,"Past RFS")</f>
        <v>1</v>
      </c>
      <c r="E8" s="57"/>
      <c r="F8" s="57" t="n">
        <f aca="false">COUNTIF('Long-Lead Procurement'!$P$7:$P$32,"ORDER DATE PASSED")</f>
        <v>1</v>
      </c>
      <c r="G8" s="57"/>
      <c r="H8" s="58" t="n">
        <f aca="false">'Power &amp; Grid'!D37</f>
        <v>40</v>
      </c>
      <c r="I8" s="58"/>
    </row>
    <row r="10" customFormat="false" ht="25.5" hidden="false" customHeight="true" outlineLevel="0" collapsed="false">
      <c r="B10" s="55" t="s">
        <v>137</v>
      </c>
      <c r="C10" s="55"/>
      <c r="D10" s="53" t="s">
        <v>138</v>
      </c>
      <c r="E10" s="53"/>
      <c r="F10" s="59" t="s">
        <v>139</v>
      </c>
      <c r="G10" s="59"/>
      <c r="H10" s="60" t="s">
        <v>140</v>
      </c>
      <c r="I10" s="60"/>
    </row>
    <row r="11" customFormat="false" ht="30" hidden="false" customHeight="true" outlineLevel="0" collapsed="false">
      <c r="B11" s="61" t="n">
        <f aca="false">COUNTIF(Programme!$M$7:$M$40,"Late")+COUNTIF(Programme!$M$7:$M$40,"At risk")</f>
        <v>12</v>
      </c>
      <c r="C11" s="61"/>
      <c r="D11" s="62" t="n">
        <f aca="false">IF(COUNTA(Commissioning!$C$7:$C$32)=0,"",(COUNTIF(Commissioning!$K$7:$K$32,"Passed")+COUNTIF(Commissioning!$K$7:$K$32,"Passed,*"))/COUNTA(Commissioning!$C$7:$C$32))</f>
        <v>0.466666666666667</v>
      </c>
      <c r="E11" s="62"/>
      <c r="F11" s="63" t="n">
        <f aca="false">SUM(Commissioning!$J$7:$J$32)</f>
        <v>16</v>
      </c>
      <c r="G11" s="63"/>
      <c r="H11" s="64" t="n">
        <f aca="false">IF(COUNTA('Operational Readiness'!$D$7:$D$38)=0,"",COUNTIF('Operational Readiness'!$J$7:$J$38,"Done")/COUNTA('Operational Readiness'!$D$7:$D$38))</f>
        <v>0.0434782608695652</v>
      </c>
      <c r="I11" s="64"/>
    </row>
    <row r="13" customFormat="false" ht="25.5" hidden="false" customHeight="true" outlineLevel="0" collapsed="false">
      <c r="B13" s="26" t="s">
        <v>141</v>
      </c>
      <c r="C13" s="26"/>
      <c r="D13" s="26"/>
      <c r="E13" s="65" t="n">
        <f aca="false">IF(COUNTIF('Long-Lead Procurement'!$J$7:$J$32,"&gt;0")=0,"",SMALL('Long-Lead Procurement'!$J$7:$J$32,COUNTIF('Long-Lead Procurement'!$J$7:$J$32,"&lt;=0")+1))</f>
        <v>30</v>
      </c>
      <c r="F13" s="43" t="s">
        <v>142</v>
      </c>
      <c r="G13" s="43"/>
      <c r="H13" s="43"/>
      <c r="I13" s="43"/>
    </row>
    <row r="14" customFormat="false" ht="25.5" hidden="false" customHeight="true" outlineLevel="0" collapsed="false">
      <c r="B14" s="26" t="s">
        <v>143</v>
      </c>
      <c r="C14" s="26"/>
      <c r="D14" s="26"/>
      <c r="E14" s="66" t="n">
        <f aca="false">'Power &amp; Grid'!D35</f>
        <v>9</v>
      </c>
      <c r="F14" s="43" t="s">
        <v>144</v>
      </c>
      <c r="G14" s="43"/>
      <c r="H14" s="43"/>
      <c r="I14" s="43"/>
    </row>
    <row r="16" customFormat="false" ht="21.75" hidden="false" customHeight="true" outlineLevel="0" collapsed="false">
      <c r="B16" s="6" t="s">
        <v>145</v>
      </c>
      <c r="C16" s="6"/>
      <c r="D16" s="6"/>
      <c r="E16" s="6"/>
      <c r="F16" s="6"/>
      <c r="G16" s="6"/>
      <c r="H16" s="6"/>
      <c r="I16" s="6"/>
    </row>
    <row r="17" customFormat="false" ht="21.75" hidden="false" customHeight="true" outlineLevel="0" collapsed="false">
      <c r="B17" s="10" t="s">
        <v>146</v>
      </c>
      <c r="C17" s="10"/>
      <c r="D17" s="10"/>
      <c r="E17" s="10" t="s">
        <v>97</v>
      </c>
      <c r="F17" s="10" t="s">
        <v>147</v>
      </c>
      <c r="G17" s="10" t="s">
        <v>148</v>
      </c>
      <c r="H17" s="10" t="s">
        <v>149</v>
      </c>
      <c r="I17" s="10" t="s">
        <v>150</v>
      </c>
    </row>
    <row r="18" customFormat="false" ht="27.75" hidden="false" customHeight="true" outlineLevel="0" collapsed="false">
      <c r="B18" s="67" t="s">
        <v>151</v>
      </c>
      <c r="C18" s="67"/>
      <c r="D18" s="67"/>
      <c r="E18" s="68" t="s">
        <v>97</v>
      </c>
      <c r="F18" s="69" t="n">
        <f aca="true">TODAY()-650</f>
        <v>45601</v>
      </c>
      <c r="G18" s="69" t="n">
        <f aca="true">TODAY()-645</f>
        <v>45606</v>
      </c>
      <c r="H18" s="69" t="n">
        <f aca="true">TODAY()-645</f>
        <v>45606</v>
      </c>
      <c r="I18" s="70" t="n">
        <f aca="false">IF($F18="","",IF($H18&lt;&gt;"",$H18-$F18,IF($G18="","",$G18-$F18)))</f>
        <v>5</v>
      </c>
    </row>
    <row r="19" customFormat="false" ht="27.75" hidden="false" customHeight="true" outlineLevel="0" collapsed="false">
      <c r="B19" s="71" t="s">
        <v>152</v>
      </c>
      <c r="C19" s="71"/>
      <c r="D19" s="71"/>
      <c r="E19" s="68" t="s">
        <v>97</v>
      </c>
      <c r="F19" s="69" t="n">
        <f aca="true">TODAY()-480</f>
        <v>45771</v>
      </c>
      <c r="G19" s="69" t="n">
        <f aca="true">TODAY()-455</f>
        <v>45796</v>
      </c>
      <c r="H19" s="69" t="n">
        <f aca="true">TODAY()-455</f>
        <v>45796</v>
      </c>
      <c r="I19" s="70" t="n">
        <f aca="false">IF($F19="","",IF($H19&lt;&gt;"",$H19-$F19,IF($G19="","",$G19-$F19)))</f>
        <v>25</v>
      </c>
    </row>
    <row r="20" customFormat="false" ht="27.75" hidden="false" customHeight="true" outlineLevel="0" collapsed="false">
      <c r="B20" s="67" t="s">
        <v>153</v>
      </c>
      <c r="C20" s="67"/>
      <c r="D20" s="67"/>
      <c r="E20" s="68" t="s">
        <v>97</v>
      </c>
      <c r="F20" s="69" t="n">
        <f aca="true">TODAY()-430</f>
        <v>45821</v>
      </c>
      <c r="G20" s="69" t="n">
        <f aca="true">TODAY()-430</f>
        <v>45821</v>
      </c>
      <c r="H20" s="69" t="n">
        <f aca="true">TODAY()-430</f>
        <v>45821</v>
      </c>
      <c r="I20" s="70" t="n">
        <f aca="false">IF($F20="","",IF($H20&lt;&gt;"",$H20-$F20,IF($G20="","",$G20-$F20)))</f>
        <v>0</v>
      </c>
    </row>
    <row r="21" customFormat="false" ht="27.75" hidden="false" customHeight="true" outlineLevel="0" collapsed="false">
      <c r="B21" s="71" t="s">
        <v>154</v>
      </c>
      <c r="C21" s="71"/>
      <c r="D21" s="71"/>
      <c r="E21" s="68" t="s">
        <v>155</v>
      </c>
      <c r="F21" s="69" t="n">
        <f aca="true">TODAY()-520</f>
        <v>45731</v>
      </c>
      <c r="G21" s="69" t="n">
        <f aca="true">TODAY()-520</f>
        <v>45731</v>
      </c>
      <c r="H21" s="69" t="n">
        <f aca="true">TODAY()-520</f>
        <v>45731</v>
      </c>
      <c r="I21" s="70" t="n">
        <f aca="false">IF($F21="","",IF($H21&lt;&gt;"",$H21-$F21,IF($G21="","",$G21-$F21)))</f>
        <v>0</v>
      </c>
    </row>
    <row r="22" customFormat="false" ht="27.75" hidden="false" customHeight="true" outlineLevel="0" collapsed="false">
      <c r="B22" s="67" t="s">
        <v>156</v>
      </c>
      <c r="C22" s="67"/>
      <c r="D22" s="67"/>
      <c r="E22" s="68" t="s">
        <v>97</v>
      </c>
      <c r="F22" s="69" t="n">
        <f aca="true">TODAY()-440</f>
        <v>45811</v>
      </c>
      <c r="G22" s="69" t="n">
        <f aca="true">TODAY()-430</f>
        <v>45821</v>
      </c>
      <c r="H22" s="69" t="n">
        <f aca="true">TODAY()-430</f>
        <v>45821</v>
      </c>
      <c r="I22" s="70" t="n">
        <f aca="false">IF($F22="","",IF($H22&lt;&gt;"",$H22-$F22,IF($G22="","",$G22-$F22)))</f>
        <v>10</v>
      </c>
    </row>
    <row r="23" customFormat="false" ht="27.75" hidden="false" customHeight="true" outlineLevel="0" collapsed="false">
      <c r="B23" s="71" t="s">
        <v>157</v>
      </c>
      <c r="C23" s="71"/>
      <c r="D23" s="71"/>
      <c r="E23" s="68" t="s">
        <v>158</v>
      </c>
      <c r="F23" s="69" t="n">
        <f aca="true">TODAY()-120</f>
        <v>46131</v>
      </c>
      <c r="G23" s="69" t="n">
        <f aca="true">TODAY()-110</f>
        <v>46141</v>
      </c>
      <c r="H23" s="69" t="n">
        <f aca="true">TODAY()-110</f>
        <v>46141</v>
      </c>
      <c r="I23" s="70" t="n">
        <f aca="false">IF($F23="","",IF($H23&lt;&gt;"",$H23-$F23,IF($G23="","",$G23-$F23)))</f>
        <v>10</v>
      </c>
    </row>
    <row r="24" customFormat="false" ht="27.75" hidden="false" customHeight="true" outlineLevel="0" collapsed="false">
      <c r="B24" s="67" t="s">
        <v>159</v>
      </c>
      <c r="C24" s="67"/>
      <c r="D24" s="67"/>
      <c r="E24" s="68" t="s">
        <v>160</v>
      </c>
      <c r="F24" s="69" t="n">
        <f aca="true">TODAY()-20</f>
        <v>46231</v>
      </c>
      <c r="G24" s="69" t="n">
        <f aca="true">TODAY()+55</f>
        <v>46306</v>
      </c>
      <c r="H24" s="69"/>
      <c r="I24" s="70" t="n">
        <f aca="false">IF($F24="","",IF($H24&lt;&gt;"",$H24-$F24,IF($G24="","",$G24-$F24)))</f>
        <v>75</v>
      </c>
    </row>
    <row r="25" customFormat="false" ht="27.75" hidden="false" customHeight="true" outlineLevel="0" collapsed="false">
      <c r="B25" s="71" t="s">
        <v>161</v>
      </c>
      <c r="C25" s="71"/>
      <c r="D25" s="71"/>
      <c r="E25" s="68" t="s">
        <v>162</v>
      </c>
      <c r="F25" s="69" t="n">
        <f aca="true">TODAY()+55</f>
        <v>46306</v>
      </c>
      <c r="G25" s="69" t="n">
        <f aca="true">TODAY()+65</f>
        <v>46316</v>
      </c>
      <c r="H25" s="69"/>
      <c r="I25" s="70" t="n">
        <f aca="false">IF($F25="","",IF($H25&lt;&gt;"",$H25-$F25,IF($G25="","",$G25-$F25)))</f>
        <v>10</v>
      </c>
    </row>
    <row r="26" customFormat="false" ht="27.75" hidden="false" customHeight="true" outlineLevel="0" collapsed="false">
      <c r="B26" s="67" t="s">
        <v>163</v>
      </c>
      <c r="C26" s="67"/>
      <c r="D26" s="67"/>
      <c r="E26" s="68" t="s">
        <v>162</v>
      </c>
      <c r="F26" s="69" t="n">
        <f aca="true">TODAY()+75</f>
        <v>46326</v>
      </c>
      <c r="G26" s="69" t="n">
        <f aca="true">TODAY()+85</f>
        <v>46336</v>
      </c>
      <c r="H26" s="69"/>
      <c r="I26" s="70" t="n">
        <f aca="false">IF($F26="","",IF($H26&lt;&gt;"",$H26-$F26,IF($G26="","",$G26-$F26)))</f>
        <v>10</v>
      </c>
    </row>
    <row r="27" customFormat="false" ht="27.75" hidden="false" customHeight="true" outlineLevel="0" collapsed="false">
      <c r="B27" s="71" t="s">
        <v>164</v>
      </c>
      <c r="C27" s="71"/>
      <c r="D27" s="71"/>
      <c r="E27" s="68" t="s">
        <v>165</v>
      </c>
      <c r="F27" s="69" t="n">
        <f aca="true">TODAY()+80</f>
        <v>46331</v>
      </c>
      <c r="G27" s="69" t="n">
        <f aca="true">TODAY()+92</f>
        <v>46343</v>
      </c>
      <c r="H27" s="69"/>
      <c r="I27" s="70" t="n">
        <f aca="false">IF($F27="","",IF($H27&lt;&gt;"",$H27-$F27,IF($G27="","",$G27-$F27)))</f>
        <v>12</v>
      </c>
    </row>
    <row r="28" customFormat="false" ht="27.75" hidden="false" customHeight="true" outlineLevel="0" collapsed="false">
      <c r="B28" s="67" t="s">
        <v>166</v>
      </c>
      <c r="C28" s="67"/>
      <c r="D28" s="67"/>
      <c r="E28" s="68" t="s">
        <v>97</v>
      </c>
      <c r="F28" s="69" t="n">
        <f aca="true">TODAY()+95</f>
        <v>46346</v>
      </c>
      <c r="G28" s="69" t="n">
        <f aca="true">TODAY()+105</f>
        <v>46356</v>
      </c>
      <c r="H28" s="69"/>
      <c r="I28" s="70" t="n">
        <f aca="false">IF($F28="","",IF($H28&lt;&gt;"",$H28-$F28,IF($G28="","",$G28-$F28)))</f>
        <v>10</v>
      </c>
    </row>
    <row r="29" customFormat="false" ht="27.75" hidden="false" customHeight="true" outlineLevel="0" collapsed="false">
      <c r="B29" s="71" t="s">
        <v>167</v>
      </c>
      <c r="C29" s="71"/>
      <c r="D29" s="71"/>
      <c r="E29" s="68" t="s">
        <v>168</v>
      </c>
      <c r="F29" s="69" t="n">
        <f aca="true">TODAY()+110</f>
        <v>46361</v>
      </c>
      <c r="G29" s="69" t="n">
        <f aca="true">TODAY()+120</f>
        <v>46371</v>
      </c>
      <c r="H29" s="69"/>
      <c r="I29" s="70" t="n">
        <f aca="false">IF($F29="","",IF($H29&lt;&gt;"",$H29-$F29,IF($G29="","",$G29-$F29)))</f>
        <v>10</v>
      </c>
    </row>
    <row r="31" customFormat="false" ht="21.75" hidden="false" customHeight="true" outlineLevel="0" collapsed="false">
      <c r="B31" s="6" t="s">
        <v>169</v>
      </c>
      <c r="C31" s="6"/>
      <c r="D31" s="6"/>
      <c r="E31" s="6"/>
      <c r="F31" s="6"/>
      <c r="G31" s="6"/>
      <c r="H31" s="6"/>
      <c r="I31" s="6"/>
    </row>
    <row r="32" customFormat="false" ht="15" hidden="false" customHeight="true" outlineLevel="0" collapsed="false">
      <c r="B32" s="43" t="s">
        <v>170</v>
      </c>
      <c r="C32" s="43"/>
      <c r="D32" s="43"/>
      <c r="E32" s="43"/>
      <c r="F32" s="43"/>
      <c r="G32" s="43"/>
      <c r="H32" s="43"/>
      <c r="I32" s="43"/>
    </row>
    <row r="33" customFormat="false" ht="21.75" hidden="false" customHeight="true" outlineLevel="0" collapsed="false">
      <c r="B33" s="10" t="s">
        <v>171</v>
      </c>
      <c r="C33" s="10"/>
      <c r="D33" s="10"/>
      <c r="E33" s="10" t="s">
        <v>172</v>
      </c>
      <c r="F33" s="10" t="s">
        <v>47</v>
      </c>
      <c r="G33" s="10" t="s">
        <v>173</v>
      </c>
      <c r="H33" s="10" t="s">
        <v>174</v>
      </c>
      <c r="I33" s="10" t="s">
        <v>175</v>
      </c>
    </row>
    <row r="34" customFormat="false" ht="19.5" hidden="false" customHeight="true" outlineLevel="0" collapsed="false">
      <c r="B34" s="72" t="s">
        <v>176</v>
      </c>
      <c r="C34" s="72"/>
      <c r="D34" s="72"/>
      <c r="E34" s="73" t="n">
        <f aca="false">COUNTIF(Programme!$C$7:$C$40,$B34)</f>
        <v>2</v>
      </c>
      <c r="F34" s="73" t="n">
        <f aca="false">COUNTIFS(Programme!$C$7:$C$40,$B34,Programme!$M$7:$M$40,"Done")</f>
        <v>2</v>
      </c>
      <c r="G34" s="73" t="n">
        <f aca="false">COUNTIFS(Programme!$C$7:$C$40,$B34,Programme!$M$7:$M$40,"Late")+COUNTIFS(Programme!$C$7:$C$40,$B34,Programme!$M$7:$M$40,"At risk")</f>
        <v>0</v>
      </c>
      <c r="H34" s="73" t="n">
        <f aca="false">COUNTIFS(Programme!$C$7:$C$40,$B34,Programme!$M$7:$M$40,"Past RFS")</f>
        <v>0</v>
      </c>
      <c r="I34" s="74" t="n">
        <f aca="false">IF(COUNTIF(Programme!$C$7:$C$40,$B34)=0,"",AVERAGEIF(Programme!$C$7:$C$40,$B34,Programme!$K$7:$K$40))</f>
        <v>1</v>
      </c>
    </row>
    <row r="35" customFormat="false" ht="19.5" hidden="false" customHeight="true" outlineLevel="0" collapsed="false">
      <c r="B35" s="34" t="s">
        <v>177</v>
      </c>
      <c r="C35" s="34"/>
      <c r="D35" s="34"/>
      <c r="E35" s="73" t="n">
        <f aca="false">COUNTIF(Programme!$C$7:$C$40,$B35)</f>
        <v>4</v>
      </c>
      <c r="F35" s="73" t="n">
        <f aca="false">COUNTIFS(Programme!$C$7:$C$40,$B35,Programme!$M$7:$M$40,"Done")</f>
        <v>2</v>
      </c>
      <c r="G35" s="73" t="n">
        <f aca="false">COUNTIFS(Programme!$C$7:$C$40,$B35,Programme!$M$7:$M$40,"Late")+COUNTIFS(Programme!$C$7:$C$40,$B35,Programme!$M$7:$M$40,"At risk")</f>
        <v>2</v>
      </c>
      <c r="H35" s="73" t="n">
        <f aca="false">COUNTIFS(Programme!$C$7:$C$40,$B35,Programme!$M$7:$M$40,"Past RFS")</f>
        <v>0</v>
      </c>
      <c r="I35" s="74" t="n">
        <f aca="false">IF(COUNTIF(Programme!$C$7:$C$40,$B35)=0,"",AVERAGEIF(Programme!$C$7:$C$40,$B35,Programme!$K$7:$K$40))</f>
        <v>0.705</v>
      </c>
    </row>
    <row r="36" customFormat="false" ht="19.5" hidden="false" customHeight="true" outlineLevel="0" collapsed="false">
      <c r="B36" s="72" t="s">
        <v>178</v>
      </c>
      <c r="C36" s="72"/>
      <c r="D36" s="72"/>
      <c r="E36" s="73" t="n">
        <f aca="false">COUNTIF(Programme!$C$7:$C$40,$B36)</f>
        <v>2</v>
      </c>
      <c r="F36" s="73" t="n">
        <f aca="false">COUNTIFS(Programme!$C$7:$C$40,$B36,Programme!$M$7:$M$40,"Done")</f>
        <v>2</v>
      </c>
      <c r="G36" s="73" t="n">
        <f aca="false">COUNTIFS(Programme!$C$7:$C$40,$B36,Programme!$M$7:$M$40,"Late")+COUNTIFS(Programme!$C$7:$C$40,$B36,Programme!$M$7:$M$40,"At risk")</f>
        <v>0</v>
      </c>
      <c r="H36" s="73" t="n">
        <f aca="false">COUNTIFS(Programme!$C$7:$C$40,$B36,Programme!$M$7:$M$40,"Past RFS")</f>
        <v>0</v>
      </c>
      <c r="I36" s="74" t="n">
        <f aca="false">IF(COUNTIF(Programme!$C$7:$C$40,$B36)=0,"",AVERAGEIF(Programme!$C$7:$C$40,$B36,Programme!$K$7:$K$40))</f>
        <v>1</v>
      </c>
    </row>
    <row r="37" customFormat="false" ht="19.5" hidden="false" customHeight="true" outlineLevel="0" collapsed="false">
      <c r="B37" s="75" t="s">
        <v>179</v>
      </c>
      <c r="C37" s="75"/>
      <c r="D37" s="75"/>
      <c r="E37" s="73" t="n">
        <f aca="false">COUNTIF(Programme!$C$7:$C$40,$B37)</f>
        <v>2</v>
      </c>
      <c r="F37" s="73" t="n">
        <f aca="false">COUNTIFS(Programme!$C$7:$C$40,$B37,Programme!$M$7:$M$40,"Done")</f>
        <v>2</v>
      </c>
      <c r="G37" s="73" t="n">
        <f aca="false">COUNTIFS(Programme!$C$7:$C$40,$B37,Programme!$M$7:$M$40,"Late")+COUNTIFS(Programme!$C$7:$C$40,$B37,Programme!$M$7:$M$40,"At risk")</f>
        <v>0</v>
      </c>
      <c r="H37" s="73" t="n">
        <f aca="false">COUNTIFS(Programme!$C$7:$C$40,$B37,Programme!$M$7:$M$40,"Past RFS")</f>
        <v>0</v>
      </c>
      <c r="I37" s="74" t="n">
        <f aca="false">IF(COUNTIF(Programme!$C$7:$C$40,$B37)=0,"",AVERAGEIF(Programme!$C$7:$C$40,$B37,Programme!$K$7:$K$40))</f>
        <v>1</v>
      </c>
    </row>
    <row r="38" customFormat="false" ht="19.5" hidden="false" customHeight="true" outlineLevel="0" collapsed="false">
      <c r="B38" s="34" t="s">
        <v>180</v>
      </c>
      <c r="C38" s="34"/>
      <c r="D38" s="34"/>
      <c r="E38" s="73" t="n">
        <f aca="false">COUNTIF(Programme!$C$7:$C$40,$B38)</f>
        <v>2</v>
      </c>
      <c r="F38" s="73" t="n">
        <f aca="false">COUNTIFS(Programme!$C$7:$C$40,$B38,Programme!$M$7:$M$40,"Done")</f>
        <v>1</v>
      </c>
      <c r="G38" s="73" t="n">
        <f aca="false">COUNTIFS(Programme!$C$7:$C$40,$B38,Programme!$M$7:$M$40,"Late")+COUNTIFS(Programme!$C$7:$C$40,$B38,Programme!$M$7:$M$40,"At risk")</f>
        <v>1</v>
      </c>
      <c r="H38" s="73" t="n">
        <f aca="false">COUNTIFS(Programme!$C$7:$C$40,$B38,Programme!$M$7:$M$40,"Past RFS")</f>
        <v>0</v>
      </c>
      <c r="I38" s="74" t="n">
        <f aca="false">IF(COUNTIF(Programme!$C$7:$C$40,$B38)=0,"",AVERAGEIF(Programme!$C$7:$C$40,$B38,Programme!$K$7:$K$40))</f>
        <v>0.89</v>
      </c>
    </row>
    <row r="39" customFormat="false" ht="19.5" hidden="false" customHeight="true" outlineLevel="0" collapsed="false">
      <c r="B39" s="75" t="s">
        <v>181</v>
      </c>
      <c r="C39" s="75"/>
      <c r="D39" s="75"/>
      <c r="E39" s="73" t="n">
        <f aca="false">COUNTIF(Programme!$C$7:$C$40,$B39)</f>
        <v>2</v>
      </c>
      <c r="F39" s="73" t="n">
        <f aca="false">COUNTIFS(Programme!$C$7:$C$40,$B39,Programme!$M$7:$M$40,"Done")</f>
        <v>2</v>
      </c>
      <c r="G39" s="73" t="n">
        <f aca="false">COUNTIFS(Programme!$C$7:$C$40,$B39,Programme!$M$7:$M$40,"Late")+COUNTIFS(Programme!$C$7:$C$40,$B39,Programme!$M$7:$M$40,"At risk")</f>
        <v>0</v>
      </c>
      <c r="H39" s="73" t="n">
        <f aca="false">COUNTIFS(Programme!$C$7:$C$40,$B39,Programme!$M$7:$M$40,"Past RFS")</f>
        <v>0</v>
      </c>
      <c r="I39" s="74" t="n">
        <f aca="false">IF(COUNTIF(Programme!$C$7:$C$40,$B39)=0,"",AVERAGEIF(Programme!$C$7:$C$40,$B39,Programme!$K$7:$K$40))</f>
        <v>1</v>
      </c>
    </row>
    <row r="40" customFormat="false" ht="19.5" hidden="false" customHeight="true" outlineLevel="0" collapsed="false">
      <c r="B40" s="72" t="s">
        <v>182</v>
      </c>
      <c r="C40" s="72"/>
      <c r="D40" s="72"/>
      <c r="E40" s="73" t="n">
        <f aca="false">COUNTIF(Programme!$C$7:$C$40,$B40)</f>
        <v>4</v>
      </c>
      <c r="F40" s="73" t="n">
        <f aca="false">COUNTIFS(Programme!$C$7:$C$40,$B40,Programme!$M$7:$M$40,"Done")</f>
        <v>0</v>
      </c>
      <c r="G40" s="73" t="n">
        <f aca="false">COUNTIFS(Programme!$C$7:$C$40,$B40,Programme!$M$7:$M$40,"Late")+COUNTIFS(Programme!$C$7:$C$40,$B40,Programme!$M$7:$M$40,"At risk")</f>
        <v>3</v>
      </c>
      <c r="H40" s="73" t="n">
        <f aca="false">COUNTIFS(Programme!$C$7:$C$40,$B40,Programme!$M$7:$M$40,"Past RFS")</f>
        <v>0</v>
      </c>
      <c r="I40" s="74" t="n">
        <f aca="false">IF(COUNTIF(Programme!$C$7:$C$40,$B40)=0,"",AVERAGEIF(Programme!$C$7:$C$40,$B40,Programme!$K$7:$K$40))</f>
        <v>0.815</v>
      </c>
    </row>
    <row r="41" customFormat="false" ht="19.5" hidden="false" customHeight="true" outlineLevel="0" collapsed="false">
      <c r="B41" s="75" t="s">
        <v>38</v>
      </c>
      <c r="C41" s="75"/>
      <c r="D41" s="75"/>
      <c r="E41" s="73" t="n">
        <f aca="false">COUNTIF(Programme!$C$7:$C$40,$B41)</f>
        <v>3</v>
      </c>
      <c r="F41" s="73" t="n">
        <f aca="false">COUNTIFS(Programme!$C$7:$C$40,$B41,Programme!$M$7:$M$40,"Done")</f>
        <v>0</v>
      </c>
      <c r="G41" s="73" t="n">
        <f aca="false">COUNTIFS(Programme!$C$7:$C$40,$B41,Programme!$M$7:$M$40,"Late")+COUNTIFS(Programme!$C$7:$C$40,$B41,Programme!$M$7:$M$40,"At risk")</f>
        <v>3</v>
      </c>
      <c r="H41" s="73" t="n">
        <f aca="false">COUNTIFS(Programme!$C$7:$C$40,$B41,Programme!$M$7:$M$40,"Past RFS")</f>
        <v>0</v>
      </c>
      <c r="I41" s="74" t="n">
        <f aca="false">IF(COUNTIF(Programme!$C$7:$C$40,$B41)=0,"",AVERAGEIF(Programme!$C$7:$C$40,$B41,Programme!$K$7:$K$40))</f>
        <v>0.2</v>
      </c>
    </row>
    <row r="42" customFormat="false" ht="19.5" hidden="false" customHeight="true" outlineLevel="0" collapsed="false">
      <c r="B42" s="72" t="s">
        <v>183</v>
      </c>
      <c r="C42" s="72"/>
      <c r="D42" s="72"/>
      <c r="E42" s="73" t="n">
        <f aca="false">COUNTIF(Programme!$C$7:$C$40,$B42)</f>
        <v>2</v>
      </c>
      <c r="F42" s="73" t="n">
        <f aca="false">COUNTIFS(Programme!$C$7:$C$40,$B42,Programme!$M$7:$M$40,"Done")</f>
        <v>0</v>
      </c>
      <c r="G42" s="73" t="n">
        <f aca="false">COUNTIFS(Programme!$C$7:$C$40,$B42,Programme!$M$7:$M$40,"Late")+COUNTIFS(Programme!$C$7:$C$40,$B42,Programme!$M$7:$M$40,"At risk")</f>
        <v>1</v>
      </c>
      <c r="H42" s="73" t="n">
        <f aca="false">COUNTIFS(Programme!$C$7:$C$40,$B42,Programme!$M$7:$M$40,"Past RFS")</f>
        <v>0</v>
      </c>
      <c r="I42" s="74" t="n">
        <f aca="false">IF(COUNTIF(Programme!$C$7:$C$40,$B42)=0,"",AVERAGEIF(Programme!$C$7:$C$40,$B42,Programme!$K$7:$K$40))</f>
        <v>0.075</v>
      </c>
    </row>
    <row r="43" customFormat="false" ht="19.5" hidden="false" customHeight="true" outlineLevel="0" collapsed="false">
      <c r="B43" s="75" t="s">
        <v>184</v>
      </c>
      <c r="C43" s="75"/>
      <c r="D43" s="75"/>
      <c r="E43" s="73" t="n">
        <f aca="false">COUNTIF(Programme!$C$7:$C$40,$B43)</f>
        <v>2</v>
      </c>
      <c r="F43" s="73" t="n">
        <f aca="false">COUNTIFS(Programme!$C$7:$C$40,$B43,Programme!$M$7:$M$40,"Done")</f>
        <v>0</v>
      </c>
      <c r="G43" s="73" t="n">
        <f aca="false">COUNTIFS(Programme!$C$7:$C$40,$B43,Programme!$M$7:$M$40,"Late")+COUNTIFS(Programme!$C$7:$C$40,$B43,Programme!$M$7:$M$40,"At risk")</f>
        <v>2</v>
      </c>
      <c r="H43" s="73" t="n">
        <f aca="false">COUNTIFS(Programme!$C$7:$C$40,$B43,Programme!$M$7:$M$40,"Past RFS")</f>
        <v>0</v>
      </c>
      <c r="I43" s="74" t="n">
        <f aca="false">IF(COUNTIF(Programme!$C$7:$C$40,$B43)=0,"",AVERAGEIF(Programme!$C$7:$C$40,$B43,Programme!$K$7:$K$40))</f>
        <v>0.3</v>
      </c>
    </row>
    <row r="44" customFormat="false" ht="19.5" hidden="false" customHeight="true" outlineLevel="0" collapsed="false">
      <c r="B44" s="72" t="s">
        <v>185</v>
      </c>
      <c r="C44" s="72"/>
      <c r="D44" s="72"/>
      <c r="E44" s="73" t="n">
        <f aca="false">COUNTIF(Programme!$C$7:$C$40,$B44)</f>
        <v>1</v>
      </c>
      <c r="F44" s="73" t="n">
        <f aca="false">COUNTIFS(Programme!$C$7:$C$40,$B44,Programme!$M$7:$M$40,"Done")</f>
        <v>0</v>
      </c>
      <c r="G44" s="73" t="n">
        <f aca="false">COUNTIFS(Programme!$C$7:$C$40,$B44,Programme!$M$7:$M$40,"Late")+COUNTIFS(Programme!$C$7:$C$40,$B44,Programme!$M$7:$M$40,"At risk")</f>
        <v>0</v>
      </c>
      <c r="H44" s="73" t="n">
        <f aca="false">COUNTIFS(Programme!$C$7:$C$40,$B44,Programme!$M$7:$M$40,"Past RFS")</f>
        <v>1</v>
      </c>
      <c r="I44" s="74" t="n">
        <f aca="false">IF(COUNTIF(Programme!$C$7:$C$40,$B44)=0,"",AVERAGEIF(Programme!$C$7:$C$40,$B44,Programme!$K$7:$K$40))</f>
        <v>0</v>
      </c>
    </row>
    <row r="46" customFormat="false" ht="21.75" hidden="false" customHeight="true" outlineLevel="0" collapsed="false">
      <c r="B46" s="6" t="s">
        <v>186</v>
      </c>
      <c r="C46" s="6"/>
      <c r="D46" s="6"/>
      <c r="E46" s="6"/>
      <c r="F46" s="6"/>
      <c r="G46" s="6"/>
      <c r="H46" s="6"/>
      <c r="I46" s="6"/>
    </row>
    <row r="47" customFormat="false" ht="21.75" hidden="false" customHeight="true" outlineLevel="0" collapsed="false">
      <c r="B47" s="10" t="s">
        <v>187</v>
      </c>
      <c r="C47" s="10"/>
      <c r="D47" s="10"/>
      <c r="E47" s="10" t="s">
        <v>188</v>
      </c>
      <c r="F47" s="10" t="s">
        <v>189</v>
      </c>
      <c r="G47" s="10" t="s">
        <v>190</v>
      </c>
      <c r="H47" s="10" t="s">
        <v>191</v>
      </c>
      <c r="I47" s="10" t="s">
        <v>47</v>
      </c>
    </row>
    <row r="48" customFormat="false" ht="19.5" hidden="false" customHeight="true" outlineLevel="0" collapsed="false">
      <c r="B48" s="72" t="s">
        <v>192</v>
      </c>
      <c r="C48" s="72"/>
      <c r="D48" s="72"/>
      <c r="E48" s="73" t="n">
        <f aca="false">COUNTIF(Commissioning!$D$7:$D$32,$B48)</f>
        <v>3</v>
      </c>
      <c r="F48" s="73" t="n">
        <f aca="false">COUNTIFS(Commissioning!$D$7:$D$32,$B48,Commissioning!$K$7:$K$32,"Passed")+COUNTIFS(Commissioning!$D$7:$D$32,$B48,Commissioning!$K$7:$K$32,"Passed,*")</f>
        <v>3</v>
      </c>
      <c r="G48" s="73" t="n">
        <f aca="false">COUNTIFS(Commissioning!$D$7:$D$32,$B48,Commissioning!$K$7:$K$32,"FAILED - retest")</f>
        <v>0</v>
      </c>
      <c r="H48" s="73" t="n">
        <f aca="false">SUMIF(Commissioning!$D$7:$D$32,$B48,Commissioning!$J$7:$J$32)</f>
        <v>5</v>
      </c>
      <c r="I48" s="74" t="n">
        <f aca="false">IF($E48=0,"",$F48/$E48)</f>
        <v>1</v>
      </c>
    </row>
    <row r="49" customFormat="false" ht="19.5" hidden="false" customHeight="true" outlineLevel="0" collapsed="false">
      <c r="B49" s="75" t="s">
        <v>193</v>
      </c>
      <c r="C49" s="75"/>
      <c r="D49" s="75"/>
      <c r="E49" s="73" t="n">
        <f aca="false">COUNTIF(Commissioning!$D$7:$D$32,$B49)</f>
        <v>2</v>
      </c>
      <c r="F49" s="73" t="n">
        <f aca="false">COUNTIFS(Commissioning!$D$7:$D$32,$B49,Commissioning!$K$7:$K$32,"Passed")+COUNTIFS(Commissioning!$D$7:$D$32,$B49,Commissioning!$K$7:$K$32,"Passed,*")</f>
        <v>2</v>
      </c>
      <c r="G49" s="73" t="n">
        <f aca="false">COUNTIFS(Commissioning!$D$7:$D$32,$B49,Commissioning!$K$7:$K$32,"FAILED - retest")</f>
        <v>0</v>
      </c>
      <c r="H49" s="73" t="n">
        <f aca="false">SUMIF(Commissioning!$D$7:$D$32,$B49,Commissioning!$J$7:$J$32)</f>
        <v>1</v>
      </c>
      <c r="I49" s="74" t="n">
        <f aca="false">IF($E49=0,"",$F49/$E49)</f>
        <v>1</v>
      </c>
    </row>
    <row r="50" customFormat="false" ht="19.5" hidden="false" customHeight="true" outlineLevel="0" collapsed="false">
      <c r="B50" s="72" t="s">
        <v>194</v>
      </c>
      <c r="C50" s="72"/>
      <c r="D50" s="72"/>
      <c r="E50" s="73" t="n">
        <f aca="false">COUNTIF(Commissioning!$D$7:$D$32,$B50)</f>
        <v>3</v>
      </c>
      <c r="F50" s="73" t="n">
        <f aca="false">COUNTIFS(Commissioning!$D$7:$D$32,$B50,Commissioning!$K$7:$K$32,"Passed")+COUNTIFS(Commissioning!$D$7:$D$32,$B50,Commissioning!$K$7:$K$32,"Passed,*")</f>
        <v>2</v>
      </c>
      <c r="G50" s="73" t="n">
        <f aca="false">COUNTIFS(Commissioning!$D$7:$D$32,$B50,Commissioning!$K$7:$K$32,"FAILED - retest")</f>
        <v>1</v>
      </c>
      <c r="H50" s="73" t="n">
        <f aca="false">SUMIF(Commissioning!$D$7:$D$32,$B50,Commissioning!$J$7:$J$32)</f>
        <v>10</v>
      </c>
      <c r="I50" s="74" t="n">
        <f aca="false">IF($E50=0,"",$F50/$E50)</f>
        <v>0.666666666666667</v>
      </c>
    </row>
    <row r="51" customFormat="false" ht="19.5" hidden="false" customHeight="true" outlineLevel="0" collapsed="false">
      <c r="B51" s="75" t="s">
        <v>195</v>
      </c>
      <c r="C51" s="75"/>
      <c r="D51" s="75"/>
      <c r="E51" s="73" t="n">
        <f aca="false">COUNTIF(Commissioning!$D$7:$D$32,$B51)</f>
        <v>5</v>
      </c>
      <c r="F51" s="73" t="n">
        <f aca="false">COUNTIFS(Commissioning!$D$7:$D$32,$B51,Commissioning!$K$7:$K$32,"Passed")+COUNTIFS(Commissioning!$D$7:$D$32,$B51,Commissioning!$K$7:$K$32,"Passed,*")</f>
        <v>0</v>
      </c>
      <c r="G51" s="73" t="n">
        <f aca="false">COUNTIFS(Commissioning!$D$7:$D$32,$B51,Commissioning!$K$7:$K$32,"FAILED - retest")</f>
        <v>0</v>
      </c>
      <c r="H51" s="73" t="n">
        <f aca="false">SUMIF(Commissioning!$D$7:$D$32,$B51,Commissioning!$J$7:$J$32)</f>
        <v>0</v>
      </c>
      <c r="I51" s="74" t="n">
        <f aca="false">IF($E51=0,"",$F51/$E51)</f>
        <v>0</v>
      </c>
    </row>
    <row r="52" customFormat="false" ht="19.5" hidden="false" customHeight="true" outlineLevel="0" collapsed="false">
      <c r="B52" s="34" t="s">
        <v>196</v>
      </c>
      <c r="C52" s="34"/>
      <c r="D52" s="34"/>
      <c r="E52" s="73" t="n">
        <f aca="false">COUNTIF(Commissioning!$D$7:$D$32,$B52)</f>
        <v>2</v>
      </c>
      <c r="F52" s="73" t="n">
        <f aca="false">COUNTIFS(Commissioning!$D$7:$D$32,$B52,Commissioning!$K$7:$K$32,"Passed")+COUNTIFS(Commissioning!$D$7:$D$32,$B52,Commissioning!$K$7:$K$32,"Passed,*")</f>
        <v>0</v>
      </c>
      <c r="G52" s="73" t="n">
        <f aca="false">COUNTIFS(Commissioning!$D$7:$D$32,$B52,Commissioning!$K$7:$K$32,"FAILED - retest")</f>
        <v>0</v>
      </c>
      <c r="H52" s="73" t="n">
        <f aca="false">SUMIF(Commissioning!$D$7:$D$32,$B52,Commissioning!$J$7:$J$32)</f>
        <v>0</v>
      </c>
      <c r="I52" s="74" t="n">
        <f aca="false">IF($E52=0,"",$F52/$E52)</f>
        <v>0</v>
      </c>
    </row>
    <row r="54" customFormat="false" ht="21.75" hidden="false" customHeight="true" outlineLevel="0" collapsed="false">
      <c r="B54" s="6" t="s">
        <v>197</v>
      </c>
      <c r="C54" s="6"/>
      <c r="D54" s="6"/>
      <c r="E54" s="6"/>
      <c r="F54" s="6"/>
      <c r="G54" s="6"/>
      <c r="H54" s="6"/>
      <c r="I54" s="6"/>
    </row>
    <row r="55" customFormat="false" ht="21.75" hidden="false" customHeight="true" outlineLevel="0" collapsed="false">
      <c r="B55" s="10" t="s">
        <v>198</v>
      </c>
      <c r="C55" s="10"/>
      <c r="D55" s="10"/>
      <c r="E55" s="10" t="s">
        <v>199</v>
      </c>
      <c r="F55" s="10" t="s">
        <v>47</v>
      </c>
      <c r="G55" s="10" t="s">
        <v>200</v>
      </c>
      <c r="H55" s="10" t="s">
        <v>201</v>
      </c>
      <c r="I55" s="10" t="s">
        <v>47</v>
      </c>
    </row>
    <row r="56" customFormat="false" ht="19.5" hidden="false" customHeight="true" outlineLevel="0" collapsed="false">
      <c r="B56" s="72" t="s">
        <v>202</v>
      </c>
      <c r="C56" s="72"/>
      <c r="D56" s="72"/>
      <c r="E56" s="73" t="n">
        <f aca="false">COUNTIF('Operational Readiness'!$C$7:$C$38,$B56)</f>
        <v>4</v>
      </c>
      <c r="F56" s="73" t="n">
        <f aca="false">COUNTIFS('Operational Readiness'!$C$7:$C$38,$B56,'Operational Readiness'!$J$7:$J$38,"Done")</f>
        <v>0</v>
      </c>
      <c r="G56" s="73" t="n">
        <f aca="false">COUNTIFS('Operational Readiness'!$C$7:$C$38,$B56,'Operational Readiness'!$J$7:$J$38,"Overdue")</f>
        <v>1</v>
      </c>
      <c r="H56" s="73" t="n">
        <f aca="false">COUNTIFS('Operational Readiness'!$C$7:$C$38,$B56,'Operational Readiness'!$J$7:$J$38,"Due after RFS")</f>
        <v>0</v>
      </c>
      <c r="I56" s="74" t="n">
        <f aca="false">IF($E56=0,"",$F56/$E56)</f>
        <v>0</v>
      </c>
    </row>
    <row r="57" customFormat="false" ht="19.5" hidden="false" customHeight="true" outlineLevel="0" collapsed="false">
      <c r="B57" s="75" t="s">
        <v>203</v>
      </c>
      <c r="C57" s="75"/>
      <c r="D57" s="75"/>
      <c r="E57" s="73" t="n">
        <f aca="false">COUNTIF('Operational Readiness'!$C$7:$C$38,$B57)</f>
        <v>4</v>
      </c>
      <c r="F57" s="73" t="n">
        <f aca="false">COUNTIFS('Operational Readiness'!$C$7:$C$38,$B57,'Operational Readiness'!$J$7:$J$38,"Done")</f>
        <v>1</v>
      </c>
      <c r="G57" s="73" t="n">
        <f aca="false">COUNTIFS('Operational Readiness'!$C$7:$C$38,$B57,'Operational Readiness'!$J$7:$J$38,"Overdue")</f>
        <v>0</v>
      </c>
      <c r="H57" s="73" t="n">
        <f aca="false">COUNTIFS('Operational Readiness'!$C$7:$C$38,$B57,'Operational Readiness'!$J$7:$J$38,"Due after RFS")</f>
        <v>0</v>
      </c>
      <c r="I57" s="74" t="n">
        <f aca="false">IF($E57=0,"",$F57/$E57)</f>
        <v>0.25</v>
      </c>
    </row>
    <row r="58" customFormat="false" ht="19.5" hidden="false" customHeight="true" outlineLevel="0" collapsed="false">
      <c r="B58" s="72" t="s">
        <v>204</v>
      </c>
      <c r="C58" s="72"/>
      <c r="D58" s="72"/>
      <c r="E58" s="73" t="n">
        <f aca="false">COUNTIF('Operational Readiness'!$C$7:$C$38,$B58)</f>
        <v>3</v>
      </c>
      <c r="F58" s="73" t="n">
        <f aca="false">COUNTIFS('Operational Readiness'!$C$7:$C$38,$B58,'Operational Readiness'!$J$7:$J$38,"Done")</f>
        <v>0</v>
      </c>
      <c r="G58" s="73" t="n">
        <f aca="false">COUNTIFS('Operational Readiness'!$C$7:$C$38,$B58,'Operational Readiness'!$J$7:$J$38,"Overdue")</f>
        <v>0</v>
      </c>
      <c r="H58" s="73" t="n">
        <f aca="false">COUNTIFS('Operational Readiness'!$C$7:$C$38,$B58,'Operational Readiness'!$J$7:$J$38,"Due after RFS")</f>
        <v>0</v>
      </c>
      <c r="I58" s="74" t="n">
        <f aca="false">IF($E58=0,"",$F58/$E58)</f>
        <v>0</v>
      </c>
    </row>
    <row r="59" customFormat="false" ht="19.5" hidden="false" customHeight="true" outlineLevel="0" collapsed="false">
      <c r="B59" s="75" t="s">
        <v>205</v>
      </c>
      <c r="C59" s="75"/>
      <c r="D59" s="75"/>
      <c r="E59" s="73" t="n">
        <f aca="false">COUNTIF('Operational Readiness'!$C$7:$C$38,$B59)</f>
        <v>3</v>
      </c>
      <c r="F59" s="73" t="n">
        <f aca="false">COUNTIFS('Operational Readiness'!$C$7:$C$38,$B59,'Operational Readiness'!$J$7:$J$38,"Done")</f>
        <v>0</v>
      </c>
      <c r="G59" s="73" t="n">
        <f aca="false">COUNTIFS('Operational Readiness'!$C$7:$C$38,$B59,'Operational Readiness'!$J$7:$J$38,"Overdue")</f>
        <v>0</v>
      </c>
      <c r="H59" s="73" t="n">
        <f aca="false">COUNTIFS('Operational Readiness'!$C$7:$C$38,$B59,'Operational Readiness'!$J$7:$J$38,"Due after RFS")</f>
        <v>0</v>
      </c>
      <c r="I59" s="74" t="n">
        <f aca="false">IF($E59=0,"",$F59/$E59)</f>
        <v>0</v>
      </c>
    </row>
    <row r="60" customFormat="false" ht="19.5" hidden="false" customHeight="true" outlineLevel="0" collapsed="false">
      <c r="B60" s="72" t="s">
        <v>206</v>
      </c>
      <c r="C60" s="72"/>
      <c r="D60" s="72"/>
      <c r="E60" s="73" t="n">
        <f aca="false">COUNTIF('Operational Readiness'!$C$7:$C$38,$B60)</f>
        <v>3</v>
      </c>
      <c r="F60" s="73" t="n">
        <f aca="false">COUNTIFS('Operational Readiness'!$C$7:$C$38,$B60,'Operational Readiness'!$J$7:$J$38,"Done")</f>
        <v>0</v>
      </c>
      <c r="G60" s="73" t="n">
        <f aca="false">COUNTIFS('Operational Readiness'!$C$7:$C$38,$B60,'Operational Readiness'!$J$7:$J$38,"Overdue")</f>
        <v>0</v>
      </c>
      <c r="H60" s="73" t="n">
        <f aca="false">COUNTIFS('Operational Readiness'!$C$7:$C$38,$B60,'Operational Readiness'!$J$7:$J$38,"Due after RFS")</f>
        <v>0</v>
      </c>
      <c r="I60" s="74" t="n">
        <f aca="false">IF($E60=0,"",$F60/$E60)</f>
        <v>0</v>
      </c>
    </row>
    <row r="61" customFormat="false" ht="19.5" hidden="false" customHeight="true" outlineLevel="0" collapsed="false">
      <c r="B61" s="75" t="s">
        <v>207</v>
      </c>
      <c r="C61" s="75"/>
      <c r="D61" s="75"/>
      <c r="E61" s="73" t="n">
        <f aca="false">COUNTIF('Operational Readiness'!$C$7:$C$38,$B61)</f>
        <v>2</v>
      </c>
      <c r="F61" s="73" t="n">
        <f aca="false">COUNTIFS('Operational Readiness'!$C$7:$C$38,$B61,'Operational Readiness'!$J$7:$J$38,"Done")</f>
        <v>0</v>
      </c>
      <c r="G61" s="73" t="n">
        <f aca="false">COUNTIFS('Operational Readiness'!$C$7:$C$38,$B61,'Operational Readiness'!$J$7:$J$38,"Overdue")</f>
        <v>0</v>
      </c>
      <c r="H61" s="73" t="n">
        <f aca="false">COUNTIFS('Operational Readiness'!$C$7:$C$38,$B61,'Operational Readiness'!$J$7:$J$38,"Due after RFS")</f>
        <v>1</v>
      </c>
      <c r="I61" s="74" t="n">
        <f aca="false">IF($E61=0,"",$F61/$E61)</f>
        <v>0</v>
      </c>
    </row>
    <row r="62" customFormat="false" ht="19.5" hidden="false" customHeight="true" outlineLevel="0" collapsed="false">
      <c r="B62" s="72" t="s">
        <v>208</v>
      </c>
      <c r="C62" s="72"/>
      <c r="D62" s="72"/>
      <c r="E62" s="73" t="n">
        <f aca="false">COUNTIF('Operational Readiness'!$C$7:$C$38,$B62)</f>
        <v>2</v>
      </c>
      <c r="F62" s="73" t="n">
        <f aca="false">COUNTIFS('Operational Readiness'!$C$7:$C$38,$B62,'Operational Readiness'!$J$7:$J$38,"Done")</f>
        <v>0</v>
      </c>
      <c r="G62" s="73" t="n">
        <f aca="false">COUNTIFS('Operational Readiness'!$C$7:$C$38,$B62,'Operational Readiness'!$J$7:$J$38,"Overdue")</f>
        <v>0</v>
      </c>
      <c r="H62" s="73" t="n">
        <f aca="false">COUNTIFS('Operational Readiness'!$C$7:$C$38,$B62,'Operational Readiness'!$J$7:$J$38,"Due after RFS")</f>
        <v>0</v>
      </c>
      <c r="I62" s="74" t="n">
        <f aca="false">IF($E62=0,"",$F62/$E62)</f>
        <v>0</v>
      </c>
    </row>
    <row r="63" customFormat="false" ht="19.5" hidden="false" customHeight="true" outlineLevel="0" collapsed="false">
      <c r="B63" s="75" t="s">
        <v>209</v>
      </c>
      <c r="C63" s="75"/>
      <c r="D63" s="75"/>
      <c r="E63" s="73" t="n">
        <f aca="false">COUNTIF('Operational Readiness'!$C$7:$C$38,$B63)</f>
        <v>2</v>
      </c>
      <c r="F63" s="73" t="n">
        <f aca="false">COUNTIFS('Operational Readiness'!$C$7:$C$38,$B63,'Operational Readiness'!$J$7:$J$38,"Done")</f>
        <v>0</v>
      </c>
      <c r="G63" s="73" t="n">
        <f aca="false">COUNTIFS('Operational Readiness'!$C$7:$C$38,$B63,'Operational Readiness'!$J$7:$J$38,"Overdue")</f>
        <v>0</v>
      </c>
      <c r="H63" s="73" t="n">
        <f aca="false">COUNTIFS('Operational Readiness'!$C$7:$C$38,$B63,'Operational Readiness'!$J$7:$J$38,"Due after RFS")</f>
        <v>0</v>
      </c>
      <c r="I63" s="74" t="n">
        <f aca="false">IF($E63=0,"",$F63/$E63)</f>
        <v>0</v>
      </c>
    </row>
    <row r="65" customFormat="false" ht="18" hidden="false" customHeight="true" outlineLevel="0" collapsed="false">
      <c r="B65" s="52" t="s">
        <v>129</v>
      </c>
      <c r="C65" s="52"/>
      <c r="D65" s="52"/>
      <c r="E65" s="52"/>
      <c r="F65" s="52"/>
      <c r="G65" s="52"/>
      <c r="H65" s="52"/>
      <c r="I65" s="52"/>
    </row>
  </sheetData>
  <mergeCells count="71">
    <mergeCell ref="B1:I1"/>
    <mergeCell ref="B2:I2"/>
    <mergeCell ref="B3:I3"/>
    <mergeCell ref="B4:I4"/>
    <mergeCell ref="B6:I6"/>
    <mergeCell ref="B7:C7"/>
    <mergeCell ref="D7:E7"/>
    <mergeCell ref="F7:G7"/>
    <mergeCell ref="H7:I7"/>
    <mergeCell ref="B8:C8"/>
    <mergeCell ref="D8:E8"/>
    <mergeCell ref="F8:G8"/>
    <mergeCell ref="H8:I8"/>
    <mergeCell ref="B10:C10"/>
    <mergeCell ref="D10:E10"/>
    <mergeCell ref="F10:G10"/>
    <mergeCell ref="H10:I10"/>
    <mergeCell ref="B11:C11"/>
    <mergeCell ref="D11:E11"/>
    <mergeCell ref="F11:G11"/>
    <mergeCell ref="H11:I11"/>
    <mergeCell ref="B13:D13"/>
    <mergeCell ref="F13:I13"/>
    <mergeCell ref="B14:D14"/>
    <mergeCell ref="F14:I14"/>
    <mergeCell ref="B16:I16"/>
    <mergeCell ref="B17:D17"/>
    <mergeCell ref="B18:D18"/>
    <mergeCell ref="B19:D19"/>
    <mergeCell ref="B20:D20"/>
    <mergeCell ref="B21:D21"/>
    <mergeCell ref="B22:D22"/>
    <mergeCell ref="B23:D23"/>
    <mergeCell ref="B24:D24"/>
    <mergeCell ref="B25:D25"/>
    <mergeCell ref="B26:D26"/>
    <mergeCell ref="B27:D27"/>
    <mergeCell ref="B28:D28"/>
    <mergeCell ref="B29:D29"/>
    <mergeCell ref="B31:I31"/>
    <mergeCell ref="B32:I32"/>
    <mergeCell ref="B33:D33"/>
    <mergeCell ref="B34:D34"/>
    <mergeCell ref="B35:D35"/>
    <mergeCell ref="B36:D36"/>
    <mergeCell ref="B37:D37"/>
    <mergeCell ref="B38:D38"/>
    <mergeCell ref="B39:D39"/>
    <mergeCell ref="B40:D40"/>
    <mergeCell ref="B41:D41"/>
    <mergeCell ref="B42:D42"/>
    <mergeCell ref="B43:D43"/>
    <mergeCell ref="B44:D44"/>
    <mergeCell ref="B46:I46"/>
    <mergeCell ref="B47:D47"/>
    <mergeCell ref="B48:D48"/>
    <mergeCell ref="B49:D49"/>
    <mergeCell ref="B50:D50"/>
    <mergeCell ref="B51:D51"/>
    <mergeCell ref="B52:D52"/>
    <mergeCell ref="B54:I54"/>
    <mergeCell ref="B55:D55"/>
    <mergeCell ref="B56:D56"/>
    <mergeCell ref="B57:D57"/>
    <mergeCell ref="B58:D58"/>
    <mergeCell ref="B59:D59"/>
    <mergeCell ref="B60:D60"/>
    <mergeCell ref="B61:D61"/>
    <mergeCell ref="B62:D62"/>
    <mergeCell ref="B63:D63"/>
    <mergeCell ref="B65:I65"/>
  </mergeCells>
  <conditionalFormatting sqref="B3:I3">
    <cfRule type="expression" priority="2" aboveAverage="0" equalAverage="0" bottom="0" percent="0" rank="0" text="" dxfId="0">
      <formula>LEN($B$3)&gt;0</formula>
    </cfRule>
  </conditionalFormatting>
  <conditionalFormatting sqref="H8">
    <cfRule type="expression" priority="3" aboveAverage="0" equalAverage="0" bottom="0" percent="0" rank="0" text="" dxfId="2">
      <formula>AND(H8&lt;&gt;"",H8&lt;Setup!$D$26*7)</formula>
    </cfRule>
  </conditionalFormatting>
  <conditionalFormatting sqref="E14">
    <cfRule type="expression" priority="4" aboveAverage="0" equalAverage="0" bottom="0" percent="0" rank="0" text="" dxfId="3">
      <formula>AND($E14&lt;&gt;"",$E14&lt;0)</formula>
    </cfRule>
  </conditionalFormatting>
  <conditionalFormatting sqref="B18:I29">
    <cfRule type="expression" priority="5" aboveAverage="0" equalAverage="0" bottom="0" percent="0" rank="0" text="" dxfId="4">
      <formula>$H18&lt;&gt;""</formula>
    </cfRule>
    <cfRule type="expression" priority="6" aboveAverage="0" equalAverage="0" bottom="0" percent="0" rank="0" text="" dxfId="5">
      <formula>AND($H18="",$I18&lt;&gt;"",$I18&gt;0)</formula>
    </cfRule>
  </conditionalFormatting>
  <conditionalFormatting sqref="E34:E44">
    <cfRule type="dataBar" priority="7">
      <dataBar showValue="1" minLength="10" maxLength="90">
        <cfvo type="num" val="0"/>
        <cfvo type="max" val="0"/>
        <color rgb="FF64B6F7"/>
      </dataBar>
      <extLst>
        <ext xmlns:x14="http://schemas.microsoft.com/office/spreadsheetml/2009/9/main" uri="{B025F937-C7B1-47D3-B67F-A62EFF666E3E}">
          <x14:id>{4A199566-B5AD-4480-B2D0-B583B980F3EC}</x14:id>
        </ext>
      </extLst>
    </cfRule>
  </conditionalFormatting>
  <conditionalFormatting sqref="G34:G44">
    <cfRule type="expression" priority="8" aboveAverage="0" equalAverage="0" bottom="0" percent="0" rank="0" text="" dxfId="6">
      <formula>$G34&gt;0</formula>
    </cfRule>
  </conditionalFormatting>
  <conditionalFormatting sqref="H34:H44">
    <cfRule type="expression" priority="9" aboveAverage="0" equalAverage="0" bottom="0" percent="0" rank="0" text="" dxfId="7">
      <formula>$H34&gt;0</formula>
    </cfRule>
  </conditionalFormatting>
  <conditionalFormatting sqref="G48:G52">
    <cfRule type="expression" priority="10" aboveAverage="0" equalAverage="0" bottom="0" percent="0" rank="0" text="" dxfId="7">
      <formula>$G48&gt;0</formula>
    </cfRule>
  </conditionalFormatting>
  <conditionalFormatting sqref="H48:H52">
    <cfRule type="expression" priority="11" aboveAverage="0" equalAverage="0" bottom="0" percent="0" rank="0" text="" dxfId="0">
      <formula>$H48&gt;0</formula>
    </cfRule>
  </conditionalFormatting>
  <conditionalFormatting sqref="G56:G63">
    <cfRule type="expression" priority="12" aboveAverage="0" equalAverage="0" bottom="0" percent="0" rank="0" text="" dxfId="7">
      <formula>$G56&gt;0</formula>
    </cfRule>
  </conditionalFormatting>
  <conditionalFormatting sqref="H56:H63">
    <cfRule type="expression" priority="13" aboveAverage="0" equalAverage="0" bottom="0" percent="0" rank="0" text="" dxfId="7">
      <formula>$H56&gt;0</formula>
    </cfRule>
  </conditionalFormatting>
  <conditionalFormatting sqref="I56:I63">
    <cfRule type="dataBar" priority="14">
      <dataBar showValue="1" minLength="10" maxLength="90">
        <cfvo type="num" val="0"/>
        <cfvo type="num" val="1"/>
        <color rgb="FF4CAF50"/>
      </dataBar>
      <extLst>
        <ext xmlns:x14="http://schemas.microsoft.com/office/spreadsheetml/2009/9/main" uri="{B025F937-C7B1-47D3-B67F-A62EFF666E3E}">
          <x14:id>{51564F8E-A040-4B83-B429-48B2978EF442}</x14:id>
        </ext>
      </extLst>
    </cfRule>
  </conditionalFormatting>
  <hyperlinks>
    <hyperlink ref="B65" r:id="rId1" display="Visit mastt.com"/>
  </hyperlink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rowBreaks count="1" manualBreakCount="1">
    <brk id="15" man="true" max="16383" min="0"/>
  </rowBreaks>
  <drawing r:id="rId2"/>
  <extLst>
    <ext xmlns:x14="http://schemas.microsoft.com/office/spreadsheetml/2009/9/main" uri="{78C0D931-6437-407d-A8EE-F0AAD7539E65}">
      <x14:conditionalFormattings>
        <x14:conditionalFormatting xmlns:xm="http://schemas.microsoft.com/office/excel/2006/main">
          <x14:cfRule type="dataBar" id="{4A199566-B5AD-4480-B2D0-B583B980F3EC}">
            <x14:dataBar minLength="10" maxLength="90" axisPosition="none" gradient="true">
              <x14:cfvo type="num">
                <xm:f>0</xm:f>
              </x14:cfvo>
              <x14:cfvo type="max"/>
              <x14:negativeFillColor rgb="FF64B6F7"/>
              <x14:axisColor rgb="FF000000"/>
            </x14:dataBar>
          </x14:cfRule>
          <xm:sqref>E34:E44</xm:sqref>
        </x14:conditionalFormatting>
        <x14:conditionalFormatting xmlns:xm="http://schemas.microsoft.com/office/excel/2006/main">
          <x14:cfRule type="dataBar" id="{51564F8E-A040-4B83-B429-48B2978EF442}">
            <x14:dataBar minLength="10" maxLength="90" axisPosition="none" gradient="true">
              <x14:cfvo type="num">
                <xm:f>0</xm:f>
              </x14:cfvo>
              <x14:cfvo type="num">
                <xm:f>1</xm:f>
              </x14:cfvo>
              <x14:negativeFillColor rgb="FF4CAF50"/>
              <x14:axisColor rgb="FF000000"/>
            </x14:dataBar>
          </x14:cfRule>
          <xm:sqref>I56:I63</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B79D0"/>
    <pageSetUpPr fitToPage="true"/>
  </sheetPr>
  <dimension ref="B1:N4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5" ySplit="6" topLeftCell="F7" activePane="bottomRight" state="frozen"/>
      <selection pane="topLeft" activeCell="A1" activeCellId="0" sqref="A1"/>
      <selection pane="topRight" activeCell="F1" activeCellId="0" sqref="F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7"/>
    <col collapsed="false" customWidth="true" hidden="false" outlineLevel="0" max="3" min="3" style="0" width="20"/>
    <col collapsed="false" customWidth="true" hidden="false" outlineLevel="0" max="4" min="4" style="0" width="42"/>
    <col collapsed="false" customWidth="true" hidden="false" outlineLevel="0" max="5" min="5" style="0" width="18"/>
    <col collapsed="false" customWidth="true" hidden="false" outlineLevel="0" max="9" min="6" style="0" width="12"/>
    <col collapsed="false" customWidth="true" hidden="false" outlineLevel="0" max="10" min="10" style="0" width="10"/>
    <col collapsed="false" customWidth="true" hidden="false" outlineLevel="0" max="11" min="11" style="0" width="9"/>
    <col collapsed="false" customWidth="true" hidden="false" outlineLevel="0" max="12" min="12" style="0" width="11"/>
    <col collapsed="false" customWidth="true" hidden="false" outlineLevel="0" max="13" min="13" style="0" width="15"/>
    <col collapsed="false" customWidth="true" hidden="false" outlineLevel="0" max="14" min="14" style="0" width="26"/>
    <col collapsed="false" customWidth="true" hidden="false" outlineLevel="0" max="15" min="15" style="0" width="2.2"/>
  </cols>
  <sheetData>
    <row r="1" customFormat="false" ht="33.75" hidden="false" customHeight="true" outlineLevel="0" collapsed="false">
      <c r="B1" s="40" t="s">
        <v>210</v>
      </c>
      <c r="C1" s="40"/>
      <c r="D1" s="40"/>
      <c r="E1" s="40"/>
      <c r="F1" s="40"/>
      <c r="G1" s="40"/>
      <c r="H1" s="40"/>
      <c r="I1" s="40"/>
      <c r="J1" s="40"/>
      <c r="K1" s="40"/>
      <c r="L1" s="40"/>
      <c r="M1" s="40"/>
      <c r="N1" s="40"/>
    </row>
    <row r="2" customFormat="false" ht="4.5" hidden="false" customHeight="true" outlineLevel="0" collapsed="false">
      <c r="B2" s="76"/>
      <c r="C2" s="76"/>
      <c r="D2" s="76"/>
      <c r="E2" s="76"/>
      <c r="F2" s="76"/>
      <c r="G2" s="76"/>
      <c r="H2" s="76"/>
      <c r="I2" s="76"/>
      <c r="J2" s="76"/>
      <c r="K2" s="76"/>
      <c r="L2" s="76"/>
      <c r="M2" s="76"/>
      <c r="N2" s="76"/>
    </row>
    <row r="3" customFormat="false" ht="16.5" hidden="false" customHeight="true" outlineLevel="0" collapsed="false">
      <c r="B3" s="42" t="str">
        <f aca="false">IF(LEFT(Setup!$D$7,7)&lt;&gt;"EXAMPLE","","EXAMPLE DATA - type your own project name on Setup to clear this.")</f>
        <v>EXAMPLE DATA - type your own project name on Setup to clear this.</v>
      </c>
      <c r="C3" s="42"/>
      <c r="D3" s="42"/>
      <c r="E3" s="42"/>
      <c r="F3" s="42"/>
      <c r="G3" s="42"/>
      <c r="H3" s="42"/>
      <c r="I3" s="42"/>
      <c r="J3" s="42"/>
      <c r="K3" s="42"/>
      <c r="L3" s="42"/>
      <c r="M3" s="42"/>
      <c r="N3" s="42"/>
    </row>
    <row r="4" customFormat="false" ht="25.5" hidden="false" customHeight="true" outlineLevel="0" collapsed="false">
      <c r="B4" s="43" t="s">
        <v>211</v>
      </c>
      <c r="C4" s="43"/>
      <c r="D4" s="43"/>
      <c r="E4" s="43"/>
      <c r="F4" s="43"/>
      <c r="G4" s="43"/>
      <c r="H4" s="43"/>
      <c r="I4" s="43"/>
      <c r="J4" s="43"/>
      <c r="K4" s="43"/>
      <c r="L4" s="43"/>
      <c r="M4" s="43"/>
      <c r="N4" s="43"/>
    </row>
    <row r="6" customFormat="false" ht="33.75" hidden="false" customHeight="true" outlineLevel="0" collapsed="false">
      <c r="B6" s="77" t="s">
        <v>212</v>
      </c>
      <c r="C6" s="10" t="s">
        <v>171</v>
      </c>
      <c r="D6" s="10" t="s">
        <v>213</v>
      </c>
      <c r="E6" s="10" t="s">
        <v>97</v>
      </c>
      <c r="F6" s="10" t="s">
        <v>214</v>
      </c>
      <c r="G6" s="10" t="s">
        <v>215</v>
      </c>
      <c r="H6" s="10" t="s">
        <v>216</v>
      </c>
      <c r="I6" s="10" t="s">
        <v>217</v>
      </c>
      <c r="J6" s="77" t="s">
        <v>218</v>
      </c>
      <c r="K6" s="10" t="s">
        <v>219</v>
      </c>
      <c r="L6" s="77" t="s">
        <v>220</v>
      </c>
      <c r="M6" s="77" t="s">
        <v>221</v>
      </c>
      <c r="N6" s="10" t="s">
        <v>222</v>
      </c>
    </row>
    <row r="7" customFormat="false" ht="33.75" hidden="false" customHeight="true" outlineLevel="0" collapsed="false">
      <c r="B7" s="78" t="str">
        <f aca="false">IF($D7="","","A"&amp;TEXT(ROW()-6,"000"))</f>
        <v>A001</v>
      </c>
      <c r="C7" s="79" t="s">
        <v>176</v>
      </c>
      <c r="D7" s="79" t="s">
        <v>223</v>
      </c>
      <c r="E7" s="79" t="s">
        <v>97</v>
      </c>
      <c r="F7" s="80" t="n">
        <f aca="true">TODAY()-820</f>
        <v>45431</v>
      </c>
      <c r="G7" s="80" t="n">
        <f aca="true">TODAY()-700</f>
        <v>45551</v>
      </c>
      <c r="H7" s="80" t="n">
        <f aca="true">TODAY()-700</f>
        <v>45551</v>
      </c>
      <c r="I7" s="80" t="n">
        <f aca="true">TODAY()-700</f>
        <v>45551</v>
      </c>
      <c r="J7" s="81" t="n">
        <f aca="false">IF(OR($D7="",$G7=""),"",IF($I7&lt;&gt;"",$I7-$G7,IF($H7="","",$H7-$G7)))</f>
        <v>0</v>
      </c>
      <c r="K7" s="82" t="n">
        <v>1</v>
      </c>
      <c r="L7" s="83" t="n">
        <f aca="false">IF(OR($D7="",Setup!$D$18=""),"",Setup!$D$18-IF($I7&lt;&gt;"",$I7,IF($H7&lt;&gt;"",$H7,$G7)))</f>
        <v>795</v>
      </c>
      <c r="M7" s="84" t="str">
        <f aca="false">IF($D7="","",IF($I7&lt;&gt;"","Done",IF(AND($L7&lt;&gt;"",$L7&lt;0),"Past RFS",IF(AND($G7&lt;&gt;"",Setup!$D$19&gt;$G7),"Late",IF(AND($H7&lt;&gt;"",$G7&lt;&gt;"",$H7&gt;$G7),"At risk",IF(AND($G7&lt;&gt;"",$G7-Setup!$D$19&lt;=Setup!$D$23),"Due soon",IF(AND($F7&lt;&gt;"",Setup!$D$19&gt;=$F7),"In progress","Not started")))))))</f>
        <v>Done</v>
      </c>
      <c r="N7" s="79" t="s">
        <v>224</v>
      </c>
    </row>
    <row r="8" customFormat="false" ht="33.75" hidden="false" customHeight="true" outlineLevel="0" collapsed="false">
      <c r="B8" s="78" t="str">
        <f aca="false">IF($D8="","","A"&amp;TEXT(ROW()-6,"000"))</f>
        <v>A002</v>
      </c>
      <c r="C8" s="85" t="s">
        <v>176</v>
      </c>
      <c r="D8" s="85" t="s">
        <v>225</v>
      </c>
      <c r="E8" s="85" t="s">
        <v>97</v>
      </c>
      <c r="F8" s="86" t="n">
        <f aca="true">TODAY()-700</f>
        <v>45551</v>
      </c>
      <c r="G8" s="86" t="n">
        <f aca="true">TODAY()-650</f>
        <v>45601</v>
      </c>
      <c r="H8" s="86" t="n">
        <f aca="true">TODAY()-645</f>
        <v>45606</v>
      </c>
      <c r="I8" s="86" t="n">
        <f aca="true">TODAY()-645</f>
        <v>45606</v>
      </c>
      <c r="J8" s="81" t="n">
        <f aca="false">IF(OR($D8="",$G8=""),"",IF($I8&lt;&gt;"",$I8-$G8,IF($H8="","",$H8-$G8)))</f>
        <v>5</v>
      </c>
      <c r="K8" s="87" t="n">
        <v>1</v>
      </c>
      <c r="L8" s="83" t="n">
        <f aca="false">IF(OR($D8="",Setup!$D$18=""),"",Setup!$D$18-IF($I8&lt;&gt;"",$I8,IF($H8&lt;&gt;"",$H8,$G8)))</f>
        <v>740</v>
      </c>
      <c r="M8" s="84" t="str">
        <f aca="false">IF($D8="","",IF($I8&lt;&gt;"","Done",IF(AND($L8&lt;&gt;"",$L8&lt;0),"Past RFS",IF(AND($G8&lt;&gt;"",Setup!$D$19&gt;$G8),"Late",IF(AND($H8&lt;&gt;"",$G8&lt;&gt;"",$H8&gt;$G8),"At risk",IF(AND($G8&lt;&gt;"",$G8-Setup!$D$19&lt;=Setup!$D$23),"Due soon",IF(AND($F8&lt;&gt;"",Setup!$D$19&gt;=$F8),"In progress","Not started")))))))</f>
        <v>Done</v>
      </c>
      <c r="N8" s="85"/>
    </row>
    <row r="9" customFormat="false" ht="33.75" hidden="false" customHeight="true" outlineLevel="0" collapsed="false">
      <c r="B9" s="78" t="str">
        <f aca="false">IF($D9="","","A"&amp;TEXT(ROW()-6,"000"))</f>
        <v>A003</v>
      </c>
      <c r="C9" s="79" t="s">
        <v>177</v>
      </c>
      <c r="D9" s="79" t="s">
        <v>226</v>
      </c>
      <c r="E9" s="79" t="s">
        <v>97</v>
      </c>
      <c r="F9" s="80" t="n">
        <f aca="true">TODAY()-640</f>
        <v>45611</v>
      </c>
      <c r="G9" s="80" t="n">
        <f aca="true">TODAY()-610</f>
        <v>45641</v>
      </c>
      <c r="H9" s="80" t="n">
        <f aca="true">TODAY()-608</f>
        <v>45643</v>
      </c>
      <c r="I9" s="80" t="n">
        <f aca="true">TODAY()-608</f>
        <v>45643</v>
      </c>
      <c r="J9" s="81" t="n">
        <f aca="false">IF(OR($D9="",$G9=""),"",IF($I9&lt;&gt;"",$I9-$G9,IF($H9="","",$H9-$G9)))</f>
        <v>2</v>
      </c>
      <c r="K9" s="82" t="n">
        <v>1</v>
      </c>
      <c r="L9" s="83" t="n">
        <f aca="false">IF(OR($D9="",Setup!$D$18=""),"",Setup!$D$18-IF($I9&lt;&gt;"",$I9,IF($H9&lt;&gt;"",$H9,$G9)))</f>
        <v>703</v>
      </c>
      <c r="M9" s="84" t="str">
        <f aca="false">IF($D9="","",IF($I9&lt;&gt;"","Done",IF(AND($L9&lt;&gt;"",$L9&lt;0),"Past RFS",IF(AND($G9&lt;&gt;"",Setup!$D$19&gt;$G9),"Late",IF(AND($H9&lt;&gt;"",$G9&lt;&gt;"",$H9&gt;$G9),"At risk",IF(AND($G9&lt;&gt;"",$G9-Setup!$D$19&lt;=Setup!$D$23),"Due soon",IF(AND($F9&lt;&gt;"",Setup!$D$19&gt;=$F9),"In progress","Not started")))))))</f>
        <v>Done</v>
      </c>
      <c r="N9" s="79" t="s">
        <v>227</v>
      </c>
    </row>
    <row r="10" customFormat="false" ht="33.75" hidden="false" customHeight="true" outlineLevel="0" collapsed="false">
      <c r="B10" s="78" t="str">
        <f aca="false">IF($D10="","","A"&amp;TEXT(ROW()-6,"000"))</f>
        <v>A004</v>
      </c>
      <c r="C10" s="85" t="s">
        <v>177</v>
      </c>
      <c r="D10" s="85" t="s">
        <v>228</v>
      </c>
      <c r="E10" s="85" t="s">
        <v>97</v>
      </c>
      <c r="F10" s="86" t="n">
        <f aca="true">TODAY()-600</f>
        <v>45651</v>
      </c>
      <c r="G10" s="86" t="n">
        <f aca="true">TODAY()-480</f>
        <v>45771</v>
      </c>
      <c r="H10" s="86" t="n">
        <f aca="true">TODAY()-455</f>
        <v>45796</v>
      </c>
      <c r="I10" s="86" t="n">
        <f aca="true">TODAY()-455</f>
        <v>45796</v>
      </c>
      <c r="J10" s="81" t="n">
        <f aca="false">IF(OR($D10="",$G10=""),"",IF($I10&lt;&gt;"",$I10-$G10,IF($H10="","",$H10-$G10)))</f>
        <v>25</v>
      </c>
      <c r="K10" s="87" t="n">
        <v>1</v>
      </c>
      <c r="L10" s="83" t="n">
        <f aca="false">IF(OR($D10="",Setup!$D$18=""),"",Setup!$D$18-IF($I10&lt;&gt;"",$I10,IF($H10&lt;&gt;"",$H10,$G10)))</f>
        <v>550</v>
      </c>
      <c r="M10" s="84" t="str">
        <f aca="false">IF($D10="","",IF($I10&lt;&gt;"","Done",IF(AND($L10&lt;&gt;"",$L10&lt;0),"Past RFS",IF(AND($G10&lt;&gt;"",Setup!$D$19&gt;$G10),"Late",IF(AND($H10&lt;&gt;"",$G10&lt;&gt;"",$H10&gt;$G10),"At risk",IF(AND($G10&lt;&gt;"",$G10-Setup!$D$19&lt;=Setup!$D$23),"Due soon",IF(AND($F10&lt;&gt;"",Setup!$D$19&gt;=$F10),"In progress","Not started")))))))</f>
        <v>Done</v>
      </c>
      <c r="N10" s="85" t="s">
        <v>229</v>
      </c>
    </row>
    <row r="11" customFormat="false" ht="33.75" hidden="false" customHeight="true" outlineLevel="0" collapsed="false">
      <c r="B11" s="78" t="str">
        <f aca="false">IF($D11="","","A"&amp;TEXT(ROW()-6,"000"))</f>
        <v>A005</v>
      </c>
      <c r="C11" s="79" t="s">
        <v>177</v>
      </c>
      <c r="D11" s="79" t="s">
        <v>230</v>
      </c>
      <c r="E11" s="79" t="s">
        <v>160</v>
      </c>
      <c r="F11" s="80" t="n">
        <f aca="true">TODAY()-450</f>
        <v>45801</v>
      </c>
      <c r="G11" s="80" t="n">
        <f aca="true">TODAY()-60</f>
        <v>46191</v>
      </c>
      <c r="H11" s="80" t="n">
        <f aca="true">TODAY()+40</f>
        <v>46291</v>
      </c>
      <c r="I11" s="80"/>
      <c r="J11" s="81" t="n">
        <f aca="false">IF(OR($D11="",$G11=""),"",IF($I11&lt;&gt;"",$I11-$G11,IF($H11="","",$H11-$G11)))</f>
        <v>100</v>
      </c>
      <c r="K11" s="82" t="n">
        <v>0.82</v>
      </c>
      <c r="L11" s="83" t="n">
        <f aca="false">IF(OR($D11="",Setup!$D$18=""),"",Setup!$D$18-IF($I11&lt;&gt;"",$I11,IF($H11&lt;&gt;"",$H11,$G11)))</f>
        <v>55</v>
      </c>
      <c r="M11" s="84" t="str">
        <f aca="false">IF($D11="","",IF($I11&lt;&gt;"","Done",IF(AND($L11&lt;&gt;"",$L11&lt;0),"Past RFS",IF(AND($G11&lt;&gt;"",Setup!$D$19&gt;$G11),"Late",IF(AND($H11&lt;&gt;"",$G11&lt;&gt;"",$H11&gt;$G11),"At risk",IF(AND($G11&lt;&gt;"",$G11-Setup!$D$19&lt;=Setup!$D$23),"Due soon",IF(AND($F11&lt;&gt;"",Setup!$D$19&gt;=$F11),"In progress","Not started")))))))</f>
        <v>Late</v>
      </c>
      <c r="N11" s="79" t="s">
        <v>231</v>
      </c>
    </row>
    <row r="12" customFormat="false" ht="33.75" hidden="false" customHeight="true" outlineLevel="0" collapsed="false">
      <c r="B12" s="78" t="str">
        <f aca="false">IF($D12="","","A"&amp;TEXT(ROW()-6,"000"))</f>
        <v>A006</v>
      </c>
      <c r="C12" s="85" t="s">
        <v>177</v>
      </c>
      <c r="D12" s="85" t="s">
        <v>232</v>
      </c>
      <c r="E12" s="85" t="s">
        <v>160</v>
      </c>
      <c r="F12" s="86" t="n">
        <f aca="true">TODAY()-55</f>
        <v>46196</v>
      </c>
      <c r="G12" s="86" t="n">
        <f aca="true">TODAY()-20</f>
        <v>46231</v>
      </c>
      <c r="H12" s="86" t="n">
        <f aca="true">TODAY()+55</f>
        <v>46306</v>
      </c>
      <c r="I12" s="86"/>
      <c r="J12" s="81" t="n">
        <f aca="false">IF(OR($D12="",$G12=""),"",IF($I12&lt;&gt;"",$I12-$G12,IF($H12="","",$H12-$G12)))</f>
        <v>75</v>
      </c>
      <c r="K12" s="87" t="n">
        <v>0</v>
      </c>
      <c r="L12" s="83" t="n">
        <f aca="false">IF(OR($D12="",Setup!$D$18=""),"",Setup!$D$18-IF($I12&lt;&gt;"",$I12,IF($H12&lt;&gt;"",$H12,$G12)))</f>
        <v>40</v>
      </c>
      <c r="M12" s="84" t="str">
        <f aca="false">IF($D12="","",IF($I12&lt;&gt;"","Done",IF(AND($L12&lt;&gt;"",$L12&lt;0),"Past RFS",IF(AND($G12&lt;&gt;"",Setup!$D$19&gt;$G12),"Late",IF(AND($H12&lt;&gt;"",$G12&lt;&gt;"",$H12&gt;$G12),"At risk",IF(AND($G12&lt;&gt;"",$G12-Setup!$D$19&lt;=Setup!$D$23),"Due soon",IF(AND($F12&lt;&gt;"",Setup!$D$19&gt;=$F12),"In progress","Not started")))))))</f>
        <v>Late</v>
      </c>
      <c r="N12" s="85"/>
    </row>
    <row r="13" customFormat="false" ht="33.75" hidden="false" customHeight="true" outlineLevel="0" collapsed="false">
      <c r="B13" s="78" t="str">
        <f aca="false">IF($D13="","","A"&amp;TEXT(ROW()-6,"000"))</f>
        <v>A007</v>
      </c>
      <c r="C13" s="79" t="s">
        <v>178</v>
      </c>
      <c r="D13" s="79" t="s">
        <v>233</v>
      </c>
      <c r="E13" s="79" t="s">
        <v>97</v>
      </c>
      <c r="F13" s="80" t="n">
        <f aca="true">TODAY()-620</f>
        <v>45631</v>
      </c>
      <c r="G13" s="80" t="n">
        <f aca="true">TODAY()-430</f>
        <v>45821</v>
      </c>
      <c r="H13" s="80" t="n">
        <f aca="true">TODAY()-430</f>
        <v>45821</v>
      </c>
      <c r="I13" s="80" t="n">
        <f aca="true">TODAY()-430</f>
        <v>45821</v>
      </c>
      <c r="J13" s="81" t="n">
        <f aca="false">IF(OR($D13="",$G13=""),"",IF($I13&lt;&gt;"",$I13-$G13,IF($H13="","",$H13-$G13)))</f>
        <v>0</v>
      </c>
      <c r="K13" s="82" t="n">
        <v>1</v>
      </c>
      <c r="L13" s="83" t="n">
        <f aca="false">IF(OR($D13="",Setup!$D$18=""),"",Setup!$D$18-IF($I13&lt;&gt;"",$I13,IF($H13&lt;&gt;"",$H13,$G13)))</f>
        <v>525</v>
      </c>
      <c r="M13" s="84" t="str">
        <f aca="false">IF($D13="","",IF($I13&lt;&gt;"","Done",IF(AND($L13&lt;&gt;"",$L13&lt;0),"Past RFS",IF(AND($G13&lt;&gt;"",Setup!$D$19&gt;$G13),"Late",IF(AND($H13&lt;&gt;"",$G13&lt;&gt;"",$H13&gt;$G13),"At risk",IF(AND($G13&lt;&gt;"",$G13-Setup!$D$19&lt;=Setup!$D$23),"Due soon",IF(AND($F13&lt;&gt;"",Setup!$D$19&gt;=$F13),"In progress","Not started")))))))</f>
        <v>Done</v>
      </c>
      <c r="N13" s="79"/>
    </row>
    <row r="14" customFormat="false" ht="33.75" hidden="false" customHeight="true" outlineLevel="0" collapsed="false">
      <c r="B14" s="78" t="str">
        <f aca="false">IF($D14="","","A"&amp;TEXT(ROW()-6,"000"))</f>
        <v>A008</v>
      </c>
      <c r="C14" s="85" t="s">
        <v>178</v>
      </c>
      <c r="D14" s="85" t="s">
        <v>234</v>
      </c>
      <c r="E14" s="85" t="s">
        <v>155</v>
      </c>
      <c r="F14" s="86" t="n">
        <f aca="true">TODAY()-430</f>
        <v>45821</v>
      </c>
      <c r="G14" s="86" t="n">
        <f aca="true">TODAY()-330</f>
        <v>45921</v>
      </c>
      <c r="H14" s="86" t="n">
        <f aca="true">TODAY()-325</f>
        <v>45926</v>
      </c>
      <c r="I14" s="86" t="n">
        <f aca="true">TODAY()-325</f>
        <v>45926</v>
      </c>
      <c r="J14" s="81" t="n">
        <f aca="false">IF(OR($D14="",$G14=""),"",IF($I14&lt;&gt;"",$I14-$G14,IF($H14="","",$H14-$G14)))</f>
        <v>5</v>
      </c>
      <c r="K14" s="87" t="n">
        <v>1</v>
      </c>
      <c r="L14" s="83" t="n">
        <f aca="false">IF(OR($D14="",Setup!$D$18=""),"",Setup!$D$18-IF($I14&lt;&gt;"",$I14,IF($H14&lt;&gt;"",$H14,$G14)))</f>
        <v>420</v>
      </c>
      <c r="M14" s="84" t="str">
        <f aca="false">IF($D14="","",IF($I14&lt;&gt;"","Done",IF(AND($L14&lt;&gt;"",$L14&lt;0),"Past RFS",IF(AND($G14&lt;&gt;"",Setup!$D$19&gt;$G14),"Late",IF(AND($H14&lt;&gt;"",$G14&lt;&gt;"",$H14&gt;$G14),"At risk",IF(AND($G14&lt;&gt;"",$G14-Setup!$D$19&lt;=Setup!$D$23),"Due soon",IF(AND($F14&lt;&gt;"",Setup!$D$19&gt;=$F14),"In progress","Not started")))))))</f>
        <v>Done</v>
      </c>
      <c r="N14" s="85"/>
    </row>
    <row r="15" customFormat="false" ht="33.75" hidden="false" customHeight="true" outlineLevel="0" collapsed="false">
      <c r="B15" s="78" t="str">
        <f aca="false">IF($D15="","","A"&amp;TEXT(ROW()-6,"000"))</f>
        <v>A009</v>
      </c>
      <c r="C15" s="79" t="s">
        <v>179</v>
      </c>
      <c r="D15" s="79" t="s">
        <v>235</v>
      </c>
      <c r="E15" s="79" t="s">
        <v>155</v>
      </c>
      <c r="F15" s="80" t="n">
        <f aca="true">TODAY()-600</f>
        <v>45651</v>
      </c>
      <c r="G15" s="80" t="n">
        <f aca="true">TODAY()-520</f>
        <v>45731</v>
      </c>
      <c r="H15" s="80" t="n">
        <f aca="true">TODAY()-520</f>
        <v>45731</v>
      </c>
      <c r="I15" s="80" t="n">
        <f aca="true">TODAY()-520</f>
        <v>45731</v>
      </c>
      <c r="J15" s="81" t="n">
        <f aca="false">IF(OR($D15="",$G15=""),"",IF($I15&lt;&gt;"",$I15-$G15,IF($H15="","",$H15-$G15)))</f>
        <v>0</v>
      </c>
      <c r="K15" s="82" t="n">
        <v>1</v>
      </c>
      <c r="L15" s="83" t="n">
        <f aca="false">IF(OR($D15="",Setup!$D$18=""),"",Setup!$D$18-IF($I15&lt;&gt;"",$I15,IF($H15&lt;&gt;"",$H15,$G15)))</f>
        <v>615</v>
      </c>
      <c r="M15" s="84" t="str">
        <f aca="false">IF($D15="","",IF($I15&lt;&gt;"","Done",IF(AND($L15&lt;&gt;"",$L15&lt;0),"Past RFS",IF(AND($G15&lt;&gt;"",Setup!$D$19&gt;$G15),"Late",IF(AND($H15&lt;&gt;"",$G15&lt;&gt;"",$H15&gt;$G15),"At risk",IF(AND($G15&lt;&gt;"",$G15-Setup!$D$19&lt;=Setup!$D$23),"Due soon",IF(AND($F15&lt;&gt;"",Setup!$D$19&gt;=$F15),"In progress","Not started")))))))</f>
        <v>Done</v>
      </c>
      <c r="N15" s="79" t="s">
        <v>236</v>
      </c>
    </row>
    <row r="16" customFormat="false" ht="33.75" hidden="false" customHeight="true" outlineLevel="0" collapsed="false">
      <c r="B16" s="78" t="str">
        <f aca="false">IF($D16="","","A"&amp;TEXT(ROW()-6,"000"))</f>
        <v>A010</v>
      </c>
      <c r="C16" s="85" t="s">
        <v>179</v>
      </c>
      <c r="D16" s="85" t="s">
        <v>237</v>
      </c>
      <c r="E16" s="85" t="s">
        <v>155</v>
      </c>
      <c r="F16" s="86" t="n">
        <f aca="true">TODAY()-520</f>
        <v>45731</v>
      </c>
      <c r="G16" s="86" t="n">
        <f aca="true">TODAY()-300</f>
        <v>45951</v>
      </c>
      <c r="H16" s="86" t="n">
        <f aca="true">TODAY()-290</f>
        <v>45961</v>
      </c>
      <c r="I16" s="86" t="n">
        <f aca="true">TODAY()-290</f>
        <v>45961</v>
      </c>
      <c r="J16" s="81" t="n">
        <f aca="false">IF(OR($D16="",$G16=""),"",IF($I16&lt;&gt;"",$I16-$G16,IF($H16="","",$H16-$G16)))</f>
        <v>10</v>
      </c>
      <c r="K16" s="87" t="n">
        <v>1</v>
      </c>
      <c r="L16" s="83" t="n">
        <f aca="false">IF(OR($D16="",Setup!$D$18=""),"",Setup!$D$18-IF($I16&lt;&gt;"",$I16,IF($H16&lt;&gt;"",$H16,$G16)))</f>
        <v>385</v>
      </c>
      <c r="M16" s="84" t="str">
        <f aca="false">IF($D16="","",IF($I16&lt;&gt;"","Done",IF(AND($L16&lt;&gt;"",$L16&lt;0),"Past RFS",IF(AND($G16&lt;&gt;"",Setup!$D$19&gt;$G16),"Late",IF(AND($H16&lt;&gt;"",$G16&lt;&gt;"",$H16&gt;$G16),"At risk",IF(AND($G16&lt;&gt;"",$G16-Setup!$D$19&lt;=Setup!$D$23),"Due soon",IF(AND($F16&lt;&gt;"",Setup!$D$19&gt;=$F16),"In progress","Not started")))))))</f>
        <v>Done</v>
      </c>
      <c r="N16" s="85"/>
    </row>
    <row r="17" customFormat="false" ht="33.75" hidden="false" customHeight="true" outlineLevel="0" collapsed="false">
      <c r="B17" s="78" t="str">
        <f aca="false">IF($D17="","","A"&amp;TEXT(ROW()-6,"000"))</f>
        <v>A011</v>
      </c>
      <c r="C17" s="79" t="s">
        <v>180</v>
      </c>
      <c r="D17" s="79" t="s">
        <v>238</v>
      </c>
      <c r="E17" s="79" t="s">
        <v>97</v>
      </c>
      <c r="F17" s="80" t="n">
        <f aca="true">TODAY()-560</f>
        <v>45691</v>
      </c>
      <c r="G17" s="80" t="n">
        <f aca="true">TODAY()-440</f>
        <v>45811</v>
      </c>
      <c r="H17" s="80" t="n">
        <f aca="true">TODAY()-430</f>
        <v>45821</v>
      </c>
      <c r="I17" s="80" t="n">
        <f aca="true">TODAY()-430</f>
        <v>45821</v>
      </c>
      <c r="J17" s="81" t="n">
        <f aca="false">IF(OR($D17="",$G17=""),"",IF($I17&lt;&gt;"",$I17-$G17,IF($H17="","",$H17-$G17)))</f>
        <v>10</v>
      </c>
      <c r="K17" s="82" t="n">
        <v>1</v>
      </c>
      <c r="L17" s="83" t="n">
        <f aca="false">IF(OR($D17="",Setup!$D$18=""),"",Setup!$D$18-IF($I17&lt;&gt;"",$I17,IF($H17&lt;&gt;"",$H17,$G17)))</f>
        <v>525</v>
      </c>
      <c r="M17" s="84" t="str">
        <f aca="false">IF($D17="","",IF($I17&lt;&gt;"","Done",IF(AND($L17&lt;&gt;"",$L17&lt;0),"Past RFS",IF(AND($G17&lt;&gt;"",Setup!$D$19&gt;$G17),"Late",IF(AND($H17&lt;&gt;"",$G17&lt;&gt;"",$H17&gt;$G17),"At risk",IF(AND($G17&lt;&gt;"",$G17-Setup!$D$19&lt;=Setup!$D$23),"Due soon",IF(AND($F17&lt;&gt;"",Setup!$D$19&gt;=$F17),"In progress","Not started")))))))</f>
        <v>Done</v>
      </c>
      <c r="N17" s="79" t="s">
        <v>239</v>
      </c>
    </row>
    <row r="18" customFormat="false" ht="33.75" hidden="false" customHeight="true" outlineLevel="0" collapsed="false">
      <c r="B18" s="78" t="str">
        <f aca="false">IF($D18="","","A"&amp;TEXT(ROW()-6,"000"))</f>
        <v>A012</v>
      </c>
      <c r="C18" s="85" t="s">
        <v>180</v>
      </c>
      <c r="D18" s="85" t="s">
        <v>240</v>
      </c>
      <c r="E18" s="85" t="s">
        <v>162</v>
      </c>
      <c r="F18" s="86" t="n">
        <f aca="true">TODAY()-200</f>
        <v>46051</v>
      </c>
      <c r="G18" s="86" t="n">
        <f aca="true">TODAY()-30</f>
        <v>46221</v>
      </c>
      <c r="H18" s="86" t="n">
        <f aca="true">TODAY()-15</f>
        <v>46236</v>
      </c>
      <c r="I18" s="86"/>
      <c r="J18" s="81" t="n">
        <f aca="false">IF(OR($D18="",$G18=""),"",IF($I18&lt;&gt;"",$I18-$G18,IF($H18="","",$H18-$G18)))</f>
        <v>15</v>
      </c>
      <c r="K18" s="87" t="n">
        <v>0.78</v>
      </c>
      <c r="L18" s="83" t="n">
        <f aca="false">IF(OR($D18="",Setup!$D$18=""),"",Setup!$D$18-IF($I18&lt;&gt;"",$I18,IF($H18&lt;&gt;"",$H18,$G18)))</f>
        <v>110</v>
      </c>
      <c r="M18" s="84" t="str">
        <f aca="false">IF($D18="","",IF($I18&lt;&gt;"","Done",IF(AND($L18&lt;&gt;"",$L18&lt;0),"Past RFS",IF(AND($G18&lt;&gt;"",Setup!$D$19&gt;$G18),"Late",IF(AND($H18&lt;&gt;"",$G18&lt;&gt;"",$H18&gt;$G18),"At risk",IF(AND($G18&lt;&gt;"",$G18-Setup!$D$19&lt;=Setup!$D$23),"Due soon",IF(AND($F18&lt;&gt;"",Setup!$D$19&gt;=$F18),"In progress","Not started")))))))</f>
        <v>Late</v>
      </c>
      <c r="N18" s="85"/>
    </row>
    <row r="19" customFormat="false" ht="33.75" hidden="false" customHeight="true" outlineLevel="0" collapsed="false">
      <c r="B19" s="78" t="str">
        <f aca="false">IF($D19="","","A"&amp;TEXT(ROW()-6,"000"))</f>
        <v>A013</v>
      </c>
      <c r="C19" s="79" t="s">
        <v>181</v>
      </c>
      <c r="D19" s="79" t="s">
        <v>241</v>
      </c>
      <c r="E19" s="79" t="s">
        <v>158</v>
      </c>
      <c r="F19" s="80" t="n">
        <f aca="true">TODAY()-420</f>
        <v>45831</v>
      </c>
      <c r="G19" s="80" t="n">
        <f aca="true">TODAY()-200</f>
        <v>46051</v>
      </c>
      <c r="H19" s="80" t="n">
        <f aca="true">TODAY()-195</f>
        <v>46056</v>
      </c>
      <c r="I19" s="80" t="n">
        <f aca="true">TODAY()-195</f>
        <v>46056</v>
      </c>
      <c r="J19" s="81" t="n">
        <f aca="false">IF(OR($D19="",$G19=""),"",IF($I19&lt;&gt;"",$I19-$G19,IF($H19="","",$H19-$G19)))</f>
        <v>5</v>
      </c>
      <c r="K19" s="82" t="n">
        <v>1</v>
      </c>
      <c r="L19" s="83" t="n">
        <f aca="false">IF(OR($D19="",Setup!$D$18=""),"",Setup!$D$18-IF($I19&lt;&gt;"",$I19,IF($H19&lt;&gt;"",$H19,$G19)))</f>
        <v>290</v>
      </c>
      <c r="M19" s="84" t="str">
        <f aca="false">IF($D19="","",IF($I19&lt;&gt;"","Done",IF(AND($L19&lt;&gt;"",$L19&lt;0),"Past RFS",IF(AND($G19&lt;&gt;"",Setup!$D$19&gt;$G19),"Late",IF(AND($H19&lt;&gt;"",$G19&lt;&gt;"",$H19&gt;$G19),"At risk",IF(AND($G19&lt;&gt;"",$G19-Setup!$D$19&lt;=Setup!$D$23),"Due soon",IF(AND($F19&lt;&gt;"",Setup!$D$19&gt;=$F19),"In progress","Not started")))))))</f>
        <v>Done</v>
      </c>
      <c r="N19" s="79"/>
    </row>
    <row r="20" customFormat="false" ht="33.75" hidden="false" customHeight="true" outlineLevel="0" collapsed="false">
      <c r="B20" s="78" t="str">
        <f aca="false">IF($D20="","","A"&amp;TEXT(ROW()-6,"000"))</f>
        <v>A014</v>
      </c>
      <c r="C20" s="85" t="s">
        <v>181</v>
      </c>
      <c r="D20" s="85" t="s">
        <v>242</v>
      </c>
      <c r="E20" s="85" t="s">
        <v>158</v>
      </c>
      <c r="F20" s="86" t="n">
        <f aca="true">TODAY()-220</f>
        <v>46031</v>
      </c>
      <c r="G20" s="86" t="n">
        <f aca="true">TODAY()-120</f>
        <v>46131</v>
      </c>
      <c r="H20" s="86" t="n">
        <f aca="true">TODAY()-110</f>
        <v>46141</v>
      </c>
      <c r="I20" s="86" t="n">
        <f aca="true">TODAY()-110</f>
        <v>46141</v>
      </c>
      <c r="J20" s="81" t="n">
        <f aca="false">IF(OR($D20="",$G20=""),"",IF($I20&lt;&gt;"",$I20-$G20,IF($H20="","",$H20-$G20)))</f>
        <v>10</v>
      </c>
      <c r="K20" s="87" t="n">
        <v>1</v>
      </c>
      <c r="L20" s="83" t="n">
        <f aca="false">IF(OR($D20="",Setup!$D$18=""),"",Setup!$D$18-IF($I20&lt;&gt;"",$I20,IF($H20&lt;&gt;"",$H20,$G20)))</f>
        <v>205</v>
      </c>
      <c r="M20" s="84" t="str">
        <f aca="false">IF($D20="","",IF($I20&lt;&gt;"","Done",IF(AND($L20&lt;&gt;"",$L20&lt;0),"Past RFS",IF(AND($G20&lt;&gt;"",Setup!$D$19&gt;$G20),"Late",IF(AND($H20&lt;&gt;"",$G20&lt;&gt;"",$H20&gt;$G20),"At risk",IF(AND($G20&lt;&gt;"",$G20-Setup!$D$19&lt;=Setup!$D$23),"Due soon",IF(AND($F20&lt;&gt;"",Setup!$D$19&gt;=$F20),"In progress","Not started")))))))</f>
        <v>Done</v>
      </c>
      <c r="N20" s="85"/>
    </row>
    <row r="21" customFormat="false" ht="33.75" hidden="false" customHeight="true" outlineLevel="0" collapsed="false">
      <c r="B21" s="78" t="str">
        <f aca="false">IF($D21="","","A"&amp;TEXT(ROW()-6,"000"))</f>
        <v>A015</v>
      </c>
      <c r="C21" s="79" t="s">
        <v>182</v>
      </c>
      <c r="D21" s="79" t="s">
        <v>243</v>
      </c>
      <c r="E21" s="79" t="s">
        <v>244</v>
      </c>
      <c r="F21" s="80" t="n">
        <f aca="true">TODAY()-180</f>
        <v>46071</v>
      </c>
      <c r="G21" s="80" t="n">
        <f aca="true">TODAY()-40</f>
        <v>46211</v>
      </c>
      <c r="H21" s="80" t="n">
        <f aca="true">TODAY()-25</f>
        <v>46226</v>
      </c>
      <c r="I21" s="80"/>
      <c r="J21" s="81" t="n">
        <f aca="false">IF(OR($D21="",$G21=""),"",IF($I21&lt;&gt;"",$I21-$G21,IF($H21="","",$H21-$G21)))</f>
        <v>15</v>
      </c>
      <c r="K21" s="82" t="n">
        <v>0.92</v>
      </c>
      <c r="L21" s="83" t="n">
        <f aca="false">IF(OR($D21="",Setup!$D$18=""),"",Setup!$D$18-IF($I21&lt;&gt;"",$I21,IF($H21&lt;&gt;"",$H21,$G21)))</f>
        <v>120</v>
      </c>
      <c r="M21" s="84" t="str">
        <f aca="false">IF($D21="","",IF($I21&lt;&gt;"","Done",IF(AND($L21&lt;&gt;"",$L21&lt;0),"Past RFS",IF(AND($G21&lt;&gt;"",Setup!$D$19&gt;$G21),"Late",IF(AND($H21&lt;&gt;"",$G21&lt;&gt;"",$H21&gt;$G21),"At risk",IF(AND($G21&lt;&gt;"",$G21-Setup!$D$19&lt;=Setup!$D$23),"Due soon",IF(AND($F21&lt;&gt;"",Setup!$D$19&gt;=$F21),"In progress","Not started")))))))</f>
        <v>Late</v>
      </c>
      <c r="N21" s="79"/>
    </row>
    <row r="22" customFormat="false" ht="33.75" hidden="false" customHeight="true" outlineLevel="0" collapsed="false">
      <c r="B22" s="78" t="str">
        <f aca="false">IF($D22="","","A"&amp;TEXT(ROW()-6,"000"))</f>
        <v>A016</v>
      </c>
      <c r="C22" s="85" t="s">
        <v>182</v>
      </c>
      <c r="D22" s="85" t="s">
        <v>245</v>
      </c>
      <c r="E22" s="85" t="s">
        <v>244</v>
      </c>
      <c r="F22" s="86" t="n">
        <f aca="true">TODAY()-150</f>
        <v>46101</v>
      </c>
      <c r="G22" s="86" t="n">
        <f aca="true">TODAY()-30</f>
        <v>46221</v>
      </c>
      <c r="H22" s="86" t="n">
        <f aca="true">TODAY()+5</f>
        <v>46256</v>
      </c>
      <c r="I22" s="86"/>
      <c r="J22" s="81" t="n">
        <f aca="false">IF(OR($D22="",$G22=""),"",IF($I22&lt;&gt;"",$I22-$G22,IF($H22="","",$H22-$G22)))</f>
        <v>35</v>
      </c>
      <c r="K22" s="87" t="n">
        <v>0.84</v>
      </c>
      <c r="L22" s="83" t="n">
        <f aca="false">IF(OR($D22="",Setup!$D$18=""),"",Setup!$D$18-IF($I22&lt;&gt;"",$I22,IF($H22&lt;&gt;"",$H22,$G22)))</f>
        <v>90</v>
      </c>
      <c r="M22" s="84" t="str">
        <f aca="false">IF($D22="","",IF($I22&lt;&gt;"","Done",IF(AND($L22&lt;&gt;"",$L22&lt;0),"Past RFS",IF(AND($G22&lt;&gt;"",Setup!$D$19&gt;$G22),"Late",IF(AND($H22&lt;&gt;"",$G22&lt;&gt;"",$H22&gt;$G22),"At risk",IF(AND($G22&lt;&gt;"",$G22-Setup!$D$19&lt;=Setup!$D$23),"Due soon",IF(AND($F22&lt;&gt;"",Setup!$D$19&gt;=$F22),"In progress","Not started")))))))</f>
        <v>Late</v>
      </c>
      <c r="N22" s="85" t="s">
        <v>246</v>
      </c>
    </row>
    <row r="23" customFormat="false" ht="33.75" hidden="false" customHeight="true" outlineLevel="0" collapsed="false">
      <c r="B23" s="78" t="str">
        <f aca="false">IF($D23="","","A"&amp;TEXT(ROW()-6,"000"))</f>
        <v>A017</v>
      </c>
      <c r="C23" s="79" t="s">
        <v>182</v>
      </c>
      <c r="D23" s="79" t="s">
        <v>247</v>
      </c>
      <c r="E23" s="79" t="s">
        <v>244</v>
      </c>
      <c r="F23" s="80" t="n">
        <f aca="true">TODAY()-150</f>
        <v>46101</v>
      </c>
      <c r="G23" s="80" t="n">
        <f aca="true">TODAY()-20</f>
        <v>46231</v>
      </c>
      <c r="H23" s="80" t="n">
        <f aca="true">TODAY()-5</f>
        <v>46246</v>
      </c>
      <c r="I23" s="80"/>
      <c r="J23" s="81" t="n">
        <f aca="false">IF(OR($D23="",$G23=""),"",IF($I23&lt;&gt;"",$I23-$G23,IF($H23="","",$H23-$G23)))</f>
        <v>15</v>
      </c>
      <c r="K23" s="82" t="n">
        <v>0.9</v>
      </c>
      <c r="L23" s="83" t="n">
        <f aca="false">IF(OR($D23="",Setup!$D$18=""),"",Setup!$D$18-IF($I23&lt;&gt;"",$I23,IF($H23&lt;&gt;"",$H23,$G23)))</f>
        <v>100</v>
      </c>
      <c r="M23" s="84" t="str">
        <f aca="false">IF($D23="","",IF($I23&lt;&gt;"","Done",IF(AND($L23&lt;&gt;"",$L23&lt;0),"Past RFS",IF(AND($G23&lt;&gt;"",Setup!$D$19&gt;$G23),"Late",IF(AND($H23&lt;&gt;"",$G23&lt;&gt;"",$H23&gt;$G23),"At risk",IF(AND($G23&lt;&gt;"",$G23-Setup!$D$19&lt;=Setup!$D$23),"Due soon",IF(AND($F23&lt;&gt;"",Setup!$D$19&gt;=$F23),"In progress","Not started")))))))</f>
        <v>Late</v>
      </c>
      <c r="N23" s="79"/>
    </row>
    <row r="24" customFormat="false" ht="33.75" hidden="false" customHeight="true" outlineLevel="0" collapsed="false">
      <c r="B24" s="78" t="str">
        <f aca="false">IF($D24="","","A"&amp;TEXT(ROW()-6,"000"))</f>
        <v>A018</v>
      </c>
      <c r="C24" s="85" t="s">
        <v>182</v>
      </c>
      <c r="D24" s="85" t="s">
        <v>248</v>
      </c>
      <c r="E24" s="85" t="s">
        <v>244</v>
      </c>
      <c r="F24" s="86" t="n">
        <f aca="true">TODAY()-100</f>
        <v>46151</v>
      </c>
      <c r="G24" s="86" t="n">
        <f aca="true">TODAY()+10</f>
        <v>46261</v>
      </c>
      <c r="H24" s="86" t="n">
        <f aca="true">TODAY()+10</f>
        <v>46261</v>
      </c>
      <c r="I24" s="86"/>
      <c r="J24" s="81" t="n">
        <f aca="false">IF(OR($D24="",$G24=""),"",IF($I24&lt;&gt;"",$I24-$G24,IF($H24="","",$H24-$G24)))</f>
        <v>0</v>
      </c>
      <c r="K24" s="87" t="n">
        <v>0.6</v>
      </c>
      <c r="L24" s="83" t="n">
        <f aca="false">IF(OR($D24="",Setup!$D$18=""),"",Setup!$D$18-IF($I24&lt;&gt;"",$I24,IF($H24&lt;&gt;"",$H24,$G24)))</f>
        <v>85</v>
      </c>
      <c r="M24" s="84" t="str">
        <f aca="false">IF($D24="","",IF($I24&lt;&gt;"","Done",IF(AND($L24&lt;&gt;"",$L24&lt;0),"Past RFS",IF(AND($G24&lt;&gt;"",Setup!$D$19&gt;$G24),"Late",IF(AND($H24&lt;&gt;"",$G24&lt;&gt;"",$H24&gt;$G24),"At risk",IF(AND($G24&lt;&gt;"",$G24-Setup!$D$19&lt;=Setup!$D$23),"Due soon",IF(AND($F24&lt;&gt;"",Setup!$D$19&gt;=$F24),"In progress","Not started")))))))</f>
        <v>Due soon</v>
      </c>
      <c r="N24" s="85"/>
    </row>
    <row r="25" customFormat="false" ht="33.75" hidden="false" customHeight="true" outlineLevel="0" collapsed="false">
      <c r="B25" s="78" t="str">
        <f aca="false">IF($D25="","","A"&amp;TEXT(ROW()-6,"000"))</f>
        <v>A019</v>
      </c>
      <c r="C25" s="79" t="s">
        <v>38</v>
      </c>
      <c r="D25" s="79" t="s">
        <v>249</v>
      </c>
      <c r="E25" s="79" t="s">
        <v>162</v>
      </c>
      <c r="F25" s="80" t="n">
        <f aca="true">TODAY()-60</f>
        <v>46191</v>
      </c>
      <c r="G25" s="80" t="n">
        <f aca="true">TODAY()+20</f>
        <v>46271</v>
      </c>
      <c r="H25" s="80" t="n">
        <f aca="true">TODAY()+30</f>
        <v>46281</v>
      </c>
      <c r="I25" s="80"/>
      <c r="J25" s="81" t="n">
        <f aca="false">IF(OR($D25="",$G25=""),"",IF($I25&lt;&gt;"",$I25-$G25,IF($H25="","",$H25-$G25)))</f>
        <v>10</v>
      </c>
      <c r="K25" s="82" t="n">
        <v>0.55</v>
      </c>
      <c r="L25" s="83" t="n">
        <f aca="false">IF(OR($D25="",Setup!$D$18=""),"",Setup!$D$18-IF($I25&lt;&gt;"",$I25,IF($H25&lt;&gt;"",$H25,$G25)))</f>
        <v>65</v>
      </c>
      <c r="M25" s="84" t="str">
        <f aca="false">IF($D25="","",IF($I25&lt;&gt;"","Done",IF(AND($L25&lt;&gt;"",$L25&lt;0),"Past RFS",IF(AND($G25&lt;&gt;"",Setup!$D$19&gt;$G25),"Late",IF(AND($H25&lt;&gt;"",$G25&lt;&gt;"",$H25&gt;$G25),"At risk",IF(AND($G25&lt;&gt;"",$G25-Setup!$D$19&lt;=Setup!$D$23),"Due soon",IF(AND($F25&lt;&gt;"",Setup!$D$19&gt;=$F25),"In progress","Not started")))))))</f>
        <v>At risk</v>
      </c>
      <c r="N25" s="79"/>
    </row>
    <row r="26" customFormat="false" ht="33.75" hidden="false" customHeight="true" outlineLevel="0" collapsed="false">
      <c r="B26" s="78" t="str">
        <f aca="false">IF($D26="","","A"&amp;TEXT(ROW()-6,"000"))</f>
        <v>A020</v>
      </c>
      <c r="C26" s="85" t="s">
        <v>38</v>
      </c>
      <c r="D26" s="85" t="s">
        <v>250</v>
      </c>
      <c r="E26" s="85" t="s">
        <v>162</v>
      </c>
      <c r="F26" s="86" t="n">
        <f aca="true">TODAY()+10</f>
        <v>46261</v>
      </c>
      <c r="G26" s="86" t="n">
        <f aca="true">TODAY()+55</f>
        <v>46306</v>
      </c>
      <c r="H26" s="86" t="n">
        <f aca="true">TODAY()+65</f>
        <v>46316</v>
      </c>
      <c r="I26" s="86"/>
      <c r="J26" s="81" t="n">
        <f aca="false">IF(OR($D26="",$G26=""),"",IF($I26&lt;&gt;"",$I26-$G26,IF($H26="","",$H26-$G26)))</f>
        <v>10</v>
      </c>
      <c r="K26" s="87" t="n">
        <v>0.05</v>
      </c>
      <c r="L26" s="83" t="n">
        <f aca="false">IF(OR($D26="",Setup!$D$18=""),"",Setup!$D$18-IF($I26&lt;&gt;"",$I26,IF($H26&lt;&gt;"",$H26,$G26)))</f>
        <v>30</v>
      </c>
      <c r="M26" s="84" t="str">
        <f aca="false">IF($D26="","",IF($I26&lt;&gt;"","Done",IF(AND($L26&lt;&gt;"",$L26&lt;0),"Past RFS",IF(AND($G26&lt;&gt;"",Setup!$D$19&gt;$G26),"Late",IF(AND($H26&lt;&gt;"",$G26&lt;&gt;"",$H26&gt;$G26),"At risk",IF(AND($G26&lt;&gt;"",$G26-Setup!$D$19&lt;=Setup!$D$23),"Due soon",IF(AND($F26&lt;&gt;"",Setup!$D$19&gt;=$F26),"In progress","Not started")))))))</f>
        <v>At risk</v>
      </c>
      <c r="N26" s="85"/>
    </row>
    <row r="27" customFormat="false" ht="33.75" hidden="false" customHeight="true" outlineLevel="0" collapsed="false">
      <c r="B27" s="78" t="str">
        <f aca="false">IF($D27="","","A"&amp;TEXT(ROW()-6,"000"))</f>
        <v>A021</v>
      </c>
      <c r="C27" s="79" t="s">
        <v>38</v>
      </c>
      <c r="D27" s="79" t="s">
        <v>251</v>
      </c>
      <c r="E27" s="79" t="s">
        <v>162</v>
      </c>
      <c r="F27" s="80" t="n">
        <f aca="true">TODAY()+55</f>
        <v>46306</v>
      </c>
      <c r="G27" s="80" t="n">
        <f aca="true">TODAY()+75</f>
        <v>46326</v>
      </c>
      <c r="H27" s="80" t="n">
        <f aca="true">TODAY()+85</f>
        <v>46336</v>
      </c>
      <c r="I27" s="80"/>
      <c r="J27" s="81" t="n">
        <f aca="false">IF(OR($D27="",$G27=""),"",IF($I27&lt;&gt;"",$I27-$G27,IF($H27="","",$H27-$G27)))</f>
        <v>10</v>
      </c>
      <c r="K27" s="82" t="n">
        <v>0</v>
      </c>
      <c r="L27" s="83" t="n">
        <f aca="false">IF(OR($D27="",Setup!$D$18=""),"",Setup!$D$18-IF($I27&lt;&gt;"",$I27,IF($H27&lt;&gt;"",$H27,$G27)))</f>
        <v>10</v>
      </c>
      <c r="M27" s="84" t="str">
        <f aca="false">IF($D27="","",IF($I27&lt;&gt;"","Done",IF(AND($L27&lt;&gt;"",$L27&lt;0),"Past RFS",IF(AND($G27&lt;&gt;"",Setup!$D$19&gt;$G27),"Late",IF(AND($H27&lt;&gt;"",$G27&lt;&gt;"",$H27&gt;$G27),"At risk",IF(AND($G27&lt;&gt;"",$G27-Setup!$D$19&lt;=Setup!$D$23),"Due soon",IF(AND($F27&lt;&gt;"",Setup!$D$19&gt;=$F27),"In progress","Not started")))))))</f>
        <v>At risk</v>
      </c>
      <c r="N27" s="79" t="s">
        <v>252</v>
      </c>
    </row>
    <row r="28" customFormat="false" ht="33.75" hidden="false" customHeight="true" outlineLevel="0" collapsed="false">
      <c r="B28" s="78" t="str">
        <f aca="false">IF($D28="","","A"&amp;TEXT(ROW()-6,"000"))</f>
        <v>A022</v>
      </c>
      <c r="C28" s="85" t="s">
        <v>183</v>
      </c>
      <c r="D28" s="85" t="s">
        <v>253</v>
      </c>
      <c r="E28" s="85" t="s">
        <v>158</v>
      </c>
      <c r="F28" s="86" t="n">
        <f aca="true">TODAY()+30</f>
        <v>46281</v>
      </c>
      <c r="G28" s="86" t="n">
        <f aca="true">TODAY()+70</f>
        <v>46321</v>
      </c>
      <c r="H28" s="86" t="n">
        <f aca="true">TODAY()+78</f>
        <v>46329</v>
      </c>
      <c r="I28" s="86"/>
      <c r="J28" s="81" t="n">
        <f aca="false">IF(OR($D28="",$G28=""),"",IF($I28&lt;&gt;"",$I28-$G28,IF($H28="","",$H28-$G28)))</f>
        <v>8</v>
      </c>
      <c r="K28" s="87" t="n">
        <v>0</v>
      </c>
      <c r="L28" s="83" t="n">
        <f aca="false">IF(OR($D28="",Setup!$D$18=""),"",Setup!$D$18-IF($I28&lt;&gt;"",$I28,IF($H28&lt;&gt;"",$H28,$G28)))</f>
        <v>17</v>
      </c>
      <c r="M28" s="84" t="str">
        <f aca="false">IF($D28="","",IF($I28&lt;&gt;"","Done",IF(AND($L28&lt;&gt;"",$L28&lt;0),"Past RFS",IF(AND($G28&lt;&gt;"",Setup!$D$19&gt;$G28),"Late",IF(AND($H28&lt;&gt;"",$G28&lt;&gt;"",$H28&gt;$G28),"At risk",IF(AND($G28&lt;&gt;"",$G28-Setup!$D$19&lt;=Setup!$D$23),"Due soon",IF(AND($F28&lt;&gt;"",Setup!$D$19&gt;=$F28),"In progress","Not started")))))))</f>
        <v>At risk</v>
      </c>
      <c r="N28" s="85"/>
    </row>
    <row r="29" customFormat="false" ht="33.75" hidden="false" customHeight="true" outlineLevel="0" collapsed="false">
      <c r="B29" s="78" t="str">
        <f aca="false">IF($D29="","","A"&amp;TEXT(ROW()-6,"000"))</f>
        <v>A023</v>
      </c>
      <c r="C29" s="79" t="s">
        <v>183</v>
      </c>
      <c r="D29" s="79" t="s">
        <v>254</v>
      </c>
      <c r="E29" s="79" t="s">
        <v>165</v>
      </c>
      <c r="F29" s="80" t="n">
        <f aca="true">TODAY()-20</f>
        <v>46231</v>
      </c>
      <c r="G29" s="80" t="n">
        <f aca="true">TODAY()+60</f>
        <v>46311</v>
      </c>
      <c r="H29" s="80" t="n">
        <f aca="true">TODAY()+60</f>
        <v>46311</v>
      </c>
      <c r="I29" s="80"/>
      <c r="J29" s="81" t="n">
        <f aca="false">IF(OR($D29="",$G29=""),"",IF($I29&lt;&gt;"",$I29-$G29,IF($H29="","",$H29-$G29)))</f>
        <v>0</v>
      </c>
      <c r="K29" s="82" t="n">
        <v>0.15</v>
      </c>
      <c r="L29" s="83" t="n">
        <f aca="false">IF(OR($D29="",Setup!$D$18=""),"",Setup!$D$18-IF($I29&lt;&gt;"",$I29,IF($H29&lt;&gt;"",$H29,$G29)))</f>
        <v>35</v>
      </c>
      <c r="M29" s="84" t="str">
        <f aca="false">IF($D29="","",IF($I29&lt;&gt;"","Done",IF(AND($L29&lt;&gt;"",$L29&lt;0),"Past RFS",IF(AND($G29&lt;&gt;"",Setup!$D$19&gt;$G29),"Late",IF(AND($H29&lt;&gt;"",$G29&lt;&gt;"",$H29&gt;$G29),"At risk",IF(AND($G29&lt;&gt;"",$G29-Setup!$D$19&lt;=Setup!$D$23),"Due soon",IF(AND($F29&lt;&gt;"",Setup!$D$19&gt;=$F29),"In progress","Not started")))))))</f>
        <v>In progress</v>
      </c>
      <c r="N29" s="79"/>
    </row>
    <row r="30" customFormat="false" ht="33.75" hidden="false" customHeight="true" outlineLevel="0" collapsed="false">
      <c r="B30" s="78" t="str">
        <f aca="false">IF($D30="","","A"&amp;TEXT(ROW()-6,"000"))</f>
        <v>A024</v>
      </c>
      <c r="C30" s="85" t="s">
        <v>184</v>
      </c>
      <c r="D30" s="85" t="s">
        <v>255</v>
      </c>
      <c r="E30" s="85" t="s">
        <v>165</v>
      </c>
      <c r="F30" s="86" t="n">
        <f aca="true">TODAY()-30</f>
        <v>46221</v>
      </c>
      <c r="G30" s="86" t="n">
        <f aca="true">TODAY()+60</f>
        <v>46311</v>
      </c>
      <c r="H30" s="86" t="n">
        <f aca="true">TODAY()+75</f>
        <v>46326</v>
      </c>
      <c r="I30" s="86"/>
      <c r="J30" s="81" t="n">
        <f aca="false">IF(OR($D30="",$G30=""),"",IF($I30&lt;&gt;"",$I30-$G30,IF($H30="","",$H30-$G30)))</f>
        <v>15</v>
      </c>
      <c r="K30" s="87" t="n">
        <v>0.2</v>
      </c>
      <c r="L30" s="83" t="n">
        <f aca="false">IF(OR($D30="",Setup!$D$18=""),"",Setup!$D$18-IF($I30&lt;&gt;"",$I30,IF($H30&lt;&gt;"",$H30,$G30)))</f>
        <v>20</v>
      </c>
      <c r="M30" s="84" t="str">
        <f aca="false">IF($D30="","",IF($I30&lt;&gt;"","Done",IF(AND($L30&lt;&gt;"",$L30&lt;0),"Past RFS",IF(AND($G30&lt;&gt;"",Setup!$D$19&gt;$G30),"Late",IF(AND($H30&lt;&gt;"",$G30&lt;&gt;"",$H30&gt;$G30),"At risk",IF(AND($G30&lt;&gt;"",$G30-Setup!$D$19&lt;=Setup!$D$23),"Due soon",IF(AND($F30&lt;&gt;"",Setup!$D$19&gt;=$F30),"In progress","Not started")))))))</f>
        <v>At risk</v>
      </c>
      <c r="N30" s="85" t="s">
        <v>256</v>
      </c>
    </row>
    <row r="31" customFormat="false" ht="33.75" hidden="false" customHeight="true" outlineLevel="0" collapsed="false">
      <c r="B31" s="78" t="str">
        <f aca="false">IF($D31="","","A"&amp;TEXT(ROW()-6,"000"))</f>
        <v>A025</v>
      </c>
      <c r="C31" s="79" t="s">
        <v>184</v>
      </c>
      <c r="D31" s="79" t="s">
        <v>257</v>
      </c>
      <c r="E31" s="79" t="s">
        <v>165</v>
      </c>
      <c r="F31" s="80" t="n">
        <f aca="true">TODAY()-60</f>
        <v>46191</v>
      </c>
      <c r="G31" s="80" t="n">
        <f aca="true">TODAY()+55</f>
        <v>46306</v>
      </c>
      <c r="H31" s="80" t="n">
        <f aca="true">TODAY()+70</f>
        <v>46321</v>
      </c>
      <c r="I31" s="80"/>
      <c r="J31" s="81" t="n">
        <f aca="false">IF(OR($D31="",$G31=""),"",IF($I31&lt;&gt;"",$I31-$G31,IF($H31="","",$H31-$G31)))</f>
        <v>15</v>
      </c>
      <c r="K31" s="82" t="n">
        <v>0.4</v>
      </c>
      <c r="L31" s="83" t="n">
        <f aca="false">IF(OR($D31="",Setup!$D$18=""),"",Setup!$D$18-IF($I31&lt;&gt;"",$I31,IF($H31&lt;&gt;"",$H31,$G31)))</f>
        <v>25</v>
      </c>
      <c r="M31" s="84" t="str">
        <f aca="false">IF($D31="","",IF($I31&lt;&gt;"","Done",IF(AND($L31&lt;&gt;"",$L31&lt;0),"Past RFS",IF(AND($G31&lt;&gt;"",Setup!$D$19&gt;$G31),"Late",IF(AND($H31&lt;&gt;"",$G31&lt;&gt;"",$H31&gt;$G31),"At risk",IF(AND($G31&lt;&gt;"",$G31-Setup!$D$19&lt;=Setup!$D$23),"Due soon",IF(AND($F31&lt;&gt;"",Setup!$D$19&gt;=$F31),"In progress","Not started")))))))</f>
        <v>At risk</v>
      </c>
      <c r="N31" s="79"/>
    </row>
    <row r="32" customFormat="false" ht="33.75" hidden="false" customHeight="true" outlineLevel="0" collapsed="false">
      <c r="B32" s="78" t="str">
        <f aca="false">IF($D32="","","A"&amp;TEXT(ROW()-6,"000"))</f>
        <v>A026</v>
      </c>
      <c r="C32" s="85" t="s">
        <v>185</v>
      </c>
      <c r="D32" s="85" t="s">
        <v>258</v>
      </c>
      <c r="E32" s="85" t="s">
        <v>97</v>
      </c>
      <c r="F32" s="86" t="n">
        <f aca="true">TODAY()+85</f>
        <v>46336</v>
      </c>
      <c r="G32" s="86" t="n">
        <f aca="true">TODAY()+95</f>
        <v>46346</v>
      </c>
      <c r="H32" s="86" t="n">
        <f aca="true">TODAY()+105</f>
        <v>46356</v>
      </c>
      <c r="I32" s="86"/>
      <c r="J32" s="81" t="n">
        <f aca="false">IF(OR($D32="",$G32=""),"",IF($I32&lt;&gt;"",$I32-$G32,IF($H32="","",$H32-$G32)))</f>
        <v>10</v>
      </c>
      <c r="K32" s="87" t="n">
        <v>0</v>
      </c>
      <c r="L32" s="83" t="n">
        <f aca="false">IF(OR($D32="",Setup!$D$18=""),"",Setup!$D$18-IF($I32&lt;&gt;"",$I32,IF($H32&lt;&gt;"",$H32,$G32)))</f>
        <v>-10</v>
      </c>
      <c r="M32" s="84" t="str">
        <f aca="false">IF($D32="","",IF($I32&lt;&gt;"","Done",IF(AND($L32&lt;&gt;"",$L32&lt;0),"Past RFS",IF(AND($G32&lt;&gt;"",Setup!$D$19&gt;$G32),"Late",IF(AND($H32&lt;&gt;"",$G32&lt;&gt;"",$H32&gt;$G32),"At risk",IF(AND($G32&lt;&gt;"",$G32-Setup!$D$19&lt;=Setup!$D$23),"Due soon",IF(AND($F32&lt;&gt;"",Setup!$D$19&gt;=$F32),"In progress","Not started")))))))</f>
        <v>Past RFS</v>
      </c>
      <c r="N32" s="85"/>
    </row>
    <row r="33" customFormat="false" ht="33.75" hidden="false" customHeight="true" outlineLevel="0" collapsed="false">
      <c r="B33" s="78" t="str">
        <f aca="false">IF($D33="","","A"&amp;TEXT(ROW()-6,"000"))</f>
        <v/>
      </c>
      <c r="C33" s="79"/>
      <c r="D33" s="79"/>
      <c r="E33" s="79"/>
      <c r="F33" s="80"/>
      <c r="G33" s="80"/>
      <c r="H33" s="80"/>
      <c r="I33" s="80"/>
      <c r="J33" s="81" t="str">
        <f aca="false">IF(OR($D33="",$G33=""),"",IF($I33&lt;&gt;"",$I33-$G33,IF($H33="","",$H33-$G33)))</f>
        <v/>
      </c>
      <c r="K33" s="82"/>
      <c r="L33" s="83" t="str">
        <f aca="false">IF(OR($D33="",Setup!$D$18=""),"",Setup!$D$18-IF($I33&lt;&gt;"",$I33,IF($H33&lt;&gt;"",$H33,$G33)))</f>
        <v/>
      </c>
      <c r="M33" s="84" t="str">
        <f aca="false">IF($D33="","",IF($I33&lt;&gt;"","Done",IF(AND($L33&lt;&gt;"",$L33&lt;0),"Past RFS",IF(AND($G33&lt;&gt;"",Setup!$D$19&gt;$G33),"Late",IF(AND($H33&lt;&gt;"",$G33&lt;&gt;"",$H33&gt;$G33),"At risk",IF(AND($G33&lt;&gt;"",$G33-Setup!$D$19&lt;=Setup!$D$23),"Due soon",IF(AND($F33&lt;&gt;"",Setup!$D$19&gt;=$F33),"In progress","Not started")))))))</f>
        <v/>
      </c>
      <c r="N33" s="79"/>
    </row>
    <row r="34" customFormat="false" ht="33.75" hidden="false" customHeight="true" outlineLevel="0" collapsed="false">
      <c r="B34" s="78" t="str">
        <f aca="false">IF($D34="","","A"&amp;TEXT(ROW()-6,"000"))</f>
        <v/>
      </c>
      <c r="C34" s="85"/>
      <c r="D34" s="85"/>
      <c r="E34" s="85"/>
      <c r="F34" s="86"/>
      <c r="G34" s="86"/>
      <c r="H34" s="86"/>
      <c r="I34" s="86"/>
      <c r="J34" s="81" t="str">
        <f aca="false">IF(OR($D34="",$G34=""),"",IF($I34&lt;&gt;"",$I34-$G34,IF($H34="","",$H34-$G34)))</f>
        <v/>
      </c>
      <c r="K34" s="87"/>
      <c r="L34" s="83" t="str">
        <f aca="false">IF(OR($D34="",Setup!$D$18=""),"",Setup!$D$18-IF($I34&lt;&gt;"",$I34,IF($H34&lt;&gt;"",$H34,$G34)))</f>
        <v/>
      </c>
      <c r="M34" s="84" t="str">
        <f aca="false">IF($D34="","",IF($I34&lt;&gt;"","Done",IF(AND($L34&lt;&gt;"",$L34&lt;0),"Past RFS",IF(AND($G34&lt;&gt;"",Setup!$D$19&gt;$G34),"Late",IF(AND($H34&lt;&gt;"",$G34&lt;&gt;"",$H34&gt;$G34),"At risk",IF(AND($G34&lt;&gt;"",$G34-Setup!$D$19&lt;=Setup!$D$23),"Due soon",IF(AND($F34&lt;&gt;"",Setup!$D$19&gt;=$F34),"In progress","Not started")))))))</f>
        <v/>
      </c>
      <c r="N34" s="85"/>
    </row>
    <row r="35" customFormat="false" ht="33.75" hidden="false" customHeight="true" outlineLevel="0" collapsed="false">
      <c r="B35" s="78" t="str">
        <f aca="false">IF($D35="","","A"&amp;TEXT(ROW()-6,"000"))</f>
        <v/>
      </c>
      <c r="C35" s="79"/>
      <c r="D35" s="79"/>
      <c r="E35" s="79"/>
      <c r="F35" s="80"/>
      <c r="G35" s="80"/>
      <c r="H35" s="80"/>
      <c r="I35" s="80"/>
      <c r="J35" s="81" t="str">
        <f aca="false">IF(OR($D35="",$G35=""),"",IF($I35&lt;&gt;"",$I35-$G35,IF($H35="","",$H35-$G35)))</f>
        <v/>
      </c>
      <c r="K35" s="82"/>
      <c r="L35" s="83" t="str">
        <f aca="false">IF(OR($D35="",Setup!$D$18=""),"",Setup!$D$18-IF($I35&lt;&gt;"",$I35,IF($H35&lt;&gt;"",$H35,$G35)))</f>
        <v/>
      </c>
      <c r="M35" s="84" t="str">
        <f aca="false">IF($D35="","",IF($I35&lt;&gt;"","Done",IF(AND($L35&lt;&gt;"",$L35&lt;0),"Past RFS",IF(AND($G35&lt;&gt;"",Setup!$D$19&gt;$G35),"Late",IF(AND($H35&lt;&gt;"",$G35&lt;&gt;"",$H35&gt;$G35),"At risk",IF(AND($G35&lt;&gt;"",$G35-Setup!$D$19&lt;=Setup!$D$23),"Due soon",IF(AND($F35&lt;&gt;"",Setup!$D$19&gt;=$F35),"In progress","Not started")))))))</f>
        <v/>
      </c>
      <c r="N35" s="79"/>
    </row>
    <row r="36" customFormat="false" ht="33.75" hidden="false" customHeight="true" outlineLevel="0" collapsed="false">
      <c r="B36" s="78" t="str">
        <f aca="false">IF($D36="","","A"&amp;TEXT(ROW()-6,"000"))</f>
        <v/>
      </c>
      <c r="C36" s="85"/>
      <c r="D36" s="85"/>
      <c r="E36" s="85"/>
      <c r="F36" s="86"/>
      <c r="G36" s="86"/>
      <c r="H36" s="86"/>
      <c r="I36" s="86"/>
      <c r="J36" s="81" t="str">
        <f aca="false">IF(OR($D36="",$G36=""),"",IF($I36&lt;&gt;"",$I36-$G36,IF($H36="","",$H36-$G36)))</f>
        <v/>
      </c>
      <c r="K36" s="87"/>
      <c r="L36" s="83" t="str">
        <f aca="false">IF(OR($D36="",Setup!$D$18=""),"",Setup!$D$18-IF($I36&lt;&gt;"",$I36,IF($H36&lt;&gt;"",$H36,$G36)))</f>
        <v/>
      </c>
      <c r="M36" s="84" t="str">
        <f aca="false">IF($D36="","",IF($I36&lt;&gt;"","Done",IF(AND($L36&lt;&gt;"",$L36&lt;0),"Past RFS",IF(AND($G36&lt;&gt;"",Setup!$D$19&gt;$G36),"Late",IF(AND($H36&lt;&gt;"",$G36&lt;&gt;"",$H36&gt;$G36),"At risk",IF(AND($G36&lt;&gt;"",$G36-Setup!$D$19&lt;=Setup!$D$23),"Due soon",IF(AND($F36&lt;&gt;"",Setup!$D$19&gt;=$F36),"In progress","Not started")))))))</f>
        <v/>
      </c>
      <c r="N36" s="85"/>
    </row>
    <row r="37" customFormat="false" ht="33.75" hidden="false" customHeight="true" outlineLevel="0" collapsed="false">
      <c r="B37" s="78" t="str">
        <f aca="false">IF($D37="","","A"&amp;TEXT(ROW()-6,"000"))</f>
        <v/>
      </c>
      <c r="C37" s="79"/>
      <c r="D37" s="79"/>
      <c r="E37" s="79"/>
      <c r="F37" s="80"/>
      <c r="G37" s="80"/>
      <c r="H37" s="80"/>
      <c r="I37" s="80"/>
      <c r="J37" s="81" t="str">
        <f aca="false">IF(OR($D37="",$G37=""),"",IF($I37&lt;&gt;"",$I37-$G37,IF($H37="","",$H37-$G37)))</f>
        <v/>
      </c>
      <c r="K37" s="82"/>
      <c r="L37" s="83" t="str">
        <f aca="false">IF(OR($D37="",Setup!$D$18=""),"",Setup!$D$18-IF($I37&lt;&gt;"",$I37,IF($H37&lt;&gt;"",$H37,$G37)))</f>
        <v/>
      </c>
      <c r="M37" s="84" t="str">
        <f aca="false">IF($D37="","",IF($I37&lt;&gt;"","Done",IF(AND($L37&lt;&gt;"",$L37&lt;0),"Past RFS",IF(AND($G37&lt;&gt;"",Setup!$D$19&gt;$G37),"Late",IF(AND($H37&lt;&gt;"",$G37&lt;&gt;"",$H37&gt;$G37),"At risk",IF(AND($G37&lt;&gt;"",$G37-Setup!$D$19&lt;=Setup!$D$23),"Due soon",IF(AND($F37&lt;&gt;"",Setup!$D$19&gt;=$F37),"In progress","Not started")))))))</f>
        <v/>
      </c>
      <c r="N37" s="79"/>
    </row>
    <row r="38" customFormat="false" ht="33.75" hidden="false" customHeight="true" outlineLevel="0" collapsed="false">
      <c r="B38" s="78" t="str">
        <f aca="false">IF($D38="","","A"&amp;TEXT(ROW()-6,"000"))</f>
        <v/>
      </c>
      <c r="C38" s="85"/>
      <c r="D38" s="85"/>
      <c r="E38" s="85"/>
      <c r="F38" s="86"/>
      <c r="G38" s="86"/>
      <c r="H38" s="86"/>
      <c r="I38" s="86"/>
      <c r="J38" s="81" t="str">
        <f aca="false">IF(OR($D38="",$G38=""),"",IF($I38&lt;&gt;"",$I38-$G38,IF($H38="","",$H38-$G38)))</f>
        <v/>
      </c>
      <c r="K38" s="87"/>
      <c r="L38" s="83" t="str">
        <f aca="false">IF(OR($D38="",Setup!$D$18=""),"",Setup!$D$18-IF($I38&lt;&gt;"",$I38,IF($H38&lt;&gt;"",$H38,$G38)))</f>
        <v/>
      </c>
      <c r="M38" s="84" t="str">
        <f aca="false">IF($D38="","",IF($I38&lt;&gt;"","Done",IF(AND($L38&lt;&gt;"",$L38&lt;0),"Past RFS",IF(AND($G38&lt;&gt;"",Setup!$D$19&gt;$G38),"Late",IF(AND($H38&lt;&gt;"",$G38&lt;&gt;"",$H38&gt;$G38),"At risk",IF(AND($G38&lt;&gt;"",$G38-Setup!$D$19&lt;=Setup!$D$23),"Due soon",IF(AND($F38&lt;&gt;"",Setup!$D$19&gt;=$F38),"In progress","Not started")))))))</f>
        <v/>
      </c>
      <c r="N38" s="85"/>
    </row>
    <row r="39" customFormat="false" ht="33.75" hidden="false" customHeight="true" outlineLevel="0" collapsed="false">
      <c r="B39" s="78" t="str">
        <f aca="false">IF($D39="","","A"&amp;TEXT(ROW()-6,"000"))</f>
        <v/>
      </c>
      <c r="C39" s="79"/>
      <c r="D39" s="79"/>
      <c r="E39" s="79"/>
      <c r="F39" s="80"/>
      <c r="G39" s="80"/>
      <c r="H39" s="80"/>
      <c r="I39" s="80"/>
      <c r="J39" s="81" t="str">
        <f aca="false">IF(OR($D39="",$G39=""),"",IF($I39&lt;&gt;"",$I39-$G39,IF($H39="","",$H39-$G39)))</f>
        <v/>
      </c>
      <c r="K39" s="82"/>
      <c r="L39" s="83" t="str">
        <f aca="false">IF(OR($D39="",Setup!$D$18=""),"",Setup!$D$18-IF($I39&lt;&gt;"",$I39,IF($H39&lt;&gt;"",$H39,$G39)))</f>
        <v/>
      </c>
      <c r="M39" s="84" t="str">
        <f aca="false">IF($D39="","",IF($I39&lt;&gt;"","Done",IF(AND($L39&lt;&gt;"",$L39&lt;0),"Past RFS",IF(AND($G39&lt;&gt;"",Setup!$D$19&gt;$G39),"Late",IF(AND($H39&lt;&gt;"",$G39&lt;&gt;"",$H39&gt;$G39),"At risk",IF(AND($G39&lt;&gt;"",$G39-Setup!$D$19&lt;=Setup!$D$23),"Due soon",IF(AND($F39&lt;&gt;"",Setup!$D$19&gt;=$F39),"In progress","Not started")))))))</f>
        <v/>
      </c>
      <c r="N39" s="79"/>
    </row>
    <row r="40" customFormat="false" ht="33.75" hidden="false" customHeight="true" outlineLevel="0" collapsed="false">
      <c r="B40" s="78" t="str">
        <f aca="false">IF($D40="","","A"&amp;TEXT(ROW()-6,"000"))</f>
        <v/>
      </c>
      <c r="C40" s="85"/>
      <c r="D40" s="85"/>
      <c r="E40" s="85"/>
      <c r="F40" s="86"/>
      <c r="G40" s="86"/>
      <c r="H40" s="86"/>
      <c r="I40" s="86"/>
      <c r="J40" s="81" t="str">
        <f aca="false">IF(OR($D40="",$G40=""),"",IF($I40&lt;&gt;"",$I40-$G40,IF($H40="","",$H40-$G40)))</f>
        <v/>
      </c>
      <c r="K40" s="87"/>
      <c r="L40" s="83" t="str">
        <f aca="false">IF(OR($D40="",Setup!$D$18=""),"",Setup!$D$18-IF($I40&lt;&gt;"",$I40,IF($H40&lt;&gt;"",$H40,$G40)))</f>
        <v/>
      </c>
      <c r="M40" s="84" t="str">
        <f aca="false">IF($D40="","",IF($I40&lt;&gt;"","Done",IF(AND($L40&lt;&gt;"",$L40&lt;0),"Past RFS",IF(AND($G40&lt;&gt;"",Setup!$D$19&gt;$G40),"Late",IF(AND($H40&lt;&gt;"",$G40&lt;&gt;"",$H40&gt;$G40),"At risk",IF(AND($G40&lt;&gt;"",$G40-Setup!$D$19&lt;=Setup!$D$23),"Due soon",IF(AND($F40&lt;&gt;"",Setup!$D$19&gt;=$F40),"In progress","Not started")))))))</f>
        <v/>
      </c>
      <c r="N40" s="85"/>
    </row>
    <row r="42" customFormat="false" ht="15" hidden="false" customHeight="true" outlineLevel="0" collapsed="false">
      <c r="B42" s="43" t="s">
        <v>259</v>
      </c>
      <c r="C42" s="43"/>
      <c r="D42" s="43"/>
      <c r="E42" s="43"/>
      <c r="F42" s="43"/>
      <c r="G42" s="43"/>
      <c r="H42" s="43"/>
      <c r="I42" s="43"/>
      <c r="J42" s="43"/>
    </row>
    <row r="43" customFormat="false" ht="15" hidden="false" customHeight="true" outlineLevel="0" collapsed="false">
      <c r="B43" s="43"/>
      <c r="C43" s="43"/>
      <c r="D43" s="43"/>
      <c r="E43" s="43"/>
      <c r="F43" s="43"/>
      <c r="G43" s="43"/>
      <c r="H43" s="43"/>
      <c r="I43" s="43"/>
      <c r="J43" s="43"/>
    </row>
    <row r="45" customFormat="false" ht="18" hidden="false" customHeight="true" outlineLevel="0" collapsed="false">
      <c r="B45" s="52" t="s">
        <v>129</v>
      </c>
      <c r="C45" s="52"/>
      <c r="D45" s="52"/>
      <c r="E45" s="52"/>
      <c r="F45" s="52"/>
      <c r="G45" s="52"/>
      <c r="H45" s="52"/>
      <c r="I45" s="52"/>
      <c r="J45" s="52"/>
      <c r="K45" s="52"/>
      <c r="L45" s="52"/>
      <c r="M45" s="52"/>
      <c r="N45" s="52"/>
    </row>
  </sheetData>
  <autoFilter ref="B6:N40"/>
  <mergeCells count="6">
    <mergeCell ref="B1:N1"/>
    <mergeCell ref="B2:N2"/>
    <mergeCell ref="B3:N3"/>
    <mergeCell ref="B4:N4"/>
    <mergeCell ref="B42:J43"/>
    <mergeCell ref="B45:N45"/>
  </mergeCells>
  <conditionalFormatting sqref="B3:N3">
    <cfRule type="expression" priority="2" aboveAverage="0" equalAverage="0" bottom="0" percent="0" rank="0" text="" dxfId="0">
      <formula>LEN($B$3)&gt;0</formula>
    </cfRule>
  </conditionalFormatting>
  <conditionalFormatting sqref="B7:N40">
    <cfRule type="expression" priority="3" aboveAverage="0" equalAverage="0" bottom="0" percent="0" rank="0" text="" dxfId="4">
      <formula>$M7="Done"</formula>
    </cfRule>
    <cfRule type="expression" priority="4" aboveAverage="0" equalAverage="0" bottom="0" percent="0" rank="0" text="" dxfId="19">
      <formula>$M7="Past RFS"</formula>
    </cfRule>
    <cfRule type="expression" priority="5" aboveAverage="0" equalAverage="0" bottom="0" percent="0" rank="0" text="" dxfId="19">
      <formula>AND($M7&lt;&gt;"Past RFS",$M7="Late")</formula>
    </cfRule>
    <cfRule type="expression" priority="6" aboveAverage="0" equalAverage="0" bottom="0" percent="0" rank="0" text="" dxfId="5">
      <formula>AND($M7&lt;&gt;"Past RFS",$M7="At risk")</formula>
    </cfRule>
    <cfRule type="expression" priority="7" aboveAverage="0" equalAverage="0" bottom="0" percent="0" rank="0" text="" dxfId="0">
      <formula>AND($M7&lt;&gt;"Past RFS",$M7="Due soon")</formula>
    </cfRule>
  </conditionalFormatting>
  <conditionalFormatting sqref="C7:C40">
    <cfRule type="expression" priority="8" aboveAverage="0" equalAverage="0" bottom="0" percent="0" rank="0" text="" dxfId="20">
      <formula>OR($C7="Power &amp; grid connection",$C7="Long-lead procurement")</formula>
    </cfRule>
  </conditionalFormatting>
  <conditionalFormatting sqref="K7:K40">
    <cfRule type="dataBar" priority="9">
      <dataBar showValue="1" minLength="10" maxLength="90">
        <cfvo type="num" val="0"/>
        <cfvo type="num" val="1"/>
        <color rgb="FF64B6F7"/>
      </dataBar>
      <extLst>
        <ext xmlns:x14="http://schemas.microsoft.com/office/spreadsheetml/2009/9/main" uri="{B025F937-C7B1-47D3-B67F-A62EFF666E3E}">
          <x14:id>{86C06098-33E2-417A-B7EC-70B19886553B}</x14:id>
        </ext>
      </extLst>
    </cfRule>
  </conditionalFormatting>
  <dataValidations count="69">
    <dataValidation allowBlank="true" errorStyle="stop" operator="between" showDropDown="false" showErrorMessage="false" showInputMessage="false" sqref="C7" type="list">
      <formula1>Reference!$B$79:$B$89</formula1>
      <formula2>0</formula2>
    </dataValidation>
    <dataValidation allowBlank="true" errorStyle="stop" operator="between" showDropDown="false" showErrorMessage="false" showInputMessage="false" sqref="E7" type="list">
      <formula1>Reference!$C$79:$C$89</formula1>
      <formula2>0</formula2>
    </dataValidation>
    <dataValidation allowBlank="true" errorStyle="stop" operator="between" showDropDown="false" showErrorMessage="false" showInputMessage="false" sqref="C8" type="list">
      <formula1>Reference!$B$79:$B$89</formula1>
      <formula2>0</formula2>
    </dataValidation>
    <dataValidation allowBlank="true" errorStyle="stop" operator="between" showDropDown="false" showErrorMessage="false" showInputMessage="false" sqref="E8" type="list">
      <formula1>Reference!$C$79:$C$89</formula1>
      <formula2>0</formula2>
    </dataValidation>
    <dataValidation allowBlank="true" errorStyle="stop" operator="between" showDropDown="false" showErrorMessage="false" showInputMessage="false" sqref="C9" type="list">
      <formula1>Reference!$B$79:$B$89</formula1>
      <formula2>0</formula2>
    </dataValidation>
    <dataValidation allowBlank="true" errorStyle="stop" operator="between" showDropDown="false" showErrorMessage="false" showInputMessage="false" sqref="E9" type="list">
      <formula1>Reference!$C$79:$C$89</formula1>
      <formula2>0</formula2>
    </dataValidation>
    <dataValidation allowBlank="true" errorStyle="stop" operator="between" showDropDown="false" showErrorMessage="false" showInputMessage="false" sqref="C10" type="list">
      <formula1>Reference!$B$79:$B$89</formula1>
      <formula2>0</formula2>
    </dataValidation>
    <dataValidation allowBlank="true" errorStyle="stop" operator="between" showDropDown="false" showErrorMessage="false" showInputMessage="false" sqref="E10" type="list">
      <formula1>Reference!$C$79:$C$89</formula1>
      <formula2>0</formula2>
    </dataValidation>
    <dataValidation allowBlank="true" errorStyle="stop" operator="between" showDropDown="false" showErrorMessage="false" showInputMessage="false" sqref="C11" type="list">
      <formula1>Reference!$B$79:$B$89</formula1>
      <formula2>0</formula2>
    </dataValidation>
    <dataValidation allowBlank="true" errorStyle="stop" operator="between" showDropDown="false" showErrorMessage="false" showInputMessage="false" sqref="E11" type="list">
      <formula1>Reference!$C$79:$C$89</formula1>
      <formula2>0</formula2>
    </dataValidation>
    <dataValidation allowBlank="true" errorStyle="stop" operator="between" showDropDown="false" showErrorMessage="false" showInputMessage="false" sqref="C12" type="list">
      <formula1>Reference!$B$79:$B$89</formula1>
      <formula2>0</formula2>
    </dataValidation>
    <dataValidation allowBlank="true" errorStyle="stop" operator="between" showDropDown="false" showErrorMessage="false" showInputMessage="false" sqref="E12" type="list">
      <formula1>Reference!$C$79:$C$89</formula1>
      <formula2>0</formula2>
    </dataValidation>
    <dataValidation allowBlank="true" errorStyle="stop" operator="between" showDropDown="false" showErrorMessage="false" showInputMessage="false" sqref="C13" type="list">
      <formula1>Reference!$B$79:$B$89</formula1>
      <formula2>0</formula2>
    </dataValidation>
    <dataValidation allowBlank="true" errorStyle="stop" operator="between" showDropDown="false" showErrorMessage="false" showInputMessage="false" sqref="E13" type="list">
      <formula1>Reference!$C$79:$C$89</formula1>
      <formula2>0</formula2>
    </dataValidation>
    <dataValidation allowBlank="true" errorStyle="stop" operator="between" showDropDown="false" showErrorMessage="false" showInputMessage="false" sqref="C14" type="list">
      <formula1>Reference!$B$79:$B$89</formula1>
      <formula2>0</formula2>
    </dataValidation>
    <dataValidation allowBlank="true" errorStyle="stop" operator="between" showDropDown="false" showErrorMessage="false" showInputMessage="false" sqref="E14" type="list">
      <formula1>Reference!$C$79:$C$89</formula1>
      <formula2>0</formula2>
    </dataValidation>
    <dataValidation allowBlank="true" errorStyle="stop" operator="between" showDropDown="false" showErrorMessage="false" showInputMessage="false" sqref="C15" type="list">
      <formula1>Reference!$B$79:$B$89</formula1>
      <formula2>0</formula2>
    </dataValidation>
    <dataValidation allowBlank="true" errorStyle="stop" operator="between" showDropDown="false" showErrorMessage="false" showInputMessage="false" sqref="E15" type="list">
      <formula1>Reference!$C$79:$C$89</formula1>
      <formula2>0</formula2>
    </dataValidation>
    <dataValidation allowBlank="true" errorStyle="stop" operator="between" showDropDown="false" showErrorMessage="false" showInputMessage="false" sqref="C16" type="list">
      <formula1>Reference!$B$79:$B$89</formula1>
      <formula2>0</formula2>
    </dataValidation>
    <dataValidation allowBlank="true" errorStyle="stop" operator="between" showDropDown="false" showErrorMessage="false" showInputMessage="false" sqref="E16" type="list">
      <formula1>Reference!$C$79:$C$89</formula1>
      <formula2>0</formula2>
    </dataValidation>
    <dataValidation allowBlank="true" errorStyle="stop" operator="between" showDropDown="false" showErrorMessage="false" showInputMessage="false" sqref="C17" type="list">
      <formula1>Reference!$B$79:$B$89</formula1>
      <formula2>0</formula2>
    </dataValidation>
    <dataValidation allowBlank="true" errorStyle="stop" operator="between" showDropDown="false" showErrorMessage="false" showInputMessage="false" sqref="E17" type="list">
      <formula1>Reference!$C$79:$C$89</formula1>
      <formula2>0</formula2>
    </dataValidation>
    <dataValidation allowBlank="true" errorStyle="stop" operator="between" showDropDown="false" showErrorMessage="false" showInputMessage="false" sqref="C18" type="list">
      <formula1>Reference!$B$79:$B$89</formula1>
      <formula2>0</formula2>
    </dataValidation>
    <dataValidation allowBlank="true" errorStyle="stop" operator="between" showDropDown="false" showErrorMessage="false" showInputMessage="false" sqref="E18" type="list">
      <formula1>Reference!$C$79:$C$89</formula1>
      <formula2>0</formula2>
    </dataValidation>
    <dataValidation allowBlank="true" errorStyle="stop" operator="between" showDropDown="false" showErrorMessage="false" showInputMessage="false" sqref="C19" type="list">
      <formula1>Reference!$B$79:$B$89</formula1>
      <formula2>0</formula2>
    </dataValidation>
    <dataValidation allowBlank="true" errorStyle="stop" operator="between" showDropDown="false" showErrorMessage="false" showInputMessage="false" sqref="E19" type="list">
      <formula1>Reference!$C$79:$C$89</formula1>
      <formula2>0</formula2>
    </dataValidation>
    <dataValidation allowBlank="true" errorStyle="stop" operator="between" showDropDown="false" showErrorMessage="false" showInputMessage="false" sqref="C20" type="list">
      <formula1>Reference!$B$79:$B$89</formula1>
      <formula2>0</formula2>
    </dataValidation>
    <dataValidation allowBlank="true" errorStyle="stop" operator="between" showDropDown="false" showErrorMessage="false" showInputMessage="false" sqref="E20" type="list">
      <formula1>Reference!$C$79:$C$89</formula1>
      <formula2>0</formula2>
    </dataValidation>
    <dataValidation allowBlank="true" errorStyle="stop" operator="between" showDropDown="false" showErrorMessage="false" showInputMessage="false" sqref="C21" type="list">
      <formula1>Reference!$B$79:$B$89</formula1>
      <formula2>0</formula2>
    </dataValidation>
    <dataValidation allowBlank="true" errorStyle="stop" operator="between" showDropDown="false" showErrorMessage="false" showInputMessage="false" sqref="E21" type="list">
      <formula1>Reference!$C$79:$C$89</formula1>
      <formula2>0</formula2>
    </dataValidation>
    <dataValidation allowBlank="true" errorStyle="stop" operator="between" showDropDown="false" showErrorMessage="false" showInputMessage="false" sqref="C22" type="list">
      <formula1>Reference!$B$79:$B$89</formula1>
      <formula2>0</formula2>
    </dataValidation>
    <dataValidation allowBlank="true" errorStyle="stop" operator="between" showDropDown="false" showErrorMessage="false" showInputMessage="false" sqref="E22" type="list">
      <formula1>Reference!$C$79:$C$89</formula1>
      <formula2>0</formula2>
    </dataValidation>
    <dataValidation allowBlank="true" errorStyle="stop" operator="between" showDropDown="false" showErrorMessage="false" showInputMessage="false" sqref="C23" type="list">
      <formula1>Reference!$B$79:$B$89</formula1>
      <formula2>0</formula2>
    </dataValidation>
    <dataValidation allowBlank="true" errorStyle="stop" operator="between" showDropDown="false" showErrorMessage="false" showInputMessage="false" sqref="E23" type="list">
      <formula1>Reference!$C$79:$C$89</formula1>
      <formula2>0</formula2>
    </dataValidation>
    <dataValidation allowBlank="true" errorStyle="stop" operator="between" showDropDown="false" showErrorMessage="false" showInputMessage="false" sqref="C24" type="list">
      <formula1>Reference!$B$79:$B$89</formula1>
      <formula2>0</formula2>
    </dataValidation>
    <dataValidation allowBlank="true" errorStyle="stop" operator="between" showDropDown="false" showErrorMessage="false" showInputMessage="false" sqref="E24" type="list">
      <formula1>Reference!$C$79:$C$89</formula1>
      <formula2>0</formula2>
    </dataValidation>
    <dataValidation allowBlank="true" errorStyle="stop" operator="between" showDropDown="false" showErrorMessage="false" showInputMessage="false" sqref="C25" type="list">
      <formula1>Reference!$B$79:$B$89</formula1>
      <formula2>0</formula2>
    </dataValidation>
    <dataValidation allowBlank="true" errorStyle="stop" operator="between" showDropDown="false" showErrorMessage="false" showInputMessage="false" sqref="E25" type="list">
      <formula1>Reference!$C$79:$C$89</formula1>
      <formula2>0</formula2>
    </dataValidation>
    <dataValidation allowBlank="true" errorStyle="stop" operator="between" showDropDown="false" showErrorMessage="false" showInputMessage="false" sqref="C26" type="list">
      <formula1>Reference!$B$79:$B$89</formula1>
      <formula2>0</formula2>
    </dataValidation>
    <dataValidation allowBlank="true" errorStyle="stop" operator="between" showDropDown="false" showErrorMessage="false" showInputMessage="false" sqref="E26" type="list">
      <formula1>Reference!$C$79:$C$89</formula1>
      <formula2>0</formula2>
    </dataValidation>
    <dataValidation allowBlank="true" errorStyle="stop" operator="between" showDropDown="false" showErrorMessage="false" showInputMessage="false" sqref="C27" type="list">
      <formula1>Reference!$B$79:$B$89</formula1>
      <formula2>0</formula2>
    </dataValidation>
    <dataValidation allowBlank="true" errorStyle="stop" operator="between" showDropDown="false" showErrorMessage="false" showInputMessage="false" sqref="E27" type="list">
      <formula1>Reference!$C$79:$C$89</formula1>
      <formula2>0</formula2>
    </dataValidation>
    <dataValidation allowBlank="true" errorStyle="stop" operator="between" showDropDown="false" showErrorMessage="false" showInputMessage="false" sqref="C28" type="list">
      <formula1>Reference!$B$79:$B$89</formula1>
      <formula2>0</formula2>
    </dataValidation>
    <dataValidation allowBlank="true" errorStyle="stop" operator="between" showDropDown="false" showErrorMessage="false" showInputMessage="false" sqref="E28" type="list">
      <formula1>Reference!$C$79:$C$89</formula1>
      <formula2>0</formula2>
    </dataValidation>
    <dataValidation allowBlank="true" errorStyle="stop" operator="between" showDropDown="false" showErrorMessage="false" showInputMessage="false" sqref="C29" type="list">
      <formula1>Reference!$B$79:$B$89</formula1>
      <formula2>0</formula2>
    </dataValidation>
    <dataValidation allowBlank="true" errorStyle="stop" operator="between" showDropDown="false" showErrorMessage="false" showInputMessage="false" sqref="E29" type="list">
      <formula1>Reference!$C$79:$C$89</formula1>
      <formula2>0</formula2>
    </dataValidation>
    <dataValidation allowBlank="true" errorStyle="stop" operator="between" showDropDown="false" showErrorMessage="false" showInputMessage="false" sqref="C30" type="list">
      <formula1>Reference!$B$79:$B$89</formula1>
      <formula2>0</formula2>
    </dataValidation>
    <dataValidation allowBlank="true" errorStyle="stop" operator="between" showDropDown="false" showErrorMessage="false" showInputMessage="false" sqref="E30" type="list">
      <formula1>Reference!$C$79:$C$89</formula1>
      <formula2>0</formula2>
    </dataValidation>
    <dataValidation allowBlank="true" errorStyle="stop" operator="between" showDropDown="false" showErrorMessage="false" showInputMessage="false" sqref="C31" type="list">
      <formula1>Reference!$B$79:$B$89</formula1>
      <formula2>0</formula2>
    </dataValidation>
    <dataValidation allowBlank="true" errorStyle="stop" operator="between" showDropDown="false" showErrorMessage="false" showInputMessage="false" sqref="E31" type="list">
      <formula1>Reference!$C$79:$C$89</formula1>
      <formula2>0</formula2>
    </dataValidation>
    <dataValidation allowBlank="true" errorStyle="stop" operator="between" showDropDown="false" showErrorMessage="false" showInputMessage="false" sqref="C32" type="list">
      <formula1>Reference!$B$79:$B$89</formula1>
      <formula2>0</formula2>
    </dataValidation>
    <dataValidation allowBlank="true" errorStyle="stop" operator="between" showDropDown="false" showErrorMessage="false" showInputMessage="false" sqref="E32" type="list">
      <formula1>Reference!$C$79:$C$89</formula1>
      <formula2>0</formula2>
    </dataValidation>
    <dataValidation allowBlank="true" errorStyle="stop" operator="between" showDropDown="false" showErrorMessage="false" showInputMessage="false" sqref="C33" type="list">
      <formula1>Reference!$B$79:$B$89</formula1>
      <formula2>0</formula2>
    </dataValidation>
    <dataValidation allowBlank="true" errorStyle="stop" operator="between" showDropDown="false" showErrorMessage="false" showInputMessage="false" sqref="E33" type="list">
      <formula1>Reference!$C$79:$C$89</formula1>
      <formula2>0</formula2>
    </dataValidation>
    <dataValidation allowBlank="true" errorStyle="stop" operator="between" showDropDown="false" showErrorMessage="false" showInputMessage="false" sqref="C34" type="list">
      <formula1>Reference!$B$79:$B$89</formula1>
      <formula2>0</formula2>
    </dataValidation>
    <dataValidation allowBlank="true" errorStyle="stop" operator="between" showDropDown="false" showErrorMessage="false" showInputMessage="false" sqref="E34" type="list">
      <formula1>Reference!$C$79:$C$89</formula1>
      <formula2>0</formula2>
    </dataValidation>
    <dataValidation allowBlank="true" errorStyle="stop" operator="between" showDropDown="false" showErrorMessage="false" showInputMessage="false" sqref="C35" type="list">
      <formula1>Reference!$B$79:$B$89</formula1>
      <formula2>0</formula2>
    </dataValidation>
    <dataValidation allowBlank="true" errorStyle="stop" operator="between" showDropDown="false" showErrorMessage="false" showInputMessage="false" sqref="E35" type="list">
      <formula1>Reference!$C$79:$C$89</formula1>
      <formula2>0</formula2>
    </dataValidation>
    <dataValidation allowBlank="true" errorStyle="stop" operator="between" showDropDown="false" showErrorMessage="false" showInputMessage="false" sqref="C36" type="list">
      <formula1>Reference!$B$79:$B$89</formula1>
      <formula2>0</formula2>
    </dataValidation>
    <dataValidation allowBlank="true" errorStyle="stop" operator="between" showDropDown="false" showErrorMessage="false" showInputMessage="false" sqref="E36" type="list">
      <formula1>Reference!$C$79:$C$89</formula1>
      <formula2>0</formula2>
    </dataValidation>
    <dataValidation allowBlank="true" errorStyle="stop" operator="between" showDropDown="false" showErrorMessage="false" showInputMessage="false" sqref="C37" type="list">
      <formula1>Reference!$B$79:$B$89</formula1>
      <formula2>0</formula2>
    </dataValidation>
    <dataValidation allowBlank="true" errorStyle="stop" operator="between" showDropDown="false" showErrorMessage="false" showInputMessage="false" sqref="E37" type="list">
      <formula1>Reference!$C$79:$C$89</formula1>
      <formula2>0</formula2>
    </dataValidation>
    <dataValidation allowBlank="true" errorStyle="stop" operator="between" showDropDown="false" showErrorMessage="false" showInputMessage="false" sqref="C38" type="list">
      <formula1>Reference!$B$79:$B$89</formula1>
      <formula2>0</formula2>
    </dataValidation>
    <dataValidation allowBlank="true" errorStyle="stop" operator="between" showDropDown="false" showErrorMessage="false" showInputMessage="false" sqref="E38" type="list">
      <formula1>Reference!$C$79:$C$89</formula1>
      <formula2>0</formula2>
    </dataValidation>
    <dataValidation allowBlank="true" errorStyle="stop" operator="between" showDropDown="false" showErrorMessage="false" showInputMessage="false" sqref="C39" type="list">
      <formula1>Reference!$B$79:$B$89</formula1>
      <formula2>0</formula2>
    </dataValidation>
    <dataValidation allowBlank="true" errorStyle="stop" operator="between" showDropDown="false" showErrorMessage="false" showInputMessage="false" sqref="E39" type="list">
      <formula1>Reference!$C$79:$C$89</formula1>
      <formula2>0</formula2>
    </dataValidation>
    <dataValidation allowBlank="true" errorStyle="stop" operator="between" showDropDown="false" showErrorMessage="false" showInputMessage="false" sqref="C40" type="list">
      <formula1>Reference!$B$79:$B$89</formula1>
      <formula2>0</formula2>
    </dataValidation>
    <dataValidation allowBlank="true" errorStyle="stop" operator="between" showDropDown="false" showErrorMessage="false" showInputMessage="false" sqref="E40" type="list">
      <formula1>Reference!$C$79:$C$89</formula1>
      <formula2>0</formula2>
    </dataValidation>
    <dataValidation allowBlank="false" errorStyle="stop" operator="between" prompt="Where you actually think it will land. Leave it blank while the plan still holds; fill it the moment it does not." promptTitle="Forecast finish" showDropDown="false" showErrorMessage="false" showInputMessage="true" sqref="H7:H40" type="none">
      <formula1>0</formula1>
      <formula2>0</formula2>
    </dataValidation>
  </dataValidations>
  <hyperlinks>
    <hyperlink ref="B45" r:id="rId1" display="Visit mastt.com"/>
  </hyperlink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extLst>
    <ext xmlns:x14="http://schemas.microsoft.com/office/spreadsheetml/2009/9/main" uri="{78C0D931-6437-407d-A8EE-F0AAD7539E65}">
      <x14:conditionalFormattings>
        <x14:conditionalFormatting xmlns:xm="http://schemas.microsoft.com/office/excel/2006/main">
          <x14:cfRule type="dataBar" id="{86C06098-33E2-417A-B7EC-70B19886553B}">
            <x14:dataBar minLength="10" maxLength="90" axisPosition="none" gradient="true">
              <x14:cfvo type="num">
                <xm:f>0</xm:f>
              </x14:cfvo>
              <x14:cfvo type="num">
                <xm:f>1</xm:f>
              </x14:cfvo>
              <x14:negativeFillColor rgb="FF64B6F7"/>
              <x14:axisColor rgb="FF000000"/>
            </x14:dataBar>
          </x14:cfRule>
          <xm:sqref>K7:K40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31B0C"/>
    <pageSetUpPr fitToPage="true"/>
  </sheetPr>
  <dimension ref="B1:L3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5" ySplit="6" topLeftCell="F7" activePane="bottomRight" state="frozen"/>
      <selection pane="topLeft" activeCell="A1" activeCellId="0" sqref="A1"/>
      <selection pane="topRight" activeCell="F1" activeCellId="0" sqref="F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4"/>
    <col collapsed="false" customWidth="true" hidden="false" outlineLevel="0" max="3" min="3" style="0" width="40"/>
    <col collapsed="false" customWidth="true" hidden="false" outlineLevel="0" max="4" min="4" style="0" width="18"/>
    <col collapsed="false" customWidth="true" hidden="false" outlineLevel="0" max="5" min="5" style="0" width="14"/>
    <col collapsed="false" customWidth="true" hidden="false" outlineLevel="0" max="8" min="6" style="0" width="12"/>
    <col collapsed="false" customWidth="true" hidden="false" outlineLevel="0" max="9" min="9" style="0" width="10"/>
    <col collapsed="false" customWidth="true" hidden="false" outlineLevel="0" max="10" min="10" style="0" width="11"/>
    <col collapsed="false" customWidth="true" hidden="false" outlineLevel="0" max="11" min="11" style="0" width="15"/>
    <col collapsed="false" customWidth="true" hidden="false" outlineLevel="0" max="12" min="12" style="0" width="28"/>
    <col collapsed="false" customWidth="true" hidden="false" outlineLevel="0" max="13" min="13" style="0" width="2.2"/>
  </cols>
  <sheetData>
    <row r="1" customFormat="false" ht="33.75" hidden="false" customHeight="true" outlineLevel="0" collapsed="false">
      <c r="B1" s="40" t="s">
        <v>260</v>
      </c>
      <c r="C1" s="40"/>
      <c r="D1" s="40"/>
      <c r="E1" s="40"/>
      <c r="F1" s="40"/>
      <c r="G1" s="40"/>
      <c r="H1" s="40"/>
      <c r="I1" s="40"/>
      <c r="J1" s="40"/>
      <c r="K1" s="40"/>
      <c r="L1" s="40"/>
    </row>
    <row r="2" customFormat="false" ht="4.5" hidden="false" customHeight="true" outlineLevel="0" collapsed="false">
      <c r="B2" s="88"/>
      <c r="C2" s="88"/>
      <c r="D2" s="88"/>
      <c r="E2" s="88"/>
      <c r="F2" s="88"/>
      <c r="G2" s="88"/>
      <c r="H2" s="88"/>
      <c r="I2" s="88"/>
      <c r="J2" s="88"/>
      <c r="K2" s="88"/>
      <c r="L2" s="88"/>
    </row>
    <row r="3" customFormat="false" ht="16.5" hidden="false" customHeight="true" outlineLevel="0" collapsed="false">
      <c r="B3" s="42" t="str">
        <f aca="false">IF(LEFT(Setup!$D$7,7)&lt;&gt;"EXAMPLE","","EXAMPLE DATA - type your own project name on Setup to clear this.")</f>
        <v>EXAMPLE DATA - type your own project name on Setup to clear this.</v>
      </c>
      <c r="C3" s="42"/>
      <c r="D3" s="42"/>
      <c r="E3" s="42"/>
      <c r="F3" s="42"/>
      <c r="G3" s="42"/>
      <c r="H3" s="42"/>
      <c r="I3" s="42"/>
      <c r="J3" s="42"/>
      <c r="K3" s="42"/>
      <c r="L3" s="42"/>
    </row>
    <row r="4" customFormat="false" ht="25.5" hidden="false" customHeight="true" outlineLevel="0" collapsed="false">
      <c r="B4" s="43" t="s">
        <v>261</v>
      </c>
      <c r="C4" s="43"/>
      <c r="D4" s="43"/>
      <c r="E4" s="43"/>
      <c r="F4" s="43"/>
      <c r="G4" s="43"/>
      <c r="H4" s="43"/>
      <c r="I4" s="43"/>
      <c r="J4" s="43"/>
      <c r="K4" s="43"/>
      <c r="L4" s="43"/>
    </row>
    <row r="6" customFormat="false" ht="30" hidden="false" customHeight="true" outlineLevel="0" collapsed="false">
      <c r="B6" s="10" t="s">
        <v>262</v>
      </c>
      <c r="C6" s="10" t="s">
        <v>263</v>
      </c>
      <c r="D6" s="10" t="s">
        <v>97</v>
      </c>
      <c r="E6" s="10" t="s">
        <v>44</v>
      </c>
      <c r="F6" s="10" t="s">
        <v>147</v>
      </c>
      <c r="G6" s="10" t="s">
        <v>148</v>
      </c>
      <c r="H6" s="10" t="s">
        <v>149</v>
      </c>
      <c r="I6" s="77" t="s">
        <v>218</v>
      </c>
      <c r="J6" s="10" t="s">
        <v>264</v>
      </c>
      <c r="K6" s="77" t="s">
        <v>221</v>
      </c>
      <c r="L6" s="10" t="s">
        <v>222</v>
      </c>
    </row>
    <row r="7" customFormat="false" ht="36" hidden="false" customHeight="true" outlineLevel="0" collapsed="false">
      <c r="B7" s="67" t="s">
        <v>265</v>
      </c>
      <c r="C7" s="79" t="s">
        <v>266</v>
      </c>
      <c r="D7" s="79" t="s">
        <v>97</v>
      </c>
      <c r="E7" s="79" t="s">
        <v>267</v>
      </c>
      <c r="F7" s="80" t="n">
        <f aca="true">TODAY()-640</f>
        <v>45611</v>
      </c>
      <c r="G7" s="80" t="n">
        <f aca="true">TODAY()-608</f>
        <v>45643</v>
      </c>
      <c r="H7" s="80" t="n">
        <f aca="true">TODAY()-608</f>
        <v>45643</v>
      </c>
      <c r="I7" s="81" t="n">
        <f aca="false">IF(OR($B7="",$F7=""),"",IF($H7&lt;&gt;"",$H7-$F7,IF($G7="","",$G7-$F7)))</f>
        <v>32</v>
      </c>
      <c r="J7" s="89" t="n">
        <v>60</v>
      </c>
      <c r="K7" s="84" t="str">
        <f aca="false">IF($B7="","",IF($H7&lt;&gt;"","Done",IF(AND($G7&lt;&gt;"",$G7&gt;Setup!$D$18),"After RFS",IF(AND($F7&lt;&gt;"",Setup!$D$19&gt;$F7),"Late",IF(AND($G7&lt;&gt;"",$F7&lt;&gt;"",$G7&gt;$F7),"At risk",IF(AND($F7&lt;&gt;"",$F7-Setup!$D$19&lt;=Setup!$D$23),"Due soon","On track"))))))</f>
        <v>Done</v>
      </c>
      <c r="L7" s="79" t="s">
        <v>268</v>
      </c>
    </row>
    <row r="8" customFormat="false" ht="36" hidden="false" customHeight="true" outlineLevel="0" collapsed="false">
      <c r="B8" s="71" t="s">
        <v>269</v>
      </c>
      <c r="C8" s="85" t="s">
        <v>270</v>
      </c>
      <c r="D8" s="85" t="s">
        <v>160</v>
      </c>
      <c r="E8" s="85" t="s">
        <v>271</v>
      </c>
      <c r="F8" s="86" t="n">
        <f aca="true">TODAY()-625</f>
        <v>45626</v>
      </c>
      <c r="G8" s="86" t="n">
        <f aca="true">TODAY()-612</f>
        <v>45639</v>
      </c>
      <c r="H8" s="86" t="n">
        <f aca="true">TODAY()-612</f>
        <v>45639</v>
      </c>
      <c r="I8" s="81" t="n">
        <f aca="false">IF(OR($B8="",$F8=""),"",IF($H8&lt;&gt;"",$H8-$F8,IF($G8="","",$G8-$F8)))</f>
        <v>13</v>
      </c>
      <c r="J8" s="90" t="n">
        <v>60</v>
      </c>
      <c r="K8" s="84" t="str">
        <f aca="false">IF($B8="","",IF($H8&lt;&gt;"","Done",IF(AND($G8&lt;&gt;"",$G8&gt;Setup!$D$18),"After RFS",IF(AND($F8&lt;&gt;"",Setup!$D$19&gt;$F8),"Late",IF(AND($G8&lt;&gt;"",$F8&lt;&gt;"",$G8&gt;$F8),"At risk",IF(AND($F8&lt;&gt;"",$F8-Setup!$D$19&lt;=Setup!$D$23),"Due soon","On track"))))))</f>
        <v>Done</v>
      </c>
      <c r="L8" s="85"/>
    </row>
    <row r="9" customFormat="false" ht="36" hidden="false" customHeight="true" outlineLevel="0" collapsed="false">
      <c r="B9" s="67" t="s">
        <v>272</v>
      </c>
      <c r="C9" s="79" t="s">
        <v>273</v>
      </c>
      <c r="D9" s="79" t="s">
        <v>160</v>
      </c>
      <c r="E9" s="79" t="s">
        <v>274</v>
      </c>
      <c r="F9" s="80" t="n">
        <f aca="true">TODAY()-540</f>
        <v>45711</v>
      </c>
      <c r="G9" s="80" t="n">
        <f aca="true">TODAY()-500</f>
        <v>45751</v>
      </c>
      <c r="H9" s="80" t="n">
        <f aca="true">TODAY()-500</f>
        <v>45751</v>
      </c>
      <c r="I9" s="81" t="n">
        <f aca="false">IF(OR($B9="",$F9=""),"",IF($H9&lt;&gt;"",$H9-$F9,IF($G9="","",$G9-$F9)))</f>
        <v>40</v>
      </c>
      <c r="J9" s="89" t="n">
        <v>60</v>
      </c>
      <c r="K9" s="84" t="str">
        <f aca="false">IF($B9="","",IF($H9&lt;&gt;"","Done",IF(AND($G9&lt;&gt;"",$G9&gt;Setup!$D$18),"After RFS",IF(AND($F9&lt;&gt;"",Setup!$D$19&gt;$F9),"Late",IF(AND($G9&lt;&gt;"",$F9&lt;&gt;"",$G9&gt;$F9),"At risk",IF(AND($F9&lt;&gt;"",$F9-Setup!$D$19&lt;=Setup!$D$23),"Due soon","On track"))))))</f>
        <v>Done</v>
      </c>
      <c r="L9" s="79" t="s">
        <v>275</v>
      </c>
    </row>
    <row r="10" customFormat="false" ht="36" hidden="false" customHeight="true" outlineLevel="0" collapsed="false">
      <c r="B10" s="71" t="s">
        <v>276</v>
      </c>
      <c r="C10" s="85" t="s">
        <v>277</v>
      </c>
      <c r="D10" s="85" t="s">
        <v>97</v>
      </c>
      <c r="E10" s="85" t="s">
        <v>278</v>
      </c>
      <c r="F10" s="86" t="n">
        <f aca="true">TODAY()-480</f>
        <v>45771</v>
      </c>
      <c r="G10" s="86" t="n">
        <f aca="true">TODAY()-455</f>
        <v>45796</v>
      </c>
      <c r="H10" s="86" t="n">
        <f aca="true">TODAY()-455</f>
        <v>45796</v>
      </c>
      <c r="I10" s="81" t="n">
        <f aca="false">IF(OR($B10="",$F10=""),"",IF($H10&lt;&gt;"",$H10-$F10,IF($G10="","",$G10-$F10)))</f>
        <v>25</v>
      </c>
      <c r="J10" s="90" t="n">
        <v>60</v>
      </c>
      <c r="K10" s="84" t="str">
        <f aca="false">IF($B10="","",IF($H10&lt;&gt;"","Done",IF(AND($G10&lt;&gt;"",$G10&gt;Setup!$D$18),"After RFS",IF(AND($F10&lt;&gt;"",Setup!$D$19&gt;$F10),"Late",IF(AND($G10&lt;&gt;"",$F10&lt;&gt;"",$G10&gt;$F10),"At risk",IF(AND($F10&lt;&gt;"",$F10-Setup!$D$19&lt;=Setup!$D$23),"Due soon","On track"))))))</f>
        <v>Done</v>
      </c>
      <c r="L10" s="85" t="s">
        <v>279</v>
      </c>
    </row>
    <row r="11" customFormat="false" ht="36" hidden="false" customHeight="true" outlineLevel="0" collapsed="false">
      <c r="B11" s="67" t="s">
        <v>280</v>
      </c>
      <c r="C11" s="79"/>
      <c r="D11" s="79" t="s">
        <v>160</v>
      </c>
      <c r="E11" s="79" t="s">
        <v>281</v>
      </c>
      <c r="F11" s="80" t="n">
        <f aca="true">TODAY()-400</f>
        <v>45851</v>
      </c>
      <c r="G11" s="80" t="n">
        <f aca="true">TODAY()-380</f>
        <v>45871</v>
      </c>
      <c r="H11" s="80" t="n">
        <f aca="true">TODAY()-380</f>
        <v>45871</v>
      </c>
      <c r="I11" s="81" t="n">
        <f aca="false">IF(OR($B11="",$F11=""),"",IF($H11&lt;&gt;"",$H11-$F11,IF($G11="","",$G11-$F11)))</f>
        <v>20</v>
      </c>
      <c r="J11" s="89" t="n">
        <v>60</v>
      </c>
      <c r="K11" s="84" t="str">
        <f aca="false">IF($B11="","",IF($H11&lt;&gt;"","Done",IF(AND($G11&lt;&gt;"",$G11&gt;Setup!$D$18),"After RFS",IF(AND($F11&lt;&gt;"",Setup!$D$19&gt;$F11),"Late",IF(AND($G11&lt;&gt;"",$F11&lt;&gt;"",$G11&gt;$F11),"At risk",IF(AND($F11&lt;&gt;"",$F11-Setup!$D$19&lt;=Setup!$D$23),"Due soon","On track"))))))</f>
        <v>Done</v>
      </c>
      <c r="L11" s="79"/>
    </row>
    <row r="12" customFormat="false" ht="36" hidden="false" customHeight="true" outlineLevel="0" collapsed="false">
      <c r="B12" s="71" t="s">
        <v>282</v>
      </c>
      <c r="C12" s="85" t="s">
        <v>283</v>
      </c>
      <c r="D12" s="85" t="s">
        <v>160</v>
      </c>
      <c r="E12" s="85"/>
      <c r="F12" s="86" t="n">
        <f aca="true">TODAY()-380</f>
        <v>45871</v>
      </c>
      <c r="G12" s="86" t="n">
        <f aca="true">TODAY()-350</f>
        <v>45901</v>
      </c>
      <c r="H12" s="86" t="n">
        <f aca="true">TODAY()-350</f>
        <v>45901</v>
      </c>
      <c r="I12" s="81" t="n">
        <f aca="false">IF(OR($B12="",$F12=""),"",IF($H12&lt;&gt;"",$H12-$F12,IF($G12="","",$G12-$F12)))</f>
        <v>30</v>
      </c>
      <c r="J12" s="90" t="n">
        <v>60</v>
      </c>
      <c r="K12" s="84" t="str">
        <f aca="false">IF($B12="","",IF($H12&lt;&gt;"","Done",IF(AND($G12&lt;&gt;"",$G12&gt;Setup!$D$18),"After RFS",IF(AND($F12&lt;&gt;"",Setup!$D$19&gt;$F12),"Late",IF(AND($G12&lt;&gt;"",$F12&lt;&gt;"",$G12&gt;$F12),"At risk",IF(AND($F12&lt;&gt;"",$F12-Setup!$D$19&lt;=Setup!$D$23),"Due soon","On track"))))))</f>
        <v>Done</v>
      </c>
      <c r="L12" s="85" t="s">
        <v>284</v>
      </c>
    </row>
    <row r="13" customFormat="false" ht="36" hidden="false" customHeight="true" outlineLevel="0" collapsed="false">
      <c r="B13" s="67" t="s">
        <v>285</v>
      </c>
      <c r="C13" s="79"/>
      <c r="D13" s="79" t="s">
        <v>160</v>
      </c>
      <c r="E13" s="79"/>
      <c r="F13" s="80" t="n">
        <f aca="true">TODAY()-120</f>
        <v>46131</v>
      </c>
      <c r="G13" s="80" t="n">
        <f aca="true">TODAY()+25</f>
        <v>46276</v>
      </c>
      <c r="H13" s="80"/>
      <c r="I13" s="81" t="n">
        <f aca="false">IF(OR($B13="",$F13=""),"",IF($H13&lt;&gt;"",$H13-$F13,IF($G13="","",$G13-$F13)))</f>
        <v>145</v>
      </c>
      <c r="J13" s="89" t="n">
        <v>60</v>
      </c>
      <c r="K13" s="84" t="str">
        <f aca="false">IF($B13="","",IF($H13&lt;&gt;"","Done",IF(AND($G13&lt;&gt;"",$G13&gt;Setup!$D$18),"After RFS",IF(AND($F13&lt;&gt;"",Setup!$D$19&gt;$F13),"Late",IF(AND($G13&lt;&gt;"",$F13&lt;&gt;"",$G13&gt;$F13),"At risk",IF(AND($F13&lt;&gt;"",$F13-Setup!$D$19&lt;=Setup!$D$23),"Due soon","On track"))))))</f>
        <v>Late</v>
      </c>
      <c r="L13" s="79" t="s">
        <v>286</v>
      </c>
    </row>
    <row r="14" customFormat="false" ht="36" hidden="false" customHeight="true" outlineLevel="0" collapsed="false">
      <c r="B14" s="71" t="s">
        <v>287</v>
      </c>
      <c r="C14" s="85" t="s">
        <v>288</v>
      </c>
      <c r="D14" s="85" t="s">
        <v>160</v>
      </c>
      <c r="E14" s="85"/>
      <c r="F14" s="86" t="n">
        <f aca="true">TODAY()-80</f>
        <v>46171</v>
      </c>
      <c r="G14" s="86" t="n">
        <f aca="true">TODAY()+40</f>
        <v>46291</v>
      </c>
      <c r="H14" s="86"/>
      <c r="I14" s="81" t="n">
        <f aca="false">IF(OR($B14="",$F14=""),"",IF($H14&lt;&gt;"",$H14-$F14,IF($G14="","",$G14-$F14)))</f>
        <v>120</v>
      </c>
      <c r="J14" s="90" t="n">
        <v>60</v>
      </c>
      <c r="K14" s="84" t="str">
        <f aca="false">IF($B14="","",IF($H14&lt;&gt;"","Done",IF(AND($G14&lt;&gt;"",$G14&gt;Setup!$D$18),"After RFS",IF(AND($F14&lt;&gt;"",Setup!$D$19&gt;$F14),"Late",IF(AND($G14&lt;&gt;"",$F14&lt;&gt;"",$G14&gt;$F14),"At risk",IF(AND($F14&lt;&gt;"",$F14-Setup!$D$19&lt;=Setup!$D$23),"Due soon","On track"))))))</f>
        <v>Late</v>
      </c>
      <c r="L14" s="85"/>
    </row>
    <row r="15" customFormat="false" ht="36" hidden="false" customHeight="true" outlineLevel="0" collapsed="false">
      <c r="B15" s="67" t="s">
        <v>289</v>
      </c>
      <c r="C15" s="79" t="s">
        <v>290</v>
      </c>
      <c r="D15" s="79" t="s">
        <v>160</v>
      </c>
      <c r="E15" s="79"/>
      <c r="F15" s="80" t="n">
        <f aca="true">TODAY()-20</f>
        <v>46231</v>
      </c>
      <c r="G15" s="80" t="n">
        <f aca="true">TODAY()+55</f>
        <v>46306</v>
      </c>
      <c r="H15" s="80"/>
      <c r="I15" s="81" t="n">
        <f aca="false">IF(OR($B15="",$F15=""),"",IF($H15&lt;&gt;"",$H15-$F15,IF($G15="","",$G15-$F15)))</f>
        <v>75</v>
      </c>
      <c r="J15" s="89" t="n">
        <v>24</v>
      </c>
      <c r="K15" s="84" t="str">
        <f aca="false">IF($B15="","",IF($H15&lt;&gt;"","Done",IF(AND($G15&lt;&gt;"",$G15&gt;Setup!$D$18),"After RFS",IF(AND($F15&lt;&gt;"",Setup!$D$19&gt;$F15),"Late",IF(AND($G15&lt;&gt;"",$F15&lt;&gt;"",$G15&gt;$F15),"At risk",IF(AND($F15&lt;&gt;"",$F15-Setup!$D$19&lt;=Setup!$D$23),"Due soon","On track"))))))</f>
        <v>Late</v>
      </c>
      <c r="L15" s="79" t="s">
        <v>291</v>
      </c>
    </row>
    <row r="16" customFormat="false" ht="36" hidden="false" customHeight="true" outlineLevel="0" collapsed="false">
      <c r="B16" s="71" t="s">
        <v>292</v>
      </c>
      <c r="C16" s="85"/>
      <c r="D16" s="85" t="s">
        <v>160</v>
      </c>
      <c r="E16" s="85"/>
      <c r="F16" s="86" t="n">
        <f aca="true">TODAY()+180</f>
        <v>46431</v>
      </c>
      <c r="G16" s="86" t="n">
        <f aca="true">TODAY()+195</f>
        <v>46446</v>
      </c>
      <c r="H16" s="86"/>
      <c r="I16" s="81" t="n">
        <f aca="false">IF(OR($B16="",$F16=""),"",IF($H16&lt;&gt;"",$H16-$F16,IF($G16="","",$G16-$F16)))</f>
        <v>15</v>
      </c>
      <c r="J16" s="90" t="n">
        <v>42</v>
      </c>
      <c r="K16" s="84" t="str">
        <f aca="false">IF($B16="","",IF($H16&lt;&gt;"","Done",IF(AND($G16&lt;&gt;"",$G16&gt;Setup!$D$18),"After RFS",IF(AND($F16&lt;&gt;"",Setup!$D$19&gt;$F16),"Late",IF(AND($G16&lt;&gt;"",$F16&lt;&gt;"",$G16&gt;$F16),"At risk",IF(AND($F16&lt;&gt;"",$F16-Setup!$D$19&lt;=Setup!$D$23),"Due soon","On track"))))))</f>
        <v>After RFS</v>
      </c>
      <c r="L16" s="85"/>
    </row>
    <row r="17" customFormat="false" ht="36" hidden="false" customHeight="true" outlineLevel="0" collapsed="false">
      <c r="B17" s="67" t="s">
        <v>293</v>
      </c>
      <c r="C17" s="79"/>
      <c r="D17" s="79" t="s">
        <v>160</v>
      </c>
      <c r="E17" s="79"/>
      <c r="F17" s="80" t="n">
        <f aca="true">TODAY()+480</f>
        <v>46731</v>
      </c>
      <c r="G17" s="80" t="n">
        <f aca="true">TODAY()+500</f>
        <v>46751</v>
      </c>
      <c r="H17" s="80"/>
      <c r="I17" s="81" t="n">
        <f aca="false">IF(OR($B17="",$F17=""),"",IF($H17&lt;&gt;"",$H17-$F17,IF($G17="","",$G17-$F17)))</f>
        <v>20</v>
      </c>
      <c r="J17" s="89" t="n">
        <v>60</v>
      </c>
      <c r="K17" s="84" t="str">
        <f aca="false">IF($B17="","",IF($H17&lt;&gt;"","Done",IF(AND($G17&lt;&gt;"",$G17&gt;Setup!$D$18),"After RFS",IF(AND($F17&lt;&gt;"",Setup!$D$19&gt;$F17),"Late",IF(AND($G17&lt;&gt;"",$F17&lt;&gt;"",$G17&gt;$F17),"At risk",IF(AND($F17&lt;&gt;"",$F17-Setup!$D$19&lt;=Setup!$D$23),"Due soon","On track"))))))</f>
        <v>After RFS</v>
      </c>
      <c r="L17" s="79" t="s">
        <v>294</v>
      </c>
    </row>
    <row r="18" customFormat="false" ht="36" hidden="false" customHeight="true" outlineLevel="0" collapsed="false">
      <c r="B18" s="71" t="s">
        <v>295</v>
      </c>
      <c r="C18" s="85" t="s">
        <v>296</v>
      </c>
      <c r="D18" s="85" t="s">
        <v>97</v>
      </c>
      <c r="E18" s="85"/>
      <c r="F18" s="86" t="n">
        <f aca="true">TODAY()-60</f>
        <v>46191</v>
      </c>
      <c r="G18" s="86" t="n">
        <f aca="true">TODAY()+30</f>
        <v>46281</v>
      </c>
      <c r="H18" s="86"/>
      <c r="I18" s="81" t="n">
        <f aca="false">IF(OR($B18="",$F18=""),"",IF($H18&lt;&gt;"",$H18-$F18,IF($G18="","",$G18-$F18)))</f>
        <v>90</v>
      </c>
      <c r="J18" s="90"/>
      <c r="K18" s="84" t="str">
        <f aca="false">IF($B18="","",IF($H18&lt;&gt;"","Done",IF(AND($G18&lt;&gt;"",$G18&gt;Setup!$D$18),"After RFS",IF(AND($F18&lt;&gt;"",Setup!$D$19&gt;$F18),"Late",IF(AND($G18&lt;&gt;"",$F18&lt;&gt;"",$G18&gt;$F18),"At risk",IF(AND($F18&lt;&gt;"",$F18-Setup!$D$19&lt;=Setup!$D$23),"Due soon","On track"))))))</f>
        <v>Late</v>
      </c>
      <c r="L18" s="85"/>
    </row>
    <row r="19" customFormat="false" ht="36" hidden="false" customHeight="true" outlineLevel="0" collapsed="false">
      <c r="B19" s="67" t="s">
        <v>297</v>
      </c>
      <c r="C19" s="79" t="s">
        <v>298</v>
      </c>
      <c r="D19" s="79" t="s">
        <v>97</v>
      </c>
      <c r="E19" s="79"/>
      <c r="F19" s="80" t="n">
        <f aca="true">TODAY()+40</f>
        <v>46291</v>
      </c>
      <c r="G19" s="80" t="n">
        <f aca="true">TODAY()+60</f>
        <v>46311</v>
      </c>
      <c r="H19" s="80"/>
      <c r="I19" s="81" t="n">
        <f aca="false">IF(OR($B19="",$F19=""),"",IF($H19&lt;&gt;"",$H19-$F19,IF($G19="","",$G19-$F19)))</f>
        <v>20</v>
      </c>
      <c r="J19" s="89"/>
      <c r="K19" s="84" t="str">
        <f aca="false">IF($B19="","",IF($H19&lt;&gt;"","Done",IF(AND($G19&lt;&gt;"",$G19&gt;Setup!$D$18),"After RFS",IF(AND($F19&lt;&gt;"",Setup!$D$19&gt;$F19),"Late",IF(AND($G19&lt;&gt;"",$F19&lt;&gt;"",$G19&gt;$F19),"At risk",IF(AND($F19&lt;&gt;"",$F19-Setup!$D$19&lt;=Setup!$D$23),"Due soon","On track"))))))</f>
        <v>At risk</v>
      </c>
      <c r="L19" s="79"/>
    </row>
    <row r="20" customFormat="false" ht="36" hidden="false" customHeight="true" outlineLevel="0" collapsed="false">
      <c r="B20" s="71"/>
      <c r="C20" s="85"/>
      <c r="D20" s="85"/>
      <c r="E20" s="85"/>
      <c r="F20" s="86"/>
      <c r="G20" s="86"/>
      <c r="H20" s="86"/>
      <c r="I20" s="81" t="str">
        <f aca="false">IF(OR($B20="",$F20=""),"",IF($H20&lt;&gt;"",$H20-$F20,IF($G20="","",$G20-$F20)))</f>
        <v/>
      </c>
      <c r="J20" s="90"/>
      <c r="K20" s="84" t="str">
        <f aca="false">IF($B20="","",IF($H20&lt;&gt;"","Done",IF(AND($G20&lt;&gt;"",$G20&gt;Setup!$D$18),"After RFS",IF(AND($F20&lt;&gt;"",Setup!$D$19&gt;$F20),"Late",IF(AND($G20&lt;&gt;"",$F20&lt;&gt;"",$G20&gt;$F20),"At risk",IF(AND($F20&lt;&gt;"",$F20-Setup!$D$19&lt;=Setup!$D$23),"Due soon","On track"))))))</f>
        <v/>
      </c>
      <c r="L20" s="85"/>
    </row>
    <row r="21" customFormat="false" ht="36" hidden="false" customHeight="true" outlineLevel="0" collapsed="false">
      <c r="B21" s="67"/>
      <c r="C21" s="79"/>
      <c r="D21" s="79"/>
      <c r="E21" s="79"/>
      <c r="F21" s="80"/>
      <c r="G21" s="80"/>
      <c r="H21" s="80"/>
      <c r="I21" s="81" t="str">
        <f aca="false">IF(OR($B21="",$F21=""),"",IF($H21&lt;&gt;"",$H21-$F21,IF($G21="","",$G21-$F21)))</f>
        <v/>
      </c>
      <c r="J21" s="89"/>
      <c r="K21" s="84" t="str">
        <f aca="false">IF($B21="","",IF($H21&lt;&gt;"","Done",IF(AND($G21&lt;&gt;"",$G21&gt;Setup!$D$18),"After RFS",IF(AND($F21&lt;&gt;"",Setup!$D$19&gt;$F21),"Late",IF(AND($G21&lt;&gt;"",$F21&lt;&gt;"",$G21&gt;$F21),"At risk",IF(AND($F21&lt;&gt;"",$F21-Setup!$D$19&lt;=Setup!$D$23),"Due soon","On track"))))))</f>
        <v/>
      </c>
      <c r="L21" s="79"/>
    </row>
    <row r="22" customFormat="false" ht="36" hidden="false" customHeight="true" outlineLevel="0" collapsed="false">
      <c r="B22" s="71"/>
      <c r="C22" s="85"/>
      <c r="D22" s="85"/>
      <c r="E22" s="85"/>
      <c r="F22" s="86"/>
      <c r="G22" s="86"/>
      <c r="H22" s="86"/>
      <c r="I22" s="81" t="str">
        <f aca="false">IF(OR($B22="",$F22=""),"",IF($H22&lt;&gt;"",$H22-$F22,IF($G22="","",$G22-$F22)))</f>
        <v/>
      </c>
      <c r="J22" s="90"/>
      <c r="K22" s="84" t="str">
        <f aca="false">IF($B22="","",IF($H22&lt;&gt;"","Done",IF(AND($G22&lt;&gt;"",$G22&gt;Setup!$D$18),"After RFS",IF(AND($F22&lt;&gt;"",Setup!$D$19&gt;$F22),"Late",IF(AND($G22&lt;&gt;"",$F22&lt;&gt;"",$G22&gt;$F22),"At risk",IF(AND($F22&lt;&gt;"",$F22-Setup!$D$19&lt;=Setup!$D$23),"Due soon","On track"))))))</f>
        <v/>
      </c>
      <c r="L22" s="85"/>
    </row>
    <row r="23" customFormat="false" ht="36" hidden="false" customHeight="true" outlineLevel="0" collapsed="false">
      <c r="B23" s="67"/>
      <c r="C23" s="79"/>
      <c r="D23" s="79"/>
      <c r="E23" s="79"/>
      <c r="F23" s="80"/>
      <c r="G23" s="80"/>
      <c r="H23" s="80"/>
      <c r="I23" s="81" t="str">
        <f aca="false">IF(OR($B23="",$F23=""),"",IF($H23&lt;&gt;"",$H23-$F23,IF($G23="","",$G23-$F23)))</f>
        <v/>
      </c>
      <c r="J23" s="89"/>
      <c r="K23" s="84" t="str">
        <f aca="false">IF($B23="","",IF($H23&lt;&gt;"","Done",IF(AND($G23&lt;&gt;"",$G23&gt;Setup!$D$18),"After RFS",IF(AND($F23&lt;&gt;"",Setup!$D$19&gt;$F23),"Late",IF(AND($G23&lt;&gt;"",$F23&lt;&gt;"",$G23&gt;$F23),"At risk",IF(AND($F23&lt;&gt;"",$F23-Setup!$D$19&lt;=Setup!$D$23),"Due soon","On track"))))))</f>
        <v/>
      </c>
      <c r="L23" s="79"/>
    </row>
    <row r="24" customFormat="false" ht="36" hidden="false" customHeight="true" outlineLevel="0" collapsed="false">
      <c r="B24" s="71"/>
      <c r="C24" s="85"/>
      <c r="D24" s="85"/>
      <c r="E24" s="85"/>
      <c r="F24" s="86"/>
      <c r="G24" s="86"/>
      <c r="H24" s="86"/>
      <c r="I24" s="81" t="str">
        <f aca="false">IF(OR($B24="",$F24=""),"",IF($H24&lt;&gt;"",$H24-$F24,IF($G24="","",$G24-$F24)))</f>
        <v/>
      </c>
      <c r="J24" s="90"/>
      <c r="K24" s="84" t="str">
        <f aca="false">IF($B24="","",IF($H24&lt;&gt;"","Done",IF(AND($G24&lt;&gt;"",$G24&gt;Setup!$D$18),"After RFS",IF(AND($F24&lt;&gt;"",Setup!$D$19&gt;$F24),"Late",IF(AND($G24&lt;&gt;"",$F24&lt;&gt;"",$G24&gt;$F24),"At risk",IF(AND($F24&lt;&gt;"",$F24-Setup!$D$19&lt;=Setup!$D$23),"Due soon","On track"))))))</f>
        <v/>
      </c>
      <c r="L24" s="85"/>
    </row>
    <row r="25" customFormat="false" ht="36" hidden="false" customHeight="true" outlineLevel="0" collapsed="false">
      <c r="B25" s="67"/>
      <c r="C25" s="79"/>
      <c r="D25" s="79"/>
      <c r="E25" s="79"/>
      <c r="F25" s="80"/>
      <c r="G25" s="80"/>
      <c r="H25" s="80"/>
      <c r="I25" s="81" t="str">
        <f aca="false">IF(OR($B25="",$F25=""),"",IF($H25&lt;&gt;"",$H25-$F25,IF($G25="","",$G25-$F25)))</f>
        <v/>
      </c>
      <c r="J25" s="89"/>
      <c r="K25" s="84" t="str">
        <f aca="false">IF($B25="","",IF($H25&lt;&gt;"","Done",IF(AND($G25&lt;&gt;"",$G25&gt;Setup!$D$18),"After RFS",IF(AND($F25&lt;&gt;"",Setup!$D$19&gt;$F25),"Late",IF(AND($G25&lt;&gt;"",$F25&lt;&gt;"",$G25&gt;$F25),"At risk",IF(AND($F25&lt;&gt;"",$F25-Setup!$D$19&lt;=Setup!$D$23),"Due soon","On track"))))))</f>
        <v/>
      </c>
      <c r="L25" s="79"/>
    </row>
    <row r="26" customFormat="false" ht="36" hidden="false" customHeight="true" outlineLevel="0" collapsed="false">
      <c r="B26" s="71"/>
      <c r="C26" s="85"/>
      <c r="D26" s="85"/>
      <c r="E26" s="85"/>
      <c r="F26" s="86"/>
      <c r="G26" s="86"/>
      <c r="H26" s="86"/>
      <c r="I26" s="81" t="str">
        <f aca="false">IF(OR($B26="",$F26=""),"",IF($H26&lt;&gt;"",$H26-$F26,IF($G26="","",$G26-$F26)))</f>
        <v/>
      </c>
      <c r="J26" s="90"/>
      <c r="K26" s="84" t="str">
        <f aca="false">IF($B26="","",IF($H26&lt;&gt;"","Done",IF(AND($G26&lt;&gt;"",$G26&gt;Setup!$D$18),"After RFS",IF(AND($F26&lt;&gt;"",Setup!$D$19&gt;$F26),"Late",IF(AND($G26&lt;&gt;"",$F26&lt;&gt;"",$G26&gt;$F26),"At risk",IF(AND($F26&lt;&gt;"",$F26-Setup!$D$19&lt;=Setup!$D$23),"Due soon","On track"))))))</f>
        <v/>
      </c>
      <c r="L26" s="85"/>
    </row>
    <row r="28" customFormat="false" ht="21.75" hidden="false" customHeight="true" outlineLevel="0" collapsed="false">
      <c r="B28" s="6" t="s">
        <v>299</v>
      </c>
      <c r="C28" s="6"/>
      <c r="D28" s="6"/>
      <c r="E28" s="6"/>
      <c r="F28" s="6"/>
      <c r="G28" s="6"/>
      <c r="H28" s="6"/>
      <c r="I28" s="6"/>
      <c r="J28" s="6"/>
      <c r="K28" s="6"/>
      <c r="L28" s="6"/>
    </row>
    <row r="29" customFormat="false" ht="12.75" hidden="false" customHeight="true" outlineLevel="0" collapsed="false">
      <c r="B29" s="43" t="s">
        <v>300</v>
      </c>
      <c r="C29" s="43"/>
      <c r="D29" s="43"/>
      <c r="E29" s="43"/>
      <c r="F29" s="43"/>
      <c r="G29" s="43"/>
      <c r="H29" s="43"/>
      <c r="I29" s="43"/>
      <c r="J29" s="43"/>
      <c r="K29" s="43"/>
      <c r="L29" s="43"/>
    </row>
    <row r="30" customFormat="false" ht="12.75" hidden="false" customHeight="true" outlineLevel="0" collapsed="false">
      <c r="B30" s="43"/>
      <c r="C30" s="43"/>
      <c r="D30" s="43"/>
      <c r="E30" s="43"/>
      <c r="F30" s="43"/>
      <c r="G30" s="43"/>
      <c r="H30" s="43"/>
      <c r="I30" s="43"/>
      <c r="J30" s="43"/>
      <c r="K30" s="43"/>
      <c r="L30" s="43"/>
    </row>
    <row r="31" customFormat="false" ht="25.5" hidden="false" customHeight="true" outlineLevel="0" collapsed="false">
      <c r="B31" s="44" t="s">
        <v>301</v>
      </c>
      <c r="C31" s="44"/>
      <c r="D31" s="91" t="n">
        <v>60</v>
      </c>
      <c r="E31" s="91"/>
      <c r="F31" s="43" t="s">
        <v>302</v>
      </c>
      <c r="G31" s="43"/>
      <c r="H31" s="43"/>
      <c r="I31" s="43"/>
      <c r="J31" s="43"/>
      <c r="K31" s="43"/>
      <c r="L31" s="43"/>
    </row>
    <row r="32" customFormat="false" ht="25.5" hidden="false" customHeight="true" outlineLevel="0" collapsed="false">
      <c r="B32" s="44" t="s">
        <v>303</v>
      </c>
      <c r="C32" s="44"/>
      <c r="D32" s="91" t="n">
        <v>60</v>
      </c>
      <c r="E32" s="91"/>
      <c r="F32" s="43" t="s">
        <v>304</v>
      </c>
      <c r="G32" s="43"/>
      <c r="H32" s="43"/>
      <c r="I32" s="43"/>
      <c r="J32" s="43"/>
      <c r="K32" s="43"/>
      <c r="L32" s="43"/>
    </row>
    <row r="33" customFormat="false" ht="25.5" hidden="false" customHeight="true" outlineLevel="0" collapsed="false">
      <c r="B33" s="44" t="s">
        <v>305</v>
      </c>
      <c r="C33" s="44"/>
      <c r="D33" s="91" t="n">
        <v>24</v>
      </c>
      <c r="E33" s="91"/>
      <c r="F33" s="43" t="s">
        <v>306</v>
      </c>
      <c r="G33" s="43"/>
      <c r="H33" s="43"/>
      <c r="I33" s="43"/>
      <c r="J33" s="43"/>
      <c r="K33" s="43"/>
      <c r="L33" s="43"/>
    </row>
    <row r="34" customFormat="false" ht="25.5" hidden="false" customHeight="true" outlineLevel="0" collapsed="false">
      <c r="B34" s="44" t="s">
        <v>307</v>
      </c>
      <c r="C34" s="44"/>
      <c r="D34" s="92" t="n">
        <f aca="false">IF('Design Basis'!$D$11="","",'Design Basis'!$D$11)</f>
        <v>15</v>
      </c>
      <c r="E34" s="92"/>
      <c r="F34" s="43" t="s">
        <v>308</v>
      </c>
      <c r="G34" s="43"/>
      <c r="H34" s="43"/>
      <c r="I34" s="43"/>
      <c r="J34" s="43"/>
      <c r="K34" s="43"/>
      <c r="L34" s="43"/>
    </row>
    <row r="35" customFormat="false" ht="25.5" hidden="false" customHeight="true" outlineLevel="0" collapsed="false">
      <c r="B35" s="44" t="s">
        <v>309</v>
      </c>
      <c r="C35" s="44"/>
      <c r="D35" s="92" t="n">
        <f aca="false">IF(OR($D$33="",$D$34=""),"",$D$33-$D$34)</f>
        <v>9</v>
      </c>
      <c r="E35" s="92"/>
      <c r="F35" s="43" t="s">
        <v>310</v>
      </c>
      <c r="G35" s="43"/>
      <c r="H35" s="43"/>
      <c r="I35" s="43"/>
      <c r="J35" s="43"/>
      <c r="K35" s="43"/>
      <c r="L35" s="43"/>
    </row>
    <row r="36" customFormat="false" ht="25.5" hidden="false" customHeight="true" outlineLevel="0" collapsed="false">
      <c r="B36" s="44" t="s">
        <v>311</v>
      </c>
      <c r="C36" s="44"/>
      <c r="D36" s="93" t="n">
        <f aca="false">IF($H15&lt;&gt;"",$H15,IF($G15&lt;&gt;"",$G15,$F15))</f>
        <v>46306</v>
      </c>
      <c r="E36" s="93"/>
      <c r="F36" s="43" t="s">
        <v>312</v>
      </c>
      <c r="G36" s="43"/>
      <c r="H36" s="43"/>
      <c r="I36" s="43"/>
      <c r="J36" s="43"/>
      <c r="K36" s="43"/>
      <c r="L36" s="43"/>
    </row>
    <row r="37" customFormat="false" ht="25.5" hidden="false" customHeight="true" outlineLevel="0" collapsed="false">
      <c r="B37" s="44" t="s">
        <v>136</v>
      </c>
      <c r="C37" s="44"/>
      <c r="D37" s="94" t="n">
        <f aca="false">IF($D$36="","",Setup!$D$18-$D$36)</f>
        <v>40</v>
      </c>
      <c r="E37" s="94"/>
      <c r="F37" s="43" t="s">
        <v>313</v>
      </c>
      <c r="G37" s="43"/>
      <c r="H37" s="43"/>
      <c r="I37" s="43"/>
      <c r="J37" s="43"/>
      <c r="K37" s="43"/>
      <c r="L37" s="43"/>
    </row>
    <row r="39" customFormat="false" ht="18" hidden="false" customHeight="true" outlineLevel="0" collapsed="false">
      <c r="B39" s="52" t="s">
        <v>129</v>
      </c>
      <c r="C39" s="52"/>
      <c r="D39" s="52"/>
      <c r="E39" s="52"/>
      <c r="F39" s="52"/>
      <c r="G39" s="52"/>
      <c r="H39" s="52"/>
      <c r="I39" s="52"/>
      <c r="J39" s="52"/>
      <c r="K39" s="52"/>
      <c r="L39" s="52"/>
    </row>
  </sheetData>
  <mergeCells count="28">
    <mergeCell ref="B1:L1"/>
    <mergeCell ref="B2:L2"/>
    <mergeCell ref="B3:L3"/>
    <mergeCell ref="B4:L4"/>
    <mergeCell ref="B28:L28"/>
    <mergeCell ref="B29:L30"/>
    <mergeCell ref="B31:C31"/>
    <mergeCell ref="D31:E31"/>
    <mergeCell ref="F31:L31"/>
    <mergeCell ref="B32:C32"/>
    <mergeCell ref="D32:E32"/>
    <mergeCell ref="F32:L32"/>
    <mergeCell ref="B33:C33"/>
    <mergeCell ref="D33:E33"/>
    <mergeCell ref="F33:L33"/>
    <mergeCell ref="B34:C34"/>
    <mergeCell ref="D34:E34"/>
    <mergeCell ref="F34:L34"/>
    <mergeCell ref="B35:C35"/>
    <mergeCell ref="D35:E35"/>
    <mergeCell ref="F35:L35"/>
    <mergeCell ref="B36:C36"/>
    <mergeCell ref="D36:E36"/>
    <mergeCell ref="F36:L36"/>
    <mergeCell ref="B37:C37"/>
    <mergeCell ref="D37:E37"/>
    <mergeCell ref="F37:L37"/>
    <mergeCell ref="B39:L39"/>
  </mergeCells>
  <conditionalFormatting sqref="B3:L3">
    <cfRule type="expression" priority="2" aboveAverage="0" equalAverage="0" bottom="0" percent="0" rank="0" text="" dxfId="0">
      <formula>LEN($B$3)&gt;0</formula>
    </cfRule>
  </conditionalFormatting>
  <conditionalFormatting sqref="B7:L26">
    <cfRule type="expression" priority="3" aboveAverage="0" equalAverage="0" bottom="0" percent="0" rank="0" text="" dxfId="4">
      <formula>$K7="Done"</formula>
    </cfRule>
    <cfRule type="expression" priority="4" aboveAverage="0" equalAverage="0" bottom="0" percent="0" rank="0" text="" dxfId="19">
      <formula>$K7="After RFS"</formula>
    </cfRule>
    <cfRule type="expression" priority="5" aboveAverage="0" equalAverage="0" bottom="0" percent="0" rank="0" text="" dxfId="19">
      <formula>AND($K7&lt;&gt;"After RFS",$K7="Late")</formula>
    </cfRule>
    <cfRule type="expression" priority="6" aboveAverage="0" equalAverage="0" bottom="0" percent="0" rank="0" text="" dxfId="5">
      <formula>AND($K7&lt;&gt;"After RFS",$K7="At risk")</formula>
    </cfRule>
    <cfRule type="expression" priority="7" aboveAverage="0" equalAverage="0" bottom="0" percent="0" rank="0" text="" dxfId="0">
      <formula>AND($K7&lt;&gt;"After RFS",$K7="Due soon")</formula>
    </cfRule>
  </conditionalFormatting>
  <conditionalFormatting sqref="D35">
    <cfRule type="expression" priority="8" aboveAverage="0" equalAverage="0" bottom="0" percent="0" rank="0" text="" dxfId="21">
      <formula>AND($D$35&lt;&gt;"",$D$35&lt;0)</formula>
    </cfRule>
    <cfRule type="expression" priority="9" aboveAverage="0" equalAverage="0" bottom="0" percent="0" rank="0" text="" dxfId="22">
      <formula>AND($D$35&lt;&gt;"",NOT($D$35&lt;0))</formula>
    </cfRule>
  </conditionalFormatting>
  <conditionalFormatting sqref="D37">
    <cfRule type="expression" priority="10" aboveAverage="0" equalAverage="0" bottom="0" percent="0" rank="0" text="" dxfId="21">
      <formula>AND($D$37&lt;&gt;"",$D$37&lt;Setup!$D$26*7)</formula>
    </cfRule>
    <cfRule type="expression" priority="11" aboveAverage="0" equalAverage="0" bottom="0" percent="0" rank="0" text="" dxfId="22">
      <formula>AND($D$37&lt;&gt;"",NOT($D$37&lt;Setup!$D$26*7))</formula>
    </cfRule>
  </conditionalFormatting>
  <dataValidations count="20">
    <dataValidation allowBlank="true" errorStyle="stop" operator="between" showDropDown="false" showErrorMessage="false" showInputMessage="false" sqref="D7" type="list">
      <formula1>Reference!$C$79:$C$89</formula1>
      <formula2>0</formula2>
    </dataValidation>
    <dataValidation allowBlank="true" errorStyle="stop" operator="between" showDropDown="false" showErrorMessage="false" showInputMessage="false" sqref="D8" type="list">
      <formula1>Reference!$C$79:$C$89</formula1>
      <formula2>0</formula2>
    </dataValidation>
    <dataValidation allowBlank="true" errorStyle="stop" operator="between" showDropDown="false" showErrorMessage="false" showInputMessage="false" sqref="D9" type="list">
      <formula1>Reference!$C$79:$C$89</formula1>
      <formula2>0</formula2>
    </dataValidation>
    <dataValidation allowBlank="true" errorStyle="stop" operator="between" showDropDown="false" showErrorMessage="false" showInputMessage="false" sqref="D10" type="list">
      <formula1>Reference!$C$79:$C$89</formula1>
      <formula2>0</formula2>
    </dataValidation>
    <dataValidation allowBlank="true" errorStyle="stop" operator="between" showDropDown="false" showErrorMessage="false" showInputMessage="false" sqref="D11" type="list">
      <formula1>Reference!$C$79:$C$89</formula1>
      <formula2>0</formula2>
    </dataValidation>
    <dataValidation allowBlank="true" errorStyle="stop" operator="between" showDropDown="false" showErrorMessage="false" showInputMessage="false" sqref="D12" type="list">
      <formula1>Reference!$C$79:$C$89</formula1>
      <formula2>0</formula2>
    </dataValidation>
    <dataValidation allowBlank="true" errorStyle="stop" operator="between" showDropDown="false" showErrorMessage="false" showInputMessage="false" sqref="D13" type="list">
      <formula1>Reference!$C$79:$C$89</formula1>
      <formula2>0</formula2>
    </dataValidation>
    <dataValidation allowBlank="true" errorStyle="stop" operator="between" showDropDown="false" showErrorMessage="false" showInputMessage="false" sqref="D14" type="list">
      <formula1>Reference!$C$79:$C$89</formula1>
      <formula2>0</formula2>
    </dataValidation>
    <dataValidation allowBlank="true" errorStyle="stop" operator="between" showDropDown="false" showErrorMessage="false" showInputMessage="false" sqref="D15" type="list">
      <formula1>Reference!$C$79:$C$89</formula1>
      <formula2>0</formula2>
    </dataValidation>
    <dataValidation allowBlank="true" errorStyle="stop" operator="between" showDropDown="false" showErrorMessage="false" showInputMessage="false" sqref="D16" type="list">
      <formula1>Reference!$C$79:$C$89</formula1>
      <formula2>0</formula2>
    </dataValidation>
    <dataValidation allowBlank="true" errorStyle="stop" operator="between" showDropDown="false" showErrorMessage="false" showInputMessage="false" sqref="D17" type="list">
      <formula1>Reference!$C$79:$C$89</formula1>
      <formula2>0</formula2>
    </dataValidation>
    <dataValidation allowBlank="true" errorStyle="stop" operator="between" showDropDown="false" showErrorMessage="false" showInputMessage="false" sqref="D18" type="list">
      <formula1>Reference!$C$79:$C$89</formula1>
      <formula2>0</formula2>
    </dataValidation>
    <dataValidation allowBlank="true" errorStyle="stop" operator="between" showDropDown="false" showErrorMessage="false" showInputMessage="false" sqref="D19" type="list">
      <formula1>Reference!$C$79:$C$89</formula1>
      <formula2>0</formula2>
    </dataValidation>
    <dataValidation allowBlank="true" errorStyle="stop" operator="between" showDropDown="false" showErrorMessage="false" showInputMessage="false" sqref="D20" type="list">
      <formula1>Reference!$C$79:$C$89</formula1>
      <formula2>0</formula2>
    </dataValidation>
    <dataValidation allowBlank="true" errorStyle="stop" operator="between" showDropDown="false" showErrorMessage="false" showInputMessage="false" sqref="D21" type="list">
      <formula1>Reference!$C$79:$C$89</formula1>
      <formula2>0</formula2>
    </dataValidation>
    <dataValidation allowBlank="true" errorStyle="stop" operator="between" showDropDown="false" showErrorMessage="false" showInputMessage="false" sqref="D22" type="list">
      <formula1>Reference!$C$79:$C$89</formula1>
      <formula2>0</formula2>
    </dataValidation>
    <dataValidation allowBlank="true" errorStyle="stop" operator="between" showDropDown="false" showErrorMessage="false" showInputMessage="false" sqref="D23" type="list">
      <formula1>Reference!$C$79:$C$89</formula1>
      <formula2>0</formula2>
    </dataValidation>
    <dataValidation allowBlank="true" errorStyle="stop" operator="between" showDropDown="false" showErrorMessage="false" showInputMessage="false" sqref="D24" type="list">
      <formula1>Reference!$C$79:$C$89</formula1>
      <formula2>0</formula2>
    </dataValidation>
    <dataValidation allowBlank="true" errorStyle="stop" operator="between" showDropDown="false" showErrorMessage="false" showInputMessage="false" sqref="D25" type="list">
      <formula1>Reference!$C$79:$C$89</formula1>
      <formula2>0</formula2>
    </dataValidation>
    <dataValidation allowBlank="true" errorStyle="stop" operator="between" showDropDown="false" showErrorMessage="false" showInputMessage="false" sqref="D26" type="list">
      <formula1>Reference!$C$79:$C$89</formula1>
      <formula2>0</formula2>
    </dataValidation>
  </dataValidations>
  <hyperlinks>
    <hyperlink ref="B39" r:id="rId1" display="Visit mastt.com"/>
  </hyperlink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C6917"/>
    <pageSetUpPr fitToPage="true"/>
  </sheetPr>
  <dimension ref="B1:Q3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5" ySplit="6" topLeftCell="F7" activePane="bottomRight" state="frozen"/>
      <selection pane="topLeft" activeCell="A1" activeCellId="0" sqref="A1"/>
      <selection pane="topRight" activeCell="F1" activeCellId="0" sqref="F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7"/>
    <col collapsed="false" customWidth="true" hidden="false" outlineLevel="0" max="3" min="3" style="0" width="31"/>
    <col collapsed="false" customWidth="true" hidden="false" outlineLevel="0" max="4" min="4" style="0" width="14"/>
    <col collapsed="false" customWidth="true" hidden="false" outlineLevel="0" max="5" min="5" style="0" width="7"/>
    <col collapsed="false" customWidth="true" hidden="false" outlineLevel="0" max="7" min="6" style="0" width="9"/>
    <col collapsed="false" customWidth="true" hidden="false" outlineLevel="0" max="9" min="8" style="0" width="12"/>
    <col collapsed="false" customWidth="true" hidden="false" outlineLevel="0" max="10" min="10" style="0" width="10"/>
    <col collapsed="false" customWidth="true" hidden="false" outlineLevel="0" max="11" min="11" style="0" width="12"/>
    <col collapsed="false" customWidth="true" hidden="false" outlineLevel="0" max="12" min="12" style="0" width="13"/>
    <col collapsed="false" customWidth="true" hidden="false" outlineLevel="0" max="15" min="13" style="0" width="12"/>
    <col collapsed="false" customWidth="true" hidden="false" outlineLevel="0" max="16" min="16" style="0" width="17"/>
    <col collapsed="false" customWidth="true" hidden="false" outlineLevel="0" max="17" min="17" style="0" width="22"/>
    <col collapsed="false" customWidth="true" hidden="false" outlineLevel="0" max="18" min="18" style="0" width="2.2"/>
  </cols>
  <sheetData>
    <row r="1" customFormat="false" ht="33.75" hidden="false" customHeight="true" outlineLevel="0" collapsed="false">
      <c r="B1" s="40" t="s">
        <v>314</v>
      </c>
      <c r="C1" s="40"/>
      <c r="D1" s="40"/>
      <c r="E1" s="40"/>
      <c r="F1" s="40"/>
      <c r="G1" s="40"/>
      <c r="H1" s="40"/>
      <c r="I1" s="40"/>
      <c r="J1" s="40"/>
      <c r="K1" s="40"/>
      <c r="L1" s="40"/>
      <c r="M1" s="40"/>
      <c r="N1" s="40"/>
      <c r="O1" s="40"/>
      <c r="P1" s="40"/>
      <c r="Q1" s="40"/>
    </row>
    <row r="2" customFormat="false" ht="4.5" hidden="false" customHeight="true" outlineLevel="0" collapsed="false">
      <c r="B2" s="95"/>
      <c r="C2" s="95"/>
      <c r="D2" s="95"/>
      <c r="E2" s="95"/>
      <c r="F2" s="95"/>
      <c r="G2" s="95"/>
      <c r="H2" s="95"/>
      <c r="I2" s="95"/>
      <c r="J2" s="95"/>
      <c r="K2" s="95"/>
      <c r="L2" s="95"/>
      <c r="M2" s="95"/>
      <c r="N2" s="95"/>
      <c r="O2" s="95"/>
      <c r="P2" s="95"/>
      <c r="Q2" s="95"/>
    </row>
    <row r="3" customFormat="false" ht="16.5" hidden="false" customHeight="true" outlineLevel="0" collapsed="false">
      <c r="B3" s="42" t="str">
        <f aca="false">IF(LEFT(Setup!$D$7,7)&lt;&gt;"EXAMPLE","","EXAMPLE DATA - type your own project name on Setup to clear this.")</f>
        <v>EXAMPLE DATA - type your own project name on Setup to clear this.</v>
      </c>
      <c r="C3" s="42"/>
      <c r="D3" s="42"/>
      <c r="E3" s="42"/>
      <c r="F3" s="42"/>
      <c r="G3" s="42"/>
      <c r="H3" s="42"/>
      <c r="I3" s="42"/>
      <c r="J3" s="42"/>
      <c r="K3" s="42"/>
      <c r="L3" s="42"/>
      <c r="M3" s="42"/>
      <c r="N3" s="42"/>
      <c r="O3" s="42"/>
      <c r="P3" s="42"/>
      <c r="Q3" s="42"/>
    </row>
    <row r="4" customFormat="false" ht="25.5" hidden="false" customHeight="true" outlineLevel="0" collapsed="false">
      <c r="B4" s="43" t="s">
        <v>315</v>
      </c>
      <c r="C4" s="43"/>
      <c r="D4" s="43"/>
      <c r="E4" s="43"/>
      <c r="F4" s="43"/>
      <c r="G4" s="43"/>
      <c r="H4" s="43"/>
      <c r="I4" s="43"/>
      <c r="J4" s="43"/>
      <c r="K4" s="43"/>
      <c r="L4" s="43"/>
      <c r="M4" s="43"/>
      <c r="N4" s="43"/>
      <c r="O4" s="43"/>
      <c r="P4" s="43"/>
      <c r="Q4" s="43"/>
    </row>
    <row r="6" customFormat="false" ht="36" hidden="false" customHeight="true" outlineLevel="0" collapsed="false">
      <c r="B6" s="77" t="s">
        <v>212</v>
      </c>
      <c r="C6" s="10" t="s">
        <v>316</v>
      </c>
      <c r="D6" s="10" t="s">
        <v>317</v>
      </c>
      <c r="E6" s="10" t="s">
        <v>318</v>
      </c>
      <c r="F6" s="10" t="s">
        <v>319</v>
      </c>
      <c r="G6" s="10" t="s">
        <v>320</v>
      </c>
      <c r="H6" s="10" t="s">
        <v>321</v>
      </c>
      <c r="I6" s="77" t="s">
        <v>322</v>
      </c>
      <c r="J6" s="77" t="s">
        <v>323</v>
      </c>
      <c r="K6" s="10" t="s">
        <v>324</v>
      </c>
      <c r="L6" s="10" t="s">
        <v>325</v>
      </c>
      <c r="M6" s="10" t="s">
        <v>326</v>
      </c>
      <c r="N6" s="10" t="s">
        <v>327</v>
      </c>
      <c r="O6" s="10" t="s">
        <v>328</v>
      </c>
      <c r="P6" s="77" t="s">
        <v>221</v>
      </c>
      <c r="Q6" s="10" t="s">
        <v>222</v>
      </c>
    </row>
    <row r="7" customFormat="false" ht="31.5" hidden="false" customHeight="true" outlineLevel="0" collapsed="false">
      <c r="B7" s="78" t="str">
        <f aca="false">IF($C7="","","LL"&amp;TEXT(ROW()-6,"00"))</f>
        <v>LL01</v>
      </c>
      <c r="C7" s="79" t="s">
        <v>329</v>
      </c>
      <c r="D7" s="79" t="s">
        <v>330</v>
      </c>
      <c r="E7" s="96" t="n">
        <v>2</v>
      </c>
      <c r="F7" s="97" t="n">
        <v>128</v>
      </c>
      <c r="G7" s="97" t="n">
        <f aca="false">IF($C7="","",Setup!$D$24)</f>
        <v>6</v>
      </c>
      <c r="H7" s="80" t="n">
        <f aca="true">TODAY()-120</f>
        <v>46131</v>
      </c>
      <c r="I7" s="98" t="n">
        <f aca="false">IF(OR($C7="",$H7="",$F7=""),"",$H7-($F7+N($G7))*7)</f>
        <v>45193</v>
      </c>
      <c r="J7" s="83" t="str">
        <f aca="false">IF(OR($I7="",$K7&lt;&gt;""),"",$I7-Setup!$D$19)</f>
        <v/>
      </c>
      <c r="K7" s="80" t="n">
        <f aca="true">TODAY()-350</f>
        <v>45901</v>
      </c>
      <c r="L7" s="79" t="s">
        <v>331</v>
      </c>
      <c r="M7" s="80" t="n">
        <f aca="true">TODAY()-180</f>
        <v>46071</v>
      </c>
      <c r="N7" s="80" t="n">
        <f aca="true">TODAY()-150</f>
        <v>46101</v>
      </c>
      <c r="O7" s="80"/>
      <c r="P7" s="84" t="str">
        <f aca="false">IF($C7="","",IF($O7&lt;&gt;"","Installed",IF($N7&lt;&gt;"","Delivered",IF($M7&lt;&gt;"","Factory test passed",IF($K7&lt;&gt;"","Ordered",IF($I7="","No required date",IF(Setup!$D$19&gt;$I7,"ORDER DATE PASSED",IF($I7-Setup!$D$19&lt;=Setup!$D$25*7,"Order now","Not yet due"))))))))</f>
        <v>Delivered</v>
      </c>
      <c r="Q7" s="79" t="s">
        <v>332</v>
      </c>
    </row>
    <row r="8" customFormat="false" ht="31.5" hidden="false" customHeight="true" outlineLevel="0" collapsed="false">
      <c r="B8" s="78" t="str">
        <f aca="false">IF($C8="","","LL"&amp;TEXT(ROW()-6,"00"))</f>
        <v>LL02</v>
      </c>
      <c r="C8" s="85" t="s">
        <v>333</v>
      </c>
      <c r="D8" s="85" t="s">
        <v>334</v>
      </c>
      <c r="E8" s="99" t="n">
        <v>1</v>
      </c>
      <c r="F8" s="100" t="n">
        <v>144</v>
      </c>
      <c r="G8" s="100" t="n">
        <f aca="false">IF($C8="","",Setup!$D$24)</f>
        <v>6</v>
      </c>
      <c r="H8" s="86" t="n">
        <f aca="true">TODAY()-100</f>
        <v>46151</v>
      </c>
      <c r="I8" s="98" t="n">
        <f aca="false">IF(OR($C8="",$H8="",$F8=""),"",$H8-($F8+N($G8))*7)</f>
        <v>45101</v>
      </c>
      <c r="J8" s="83" t="str">
        <f aca="false">IF(OR($I8="",$K8&lt;&gt;""),"",$I8-Setup!$D$19)</f>
        <v/>
      </c>
      <c r="K8" s="86" t="n">
        <f aca="true">TODAY()-420</f>
        <v>45831</v>
      </c>
      <c r="L8" s="85" t="s">
        <v>335</v>
      </c>
      <c r="M8" s="86" t="n">
        <f aca="true">TODAY()-160</f>
        <v>46091</v>
      </c>
      <c r="N8" s="86" t="n">
        <f aca="true">TODAY()-120</f>
        <v>46131</v>
      </c>
      <c r="O8" s="86"/>
      <c r="P8" s="84" t="str">
        <f aca="false">IF($C8="","",IF($O8&lt;&gt;"","Installed",IF($N8&lt;&gt;"","Delivered",IF($M8&lt;&gt;"","Factory test passed",IF($K8&lt;&gt;"","Ordered",IF($I8="","No required date",IF(Setup!$D$19&gt;$I8,"ORDER DATE PASSED",IF($I8-Setup!$D$19&lt;=Setup!$D$25*7,"Order now","Not yet due"))))))))</f>
        <v>Delivered</v>
      </c>
      <c r="Q8" s="85"/>
    </row>
    <row r="9" customFormat="false" ht="31.5" hidden="false" customHeight="true" outlineLevel="0" collapsed="false">
      <c r="B9" s="78" t="str">
        <f aca="false">IF($C9="","","LL"&amp;TEXT(ROW()-6,"00"))</f>
        <v>LL03</v>
      </c>
      <c r="C9" s="79" t="s">
        <v>336</v>
      </c>
      <c r="D9" s="79" t="s">
        <v>334</v>
      </c>
      <c r="E9" s="96" t="n">
        <v>4</v>
      </c>
      <c r="F9" s="97" t="n">
        <v>60</v>
      </c>
      <c r="G9" s="97" t="n">
        <f aca="false">IF($C9="","",Setup!$D$24)</f>
        <v>6</v>
      </c>
      <c r="H9" s="80" t="n">
        <f aca="true">TODAY()-110</f>
        <v>46141</v>
      </c>
      <c r="I9" s="98" t="n">
        <f aca="false">IF(OR($C9="",$H9="",$F9=""),"",$H9-($F9+N($G9))*7)</f>
        <v>45679</v>
      </c>
      <c r="J9" s="83" t="str">
        <f aca="false">IF(OR($I9="",$K9&lt;&gt;""),"",$I9-Setup!$D$19)</f>
        <v/>
      </c>
      <c r="K9" s="80" t="n">
        <f aca="true">TODAY()-400</f>
        <v>45851</v>
      </c>
      <c r="L9" s="79" t="s">
        <v>337</v>
      </c>
      <c r="M9" s="80" t="n">
        <f aca="true">TODAY()-150</f>
        <v>46101</v>
      </c>
      <c r="N9" s="80" t="n">
        <f aca="true">TODAY()-105</f>
        <v>46146</v>
      </c>
      <c r="O9" s="80"/>
      <c r="P9" s="84" t="str">
        <f aca="false">IF($C9="","",IF($O9&lt;&gt;"","Installed",IF($N9&lt;&gt;"","Delivered",IF($M9&lt;&gt;"","Factory test passed",IF($K9&lt;&gt;"","Ordered",IF($I9="","No required date",IF(Setup!$D$19&gt;$I9,"ORDER DATE PASSED",IF($I9-Setup!$D$19&lt;=Setup!$D$25*7,"Order now","Not yet due"))))))))</f>
        <v>Delivered</v>
      </c>
      <c r="Q9" s="79"/>
    </row>
    <row r="10" customFormat="false" ht="31.5" hidden="false" customHeight="true" outlineLevel="0" collapsed="false">
      <c r="B10" s="78" t="str">
        <f aca="false">IF($C10="","","LL"&amp;TEXT(ROW()-6,"00"))</f>
        <v>LL04</v>
      </c>
      <c r="C10" s="85" t="s">
        <v>338</v>
      </c>
      <c r="D10" s="85" t="s">
        <v>339</v>
      </c>
      <c r="E10" s="99" t="n">
        <v>8</v>
      </c>
      <c r="F10" s="100" t="n">
        <v>100</v>
      </c>
      <c r="G10" s="100" t="n">
        <f aca="false">IF($C10="","",Setup!$D$24)</f>
        <v>6</v>
      </c>
      <c r="H10" s="86" t="n">
        <f aca="true">TODAY()-90</f>
        <v>46161</v>
      </c>
      <c r="I10" s="98" t="n">
        <f aca="false">IF(OR($C10="",$H10="",$F10=""),"",$H10-($F10+N($G10))*7)</f>
        <v>45419</v>
      </c>
      <c r="J10" s="83" t="str">
        <f aca="false">IF(OR($I10="",$K10&lt;&gt;""),"",$I10-Setup!$D$19)</f>
        <v/>
      </c>
      <c r="K10" s="86" t="n">
        <f aca="true">TODAY()-430</f>
        <v>45821</v>
      </c>
      <c r="L10" s="85" t="s">
        <v>340</v>
      </c>
      <c r="M10" s="86" t="n">
        <f aca="true">TODAY()-140</f>
        <v>46111</v>
      </c>
      <c r="N10" s="86" t="n">
        <f aca="true">TODAY()-95</f>
        <v>46156</v>
      </c>
      <c r="O10" s="86"/>
      <c r="P10" s="84" t="str">
        <f aca="false">IF($C10="","",IF($O10&lt;&gt;"","Installed",IF($N10&lt;&gt;"","Delivered",IF($M10&lt;&gt;"","Factory test passed",IF($K10&lt;&gt;"","Ordered",IF($I10="","No required date",IF(Setup!$D$19&gt;$I10,"ORDER DATE PASSED",IF($I10-Setup!$D$19&lt;=Setup!$D$25*7,"Order now","Not yet due"))))))))</f>
        <v>Delivered</v>
      </c>
      <c r="Q10" s="85"/>
    </row>
    <row r="11" customFormat="false" ht="31.5" hidden="false" customHeight="true" outlineLevel="0" collapsed="false">
      <c r="B11" s="78" t="str">
        <f aca="false">IF($C11="","","LL"&amp;TEXT(ROW()-6,"00"))</f>
        <v>LL05</v>
      </c>
      <c r="C11" s="79" t="s">
        <v>341</v>
      </c>
      <c r="D11" s="79" t="s">
        <v>339</v>
      </c>
      <c r="E11" s="96" t="n">
        <v>12</v>
      </c>
      <c r="F11" s="97" t="n">
        <v>48</v>
      </c>
      <c r="G11" s="97" t="n">
        <f aca="false">IF($C11="","",Setup!$D$24)</f>
        <v>6</v>
      </c>
      <c r="H11" s="80" t="n">
        <f aca="true">TODAY()-45</f>
        <v>46206</v>
      </c>
      <c r="I11" s="98" t="n">
        <f aca="false">IF(OR($C11="",$H11="",$F11=""),"",$H11-($F11+N($G11))*7)</f>
        <v>45828</v>
      </c>
      <c r="J11" s="83" t="str">
        <f aca="false">IF(OR($I11="",$K11&lt;&gt;""),"",$I11-Setup!$D$19)</f>
        <v/>
      </c>
      <c r="K11" s="80" t="n">
        <f aca="true">TODAY()-300</f>
        <v>45951</v>
      </c>
      <c r="L11" s="79" t="s">
        <v>342</v>
      </c>
      <c r="M11" s="80" t="n">
        <f aca="true">TODAY()-70</f>
        <v>46181</v>
      </c>
      <c r="N11" s="80" t="n">
        <f aca="true">TODAY()-30</f>
        <v>46221</v>
      </c>
      <c r="O11" s="80" t="n">
        <f aca="true">TODAY()-20</f>
        <v>46231</v>
      </c>
      <c r="P11" s="84" t="str">
        <f aca="false">IF($C11="","",IF($O11&lt;&gt;"","Installed",IF($N11&lt;&gt;"","Delivered",IF($M11&lt;&gt;"","Factory test passed",IF($K11&lt;&gt;"","Ordered",IF($I11="","No required date",IF(Setup!$D$19&gt;$I11,"ORDER DATE PASSED",IF($I11-Setup!$D$19&lt;=Setup!$D$25*7,"Order now","Not yet due"))))))))</f>
        <v>Installed</v>
      </c>
      <c r="Q11" s="79" t="s">
        <v>343</v>
      </c>
    </row>
    <row r="12" customFormat="false" ht="31.5" hidden="false" customHeight="true" outlineLevel="0" collapsed="false">
      <c r="B12" s="78" t="str">
        <f aca="false">IF($C12="","","LL"&amp;TEXT(ROW()-6,"00"))</f>
        <v>LL06</v>
      </c>
      <c r="C12" s="85" t="s">
        <v>344</v>
      </c>
      <c r="D12" s="85" t="s">
        <v>339</v>
      </c>
      <c r="E12" s="99" t="n">
        <v>24</v>
      </c>
      <c r="F12" s="100" t="n">
        <v>40</v>
      </c>
      <c r="G12" s="100" t="n">
        <f aca="false">IF($C12="","",Setup!$D$24)</f>
        <v>6</v>
      </c>
      <c r="H12" s="86" t="n">
        <f aca="true">TODAY()-40</f>
        <v>46211</v>
      </c>
      <c r="I12" s="98" t="n">
        <f aca="false">IF(OR($C12="",$H12="",$F12=""),"",$H12-($F12+N($G12))*7)</f>
        <v>45889</v>
      </c>
      <c r="J12" s="83" t="str">
        <f aca="false">IF(OR($I12="",$K12&lt;&gt;""),"",$I12-Setup!$D$19)</f>
        <v/>
      </c>
      <c r="K12" s="86" t="n">
        <f aca="true">TODAY()-280</f>
        <v>45971</v>
      </c>
      <c r="L12" s="85" t="s">
        <v>345</v>
      </c>
      <c r="M12" s="86" t="n">
        <f aca="true">TODAY()-60</f>
        <v>46191</v>
      </c>
      <c r="N12" s="86" t="n">
        <f aca="true">TODAY()-35</f>
        <v>46216</v>
      </c>
      <c r="O12" s="86"/>
      <c r="P12" s="84" t="str">
        <f aca="false">IF($C12="","",IF($O12&lt;&gt;"","Installed",IF($N12&lt;&gt;"","Delivered",IF($M12&lt;&gt;"","Factory test passed",IF($K12&lt;&gt;"","Ordered",IF($I12="","No required date",IF(Setup!$D$19&gt;$I12,"ORDER DATE PASSED",IF($I12-Setup!$D$19&lt;=Setup!$D$25*7,"Order now","Not yet due"))))))))</f>
        <v>Delivered</v>
      </c>
      <c r="Q12" s="85"/>
    </row>
    <row r="13" customFormat="false" ht="31.5" hidden="false" customHeight="true" outlineLevel="0" collapsed="false">
      <c r="B13" s="78" t="str">
        <f aca="false">IF($C13="","","LL"&amp;TEXT(ROW()-6,"00"))</f>
        <v>LL07</v>
      </c>
      <c r="C13" s="79" t="s">
        <v>346</v>
      </c>
      <c r="D13" s="79" t="s">
        <v>347</v>
      </c>
      <c r="E13" s="96" t="n">
        <v>6</v>
      </c>
      <c r="F13" s="97" t="n">
        <v>52</v>
      </c>
      <c r="G13" s="97" t="n">
        <f aca="false">IF($C13="","",Setup!$D$24)</f>
        <v>6</v>
      </c>
      <c r="H13" s="80" t="n">
        <f aca="true">TODAY()-60</f>
        <v>46191</v>
      </c>
      <c r="I13" s="98" t="n">
        <f aca="false">IF(OR($C13="",$H13="",$F13=""),"",$H13-($F13+N($G13))*7)</f>
        <v>45785</v>
      </c>
      <c r="J13" s="83" t="str">
        <f aca="false">IF(OR($I13="",$K13&lt;&gt;""),"",$I13-Setup!$D$19)</f>
        <v/>
      </c>
      <c r="K13" s="80" t="n">
        <f aca="true">TODAY()-360</f>
        <v>45891</v>
      </c>
      <c r="L13" s="79" t="s">
        <v>348</v>
      </c>
      <c r="M13" s="80" t="n">
        <f aca="true">TODAY()-95</f>
        <v>46156</v>
      </c>
      <c r="N13" s="80" t="n">
        <f aca="true">TODAY()-70</f>
        <v>46181</v>
      </c>
      <c r="O13" s="80" t="n">
        <f aca="true">TODAY()-60</f>
        <v>46191</v>
      </c>
      <c r="P13" s="84" t="str">
        <f aca="false">IF($C13="","",IF($O13&lt;&gt;"","Installed",IF($N13&lt;&gt;"","Delivered",IF($M13&lt;&gt;"","Factory test passed",IF($K13&lt;&gt;"","Ordered",IF($I13="","No required date",IF(Setup!$D$19&gt;$I13,"ORDER DATE PASSED",IF($I13-Setup!$D$19&lt;=Setup!$D$25*7,"Order now","Not yet due"))))))))</f>
        <v>Installed</v>
      </c>
      <c r="Q13" s="79"/>
    </row>
    <row r="14" customFormat="false" ht="31.5" hidden="false" customHeight="true" outlineLevel="0" collapsed="false">
      <c r="B14" s="78" t="str">
        <f aca="false">IF($C14="","","LL"&amp;TEXT(ROW()-6,"00"))</f>
        <v>LL08</v>
      </c>
      <c r="C14" s="85" t="s">
        <v>349</v>
      </c>
      <c r="D14" s="85" t="s">
        <v>347</v>
      </c>
      <c r="E14" s="99" t="n">
        <v>6</v>
      </c>
      <c r="F14" s="100" t="n">
        <v>44</v>
      </c>
      <c r="G14" s="100" t="n">
        <f aca="false">IF($C14="","",Setup!$D$24)</f>
        <v>6</v>
      </c>
      <c r="H14" s="86" t="n">
        <f aca="true">TODAY()-60</f>
        <v>46191</v>
      </c>
      <c r="I14" s="98" t="n">
        <f aca="false">IF(OR($C14="",$H14="",$F14=""),"",$H14-($F14+N($G14))*7)</f>
        <v>45841</v>
      </c>
      <c r="J14" s="83" t="str">
        <f aca="false">IF(OR($I14="",$K14&lt;&gt;""),"",$I14-Setup!$D$19)</f>
        <v/>
      </c>
      <c r="K14" s="86" t="n">
        <f aca="true">TODAY()-350</f>
        <v>45901</v>
      </c>
      <c r="L14" s="85" t="s">
        <v>350</v>
      </c>
      <c r="M14" s="86" t="n">
        <f aca="true">TODAY()-90</f>
        <v>46161</v>
      </c>
      <c r="N14" s="86" t="n">
        <f aca="true">TODAY()-68</f>
        <v>46183</v>
      </c>
      <c r="O14" s="86" t="n">
        <f aca="true">TODAY()-58</f>
        <v>46193</v>
      </c>
      <c r="P14" s="84" t="str">
        <f aca="false">IF($C14="","",IF($O14&lt;&gt;"","Installed",IF($N14&lt;&gt;"","Delivered",IF($M14&lt;&gt;"","Factory test passed",IF($K14&lt;&gt;"","Ordered",IF($I14="","No required date",IF(Setup!$D$19&gt;$I14,"ORDER DATE PASSED",IF($I14-Setup!$D$19&lt;=Setup!$D$25*7,"Order now","Not yet due"))))))))</f>
        <v>Installed</v>
      </c>
      <c r="Q14" s="85"/>
    </row>
    <row r="15" customFormat="false" ht="31.5" hidden="false" customHeight="true" outlineLevel="0" collapsed="false">
      <c r="B15" s="78" t="str">
        <f aca="false">IF($C15="","","LL"&amp;TEXT(ROW()-6,"00"))</f>
        <v>LL09</v>
      </c>
      <c r="C15" s="79" t="s">
        <v>351</v>
      </c>
      <c r="D15" s="79" t="s">
        <v>347</v>
      </c>
      <c r="E15" s="96" t="n">
        <v>48</v>
      </c>
      <c r="F15" s="97" t="n">
        <v>32</v>
      </c>
      <c r="G15" s="97" t="n">
        <f aca="false">IF($C15="","",Setup!$D$24)</f>
        <v>6</v>
      </c>
      <c r="H15" s="80" t="n">
        <f aca="true">TODAY()-20</f>
        <v>46231</v>
      </c>
      <c r="I15" s="98" t="n">
        <f aca="false">IF(OR($C15="",$H15="",$F15=""),"",$H15-($F15+N($G15))*7)</f>
        <v>45965</v>
      </c>
      <c r="J15" s="83" t="str">
        <f aca="false">IF(OR($I15="",$K15&lt;&gt;""),"",$I15-Setup!$D$19)</f>
        <v/>
      </c>
      <c r="K15" s="80" t="n">
        <f aca="true">TODAY()-200</f>
        <v>46051</v>
      </c>
      <c r="L15" s="79" t="s">
        <v>352</v>
      </c>
      <c r="M15" s="80" t="n">
        <f aca="true">TODAY()-45</f>
        <v>46206</v>
      </c>
      <c r="N15" s="80" t="n">
        <f aca="true">TODAY()-25</f>
        <v>46226</v>
      </c>
      <c r="O15" s="80"/>
      <c r="P15" s="84" t="str">
        <f aca="false">IF($C15="","",IF($O15&lt;&gt;"","Installed",IF($N15&lt;&gt;"","Delivered",IF($M15&lt;&gt;"","Factory test passed",IF($K15&lt;&gt;"","Ordered",IF($I15="","No required date",IF(Setup!$D$19&gt;$I15,"ORDER DATE PASSED",IF($I15-Setup!$D$19&lt;=Setup!$D$25*7,"Order now","Not yet due"))))))))</f>
        <v>Delivered</v>
      </c>
      <c r="Q15" s="79"/>
    </row>
    <row r="16" customFormat="false" ht="31.5" hidden="false" customHeight="true" outlineLevel="0" collapsed="false">
      <c r="B16" s="78" t="str">
        <f aca="false">IF($C16="","","LL"&amp;TEXT(ROW()-6,"00"))</f>
        <v>LL10</v>
      </c>
      <c r="C16" s="85" t="s">
        <v>353</v>
      </c>
      <c r="D16" s="85" t="s">
        <v>339</v>
      </c>
      <c r="E16" s="99" t="n">
        <v>3600</v>
      </c>
      <c r="F16" s="100" t="n">
        <v>30</v>
      </c>
      <c r="G16" s="100" t="n">
        <f aca="false">IF($C16="","",Setup!$D$24)</f>
        <v>6</v>
      </c>
      <c r="H16" s="86" t="n">
        <f aca="true">TODAY()-10</f>
        <v>46241</v>
      </c>
      <c r="I16" s="98" t="n">
        <f aca="false">IF(OR($C16="",$H16="",$F16=""),"",$H16-($F16+N($G16))*7)</f>
        <v>45989</v>
      </c>
      <c r="J16" s="83" t="str">
        <f aca="false">IF(OR($I16="",$K16&lt;&gt;""),"",$I16-Setup!$D$19)</f>
        <v/>
      </c>
      <c r="K16" s="86" t="n">
        <f aca="true">TODAY()-170</f>
        <v>46081</v>
      </c>
      <c r="L16" s="85" t="s">
        <v>354</v>
      </c>
      <c r="M16" s="86"/>
      <c r="N16" s="86" t="n">
        <f aca="true">TODAY()-12</f>
        <v>46239</v>
      </c>
      <c r="O16" s="86"/>
      <c r="P16" s="84" t="str">
        <f aca="false">IF($C16="","",IF($O16&lt;&gt;"","Installed",IF($N16&lt;&gt;"","Delivered",IF($M16&lt;&gt;"","Factory test passed",IF($K16&lt;&gt;"","Ordered",IF($I16="","No required date",IF(Setup!$D$19&gt;$I16,"ORDER DATE PASSED",IF($I16-Setup!$D$19&lt;=Setup!$D$25*7,"Order now","Not yet due"))))))))</f>
        <v>Delivered</v>
      </c>
      <c r="Q16" s="85" t="s">
        <v>355</v>
      </c>
    </row>
    <row r="17" customFormat="false" ht="31.5" hidden="false" customHeight="true" outlineLevel="0" collapsed="false">
      <c r="B17" s="78" t="str">
        <f aca="false">IF($C17="","","LL"&amp;TEXT(ROW()-6,"00"))</f>
        <v>LL11</v>
      </c>
      <c r="C17" s="79" t="s">
        <v>356</v>
      </c>
      <c r="D17" s="79" t="s">
        <v>339</v>
      </c>
      <c r="E17" s="96" t="n">
        <v>24</v>
      </c>
      <c r="F17" s="97" t="n">
        <v>36</v>
      </c>
      <c r="G17" s="97" t="n">
        <f aca="false">IF($C17="","",Setup!$D$24)</f>
        <v>6</v>
      </c>
      <c r="H17" s="80" t="n">
        <f aca="true">TODAY()-25</f>
        <v>46226</v>
      </c>
      <c r="I17" s="98" t="n">
        <f aca="false">IF(OR($C17="",$H17="",$F17=""),"",$H17-($F17+N($G17))*7)</f>
        <v>45932</v>
      </c>
      <c r="J17" s="83" t="str">
        <f aca="false">IF(OR($I17="",$K17&lt;&gt;""),"",$I17-Setup!$D$19)</f>
        <v/>
      </c>
      <c r="K17" s="80" t="n">
        <f aca="true">TODAY()-220</f>
        <v>46031</v>
      </c>
      <c r="L17" s="79" t="s">
        <v>357</v>
      </c>
      <c r="M17" s="80" t="n">
        <f aca="true">TODAY()-50</f>
        <v>46201</v>
      </c>
      <c r="N17" s="80" t="n">
        <f aca="true">TODAY()-22</f>
        <v>46229</v>
      </c>
      <c r="O17" s="80" t="n">
        <f aca="true">TODAY()-12</f>
        <v>46239</v>
      </c>
      <c r="P17" s="84" t="str">
        <f aca="false">IF($C17="","",IF($O17&lt;&gt;"","Installed",IF($N17&lt;&gt;"","Delivered",IF($M17&lt;&gt;"","Factory test passed",IF($K17&lt;&gt;"","Ordered",IF($I17="","No required date",IF(Setup!$D$19&gt;$I17,"ORDER DATE PASSED",IF($I17-Setup!$D$19&lt;=Setup!$D$25*7,"Order now","Not yet due"))))))))</f>
        <v>Installed</v>
      </c>
      <c r="Q17" s="79"/>
    </row>
    <row r="18" customFormat="false" ht="31.5" hidden="false" customHeight="true" outlineLevel="0" collapsed="false">
      <c r="B18" s="78" t="str">
        <f aca="false">IF($C18="","","LL"&amp;TEXT(ROW()-6,"00"))</f>
        <v>LL12</v>
      </c>
      <c r="C18" s="85" t="s">
        <v>358</v>
      </c>
      <c r="D18" s="85" t="s">
        <v>347</v>
      </c>
      <c r="E18" s="99" t="n">
        <v>8</v>
      </c>
      <c r="F18" s="100" t="n">
        <v>26</v>
      </c>
      <c r="G18" s="100" t="n">
        <f aca="false">IF($C18="","",Setup!$D$24)</f>
        <v>6</v>
      </c>
      <c r="H18" s="86" t="n">
        <f aca="true">TODAY()+40</f>
        <v>46291</v>
      </c>
      <c r="I18" s="98" t="n">
        <f aca="false">IF(OR($C18="",$H18="",$F18=""),"",$H18-($F18+N($G18))*7)</f>
        <v>46067</v>
      </c>
      <c r="J18" s="83" t="n">
        <f aca="false">IF(OR($I18="",$K18&lt;&gt;""),"",$I18-Setup!$D$19)</f>
        <v>-184</v>
      </c>
      <c r="K18" s="86"/>
      <c r="L18" s="85"/>
      <c r="M18" s="86"/>
      <c r="N18" s="86"/>
      <c r="O18" s="86"/>
      <c r="P18" s="84" t="str">
        <f aca="false">IF($C18="","",IF($O18&lt;&gt;"","Installed",IF($N18&lt;&gt;"","Delivered",IF($M18&lt;&gt;"","Factory test passed",IF($K18&lt;&gt;"","Ordered",IF($I18="","No required date",IF(Setup!$D$19&gt;$I18,"ORDER DATE PASSED",IF($I18-Setup!$D$19&lt;=Setup!$D$25*7,"Order now","Not yet due"))))))))</f>
        <v>ORDER DATE PASSED</v>
      </c>
      <c r="Q18" s="85" t="s">
        <v>359</v>
      </c>
    </row>
    <row r="19" customFormat="false" ht="31.5" hidden="false" customHeight="true" outlineLevel="0" collapsed="false">
      <c r="B19" s="78" t="str">
        <f aca="false">IF($C19="","","LL"&amp;TEXT(ROW()-6,"00"))</f>
        <v>LL13</v>
      </c>
      <c r="C19" s="79" t="s">
        <v>360</v>
      </c>
      <c r="D19" s="79" t="s">
        <v>361</v>
      </c>
      <c r="E19" s="96" t="n">
        <v>1</v>
      </c>
      <c r="F19" s="97" t="n">
        <v>24</v>
      </c>
      <c r="G19" s="97" t="n">
        <f aca="false">IF($C19="","",Setup!$D$24)</f>
        <v>6</v>
      </c>
      <c r="H19" s="80" t="n">
        <f aca="true">TODAY()+5</f>
        <v>46256</v>
      </c>
      <c r="I19" s="98" t="n">
        <f aca="false">IF(OR($C19="",$H19="",$F19=""),"",$H19-($F19+N($G19))*7)</f>
        <v>46046</v>
      </c>
      <c r="J19" s="83" t="str">
        <f aca="false">IF(OR($I19="",$K19&lt;&gt;""),"",$I19-Setup!$D$19)</f>
        <v/>
      </c>
      <c r="K19" s="80" t="n">
        <f aca="true">TODAY()-90</f>
        <v>46161</v>
      </c>
      <c r="L19" s="79" t="s">
        <v>362</v>
      </c>
      <c r="M19" s="80"/>
      <c r="N19" s="80"/>
      <c r="O19" s="80"/>
      <c r="P19" s="84" t="str">
        <f aca="false">IF($C19="","",IF($O19&lt;&gt;"","Installed",IF($N19&lt;&gt;"","Delivered",IF($M19&lt;&gt;"","Factory test passed",IF($K19&lt;&gt;"","Ordered",IF($I19="","No required date",IF(Setup!$D$19&gt;$I19,"ORDER DATE PASSED",IF($I19-Setup!$D$19&lt;=Setup!$D$25*7,"Order now","Not yet due"))))))))</f>
        <v>Ordered</v>
      </c>
      <c r="Q19" s="79"/>
    </row>
    <row r="20" customFormat="false" ht="31.5" hidden="false" customHeight="true" outlineLevel="0" collapsed="false">
      <c r="B20" s="78" t="str">
        <f aca="false">IF($C20="","","LL"&amp;TEXT(ROW()-6,"00"))</f>
        <v>LL14</v>
      </c>
      <c r="C20" s="85" t="s">
        <v>363</v>
      </c>
      <c r="D20" s="85" t="s">
        <v>339</v>
      </c>
      <c r="E20" s="99" t="n">
        <v>2</v>
      </c>
      <c r="F20" s="100" t="n">
        <v>30</v>
      </c>
      <c r="G20" s="100" t="n">
        <f aca="false">IF($C20="","",Setup!$D$24)</f>
        <v>6</v>
      </c>
      <c r="H20" s="86" t="n">
        <f aca="true">TODAY()-30</f>
        <v>46221</v>
      </c>
      <c r="I20" s="98" t="n">
        <f aca="false">IF(OR($C20="",$H20="",$F20=""),"",$H20-($F20+N($G20))*7)</f>
        <v>45969</v>
      </c>
      <c r="J20" s="83" t="str">
        <f aca="false">IF(OR($I20="",$K20&lt;&gt;""),"",$I20-Setup!$D$19)</f>
        <v/>
      </c>
      <c r="K20" s="86" t="n">
        <f aca="true">TODAY()-180</f>
        <v>46071</v>
      </c>
      <c r="L20" s="85" t="s">
        <v>364</v>
      </c>
      <c r="M20" s="86"/>
      <c r="N20" s="86" t="n">
        <f aca="true">TODAY()-35</f>
        <v>46216</v>
      </c>
      <c r="O20" s="86"/>
      <c r="P20" s="84" t="str">
        <f aca="false">IF($C20="","",IF($O20&lt;&gt;"","Installed",IF($N20&lt;&gt;"","Delivered",IF($M20&lt;&gt;"","Factory test passed",IF($K20&lt;&gt;"","Ordered",IF($I20="","No required date",IF(Setup!$D$19&gt;$I20,"ORDER DATE PASSED",IF($I20-Setup!$D$19&lt;=Setup!$D$25*7,"Order now","Not yet due"))))))))</f>
        <v>Delivered</v>
      </c>
      <c r="Q20" s="85"/>
    </row>
    <row r="21" customFormat="false" ht="31.5" hidden="false" customHeight="true" outlineLevel="0" collapsed="false">
      <c r="B21" s="78" t="str">
        <f aca="false">IF($C21="","","LL"&amp;TEXT(ROW()-6,"00"))</f>
        <v>LL15</v>
      </c>
      <c r="C21" s="79" t="s">
        <v>365</v>
      </c>
      <c r="D21" s="79" t="s">
        <v>366</v>
      </c>
      <c r="E21" s="96" t="n">
        <v>1</v>
      </c>
      <c r="F21" s="97" t="n">
        <v>16</v>
      </c>
      <c r="G21" s="97" t="n">
        <f aca="false">IF($C21="","",Setup!$D$24)</f>
        <v>6</v>
      </c>
      <c r="H21" s="80" t="n">
        <f aca="true">TODAY()+15</f>
        <v>46266</v>
      </c>
      <c r="I21" s="98" t="n">
        <f aca="false">IF(OR($C21="",$H21="",$F21=""),"",$H21-($F21+N($G21))*7)</f>
        <v>46112</v>
      </c>
      <c r="J21" s="83" t="str">
        <f aca="false">IF(OR($I21="",$K21&lt;&gt;""),"",$I21-Setup!$D$19)</f>
        <v/>
      </c>
      <c r="K21" s="80" t="n">
        <f aca="true">TODAY()-60</f>
        <v>46191</v>
      </c>
      <c r="L21" s="79" t="s">
        <v>367</v>
      </c>
      <c r="M21" s="80"/>
      <c r="N21" s="80"/>
      <c r="O21" s="80"/>
      <c r="P21" s="84" t="str">
        <f aca="false">IF($C21="","",IF($O21&lt;&gt;"","Installed",IF($N21&lt;&gt;"","Delivered",IF($M21&lt;&gt;"","Factory test passed",IF($K21&lt;&gt;"","Ordered",IF($I21="","No required date",IF(Setup!$D$19&gt;$I21,"ORDER DATE PASSED",IF($I21-Setup!$D$19&lt;=Setup!$D$25*7,"Order now","Not yet due"))))))))</f>
        <v>Ordered</v>
      </c>
      <c r="Q21" s="79"/>
    </row>
    <row r="22" customFormat="false" ht="31.5" hidden="false" customHeight="true" outlineLevel="0" collapsed="false">
      <c r="B22" s="78" t="str">
        <f aca="false">IF($C22="","","LL"&amp;TEXT(ROW()-6,"00"))</f>
        <v>LL16</v>
      </c>
      <c r="C22" s="85" t="s">
        <v>368</v>
      </c>
      <c r="D22" s="85" t="s">
        <v>369</v>
      </c>
      <c r="E22" s="99" t="n">
        <v>2400</v>
      </c>
      <c r="F22" s="100" t="n">
        <v>20</v>
      </c>
      <c r="G22" s="100" t="n">
        <f aca="false">IF($C22="","",Setup!$D$24)</f>
        <v>6</v>
      </c>
      <c r="H22" s="86" t="n">
        <f aca="true">TODAY()+212</f>
        <v>46463</v>
      </c>
      <c r="I22" s="98" t="n">
        <f aca="false">IF(OR($C22="",$H22="",$F22=""),"",$H22-($F22+N($G22))*7)</f>
        <v>46281</v>
      </c>
      <c r="J22" s="83" t="n">
        <f aca="false">IF(OR($I22="",$K22&lt;&gt;""),"",$I22-Setup!$D$19)</f>
        <v>30</v>
      </c>
      <c r="K22" s="86"/>
      <c r="L22" s="85"/>
      <c r="M22" s="86"/>
      <c r="N22" s="86"/>
      <c r="O22" s="86"/>
      <c r="P22" s="84" t="str">
        <f aca="false">IF($C22="","",IF($O22&lt;&gt;"","Installed",IF($N22&lt;&gt;"","Delivered",IF($M22&lt;&gt;"","Factory test passed",IF($K22&lt;&gt;"","Ordered",IF($I22="","No required date",IF(Setup!$D$19&gt;$I22,"ORDER DATE PASSED",IF($I22-Setup!$D$19&lt;=Setup!$D$25*7,"Order now","Not yet due"))))))))</f>
        <v>Order now</v>
      </c>
      <c r="Q22" s="85" t="s">
        <v>370</v>
      </c>
    </row>
    <row r="23" customFormat="false" ht="31.5" hidden="false" customHeight="true" outlineLevel="0" collapsed="false">
      <c r="B23" s="78" t="str">
        <f aca="false">IF($C23="","","LL"&amp;TEXT(ROW()-6,"00"))</f>
        <v>LL17</v>
      </c>
      <c r="C23" s="79" t="s">
        <v>371</v>
      </c>
      <c r="D23" s="79" t="s">
        <v>347</v>
      </c>
      <c r="E23" s="96" t="n">
        <v>4</v>
      </c>
      <c r="F23" s="97" t="n">
        <v>52</v>
      </c>
      <c r="G23" s="97" t="n">
        <f aca="false">IF($C23="","",Setup!$D$24)</f>
        <v>6</v>
      </c>
      <c r="H23" s="80" t="n">
        <f aca="true">TODAY()+500</f>
        <v>46751</v>
      </c>
      <c r="I23" s="98" t="n">
        <f aca="false">IF(OR($C23="",$H23="",$F23=""),"",$H23-($F23+N($G23))*7)</f>
        <v>46345</v>
      </c>
      <c r="J23" s="83" t="n">
        <f aca="false">IF(OR($I23="",$K23&lt;&gt;""),"",$I23-Setup!$D$19)</f>
        <v>94</v>
      </c>
      <c r="K23" s="80"/>
      <c r="L23" s="79"/>
      <c r="M23" s="80"/>
      <c r="N23" s="80"/>
      <c r="O23" s="80"/>
      <c r="P23" s="84" t="str">
        <f aca="false">IF($C23="","",IF($O23&lt;&gt;"","Installed",IF($N23&lt;&gt;"","Delivered",IF($M23&lt;&gt;"","Factory test passed",IF($K23&lt;&gt;"","Ordered",IF($I23="","No required date",IF(Setup!$D$19&gt;$I23,"ORDER DATE PASSED",IF($I23-Setup!$D$19&lt;=Setup!$D$25*7,"Order now","Not yet due"))))))))</f>
        <v>Not yet due</v>
      </c>
      <c r="Q23" s="79" t="s">
        <v>372</v>
      </c>
    </row>
    <row r="24" customFormat="false" ht="31.5" hidden="false" customHeight="true" outlineLevel="0" collapsed="false">
      <c r="B24" s="78" t="str">
        <f aca="false">IF($C24="","","LL"&amp;TEXT(ROW()-6,"00"))</f>
        <v/>
      </c>
      <c r="C24" s="85"/>
      <c r="D24" s="85"/>
      <c r="E24" s="99"/>
      <c r="F24" s="100"/>
      <c r="G24" s="100" t="str">
        <f aca="false">IF($C24="","",Setup!$D$24)</f>
        <v/>
      </c>
      <c r="H24" s="86"/>
      <c r="I24" s="98" t="str">
        <f aca="false">IF(OR($C24="",$H24="",$F24=""),"",$H24-($F24+N($G24))*7)</f>
        <v/>
      </c>
      <c r="J24" s="83" t="str">
        <f aca="false">IF(OR($I24="",$K24&lt;&gt;""),"",$I24-Setup!$D$19)</f>
        <v/>
      </c>
      <c r="K24" s="86"/>
      <c r="L24" s="85"/>
      <c r="M24" s="86"/>
      <c r="N24" s="86"/>
      <c r="O24" s="86"/>
      <c r="P24" s="84" t="str">
        <f aca="false">IF($C24="","",IF($O24&lt;&gt;"","Installed",IF($N24&lt;&gt;"","Delivered",IF($M24&lt;&gt;"","Factory test passed",IF($K24&lt;&gt;"","Ordered",IF($I24="","No required date",IF(Setup!$D$19&gt;$I24,"ORDER DATE PASSED",IF($I24-Setup!$D$19&lt;=Setup!$D$25*7,"Order now","Not yet due"))))))))</f>
        <v/>
      </c>
      <c r="Q24" s="85"/>
    </row>
    <row r="25" customFormat="false" ht="31.5" hidden="false" customHeight="true" outlineLevel="0" collapsed="false">
      <c r="B25" s="78" t="str">
        <f aca="false">IF($C25="","","LL"&amp;TEXT(ROW()-6,"00"))</f>
        <v/>
      </c>
      <c r="C25" s="79"/>
      <c r="D25" s="79"/>
      <c r="E25" s="96"/>
      <c r="F25" s="97"/>
      <c r="G25" s="97" t="str">
        <f aca="false">IF($C25="","",Setup!$D$24)</f>
        <v/>
      </c>
      <c r="H25" s="80"/>
      <c r="I25" s="98" t="str">
        <f aca="false">IF(OR($C25="",$H25="",$F25=""),"",$H25-($F25+N($G25))*7)</f>
        <v/>
      </c>
      <c r="J25" s="83" t="str">
        <f aca="false">IF(OR($I25="",$K25&lt;&gt;""),"",$I25-Setup!$D$19)</f>
        <v/>
      </c>
      <c r="K25" s="80"/>
      <c r="L25" s="79"/>
      <c r="M25" s="80"/>
      <c r="N25" s="80"/>
      <c r="O25" s="80"/>
      <c r="P25" s="84" t="str">
        <f aca="false">IF($C25="","",IF($O25&lt;&gt;"","Installed",IF($N25&lt;&gt;"","Delivered",IF($M25&lt;&gt;"","Factory test passed",IF($K25&lt;&gt;"","Ordered",IF($I25="","No required date",IF(Setup!$D$19&gt;$I25,"ORDER DATE PASSED",IF($I25-Setup!$D$19&lt;=Setup!$D$25*7,"Order now","Not yet due"))))))))</f>
        <v/>
      </c>
      <c r="Q25" s="79"/>
    </row>
    <row r="26" customFormat="false" ht="31.5" hidden="false" customHeight="true" outlineLevel="0" collapsed="false">
      <c r="B26" s="78" t="str">
        <f aca="false">IF($C26="","","LL"&amp;TEXT(ROW()-6,"00"))</f>
        <v/>
      </c>
      <c r="C26" s="85"/>
      <c r="D26" s="85"/>
      <c r="E26" s="99"/>
      <c r="F26" s="100"/>
      <c r="G26" s="100" t="str">
        <f aca="false">IF($C26="","",Setup!$D$24)</f>
        <v/>
      </c>
      <c r="H26" s="86"/>
      <c r="I26" s="98" t="str">
        <f aca="false">IF(OR($C26="",$H26="",$F26=""),"",$H26-($F26+N($G26))*7)</f>
        <v/>
      </c>
      <c r="J26" s="83" t="str">
        <f aca="false">IF(OR($I26="",$K26&lt;&gt;""),"",$I26-Setup!$D$19)</f>
        <v/>
      </c>
      <c r="K26" s="86"/>
      <c r="L26" s="85"/>
      <c r="M26" s="86"/>
      <c r="N26" s="86"/>
      <c r="O26" s="86"/>
      <c r="P26" s="84" t="str">
        <f aca="false">IF($C26="","",IF($O26&lt;&gt;"","Installed",IF($N26&lt;&gt;"","Delivered",IF($M26&lt;&gt;"","Factory test passed",IF($K26&lt;&gt;"","Ordered",IF($I26="","No required date",IF(Setup!$D$19&gt;$I26,"ORDER DATE PASSED",IF($I26-Setup!$D$19&lt;=Setup!$D$25*7,"Order now","Not yet due"))))))))</f>
        <v/>
      </c>
      <c r="Q26" s="85"/>
    </row>
    <row r="27" customFormat="false" ht="31.5" hidden="false" customHeight="true" outlineLevel="0" collapsed="false">
      <c r="B27" s="78" t="str">
        <f aca="false">IF($C27="","","LL"&amp;TEXT(ROW()-6,"00"))</f>
        <v/>
      </c>
      <c r="C27" s="79"/>
      <c r="D27" s="79"/>
      <c r="E27" s="96"/>
      <c r="F27" s="97"/>
      <c r="G27" s="97" t="str">
        <f aca="false">IF($C27="","",Setup!$D$24)</f>
        <v/>
      </c>
      <c r="H27" s="80"/>
      <c r="I27" s="98" t="str">
        <f aca="false">IF(OR($C27="",$H27="",$F27=""),"",$H27-($F27+N($G27))*7)</f>
        <v/>
      </c>
      <c r="J27" s="83" t="str">
        <f aca="false">IF(OR($I27="",$K27&lt;&gt;""),"",$I27-Setup!$D$19)</f>
        <v/>
      </c>
      <c r="K27" s="80"/>
      <c r="L27" s="79"/>
      <c r="M27" s="80"/>
      <c r="N27" s="80"/>
      <c r="O27" s="80"/>
      <c r="P27" s="84" t="str">
        <f aca="false">IF($C27="","",IF($O27&lt;&gt;"","Installed",IF($N27&lt;&gt;"","Delivered",IF($M27&lt;&gt;"","Factory test passed",IF($K27&lt;&gt;"","Ordered",IF($I27="","No required date",IF(Setup!$D$19&gt;$I27,"ORDER DATE PASSED",IF($I27-Setup!$D$19&lt;=Setup!$D$25*7,"Order now","Not yet due"))))))))</f>
        <v/>
      </c>
      <c r="Q27" s="79"/>
    </row>
    <row r="28" customFormat="false" ht="31.5" hidden="false" customHeight="true" outlineLevel="0" collapsed="false">
      <c r="B28" s="78" t="str">
        <f aca="false">IF($C28="","","LL"&amp;TEXT(ROW()-6,"00"))</f>
        <v/>
      </c>
      <c r="C28" s="85"/>
      <c r="D28" s="85"/>
      <c r="E28" s="99"/>
      <c r="F28" s="100"/>
      <c r="G28" s="100" t="str">
        <f aca="false">IF($C28="","",Setup!$D$24)</f>
        <v/>
      </c>
      <c r="H28" s="86"/>
      <c r="I28" s="98" t="str">
        <f aca="false">IF(OR($C28="",$H28="",$F28=""),"",$H28-($F28+N($G28))*7)</f>
        <v/>
      </c>
      <c r="J28" s="83" t="str">
        <f aca="false">IF(OR($I28="",$K28&lt;&gt;""),"",$I28-Setup!$D$19)</f>
        <v/>
      </c>
      <c r="K28" s="86"/>
      <c r="L28" s="85"/>
      <c r="M28" s="86"/>
      <c r="N28" s="86"/>
      <c r="O28" s="86"/>
      <c r="P28" s="84" t="str">
        <f aca="false">IF($C28="","",IF($O28&lt;&gt;"","Installed",IF($N28&lt;&gt;"","Delivered",IF($M28&lt;&gt;"","Factory test passed",IF($K28&lt;&gt;"","Ordered",IF($I28="","No required date",IF(Setup!$D$19&gt;$I28,"ORDER DATE PASSED",IF($I28-Setup!$D$19&lt;=Setup!$D$25*7,"Order now","Not yet due"))))))))</f>
        <v/>
      </c>
      <c r="Q28" s="85"/>
    </row>
    <row r="29" customFormat="false" ht="31.5" hidden="false" customHeight="true" outlineLevel="0" collapsed="false">
      <c r="B29" s="78" t="str">
        <f aca="false">IF($C29="","","LL"&amp;TEXT(ROW()-6,"00"))</f>
        <v/>
      </c>
      <c r="C29" s="79"/>
      <c r="D29" s="79"/>
      <c r="E29" s="96"/>
      <c r="F29" s="97"/>
      <c r="G29" s="97" t="str">
        <f aca="false">IF($C29="","",Setup!$D$24)</f>
        <v/>
      </c>
      <c r="H29" s="80"/>
      <c r="I29" s="98" t="str">
        <f aca="false">IF(OR($C29="",$H29="",$F29=""),"",$H29-($F29+N($G29))*7)</f>
        <v/>
      </c>
      <c r="J29" s="83" t="str">
        <f aca="false">IF(OR($I29="",$K29&lt;&gt;""),"",$I29-Setup!$D$19)</f>
        <v/>
      </c>
      <c r="K29" s="80"/>
      <c r="L29" s="79"/>
      <c r="M29" s="80"/>
      <c r="N29" s="80"/>
      <c r="O29" s="80"/>
      <c r="P29" s="84" t="str">
        <f aca="false">IF($C29="","",IF($O29&lt;&gt;"","Installed",IF($N29&lt;&gt;"","Delivered",IF($M29&lt;&gt;"","Factory test passed",IF($K29&lt;&gt;"","Ordered",IF($I29="","No required date",IF(Setup!$D$19&gt;$I29,"ORDER DATE PASSED",IF($I29-Setup!$D$19&lt;=Setup!$D$25*7,"Order now","Not yet due"))))))))</f>
        <v/>
      </c>
      <c r="Q29" s="79"/>
    </row>
    <row r="30" customFormat="false" ht="31.5" hidden="false" customHeight="true" outlineLevel="0" collapsed="false">
      <c r="B30" s="78" t="str">
        <f aca="false">IF($C30="","","LL"&amp;TEXT(ROW()-6,"00"))</f>
        <v/>
      </c>
      <c r="C30" s="85"/>
      <c r="D30" s="85"/>
      <c r="E30" s="99"/>
      <c r="F30" s="100"/>
      <c r="G30" s="100" t="str">
        <f aca="false">IF($C30="","",Setup!$D$24)</f>
        <v/>
      </c>
      <c r="H30" s="86"/>
      <c r="I30" s="98" t="str">
        <f aca="false">IF(OR($C30="",$H30="",$F30=""),"",$H30-($F30+N($G30))*7)</f>
        <v/>
      </c>
      <c r="J30" s="83" t="str">
        <f aca="false">IF(OR($I30="",$K30&lt;&gt;""),"",$I30-Setup!$D$19)</f>
        <v/>
      </c>
      <c r="K30" s="86"/>
      <c r="L30" s="85"/>
      <c r="M30" s="86"/>
      <c r="N30" s="86"/>
      <c r="O30" s="86"/>
      <c r="P30" s="84" t="str">
        <f aca="false">IF($C30="","",IF($O30&lt;&gt;"","Installed",IF($N30&lt;&gt;"","Delivered",IF($M30&lt;&gt;"","Factory test passed",IF($K30&lt;&gt;"","Ordered",IF($I30="","No required date",IF(Setup!$D$19&gt;$I30,"ORDER DATE PASSED",IF($I30-Setup!$D$19&lt;=Setup!$D$25*7,"Order now","Not yet due"))))))))</f>
        <v/>
      </c>
      <c r="Q30" s="85"/>
    </row>
    <row r="31" customFormat="false" ht="31.5" hidden="false" customHeight="true" outlineLevel="0" collapsed="false">
      <c r="B31" s="78" t="str">
        <f aca="false">IF($C31="","","LL"&amp;TEXT(ROW()-6,"00"))</f>
        <v/>
      </c>
      <c r="C31" s="79"/>
      <c r="D31" s="79"/>
      <c r="E31" s="96"/>
      <c r="F31" s="97"/>
      <c r="G31" s="97" t="str">
        <f aca="false">IF($C31="","",Setup!$D$24)</f>
        <v/>
      </c>
      <c r="H31" s="80"/>
      <c r="I31" s="98" t="str">
        <f aca="false">IF(OR($C31="",$H31="",$F31=""),"",$H31-($F31+N($G31))*7)</f>
        <v/>
      </c>
      <c r="J31" s="83" t="str">
        <f aca="false">IF(OR($I31="",$K31&lt;&gt;""),"",$I31-Setup!$D$19)</f>
        <v/>
      </c>
      <c r="K31" s="80"/>
      <c r="L31" s="79"/>
      <c r="M31" s="80"/>
      <c r="N31" s="80"/>
      <c r="O31" s="80"/>
      <c r="P31" s="84" t="str">
        <f aca="false">IF($C31="","",IF($O31&lt;&gt;"","Installed",IF($N31&lt;&gt;"","Delivered",IF($M31&lt;&gt;"","Factory test passed",IF($K31&lt;&gt;"","Ordered",IF($I31="","No required date",IF(Setup!$D$19&gt;$I31,"ORDER DATE PASSED",IF($I31-Setup!$D$19&lt;=Setup!$D$25*7,"Order now","Not yet due"))))))))</f>
        <v/>
      </c>
      <c r="Q31" s="79"/>
    </row>
    <row r="32" customFormat="false" ht="31.5" hidden="false" customHeight="true" outlineLevel="0" collapsed="false">
      <c r="B32" s="78" t="str">
        <f aca="false">IF($C32="","","LL"&amp;TEXT(ROW()-6,"00"))</f>
        <v/>
      </c>
      <c r="C32" s="85"/>
      <c r="D32" s="85"/>
      <c r="E32" s="99"/>
      <c r="F32" s="100"/>
      <c r="G32" s="100" t="str">
        <f aca="false">IF($C32="","",Setup!$D$24)</f>
        <v/>
      </c>
      <c r="H32" s="86"/>
      <c r="I32" s="98" t="str">
        <f aca="false">IF(OR($C32="",$H32="",$F32=""),"",$H32-($F32+N($G32))*7)</f>
        <v/>
      </c>
      <c r="J32" s="83" t="str">
        <f aca="false">IF(OR($I32="",$K32&lt;&gt;""),"",$I32-Setup!$D$19)</f>
        <v/>
      </c>
      <c r="K32" s="86"/>
      <c r="L32" s="85"/>
      <c r="M32" s="86"/>
      <c r="N32" s="86"/>
      <c r="O32" s="86"/>
      <c r="P32" s="84" t="str">
        <f aca="false">IF($C32="","",IF($O32&lt;&gt;"","Installed",IF($N32&lt;&gt;"","Delivered",IF($M32&lt;&gt;"","Factory test passed",IF($K32&lt;&gt;"","Ordered",IF($I32="","No required date",IF(Setup!$D$19&gt;$I32,"ORDER DATE PASSED",IF($I32-Setup!$D$19&lt;=Setup!$D$25*7,"Order now","Not yet due"))))))))</f>
        <v/>
      </c>
      <c r="Q32" s="85"/>
    </row>
    <row r="34" customFormat="false" ht="15" hidden="false" customHeight="true" outlineLevel="0" collapsed="false">
      <c r="B34" s="43" t="s">
        <v>373</v>
      </c>
      <c r="C34" s="43"/>
      <c r="D34" s="43"/>
      <c r="E34" s="43"/>
      <c r="F34" s="43"/>
      <c r="G34" s="43"/>
      <c r="H34" s="43"/>
      <c r="I34" s="43"/>
      <c r="J34" s="43"/>
      <c r="K34" s="43"/>
    </row>
    <row r="35" customFormat="false" ht="15" hidden="false" customHeight="true" outlineLevel="0" collapsed="false">
      <c r="B35" s="43"/>
      <c r="C35" s="43"/>
      <c r="D35" s="43"/>
      <c r="E35" s="43"/>
      <c r="F35" s="43"/>
      <c r="G35" s="43"/>
      <c r="H35" s="43"/>
      <c r="I35" s="43"/>
      <c r="J35" s="43"/>
      <c r="K35" s="43"/>
    </row>
    <row r="37" customFormat="false" ht="18" hidden="false" customHeight="true" outlineLevel="0" collapsed="false">
      <c r="B37" s="52" t="s">
        <v>129</v>
      </c>
      <c r="C37" s="52"/>
      <c r="D37" s="52"/>
      <c r="E37" s="52"/>
      <c r="F37" s="52"/>
      <c r="G37" s="52"/>
      <c r="H37" s="52"/>
      <c r="I37" s="52"/>
      <c r="J37" s="52"/>
      <c r="K37" s="52"/>
      <c r="L37" s="52"/>
      <c r="M37" s="52"/>
      <c r="N37" s="52"/>
      <c r="O37" s="52"/>
      <c r="P37" s="52"/>
      <c r="Q37" s="52"/>
    </row>
  </sheetData>
  <autoFilter ref="B6:Q32"/>
  <mergeCells count="6">
    <mergeCell ref="B1:Q1"/>
    <mergeCell ref="B2:Q2"/>
    <mergeCell ref="B3:Q3"/>
    <mergeCell ref="B4:Q4"/>
    <mergeCell ref="B34:K35"/>
    <mergeCell ref="B37:Q37"/>
  </mergeCells>
  <conditionalFormatting sqref="B3:Q3">
    <cfRule type="expression" priority="2" aboveAverage="0" equalAverage="0" bottom="0" percent="0" rank="0" text="" dxfId="0">
      <formula>LEN($B$3)&gt;0</formula>
    </cfRule>
  </conditionalFormatting>
  <conditionalFormatting sqref="B7:Q32">
    <cfRule type="expression" priority="3" aboveAverage="0" equalAverage="0" bottom="0" percent="0" rank="0" text="" dxfId="4">
      <formula>OR($P7="Installed",$P7="Delivered")</formula>
    </cfRule>
    <cfRule type="expression" priority="4" aboveAverage="0" equalAverage="0" bottom="0" percent="0" rank="0" text="" dxfId="19">
      <formula>$P7="ORDER DATE PASSED"</formula>
    </cfRule>
    <cfRule type="expression" priority="5" aboveAverage="0" equalAverage="0" bottom="0" percent="0" rank="0" text="" dxfId="5">
      <formula>$P7="Order now"</formula>
    </cfRule>
    <cfRule type="expression" priority="6" aboveAverage="0" equalAverage="0" bottom="0" percent="0" rank="0" text="" dxfId="24">
      <formula>OR($P7="Ordered",$P7="Factory test passed")</formula>
    </cfRule>
    <cfRule type="expression" priority="7" aboveAverage="0" equalAverage="0" bottom="0" percent="0" rank="0" text="" dxfId="0">
      <formula>$P7="No required date"</formula>
    </cfRule>
  </conditionalFormatting>
  <conditionalFormatting sqref="F7:F32">
    <cfRule type="dataBar" priority="8">
      <dataBar showValue="1" minLength="10" maxLength="90">
        <cfvo type="num" val="0"/>
        <cfvo type="max" val="0"/>
        <color rgb="FFEC6917"/>
      </dataBar>
      <extLst>
        <ext xmlns:x14="http://schemas.microsoft.com/office/spreadsheetml/2009/9/main" uri="{B025F937-C7B1-47D3-B67F-A62EFF666E3E}">
          <x14:id>{37416797-3DC2-49C4-95D5-A38B1EF4BB72}</x14:id>
        </ext>
      </extLst>
    </cfRule>
  </conditionalFormatting>
  <dataValidations count="2">
    <dataValidation allowBlank="false" errorStyle="stop" operator="between" prompt="Weeks quoted by the supplier from a clean order. The buffer on Setup is added on top - do not add it twice." promptTitle="Lead time" showDropDown="false" showErrorMessage="false" showInputMessage="true" sqref="F7:F32" type="none">
      <formula1>0</formula1>
      <formula2>0</formula2>
    </dataValidation>
    <dataValidation allowBlank="false" errorStyle="stop" operator="between" prompt="When installation needs it, not when you would like it. Work it back from the commissioning date, not from RFS." promptTitle="Required on site" showDropDown="false" showErrorMessage="false" showInputMessage="true" sqref="H7:H32" type="none">
      <formula1>0</formula1>
      <formula2>0</formula2>
    </dataValidation>
  </dataValidations>
  <hyperlinks>
    <hyperlink ref="B37" r:id="rId1" display="Visit mastt.com"/>
  </hyperlink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extLst>
    <ext xmlns:x14="http://schemas.microsoft.com/office/spreadsheetml/2009/9/main" uri="{78C0D931-6437-407d-A8EE-F0AAD7539E65}">
      <x14:conditionalFormattings>
        <x14:conditionalFormatting xmlns:xm="http://schemas.microsoft.com/office/excel/2006/main">
          <x14:cfRule type="dataBar" id="{37416797-3DC2-49C4-95D5-A38B1EF4BB72}">
            <x14:dataBar minLength="10" maxLength="90" axisPosition="none" gradient="true">
              <x14:cfvo type="num">
                <xm:f>0</xm:f>
              </x14:cfvo>
              <x14:cfvo type="max"/>
              <x14:negativeFillColor rgb="FFEC6917"/>
              <x14:axisColor rgb="FF000000"/>
            </x14:dataBar>
          </x14:cfRule>
          <xm:sqref>F7:F32</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39BE5"/>
    <pageSetUpPr fitToPage="true"/>
  </sheetPr>
  <dimension ref="B1:L3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5" ySplit="6" topLeftCell="F7" activePane="bottomRight" state="frozen"/>
      <selection pane="topLeft" activeCell="A1" activeCellId="0" sqref="A1"/>
      <selection pane="topRight" activeCell="F1" activeCellId="0" sqref="F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7"/>
    <col collapsed="false" customWidth="true" hidden="false" outlineLevel="0" max="3" min="3" style="0" width="24"/>
    <col collapsed="false" customWidth="true" hidden="false" outlineLevel="0" max="4" min="4" style="0" width="20"/>
    <col collapsed="false" customWidth="true" hidden="false" outlineLevel="0" max="5" min="5" style="0" width="44"/>
    <col collapsed="false" customWidth="true" hidden="false" outlineLevel="0" max="6" min="6" style="0" width="17"/>
    <col collapsed="false" customWidth="true" hidden="false" outlineLevel="0" max="8" min="7" style="0" width="12"/>
    <col collapsed="false" customWidth="true" hidden="false" outlineLevel="0" max="9" min="9" style="0" width="16"/>
    <col collapsed="false" customWidth="true" hidden="false" outlineLevel="0" max="10" min="10" style="0" width="9"/>
    <col collapsed="false" customWidth="true" hidden="false" outlineLevel="0" max="11" min="11" style="0" width="18"/>
    <col collapsed="false" customWidth="true" hidden="false" outlineLevel="0" max="12" min="12" style="0" width="26"/>
    <col collapsed="false" customWidth="true" hidden="false" outlineLevel="0" max="13" min="13" style="0" width="2.2"/>
  </cols>
  <sheetData>
    <row r="1" customFormat="false" ht="33.75" hidden="false" customHeight="true" outlineLevel="0" collapsed="false">
      <c r="B1" s="40" t="s">
        <v>374</v>
      </c>
      <c r="C1" s="40"/>
      <c r="D1" s="40"/>
      <c r="E1" s="40"/>
      <c r="F1" s="40"/>
      <c r="G1" s="40"/>
      <c r="H1" s="40"/>
      <c r="I1" s="40"/>
      <c r="J1" s="40"/>
      <c r="K1" s="40"/>
      <c r="L1" s="40"/>
    </row>
    <row r="2" customFormat="false" ht="4.5" hidden="false" customHeight="true" outlineLevel="0" collapsed="false">
      <c r="B2" s="101"/>
      <c r="C2" s="101"/>
      <c r="D2" s="101"/>
      <c r="E2" s="101"/>
      <c r="F2" s="101"/>
      <c r="G2" s="101"/>
      <c r="H2" s="101"/>
      <c r="I2" s="101"/>
      <c r="J2" s="101"/>
      <c r="K2" s="101"/>
      <c r="L2" s="101"/>
    </row>
    <row r="3" customFormat="false" ht="16.5" hidden="false" customHeight="true" outlineLevel="0" collapsed="false">
      <c r="B3" s="42" t="str">
        <f aca="false">IF(LEFT(Setup!$D$7,7)&lt;&gt;"EXAMPLE","","EXAMPLE DATA - type your own project name on Setup to clear this.")</f>
        <v>EXAMPLE DATA - type your own project name on Setup to clear this.</v>
      </c>
      <c r="C3" s="42"/>
      <c r="D3" s="42"/>
      <c r="E3" s="42"/>
      <c r="F3" s="42"/>
      <c r="G3" s="42"/>
      <c r="H3" s="42"/>
      <c r="I3" s="42"/>
      <c r="J3" s="42"/>
      <c r="K3" s="42"/>
      <c r="L3" s="42"/>
    </row>
    <row r="4" customFormat="false" ht="25.5" hidden="false" customHeight="true" outlineLevel="0" collapsed="false">
      <c r="B4" s="43" t="s">
        <v>375</v>
      </c>
      <c r="C4" s="43"/>
      <c r="D4" s="43"/>
      <c r="E4" s="43"/>
      <c r="F4" s="43"/>
      <c r="G4" s="43"/>
      <c r="H4" s="43"/>
      <c r="I4" s="43"/>
      <c r="J4" s="43"/>
      <c r="K4" s="43"/>
      <c r="L4" s="43"/>
    </row>
    <row r="6" customFormat="false" ht="30" hidden="false" customHeight="true" outlineLevel="0" collapsed="false">
      <c r="B6" s="77" t="s">
        <v>212</v>
      </c>
      <c r="C6" s="10" t="s">
        <v>376</v>
      </c>
      <c r="D6" s="10" t="s">
        <v>187</v>
      </c>
      <c r="E6" s="10" t="s">
        <v>377</v>
      </c>
      <c r="F6" s="10" t="s">
        <v>378</v>
      </c>
      <c r="G6" s="10" t="s">
        <v>379</v>
      </c>
      <c r="H6" s="10" t="s">
        <v>149</v>
      </c>
      <c r="I6" s="10" t="s">
        <v>380</v>
      </c>
      <c r="J6" s="10" t="s">
        <v>191</v>
      </c>
      <c r="K6" s="77" t="s">
        <v>221</v>
      </c>
      <c r="L6" s="10" t="s">
        <v>222</v>
      </c>
    </row>
    <row r="7" customFormat="false" ht="39.75" hidden="false" customHeight="true" outlineLevel="0" collapsed="false">
      <c r="B7" s="78" t="str">
        <f aca="false">IF($C7="","","CX"&amp;TEXT(ROW()-6,"00"))</f>
        <v>CX01</v>
      </c>
      <c r="C7" s="79" t="s">
        <v>381</v>
      </c>
      <c r="D7" s="79" t="s">
        <v>192</v>
      </c>
      <c r="E7" s="79" t="s">
        <v>382</v>
      </c>
      <c r="F7" s="79" t="s">
        <v>162</v>
      </c>
      <c r="G7" s="80" t="n">
        <f aca="true">TODAY()-160</f>
        <v>46091</v>
      </c>
      <c r="H7" s="80" t="n">
        <f aca="true">TODAY()-158</f>
        <v>46093</v>
      </c>
      <c r="I7" s="79" t="s">
        <v>383</v>
      </c>
      <c r="J7" s="96" t="n">
        <v>2</v>
      </c>
      <c r="K7" s="84" t="str">
        <f aca="false">IF($C7="","",IF($I7="Fail - retest required","FAILED - retest",IF($H7&lt;&gt;"",IF(N($J7)&gt;0,"Passed, "&amp;$J7&amp;" snag"&amp;IF($J7=1,"","s"),"Passed"),IF($G7="","No date",IF(Setup!$D$19&gt;$G7,"Late",IF($G7-Setup!$D$19&lt;=Setup!$D$23,"Due soon","Scheduled"))))))</f>
        <v>Passed, 2 snags</v>
      </c>
      <c r="L7" s="79"/>
    </row>
    <row r="8" customFormat="false" ht="39.75" hidden="false" customHeight="true" outlineLevel="0" collapsed="false">
      <c r="B8" s="78" t="str">
        <f aca="false">IF($C8="","","CX"&amp;TEXT(ROW()-6,"00"))</f>
        <v>CX02</v>
      </c>
      <c r="C8" s="85" t="s">
        <v>384</v>
      </c>
      <c r="D8" s="85" t="s">
        <v>192</v>
      </c>
      <c r="E8" s="85" t="s">
        <v>385</v>
      </c>
      <c r="F8" s="85" t="s">
        <v>162</v>
      </c>
      <c r="G8" s="86" t="n">
        <f aca="true">TODAY()-80</f>
        <v>46171</v>
      </c>
      <c r="H8" s="86" t="n">
        <f aca="true">TODAY()-78</f>
        <v>46173</v>
      </c>
      <c r="I8" s="85" t="s">
        <v>386</v>
      </c>
      <c r="J8" s="99"/>
      <c r="K8" s="84" t="str">
        <f aca="false">IF($C8="","",IF($I8="Fail - retest required","FAILED - retest",IF($H8&lt;&gt;"",IF(N($J8)&gt;0,"Passed, "&amp;$J8&amp;" snag"&amp;IF($J8=1,"","s"),"Passed"),IF($G8="","No date",IF(Setup!$D$19&gt;$G8,"Late",IF($G8-Setup!$D$19&lt;=Setup!$D$23,"Due soon","Scheduled"))))))</f>
        <v>Passed</v>
      </c>
      <c r="L8" s="85"/>
    </row>
    <row r="9" customFormat="false" ht="39.75" hidden="false" customHeight="true" outlineLevel="0" collapsed="false">
      <c r="B9" s="78" t="str">
        <f aca="false">IF($C9="","","CX"&amp;TEXT(ROW()-6,"00"))</f>
        <v>CX03</v>
      </c>
      <c r="C9" s="79" t="s">
        <v>387</v>
      </c>
      <c r="D9" s="79" t="s">
        <v>192</v>
      </c>
      <c r="E9" s="79" t="s">
        <v>388</v>
      </c>
      <c r="F9" s="79" t="s">
        <v>162</v>
      </c>
      <c r="G9" s="80" t="n">
        <f aca="true">TODAY()-95</f>
        <v>46156</v>
      </c>
      <c r="H9" s="80" t="n">
        <f aca="true">TODAY()-92</f>
        <v>46159</v>
      </c>
      <c r="I9" s="79" t="s">
        <v>383</v>
      </c>
      <c r="J9" s="96" t="n">
        <v>3</v>
      </c>
      <c r="K9" s="84" t="str">
        <f aca="false">IF($C9="","",IF($I9="Fail - retest required","FAILED - retest",IF($H9&lt;&gt;"",IF(N($J9)&gt;0,"Passed, "&amp;$J9&amp;" snag"&amp;IF($J9=1,"","s"),"Passed"),IF($G9="","No date",IF(Setup!$D$19&gt;$G9,"Late",IF($G9-Setup!$D$19&lt;=Setup!$D$23,"Due soon","Scheduled"))))))</f>
        <v>Passed, 3 snags</v>
      </c>
      <c r="L9" s="79" t="s">
        <v>389</v>
      </c>
    </row>
    <row r="10" customFormat="false" ht="39.75" hidden="false" customHeight="true" outlineLevel="0" collapsed="false">
      <c r="B10" s="78" t="str">
        <f aca="false">IF($C10="","","CX"&amp;TEXT(ROW()-6,"00"))</f>
        <v>CX04</v>
      </c>
      <c r="C10" s="85" t="s">
        <v>390</v>
      </c>
      <c r="D10" s="85" t="s">
        <v>193</v>
      </c>
      <c r="E10" s="85" t="s">
        <v>391</v>
      </c>
      <c r="F10" s="85" t="s">
        <v>244</v>
      </c>
      <c r="G10" s="86" t="n">
        <f aca="true">TODAY()-100</f>
        <v>46151</v>
      </c>
      <c r="H10" s="86" t="n">
        <f aca="true">TODAY()-98</f>
        <v>46153</v>
      </c>
      <c r="I10" s="85" t="s">
        <v>386</v>
      </c>
      <c r="J10" s="99"/>
      <c r="K10" s="84" t="str">
        <f aca="false">IF($C10="","",IF($I10="Fail - retest required","FAILED - retest",IF($H10&lt;&gt;"",IF(N($J10)&gt;0,"Passed, "&amp;$J10&amp;" snag"&amp;IF($J10=1,"","s"),"Passed"),IF($G10="","No date",IF(Setup!$D$19&gt;$G10,"Late",IF($G10-Setup!$D$19&lt;=Setup!$D$23,"Due soon","Scheduled"))))))</f>
        <v>Passed</v>
      </c>
      <c r="L10" s="85"/>
    </row>
    <row r="11" customFormat="false" ht="39.75" hidden="false" customHeight="true" outlineLevel="0" collapsed="false">
      <c r="B11" s="78" t="str">
        <f aca="false">IF($C11="","","CX"&amp;TEXT(ROW()-6,"00"))</f>
        <v>CX05</v>
      </c>
      <c r="C11" s="79" t="s">
        <v>381</v>
      </c>
      <c r="D11" s="79" t="s">
        <v>193</v>
      </c>
      <c r="E11" s="79" t="s">
        <v>392</v>
      </c>
      <c r="F11" s="79" t="s">
        <v>244</v>
      </c>
      <c r="G11" s="80" t="n">
        <f aca="true">TODAY()-85</f>
        <v>46166</v>
      </c>
      <c r="H11" s="80" t="n">
        <f aca="true">TODAY()-80</f>
        <v>46171</v>
      </c>
      <c r="I11" s="79" t="s">
        <v>386</v>
      </c>
      <c r="J11" s="96" t="n">
        <v>1</v>
      </c>
      <c r="K11" s="84" t="str">
        <f aca="false">IF($C11="","",IF($I11="Fail - retest required","FAILED - retest",IF($H11&lt;&gt;"",IF(N($J11)&gt;0,"Passed, "&amp;$J11&amp;" snag"&amp;IF($J11=1,"","s"),"Passed"),IF($G11="","No date",IF(Setup!$D$19&gt;$G11,"Late",IF($G11-Setup!$D$19&lt;=Setup!$D$23,"Due soon","Scheduled"))))))</f>
        <v>Passed, 1 snag</v>
      </c>
      <c r="L11" s="79"/>
    </row>
    <row r="12" customFormat="false" ht="39.75" hidden="false" customHeight="true" outlineLevel="0" collapsed="false">
      <c r="B12" s="78" t="str">
        <f aca="false">IF($C12="","","CX"&amp;TEXT(ROW()-6,"00"))</f>
        <v>CX06</v>
      </c>
      <c r="C12" s="85" t="s">
        <v>393</v>
      </c>
      <c r="D12" s="85" t="s">
        <v>194</v>
      </c>
      <c r="E12" s="85" t="s">
        <v>394</v>
      </c>
      <c r="F12" s="85" t="s">
        <v>162</v>
      </c>
      <c r="G12" s="86" t="n">
        <f aca="true">TODAY()-30</f>
        <v>46221</v>
      </c>
      <c r="H12" s="86" t="n">
        <f aca="true">TODAY()-18</f>
        <v>46233</v>
      </c>
      <c r="I12" s="85" t="s">
        <v>383</v>
      </c>
      <c r="J12" s="99" t="n">
        <v>6</v>
      </c>
      <c r="K12" s="84" t="str">
        <f aca="false">IF($C12="","",IF($I12="Fail - retest required","FAILED - retest",IF($H12&lt;&gt;"",IF(N($J12)&gt;0,"Passed, "&amp;$J12&amp;" snag"&amp;IF($J12=1,"","s"),"Passed"),IF($G12="","No date",IF(Setup!$D$19&gt;$G12,"Late",IF($G12-Setup!$D$19&lt;=Setup!$D$23,"Due soon","Scheduled"))))))</f>
        <v>Passed, 6 snags</v>
      </c>
      <c r="L12" s="85"/>
    </row>
    <row r="13" customFormat="false" ht="39.75" hidden="false" customHeight="true" outlineLevel="0" collapsed="false">
      <c r="B13" s="78" t="str">
        <f aca="false">IF($C13="","","CX"&amp;TEXT(ROW()-6,"00"))</f>
        <v>CX07</v>
      </c>
      <c r="C13" s="79" t="s">
        <v>381</v>
      </c>
      <c r="D13" s="79" t="s">
        <v>194</v>
      </c>
      <c r="E13" s="79" t="s">
        <v>395</v>
      </c>
      <c r="F13" s="79" t="s">
        <v>162</v>
      </c>
      <c r="G13" s="80" t="n">
        <f aca="true">TODAY()-25</f>
        <v>46226</v>
      </c>
      <c r="H13" s="80" t="n">
        <f aca="true">TODAY()-22</f>
        <v>46229</v>
      </c>
      <c r="I13" s="79" t="s">
        <v>396</v>
      </c>
      <c r="J13" s="96"/>
      <c r="K13" s="84" t="str">
        <f aca="false">IF($C13="","",IF($I13="Fail - retest required","FAILED - retest",IF($H13&lt;&gt;"",IF(N($J13)&gt;0,"Passed, "&amp;$J13&amp;" snag"&amp;IF($J13=1,"","s"),"Passed"),IF($G13="","No date",IF(Setup!$D$19&gt;$G13,"Late",IF($G13-Setup!$D$19&lt;=Setup!$D$23,"Due soon","Scheduled"))))))</f>
        <v>FAILED - retest</v>
      </c>
      <c r="L13" s="79" t="s">
        <v>397</v>
      </c>
    </row>
    <row r="14" customFormat="false" ht="39.75" hidden="false" customHeight="true" outlineLevel="0" collapsed="false">
      <c r="B14" s="78" t="str">
        <f aca="false">IF($C14="","","CX"&amp;TEXT(ROW()-6,"00"))</f>
        <v>CX08</v>
      </c>
      <c r="C14" s="85" t="s">
        <v>398</v>
      </c>
      <c r="D14" s="85" t="s">
        <v>194</v>
      </c>
      <c r="E14" s="85" t="s">
        <v>399</v>
      </c>
      <c r="F14" s="85" t="s">
        <v>162</v>
      </c>
      <c r="G14" s="86" t="n">
        <f aca="true">TODAY()-20</f>
        <v>46231</v>
      </c>
      <c r="H14" s="86" t="n">
        <f aca="true">TODAY()-8</f>
        <v>46243</v>
      </c>
      <c r="I14" s="85" t="s">
        <v>383</v>
      </c>
      <c r="J14" s="99" t="n">
        <v>4</v>
      </c>
      <c r="K14" s="84" t="str">
        <f aca="false">IF($C14="","",IF($I14="Fail - retest required","FAILED - retest",IF($H14&lt;&gt;"",IF(N($J14)&gt;0,"Passed, "&amp;$J14&amp;" snag"&amp;IF($J14=1,"","s"),"Passed"),IF($G14="","No date",IF(Setup!$D$19&gt;$G14,"Late",IF($G14-Setup!$D$19&lt;=Setup!$D$23,"Due soon","Scheduled"))))))</f>
        <v>Passed, 4 snags</v>
      </c>
      <c r="L14" s="85"/>
    </row>
    <row r="15" customFormat="false" ht="39.75" hidden="false" customHeight="true" outlineLevel="0" collapsed="false">
      <c r="B15" s="78" t="str">
        <f aca="false">IF($C15="","","CX"&amp;TEXT(ROW()-6,"00"))</f>
        <v>CX09</v>
      </c>
      <c r="C15" s="79" t="s">
        <v>381</v>
      </c>
      <c r="D15" s="79" t="s">
        <v>195</v>
      </c>
      <c r="E15" s="79" t="s">
        <v>400</v>
      </c>
      <c r="F15" s="79" t="s">
        <v>162</v>
      </c>
      <c r="G15" s="80" t="n">
        <f aca="true">TODAY()+12</f>
        <v>46263</v>
      </c>
      <c r="H15" s="80"/>
      <c r="I15" s="79"/>
      <c r="J15" s="96"/>
      <c r="K15" s="84" t="str">
        <f aca="false">IF($C15="","",IF($I15="Fail - retest required","FAILED - retest",IF($H15&lt;&gt;"",IF(N($J15)&gt;0,"Passed, "&amp;$J15&amp;" snag"&amp;IF($J15=1,"","s"),"Passed"),IF($G15="","No date",IF(Setup!$D$19&gt;$G15,"Late",IF($G15-Setup!$D$19&lt;=Setup!$D$23,"Due soon","Scheduled"))))))</f>
        <v>Due soon</v>
      </c>
      <c r="L15" s="79"/>
    </row>
    <row r="16" customFormat="false" ht="39.75" hidden="false" customHeight="true" outlineLevel="0" collapsed="false">
      <c r="B16" s="78" t="str">
        <f aca="false">IF($C16="","","CX"&amp;TEXT(ROW()-6,"00"))</f>
        <v>CX10</v>
      </c>
      <c r="C16" s="85" t="s">
        <v>401</v>
      </c>
      <c r="D16" s="85" t="s">
        <v>195</v>
      </c>
      <c r="E16" s="85" t="s">
        <v>402</v>
      </c>
      <c r="F16" s="85" t="s">
        <v>162</v>
      </c>
      <c r="G16" s="86" t="n">
        <f aca="true">TODAY()+18</f>
        <v>46269</v>
      </c>
      <c r="H16" s="86"/>
      <c r="I16" s="85"/>
      <c r="J16" s="99"/>
      <c r="K16" s="84" t="str">
        <f aca="false">IF($C16="","",IF($I16="Fail - retest required","FAILED - retest",IF($H16&lt;&gt;"",IF(N($J16)&gt;0,"Passed, "&amp;$J16&amp;" snag"&amp;IF($J16=1,"","s"),"Passed"),IF($G16="","No date",IF(Setup!$D$19&gt;$G16,"Late",IF($G16-Setup!$D$19&lt;=Setup!$D$23,"Due soon","Scheduled"))))))</f>
        <v>Scheduled</v>
      </c>
      <c r="L16" s="85" t="s">
        <v>403</v>
      </c>
    </row>
    <row r="17" customFormat="false" ht="39.75" hidden="false" customHeight="true" outlineLevel="0" collapsed="false">
      <c r="B17" s="78" t="str">
        <f aca="false">IF($C17="","","CX"&amp;TEXT(ROW()-6,"00"))</f>
        <v>CX11</v>
      </c>
      <c r="C17" s="79" t="s">
        <v>404</v>
      </c>
      <c r="D17" s="79" t="s">
        <v>195</v>
      </c>
      <c r="E17" s="79" t="s">
        <v>405</v>
      </c>
      <c r="F17" s="79" t="s">
        <v>162</v>
      </c>
      <c r="G17" s="80" t="n">
        <f aca="true">TODAY()+25</f>
        <v>46276</v>
      </c>
      <c r="H17" s="80"/>
      <c r="I17" s="79"/>
      <c r="J17" s="96"/>
      <c r="K17" s="84" t="str">
        <f aca="false">IF($C17="","",IF($I17="Fail - retest required","FAILED - retest",IF($H17&lt;&gt;"",IF(N($J17)&gt;0,"Passed, "&amp;$J17&amp;" snag"&amp;IF($J17=1,"","s"),"Passed"),IF($G17="","No date",IF(Setup!$D$19&gt;$G17,"Late",IF($G17-Setup!$D$19&lt;=Setup!$D$23,"Due soon","Scheduled"))))))</f>
        <v>Scheduled</v>
      </c>
      <c r="L17" s="79"/>
    </row>
    <row r="18" customFormat="false" ht="39.75" hidden="false" customHeight="true" outlineLevel="0" collapsed="false">
      <c r="B18" s="78" t="str">
        <f aca="false">IF($C18="","","CX"&amp;TEXT(ROW()-6,"00"))</f>
        <v>CX12</v>
      </c>
      <c r="C18" s="85" t="s">
        <v>406</v>
      </c>
      <c r="D18" s="85" t="s">
        <v>195</v>
      </c>
      <c r="E18" s="85" t="s">
        <v>407</v>
      </c>
      <c r="F18" s="85" t="s">
        <v>162</v>
      </c>
      <c r="G18" s="86" t="n">
        <f aca="true">TODAY()+30</f>
        <v>46281</v>
      </c>
      <c r="H18" s="86"/>
      <c r="I18" s="85"/>
      <c r="J18" s="99"/>
      <c r="K18" s="84" t="str">
        <f aca="false">IF($C18="","",IF($I18="Fail - retest required","FAILED - retest",IF($H18&lt;&gt;"",IF(N($J18)&gt;0,"Passed, "&amp;$J18&amp;" snag"&amp;IF($J18=1,"","s"),"Passed"),IF($G18="","No date",IF(Setup!$D$19&gt;$G18,"Late",IF($G18-Setup!$D$19&lt;=Setup!$D$23,"Due soon","Scheduled"))))))</f>
        <v>Scheduled</v>
      </c>
      <c r="L18" s="85"/>
    </row>
    <row r="19" customFormat="false" ht="39.75" hidden="false" customHeight="true" outlineLevel="0" collapsed="false">
      <c r="B19" s="78" t="str">
        <f aca="false">IF($C19="","","CX"&amp;TEXT(ROW()-6,"00"))</f>
        <v>CX13</v>
      </c>
      <c r="C19" s="79" t="s">
        <v>408</v>
      </c>
      <c r="D19" s="79" t="s">
        <v>195</v>
      </c>
      <c r="E19" s="79" t="s">
        <v>409</v>
      </c>
      <c r="F19" s="79" t="s">
        <v>162</v>
      </c>
      <c r="G19" s="80" t="n">
        <f aca="true">TODAY()+35</f>
        <v>46286</v>
      </c>
      <c r="H19" s="80"/>
      <c r="I19" s="79"/>
      <c r="J19" s="96"/>
      <c r="K19" s="84" t="str">
        <f aca="false">IF($C19="","",IF($I19="Fail - retest required","FAILED - retest",IF($H19&lt;&gt;"",IF(N($J19)&gt;0,"Passed, "&amp;$J19&amp;" snag"&amp;IF($J19=1,"","s"),"Passed"),IF($G19="","No date",IF(Setup!$D$19&gt;$G19,"Late",IF($G19-Setup!$D$19&lt;=Setup!$D$23,"Due soon","Scheduled"))))))</f>
        <v>Scheduled</v>
      </c>
      <c r="L19" s="79"/>
    </row>
    <row r="20" customFormat="false" ht="39.75" hidden="false" customHeight="true" outlineLevel="0" collapsed="false">
      <c r="B20" s="78" t="str">
        <f aca="false">IF($C20="","","CX"&amp;TEXT(ROW()-6,"00"))</f>
        <v>CX14</v>
      </c>
      <c r="C20" s="85" t="s">
        <v>410</v>
      </c>
      <c r="D20" s="85" t="s">
        <v>196</v>
      </c>
      <c r="E20" s="85" t="s">
        <v>411</v>
      </c>
      <c r="F20" s="85" t="s">
        <v>97</v>
      </c>
      <c r="G20" s="86" t="n">
        <f aca="true">TODAY()+60</f>
        <v>46311</v>
      </c>
      <c r="H20" s="86"/>
      <c r="I20" s="85"/>
      <c r="J20" s="99"/>
      <c r="K20" s="84" t="str">
        <f aca="false">IF($C20="","",IF($I20="Fail - retest required","FAILED - retest",IF($H20&lt;&gt;"",IF(N($J20)&gt;0,"Passed, "&amp;$J20&amp;" snag"&amp;IF($J20=1,"","s"),"Passed"),IF($G20="","No date",IF(Setup!$D$19&gt;$G20,"Late",IF($G20-Setup!$D$19&lt;=Setup!$D$23,"Due soon","Scheduled"))))))</f>
        <v>Scheduled</v>
      </c>
      <c r="L20" s="85" t="s">
        <v>412</v>
      </c>
    </row>
    <row r="21" customFormat="false" ht="39.75" hidden="false" customHeight="true" outlineLevel="0" collapsed="false">
      <c r="B21" s="78" t="str">
        <f aca="false">IF($C21="","","CX"&amp;TEXT(ROW()-6,"00"))</f>
        <v>CX15</v>
      </c>
      <c r="C21" s="79" t="s">
        <v>410</v>
      </c>
      <c r="D21" s="79" t="s">
        <v>196</v>
      </c>
      <c r="E21" s="79" t="s">
        <v>413</v>
      </c>
      <c r="F21" s="79" t="s">
        <v>97</v>
      </c>
      <c r="G21" s="80" t="n">
        <f aca="true">TODAY()+68</f>
        <v>46319</v>
      </c>
      <c r="H21" s="80"/>
      <c r="I21" s="79"/>
      <c r="J21" s="96"/>
      <c r="K21" s="84" t="str">
        <f aca="false">IF($C21="","",IF($I21="Fail - retest required","FAILED - retest",IF($H21&lt;&gt;"",IF(N($J21)&gt;0,"Passed, "&amp;$J21&amp;" snag"&amp;IF($J21=1,"","s"),"Passed"),IF($G21="","No date",IF(Setup!$D$19&gt;$G21,"Late",IF($G21-Setup!$D$19&lt;=Setup!$D$23,"Due soon","Scheduled"))))))</f>
        <v>Scheduled</v>
      </c>
      <c r="L21" s="79"/>
    </row>
    <row r="22" customFormat="false" ht="39.75" hidden="false" customHeight="true" outlineLevel="0" collapsed="false">
      <c r="B22" s="78" t="str">
        <f aca="false">IF($C22="","","CX"&amp;TEXT(ROW()-6,"00"))</f>
        <v/>
      </c>
      <c r="C22" s="85"/>
      <c r="D22" s="85"/>
      <c r="E22" s="85"/>
      <c r="F22" s="85"/>
      <c r="G22" s="86"/>
      <c r="H22" s="86"/>
      <c r="I22" s="85"/>
      <c r="J22" s="99"/>
      <c r="K22" s="84" t="str">
        <f aca="false">IF($C22="","",IF($I22="Fail - retest required","FAILED - retest",IF($H22&lt;&gt;"",IF(N($J22)&gt;0,"Passed, "&amp;$J22&amp;" snag"&amp;IF($J22=1,"","s"),"Passed"),IF($G22="","No date",IF(Setup!$D$19&gt;$G22,"Late",IF($G22-Setup!$D$19&lt;=Setup!$D$23,"Due soon","Scheduled"))))))</f>
        <v/>
      </c>
      <c r="L22" s="85"/>
    </row>
    <row r="23" customFormat="false" ht="39.75" hidden="false" customHeight="true" outlineLevel="0" collapsed="false">
      <c r="B23" s="78" t="str">
        <f aca="false">IF($C23="","","CX"&amp;TEXT(ROW()-6,"00"))</f>
        <v/>
      </c>
      <c r="C23" s="79"/>
      <c r="D23" s="79"/>
      <c r="E23" s="79"/>
      <c r="F23" s="79"/>
      <c r="G23" s="80"/>
      <c r="H23" s="80"/>
      <c r="I23" s="79"/>
      <c r="J23" s="96"/>
      <c r="K23" s="84" t="str">
        <f aca="false">IF($C23="","",IF($I23="Fail - retest required","FAILED - retest",IF($H23&lt;&gt;"",IF(N($J23)&gt;0,"Passed, "&amp;$J23&amp;" snag"&amp;IF($J23=1,"","s"),"Passed"),IF($G23="","No date",IF(Setup!$D$19&gt;$G23,"Late",IF($G23-Setup!$D$19&lt;=Setup!$D$23,"Due soon","Scheduled"))))))</f>
        <v/>
      </c>
      <c r="L23" s="79"/>
    </row>
    <row r="24" customFormat="false" ht="39.75" hidden="false" customHeight="true" outlineLevel="0" collapsed="false">
      <c r="B24" s="78" t="str">
        <f aca="false">IF($C24="","","CX"&amp;TEXT(ROW()-6,"00"))</f>
        <v/>
      </c>
      <c r="C24" s="85"/>
      <c r="D24" s="85"/>
      <c r="E24" s="85"/>
      <c r="F24" s="85"/>
      <c r="G24" s="86"/>
      <c r="H24" s="86"/>
      <c r="I24" s="85"/>
      <c r="J24" s="99"/>
      <c r="K24" s="84" t="str">
        <f aca="false">IF($C24="","",IF($I24="Fail - retest required","FAILED - retest",IF($H24&lt;&gt;"",IF(N($J24)&gt;0,"Passed, "&amp;$J24&amp;" snag"&amp;IF($J24=1,"","s"),"Passed"),IF($G24="","No date",IF(Setup!$D$19&gt;$G24,"Late",IF($G24-Setup!$D$19&lt;=Setup!$D$23,"Due soon","Scheduled"))))))</f>
        <v/>
      </c>
      <c r="L24" s="85"/>
    </row>
    <row r="25" customFormat="false" ht="39.75" hidden="false" customHeight="true" outlineLevel="0" collapsed="false">
      <c r="B25" s="78" t="str">
        <f aca="false">IF($C25="","","CX"&amp;TEXT(ROW()-6,"00"))</f>
        <v/>
      </c>
      <c r="C25" s="79"/>
      <c r="D25" s="79"/>
      <c r="E25" s="79"/>
      <c r="F25" s="79"/>
      <c r="G25" s="80"/>
      <c r="H25" s="80"/>
      <c r="I25" s="79"/>
      <c r="J25" s="96"/>
      <c r="K25" s="84" t="str">
        <f aca="false">IF($C25="","",IF($I25="Fail - retest required","FAILED - retest",IF($H25&lt;&gt;"",IF(N($J25)&gt;0,"Passed, "&amp;$J25&amp;" snag"&amp;IF($J25=1,"","s"),"Passed"),IF($G25="","No date",IF(Setup!$D$19&gt;$G25,"Late",IF($G25-Setup!$D$19&lt;=Setup!$D$23,"Due soon","Scheduled"))))))</f>
        <v/>
      </c>
      <c r="L25" s="79"/>
    </row>
    <row r="26" customFormat="false" ht="39.75" hidden="false" customHeight="true" outlineLevel="0" collapsed="false">
      <c r="B26" s="78" t="str">
        <f aca="false">IF($C26="","","CX"&amp;TEXT(ROW()-6,"00"))</f>
        <v/>
      </c>
      <c r="C26" s="85"/>
      <c r="D26" s="85"/>
      <c r="E26" s="85"/>
      <c r="F26" s="85"/>
      <c r="G26" s="86"/>
      <c r="H26" s="86"/>
      <c r="I26" s="85"/>
      <c r="J26" s="99"/>
      <c r="K26" s="84" t="str">
        <f aca="false">IF($C26="","",IF($I26="Fail - retest required","FAILED - retest",IF($H26&lt;&gt;"",IF(N($J26)&gt;0,"Passed, "&amp;$J26&amp;" snag"&amp;IF($J26=1,"","s"),"Passed"),IF($G26="","No date",IF(Setup!$D$19&gt;$G26,"Late",IF($G26-Setup!$D$19&lt;=Setup!$D$23,"Due soon","Scheduled"))))))</f>
        <v/>
      </c>
      <c r="L26" s="85"/>
    </row>
    <row r="27" customFormat="false" ht="39.75" hidden="false" customHeight="true" outlineLevel="0" collapsed="false">
      <c r="B27" s="78" t="str">
        <f aca="false">IF($C27="","","CX"&amp;TEXT(ROW()-6,"00"))</f>
        <v/>
      </c>
      <c r="C27" s="79"/>
      <c r="D27" s="79"/>
      <c r="E27" s="79"/>
      <c r="F27" s="79"/>
      <c r="G27" s="80"/>
      <c r="H27" s="80"/>
      <c r="I27" s="79"/>
      <c r="J27" s="96"/>
      <c r="K27" s="84" t="str">
        <f aca="false">IF($C27="","",IF($I27="Fail - retest required","FAILED - retest",IF($H27&lt;&gt;"",IF(N($J27)&gt;0,"Passed, "&amp;$J27&amp;" snag"&amp;IF($J27=1,"","s"),"Passed"),IF($G27="","No date",IF(Setup!$D$19&gt;$G27,"Late",IF($G27-Setup!$D$19&lt;=Setup!$D$23,"Due soon","Scheduled"))))))</f>
        <v/>
      </c>
      <c r="L27" s="79"/>
    </row>
    <row r="28" customFormat="false" ht="39.75" hidden="false" customHeight="true" outlineLevel="0" collapsed="false">
      <c r="B28" s="78" t="str">
        <f aca="false">IF($C28="","","CX"&amp;TEXT(ROW()-6,"00"))</f>
        <v/>
      </c>
      <c r="C28" s="85"/>
      <c r="D28" s="85"/>
      <c r="E28" s="85"/>
      <c r="F28" s="85"/>
      <c r="G28" s="86"/>
      <c r="H28" s="86"/>
      <c r="I28" s="85"/>
      <c r="J28" s="99"/>
      <c r="K28" s="84" t="str">
        <f aca="false">IF($C28="","",IF($I28="Fail - retest required","FAILED - retest",IF($H28&lt;&gt;"",IF(N($J28)&gt;0,"Passed, "&amp;$J28&amp;" snag"&amp;IF($J28=1,"","s"),"Passed"),IF($G28="","No date",IF(Setup!$D$19&gt;$G28,"Late",IF($G28-Setup!$D$19&lt;=Setup!$D$23,"Due soon","Scheduled"))))))</f>
        <v/>
      </c>
      <c r="L28" s="85"/>
    </row>
    <row r="29" customFormat="false" ht="39.75" hidden="false" customHeight="true" outlineLevel="0" collapsed="false">
      <c r="B29" s="78" t="str">
        <f aca="false">IF($C29="","","CX"&amp;TEXT(ROW()-6,"00"))</f>
        <v/>
      </c>
      <c r="C29" s="79"/>
      <c r="D29" s="79"/>
      <c r="E29" s="79"/>
      <c r="F29" s="79"/>
      <c r="G29" s="80"/>
      <c r="H29" s="80"/>
      <c r="I29" s="79"/>
      <c r="J29" s="96"/>
      <c r="K29" s="84" t="str">
        <f aca="false">IF($C29="","",IF($I29="Fail - retest required","FAILED - retest",IF($H29&lt;&gt;"",IF(N($J29)&gt;0,"Passed, "&amp;$J29&amp;" snag"&amp;IF($J29=1,"","s"),"Passed"),IF($G29="","No date",IF(Setup!$D$19&gt;$G29,"Late",IF($G29-Setup!$D$19&lt;=Setup!$D$23,"Due soon","Scheduled"))))))</f>
        <v/>
      </c>
      <c r="L29" s="79"/>
    </row>
    <row r="30" customFormat="false" ht="39.75" hidden="false" customHeight="true" outlineLevel="0" collapsed="false">
      <c r="B30" s="78" t="str">
        <f aca="false">IF($C30="","","CX"&amp;TEXT(ROW()-6,"00"))</f>
        <v/>
      </c>
      <c r="C30" s="85"/>
      <c r="D30" s="85"/>
      <c r="E30" s="85"/>
      <c r="F30" s="85"/>
      <c r="G30" s="86"/>
      <c r="H30" s="86"/>
      <c r="I30" s="85"/>
      <c r="J30" s="99"/>
      <c r="K30" s="84" t="str">
        <f aca="false">IF($C30="","",IF($I30="Fail - retest required","FAILED - retest",IF($H30&lt;&gt;"",IF(N($J30)&gt;0,"Passed, "&amp;$J30&amp;" snag"&amp;IF($J30=1,"","s"),"Passed"),IF($G30="","No date",IF(Setup!$D$19&gt;$G30,"Late",IF($G30-Setup!$D$19&lt;=Setup!$D$23,"Due soon","Scheduled"))))))</f>
        <v/>
      </c>
      <c r="L30" s="85"/>
    </row>
    <row r="31" customFormat="false" ht="39.75" hidden="false" customHeight="true" outlineLevel="0" collapsed="false">
      <c r="B31" s="78" t="str">
        <f aca="false">IF($C31="","","CX"&amp;TEXT(ROW()-6,"00"))</f>
        <v/>
      </c>
      <c r="C31" s="79"/>
      <c r="D31" s="79"/>
      <c r="E31" s="79"/>
      <c r="F31" s="79"/>
      <c r="G31" s="80"/>
      <c r="H31" s="80"/>
      <c r="I31" s="79"/>
      <c r="J31" s="96"/>
      <c r="K31" s="84" t="str">
        <f aca="false">IF($C31="","",IF($I31="Fail - retest required","FAILED - retest",IF($H31&lt;&gt;"",IF(N($J31)&gt;0,"Passed, "&amp;$J31&amp;" snag"&amp;IF($J31=1,"","s"),"Passed"),IF($G31="","No date",IF(Setup!$D$19&gt;$G31,"Late",IF($G31-Setup!$D$19&lt;=Setup!$D$23,"Due soon","Scheduled"))))))</f>
        <v/>
      </c>
      <c r="L31" s="79"/>
    </row>
    <row r="32" customFormat="false" ht="39.75" hidden="false" customHeight="true" outlineLevel="0" collapsed="false">
      <c r="B32" s="78" t="str">
        <f aca="false">IF($C32="","","CX"&amp;TEXT(ROW()-6,"00"))</f>
        <v/>
      </c>
      <c r="C32" s="85"/>
      <c r="D32" s="85"/>
      <c r="E32" s="85"/>
      <c r="F32" s="85"/>
      <c r="G32" s="86"/>
      <c r="H32" s="86"/>
      <c r="I32" s="85"/>
      <c r="J32" s="99"/>
      <c r="K32" s="84" t="str">
        <f aca="false">IF($C32="","",IF($I32="Fail - retest required","FAILED - retest",IF($H32&lt;&gt;"",IF(N($J32)&gt;0,"Passed, "&amp;$J32&amp;" snag"&amp;IF($J32=1,"","s"),"Passed"),IF($G32="","No date",IF(Setup!$D$19&gt;$G32,"Late",IF($G32-Setup!$D$19&lt;=Setup!$D$23,"Due soon","Scheduled"))))))</f>
        <v/>
      </c>
      <c r="L32" s="85"/>
    </row>
    <row r="34" customFormat="false" ht="15" hidden="false" customHeight="true" outlineLevel="0" collapsed="false">
      <c r="B34" s="43" t="s">
        <v>414</v>
      </c>
      <c r="C34" s="43"/>
      <c r="D34" s="43"/>
      <c r="E34" s="43"/>
      <c r="F34" s="43"/>
      <c r="G34" s="43"/>
      <c r="H34" s="43"/>
      <c r="I34" s="43"/>
      <c r="J34" s="43"/>
    </row>
    <row r="35" customFormat="false" ht="15" hidden="false" customHeight="true" outlineLevel="0" collapsed="false">
      <c r="B35" s="43"/>
      <c r="C35" s="43"/>
      <c r="D35" s="43"/>
      <c r="E35" s="43"/>
      <c r="F35" s="43"/>
      <c r="G35" s="43"/>
      <c r="H35" s="43"/>
      <c r="I35" s="43"/>
      <c r="J35" s="43"/>
    </row>
    <row r="37" customFormat="false" ht="18" hidden="false" customHeight="true" outlineLevel="0" collapsed="false">
      <c r="B37" s="52" t="s">
        <v>129</v>
      </c>
      <c r="C37" s="52"/>
      <c r="D37" s="52"/>
      <c r="E37" s="52"/>
      <c r="F37" s="52"/>
      <c r="G37" s="52"/>
      <c r="H37" s="52"/>
      <c r="I37" s="52"/>
      <c r="J37" s="52"/>
      <c r="K37" s="52"/>
      <c r="L37" s="52"/>
    </row>
  </sheetData>
  <autoFilter ref="B6:L32"/>
  <mergeCells count="6">
    <mergeCell ref="B1:L1"/>
    <mergeCell ref="B2:L2"/>
    <mergeCell ref="B3:L3"/>
    <mergeCell ref="B4:L4"/>
    <mergeCell ref="B34:J35"/>
    <mergeCell ref="B37:L37"/>
  </mergeCells>
  <conditionalFormatting sqref="B3:L3">
    <cfRule type="expression" priority="2" aboveAverage="0" equalAverage="0" bottom="0" percent="0" rank="0" text="" dxfId="0">
      <formula>LEN($B$3)&gt;0</formula>
    </cfRule>
  </conditionalFormatting>
  <conditionalFormatting sqref="B7:L32">
    <cfRule type="expression" priority="3" aboveAverage="0" equalAverage="0" bottom="0" percent="0" rank="0" text="" dxfId="4">
      <formula>$K7="Passed"</formula>
    </cfRule>
    <cfRule type="expression" priority="4" aboveAverage="0" equalAverage="0" bottom="0" percent="0" rank="0" text="" dxfId="19">
      <formula>$K7="FAILED - retest"</formula>
    </cfRule>
    <cfRule type="expression" priority="5" aboveAverage="0" equalAverage="0" bottom="0" percent="0" rank="0" text="" dxfId="19">
      <formula>AND($K7&lt;&gt;"FAILED - retest",$K7="Late")</formula>
    </cfRule>
    <cfRule type="expression" priority="6" aboveAverage="0" equalAverage="0" bottom="0" percent="0" rank="0" text="" dxfId="0">
      <formula>LEFT($K7,7)="Passed,"</formula>
    </cfRule>
    <cfRule type="expression" priority="7" aboveAverage="0" equalAverage="0" bottom="0" percent="0" rank="0" text="" dxfId="0">
      <formula>$K7="Due soon"</formula>
    </cfRule>
    <cfRule type="expression" priority="8" aboveAverage="0" equalAverage="0" bottom="0" percent="0" rank="0" text="" dxfId="5">
      <formula>$K7="No date"</formula>
    </cfRule>
  </conditionalFormatting>
  <conditionalFormatting sqref="D7:D32">
    <cfRule type="expression" priority="9" aboveAverage="0" equalAverage="0" bottom="0" percent="0" rank="0" text="" dxfId="26">
      <formula>LEFT($D7,2)="L5"</formula>
    </cfRule>
  </conditionalFormatting>
  <dataValidations count="78">
    <dataValidation allowBlank="true" errorStyle="stop" operator="between" showDropDown="false" showErrorMessage="false" showInputMessage="false" sqref="D7" type="list">
      <formula1>Reference!$H$79:$H$83</formula1>
      <formula2>0</formula2>
    </dataValidation>
    <dataValidation allowBlank="true" errorStyle="stop" operator="between" showDropDown="false" showErrorMessage="false" showInputMessage="false" sqref="F7" type="list">
      <formula1>Reference!$C$79:$C$89</formula1>
      <formula2>0</formula2>
    </dataValidation>
    <dataValidation allowBlank="true" errorStyle="stop" operator="between" showDropDown="false" showErrorMessage="false" showInputMessage="false" sqref="I7" type="list">
      <formula1>Reference!$B$92:$B$96</formula1>
      <formula2>0</formula2>
    </dataValidation>
    <dataValidation allowBlank="true" errorStyle="stop" operator="between" showDropDown="false" showErrorMessage="false" showInputMessage="false" sqref="D8" type="list">
      <formula1>Reference!$H$79:$H$83</formula1>
      <formula2>0</formula2>
    </dataValidation>
    <dataValidation allowBlank="true" errorStyle="stop" operator="between" showDropDown="false" showErrorMessage="false" showInputMessage="false" sqref="F8" type="list">
      <formula1>Reference!$C$79:$C$89</formula1>
      <formula2>0</formula2>
    </dataValidation>
    <dataValidation allowBlank="true" errorStyle="stop" operator="between" showDropDown="false" showErrorMessage="false" showInputMessage="false" sqref="I8" type="list">
      <formula1>Reference!$B$92:$B$96</formula1>
      <formula2>0</formula2>
    </dataValidation>
    <dataValidation allowBlank="true" errorStyle="stop" operator="between" showDropDown="false" showErrorMessage="false" showInputMessage="false" sqref="D9" type="list">
      <formula1>Reference!$H$79:$H$83</formula1>
      <formula2>0</formula2>
    </dataValidation>
    <dataValidation allowBlank="true" errorStyle="stop" operator="between" showDropDown="false" showErrorMessage="false" showInputMessage="false" sqref="F9" type="list">
      <formula1>Reference!$C$79:$C$89</formula1>
      <formula2>0</formula2>
    </dataValidation>
    <dataValidation allowBlank="true" errorStyle="stop" operator="between" showDropDown="false" showErrorMessage="false" showInputMessage="false" sqref="I9" type="list">
      <formula1>Reference!$B$92:$B$96</formula1>
      <formula2>0</formula2>
    </dataValidation>
    <dataValidation allowBlank="true" errorStyle="stop" operator="between" showDropDown="false" showErrorMessage="false" showInputMessage="false" sqref="D10" type="list">
      <formula1>Reference!$H$79:$H$83</formula1>
      <formula2>0</formula2>
    </dataValidation>
    <dataValidation allowBlank="true" errorStyle="stop" operator="between" showDropDown="false" showErrorMessage="false" showInputMessage="false" sqref="F10" type="list">
      <formula1>Reference!$C$79:$C$89</formula1>
      <formula2>0</formula2>
    </dataValidation>
    <dataValidation allowBlank="true" errorStyle="stop" operator="between" showDropDown="false" showErrorMessage="false" showInputMessage="false" sqref="I10" type="list">
      <formula1>Reference!$B$92:$B$96</formula1>
      <formula2>0</formula2>
    </dataValidation>
    <dataValidation allowBlank="true" errorStyle="stop" operator="between" showDropDown="false" showErrorMessage="false" showInputMessage="false" sqref="D11" type="list">
      <formula1>Reference!$H$79:$H$83</formula1>
      <formula2>0</formula2>
    </dataValidation>
    <dataValidation allowBlank="true" errorStyle="stop" operator="between" showDropDown="false" showErrorMessage="false" showInputMessage="false" sqref="F11" type="list">
      <formula1>Reference!$C$79:$C$89</formula1>
      <formula2>0</formula2>
    </dataValidation>
    <dataValidation allowBlank="true" errorStyle="stop" operator="between" showDropDown="false" showErrorMessage="false" showInputMessage="false" sqref="I11" type="list">
      <formula1>Reference!$B$92:$B$96</formula1>
      <formula2>0</formula2>
    </dataValidation>
    <dataValidation allowBlank="true" errorStyle="stop" operator="between" showDropDown="false" showErrorMessage="false" showInputMessage="false" sqref="D12" type="list">
      <formula1>Reference!$H$79:$H$83</formula1>
      <formula2>0</formula2>
    </dataValidation>
    <dataValidation allowBlank="true" errorStyle="stop" operator="between" showDropDown="false" showErrorMessage="false" showInputMessage="false" sqref="F12" type="list">
      <formula1>Reference!$C$79:$C$89</formula1>
      <formula2>0</formula2>
    </dataValidation>
    <dataValidation allowBlank="true" errorStyle="stop" operator="between" showDropDown="false" showErrorMessage="false" showInputMessage="false" sqref="I12" type="list">
      <formula1>Reference!$B$92:$B$96</formula1>
      <formula2>0</formula2>
    </dataValidation>
    <dataValidation allowBlank="true" errorStyle="stop" operator="between" showDropDown="false" showErrorMessage="false" showInputMessage="false" sqref="D13" type="list">
      <formula1>Reference!$H$79:$H$83</formula1>
      <formula2>0</formula2>
    </dataValidation>
    <dataValidation allowBlank="true" errorStyle="stop" operator="between" showDropDown="false" showErrorMessage="false" showInputMessage="false" sqref="F13" type="list">
      <formula1>Reference!$C$79:$C$89</formula1>
      <formula2>0</formula2>
    </dataValidation>
    <dataValidation allowBlank="true" errorStyle="stop" operator="between" showDropDown="false" showErrorMessage="false" showInputMessage="false" sqref="I13" type="list">
      <formula1>Reference!$B$92:$B$96</formula1>
      <formula2>0</formula2>
    </dataValidation>
    <dataValidation allowBlank="true" errorStyle="stop" operator="between" showDropDown="false" showErrorMessage="false" showInputMessage="false" sqref="D14" type="list">
      <formula1>Reference!$H$79:$H$83</formula1>
      <formula2>0</formula2>
    </dataValidation>
    <dataValidation allowBlank="true" errorStyle="stop" operator="between" showDropDown="false" showErrorMessage="false" showInputMessage="false" sqref="F14" type="list">
      <formula1>Reference!$C$79:$C$89</formula1>
      <formula2>0</formula2>
    </dataValidation>
    <dataValidation allowBlank="true" errorStyle="stop" operator="between" showDropDown="false" showErrorMessage="false" showInputMessage="false" sqref="I14" type="list">
      <formula1>Reference!$B$92:$B$96</formula1>
      <formula2>0</formula2>
    </dataValidation>
    <dataValidation allowBlank="true" errorStyle="stop" operator="between" showDropDown="false" showErrorMessage="false" showInputMessage="false" sqref="D15" type="list">
      <formula1>Reference!$H$79:$H$83</formula1>
      <formula2>0</formula2>
    </dataValidation>
    <dataValidation allowBlank="true" errorStyle="stop" operator="between" showDropDown="false" showErrorMessage="false" showInputMessage="false" sqref="F15" type="list">
      <formula1>Reference!$C$79:$C$89</formula1>
      <formula2>0</formula2>
    </dataValidation>
    <dataValidation allowBlank="true" errorStyle="stop" operator="between" showDropDown="false" showErrorMessage="false" showInputMessage="false" sqref="I15" type="list">
      <formula1>Reference!$B$92:$B$96</formula1>
      <formula2>0</formula2>
    </dataValidation>
    <dataValidation allowBlank="true" errorStyle="stop" operator="between" showDropDown="false" showErrorMessage="false" showInputMessage="false" sqref="D16" type="list">
      <formula1>Reference!$H$79:$H$83</formula1>
      <formula2>0</formula2>
    </dataValidation>
    <dataValidation allowBlank="true" errorStyle="stop" operator="between" showDropDown="false" showErrorMessage="false" showInputMessage="false" sqref="F16" type="list">
      <formula1>Reference!$C$79:$C$89</formula1>
      <formula2>0</formula2>
    </dataValidation>
    <dataValidation allowBlank="true" errorStyle="stop" operator="between" showDropDown="false" showErrorMessage="false" showInputMessage="false" sqref="I16" type="list">
      <formula1>Reference!$B$92:$B$96</formula1>
      <formula2>0</formula2>
    </dataValidation>
    <dataValidation allowBlank="true" errorStyle="stop" operator="between" showDropDown="false" showErrorMessage="false" showInputMessage="false" sqref="D17" type="list">
      <formula1>Reference!$H$79:$H$83</formula1>
      <formula2>0</formula2>
    </dataValidation>
    <dataValidation allowBlank="true" errorStyle="stop" operator="between" showDropDown="false" showErrorMessage="false" showInputMessage="false" sqref="F17" type="list">
      <formula1>Reference!$C$79:$C$89</formula1>
      <formula2>0</formula2>
    </dataValidation>
    <dataValidation allowBlank="true" errorStyle="stop" operator="between" showDropDown="false" showErrorMessage="false" showInputMessage="false" sqref="I17" type="list">
      <formula1>Reference!$B$92:$B$96</formula1>
      <formula2>0</formula2>
    </dataValidation>
    <dataValidation allowBlank="true" errorStyle="stop" operator="between" showDropDown="false" showErrorMessage="false" showInputMessage="false" sqref="D18" type="list">
      <formula1>Reference!$H$79:$H$83</formula1>
      <formula2>0</formula2>
    </dataValidation>
    <dataValidation allowBlank="true" errorStyle="stop" operator="between" showDropDown="false" showErrorMessage="false" showInputMessage="false" sqref="F18" type="list">
      <formula1>Reference!$C$79:$C$89</formula1>
      <formula2>0</formula2>
    </dataValidation>
    <dataValidation allowBlank="true" errorStyle="stop" operator="between" showDropDown="false" showErrorMessage="false" showInputMessage="false" sqref="I18" type="list">
      <formula1>Reference!$B$92:$B$96</formula1>
      <formula2>0</formula2>
    </dataValidation>
    <dataValidation allowBlank="true" errorStyle="stop" operator="between" showDropDown="false" showErrorMessage="false" showInputMessage="false" sqref="D19" type="list">
      <formula1>Reference!$H$79:$H$83</formula1>
      <formula2>0</formula2>
    </dataValidation>
    <dataValidation allowBlank="true" errorStyle="stop" operator="between" showDropDown="false" showErrorMessage="false" showInputMessage="false" sqref="F19" type="list">
      <formula1>Reference!$C$79:$C$89</formula1>
      <formula2>0</formula2>
    </dataValidation>
    <dataValidation allowBlank="true" errorStyle="stop" operator="between" showDropDown="false" showErrorMessage="false" showInputMessage="false" sqref="I19" type="list">
      <formula1>Reference!$B$92:$B$96</formula1>
      <formula2>0</formula2>
    </dataValidation>
    <dataValidation allowBlank="true" errorStyle="stop" operator="between" showDropDown="false" showErrorMessage="false" showInputMessage="false" sqref="D20" type="list">
      <formula1>Reference!$H$79:$H$83</formula1>
      <formula2>0</formula2>
    </dataValidation>
    <dataValidation allowBlank="true" errorStyle="stop" operator="between" showDropDown="false" showErrorMessage="false" showInputMessage="false" sqref="F20" type="list">
      <formula1>Reference!$C$79:$C$89</formula1>
      <formula2>0</formula2>
    </dataValidation>
    <dataValidation allowBlank="true" errorStyle="stop" operator="between" showDropDown="false" showErrorMessage="false" showInputMessage="false" sqref="I20" type="list">
      <formula1>Reference!$B$92:$B$96</formula1>
      <formula2>0</formula2>
    </dataValidation>
    <dataValidation allowBlank="true" errorStyle="stop" operator="between" showDropDown="false" showErrorMessage="false" showInputMessage="false" sqref="D21" type="list">
      <formula1>Reference!$H$79:$H$83</formula1>
      <formula2>0</formula2>
    </dataValidation>
    <dataValidation allowBlank="true" errorStyle="stop" operator="between" showDropDown="false" showErrorMessage="false" showInputMessage="false" sqref="F21" type="list">
      <formula1>Reference!$C$79:$C$89</formula1>
      <formula2>0</formula2>
    </dataValidation>
    <dataValidation allowBlank="true" errorStyle="stop" operator="between" showDropDown="false" showErrorMessage="false" showInputMessage="false" sqref="I21" type="list">
      <formula1>Reference!$B$92:$B$96</formula1>
      <formula2>0</formula2>
    </dataValidation>
    <dataValidation allowBlank="true" errorStyle="stop" operator="between" showDropDown="false" showErrorMessage="false" showInputMessage="false" sqref="D22" type="list">
      <formula1>Reference!$H$79:$H$83</formula1>
      <formula2>0</formula2>
    </dataValidation>
    <dataValidation allowBlank="true" errorStyle="stop" operator="between" showDropDown="false" showErrorMessage="false" showInputMessage="false" sqref="F22" type="list">
      <formula1>Reference!$C$79:$C$89</formula1>
      <formula2>0</formula2>
    </dataValidation>
    <dataValidation allowBlank="true" errorStyle="stop" operator="between" showDropDown="false" showErrorMessage="false" showInputMessage="false" sqref="I22" type="list">
      <formula1>Reference!$B$92:$B$96</formula1>
      <formula2>0</formula2>
    </dataValidation>
    <dataValidation allowBlank="true" errorStyle="stop" operator="between" showDropDown="false" showErrorMessage="false" showInputMessage="false" sqref="D23" type="list">
      <formula1>Reference!$H$79:$H$83</formula1>
      <formula2>0</formula2>
    </dataValidation>
    <dataValidation allowBlank="true" errorStyle="stop" operator="between" showDropDown="false" showErrorMessage="false" showInputMessage="false" sqref="F23" type="list">
      <formula1>Reference!$C$79:$C$89</formula1>
      <formula2>0</formula2>
    </dataValidation>
    <dataValidation allowBlank="true" errorStyle="stop" operator="between" showDropDown="false" showErrorMessage="false" showInputMessage="false" sqref="I23" type="list">
      <formula1>Reference!$B$92:$B$96</formula1>
      <formula2>0</formula2>
    </dataValidation>
    <dataValidation allowBlank="true" errorStyle="stop" operator="between" showDropDown="false" showErrorMessage="false" showInputMessage="false" sqref="D24" type="list">
      <formula1>Reference!$H$79:$H$83</formula1>
      <formula2>0</formula2>
    </dataValidation>
    <dataValidation allowBlank="true" errorStyle="stop" operator="between" showDropDown="false" showErrorMessage="false" showInputMessage="false" sqref="F24" type="list">
      <formula1>Reference!$C$79:$C$89</formula1>
      <formula2>0</formula2>
    </dataValidation>
    <dataValidation allowBlank="true" errorStyle="stop" operator="between" showDropDown="false" showErrorMessage="false" showInputMessage="false" sqref="I24" type="list">
      <formula1>Reference!$B$92:$B$96</formula1>
      <formula2>0</formula2>
    </dataValidation>
    <dataValidation allowBlank="true" errorStyle="stop" operator="between" showDropDown="false" showErrorMessage="false" showInputMessage="false" sqref="D25" type="list">
      <formula1>Reference!$H$79:$H$83</formula1>
      <formula2>0</formula2>
    </dataValidation>
    <dataValidation allowBlank="true" errorStyle="stop" operator="between" showDropDown="false" showErrorMessage="false" showInputMessage="false" sqref="F25" type="list">
      <formula1>Reference!$C$79:$C$89</formula1>
      <formula2>0</formula2>
    </dataValidation>
    <dataValidation allowBlank="true" errorStyle="stop" operator="between" showDropDown="false" showErrorMessage="false" showInputMessage="false" sqref="I25" type="list">
      <formula1>Reference!$B$92:$B$96</formula1>
      <formula2>0</formula2>
    </dataValidation>
    <dataValidation allowBlank="true" errorStyle="stop" operator="between" showDropDown="false" showErrorMessage="false" showInputMessage="false" sqref="D26" type="list">
      <formula1>Reference!$H$79:$H$83</formula1>
      <formula2>0</formula2>
    </dataValidation>
    <dataValidation allowBlank="true" errorStyle="stop" operator="between" showDropDown="false" showErrorMessage="false" showInputMessage="false" sqref="F26" type="list">
      <formula1>Reference!$C$79:$C$89</formula1>
      <formula2>0</formula2>
    </dataValidation>
    <dataValidation allowBlank="true" errorStyle="stop" operator="between" showDropDown="false" showErrorMessage="false" showInputMessage="false" sqref="I26" type="list">
      <formula1>Reference!$B$92:$B$96</formula1>
      <formula2>0</formula2>
    </dataValidation>
    <dataValidation allowBlank="true" errorStyle="stop" operator="between" showDropDown="false" showErrorMessage="false" showInputMessage="false" sqref="D27" type="list">
      <formula1>Reference!$H$79:$H$83</formula1>
      <formula2>0</formula2>
    </dataValidation>
    <dataValidation allowBlank="true" errorStyle="stop" operator="between" showDropDown="false" showErrorMessage="false" showInputMessage="false" sqref="F27" type="list">
      <formula1>Reference!$C$79:$C$89</formula1>
      <formula2>0</formula2>
    </dataValidation>
    <dataValidation allowBlank="true" errorStyle="stop" operator="between" showDropDown="false" showErrorMessage="false" showInputMessage="false" sqref="I27" type="list">
      <formula1>Reference!$B$92:$B$96</formula1>
      <formula2>0</formula2>
    </dataValidation>
    <dataValidation allowBlank="true" errorStyle="stop" operator="between" showDropDown="false" showErrorMessage="false" showInputMessage="false" sqref="D28" type="list">
      <formula1>Reference!$H$79:$H$83</formula1>
      <formula2>0</formula2>
    </dataValidation>
    <dataValidation allowBlank="true" errorStyle="stop" operator="between" showDropDown="false" showErrorMessage="false" showInputMessage="false" sqref="F28" type="list">
      <formula1>Reference!$C$79:$C$89</formula1>
      <formula2>0</formula2>
    </dataValidation>
    <dataValidation allowBlank="true" errorStyle="stop" operator="between" showDropDown="false" showErrorMessage="false" showInputMessage="false" sqref="I28" type="list">
      <formula1>Reference!$B$92:$B$96</formula1>
      <formula2>0</formula2>
    </dataValidation>
    <dataValidation allowBlank="true" errorStyle="stop" operator="between" showDropDown="false" showErrorMessage="false" showInputMessage="false" sqref="D29" type="list">
      <formula1>Reference!$H$79:$H$83</formula1>
      <formula2>0</formula2>
    </dataValidation>
    <dataValidation allowBlank="true" errorStyle="stop" operator="between" showDropDown="false" showErrorMessage="false" showInputMessage="false" sqref="F29" type="list">
      <formula1>Reference!$C$79:$C$89</formula1>
      <formula2>0</formula2>
    </dataValidation>
    <dataValidation allowBlank="true" errorStyle="stop" operator="between" showDropDown="false" showErrorMessage="false" showInputMessage="false" sqref="I29" type="list">
      <formula1>Reference!$B$92:$B$96</formula1>
      <formula2>0</formula2>
    </dataValidation>
    <dataValidation allowBlank="true" errorStyle="stop" operator="between" showDropDown="false" showErrorMessage="false" showInputMessage="false" sqref="D30" type="list">
      <formula1>Reference!$H$79:$H$83</formula1>
      <formula2>0</formula2>
    </dataValidation>
    <dataValidation allowBlank="true" errorStyle="stop" operator="between" showDropDown="false" showErrorMessage="false" showInputMessage="false" sqref="F30" type="list">
      <formula1>Reference!$C$79:$C$89</formula1>
      <formula2>0</formula2>
    </dataValidation>
    <dataValidation allowBlank="true" errorStyle="stop" operator="between" showDropDown="false" showErrorMessage="false" showInputMessage="false" sqref="I30" type="list">
      <formula1>Reference!$B$92:$B$96</formula1>
      <formula2>0</formula2>
    </dataValidation>
    <dataValidation allowBlank="true" errorStyle="stop" operator="between" showDropDown="false" showErrorMessage="false" showInputMessage="false" sqref="D31" type="list">
      <formula1>Reference!$H$79:$H$83</formula1>
      <formula2>0</formula2>
    </dataValidation>
    <dataValidation allowBlank="true" errorStyle="stop" operator="between" showDropDown="false" showErrorMessage="false" showInputMessage="false" sqref="F31" type="list">
      <formula1>Reference!$C$79:$C$89</formula1>
      <formula2>0</formula2>
    </dataValidation>
    <dataValidation allowBlank="true" errorStyle="stop" operator="between" showDropDown="false" showErrorMessage="false" showInputMessage="false" sqref="I31" type="list">
      <formula1>Reference!$B$92:$B$96</formula1>
      <formula2>0</formula2>
    </dataValidation>
    <dataValidation allowBlank="true" errorStyle="stop" operator="between" showDropDown="false" showErrorMessage="false" showInputMessage="false" sqref="D32" type="list">
      <formula1>Reference!$H$79:$H$83</formula1>
      <formula2>0</formula2>
    </dataValidation>
    <dataValidation allowBlank="true" errorStyle="stop" operator="between" showDropDown="false" showErrorMessage="false" showInputMessage="false" sqref="F32" type="list">
      <formula1>Reference!$C$79:$C$89</formula1>
      <formula2>0</formula2>
    </dataValidation>
    <dataValidation allowBlank="true" errorStyle="stop" operator="between" showDropDown="false" showErrorMessage="false" showInputMessage="false" sqref="I32" type="list">
      <formula1>Reference!$B$92:$B$96</formula1>
      <formula2>0</formula2>
    </dataValidation>
  </dataValidations>
  <hyperlinks>
    <hyperlink ref="B37" r:id="rId1" display="Visit mastt.com"/>
  </hyperlink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4CAF50"/>
    <pageSetUpPr fitToPage="true"/>
  </sheetPr>
  <dimension ref="B1:K4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5" ySplit="6" topLeftCell="F7" activePane="bottomRight" state="frozen"/>
      <selection pane="topLeft" activeCell="A1" activeCellId="0" sqref="A1"/>
      <selection pane="topRight" activeCell="F1" activeCellId="0" sqref="F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7"/>
    <col collapsed="false" customWidth="true" hidden="false" outlineLevel="0" max="3" min="3" style="0" width="22"/>
    <col collapsed="false" customWidth="true" hidden="false" outlineLevel="0" max="4" min="4" style="0" width="42"/>
    <col collapsed="false" customWidth="true" hidden="false" outlineLevel="0" max="5" min="5" style="0" width="40"/>
    <col collapsed="false" customWidth="true" hidden="false" outlineLevel="0" max="6" min="6" style="0" width="17"/>
    <col collapsed="false" customWidth="true" hidden="false" outlineLevel="0" max="8" min="7" style="0" width="12"/>
    <col collapsed="false" customWidth="true" hidden="false" outlineLevel="0" max="9" min="9" style="0" width="17"/>
    <col collapsed="false" customWidth="true" hidden="false" outlineLevel="0" max="10" min="10" style="0" width="15"/>
    <col collapsed="false" customWidth="true" hidden="false" outlineLevel="0" max="11" min="11" style="0" width="27"/>
    <col collapsed="false" customWidth="true" hidden="false" outlineLevel="0" max="12" min="12" style="0" width="2.2"/>
  </cols>
  <sheetData>
    <row r="1" customFormat="false" ht="33.75" hidden="false" customHeight="true" outlineLevel="0" collapsed="false">
      <c r="B1" s="40" t="s">
        <v>415</v>
      </c>
      <c r="C1" s="40"/>
      <c r="D1" s="40"/>
      <c r="E1" s="40"/>
      <c r="F1" s="40"/>
      <c r="G1" s="40"/>
      <c r="H1" s="40"/>
      <c r="I1" s="40"/>
      <c r="J1" s="40"/>
      <c r="K1" s="40"/>
    </row>
    <row r="2" customFormat="false" ht="4.5" hidden="false" customHeight="true" outlineLevel="0" collapsed="false">
      <c r="B2" s="102"/>
      <c r="C2" s="102"/>
      <c r="D2" s="102"/>
      <c r="E2" s="102"/>
      <c r="F2" s="102"/>
      <c r="G2" s="102"/>
      <c r="H2" s="102"/>
      <c r="I2" s="102"/>
      <c r="J2" s="102"/>
      <c r="K2" s="102"/>
    </row>
    <row r="3" customFormat="false" ht="16.5" hidden="false" customHeight="true" outlineLevel="0" collapsed="false">
      <c r="B3" s="42" t="str">
        <f aca="false">IF(LEFT(Setup!$D$7,7)&lt;&gt;"EXAMPLE","","EXAMPLE DATA - type your own project name on Setup to clear this.")</f>
        <v>EXAMPLE DATA - type your own project name on Setup to clear this.</v>
      </c>
      <c r="C3" s="42"/>
      <c r="D3" s="42"/>
      <c r="E3" s="42"/>
      <c r="F3" s="42"/>
      <c r="G3" s="42"/>
      <c r="H3" s="42"/>
      <c r="I3" s="42"/>
      <c r="J3" s="42"/>
      <c r="K3" s="42"/>
    </row>
    <row r="4" customFormat="false" ht="25.5" hidden="false" customHeight="true" outlineLevel="0" collapsed="false">
      <c r="B4" s="43" t="s">
        <v>416</v>
      </c>
      <c r="C4" s="43"/>
      <c r="D4" s="43"/>
      <c r="E4" s="43"/>
      <c r="F4" s="43"/>
      <c r="G4" s="43"/>
      <c r="H4" s="43"/>
      <c r="I4" s="43"/>
      <c r="J4" s="43"/>
      <c r="K4" s="43"/>
    </row>
    <row r="6" customFormat="false" ht="30" hidden="false" customHeight="true" outlineLevel="0" collapsed="false">
      <c r="B6" s="77" t="s">
        <v>212</v>
      </c>
      <c r="C6" s="10" t="s">
        <v>198</v>
      </c>
      <c r="D6" s="10" t="s">
        <v>316</v>
      </c>
      <c r="E6" s="10" t="s">
        <v>417</v>
      </c>
      <c r="F6" s="10" t="s">
        <v>97</v>
      </c>
      <c r="G6" s="10" t="s">
        <v>418</v>
      </c>
      <c r="H6" s="10" t="s">
        <v>419</v>
      </c>
      <c r="I6" s="10" t="s">
        <v>420</v>
      </c>
      <c r="J6" s="77" t="s">
        <v>221</v>
      </c>
      <c r="K6" s="10" t="s">
        <v>222</v>
      </c>
    </row>
    <row r="7" customFormat="false" ht="39.75" hidden="false" customHeight="true" outlineLevel="0" collapsed="false">
      <c r="B7" s="78" t="str">
        <f aca="false">IF($D7="","","OR"&amp;TEXT(ROW()-6,"00"))</f>
        <v>OR01</v>
      </c>
      <c r="C7" s="79" t="s">
        <v>202</v>
      </c>
      <c r="D7" s="79" t="s">
        <v>421</v>
      </c>
      <c r="E7" s="79" t="s">
        <v>422</v>
      </c>
      <c r="F7" s="79" t="s">
        <v>165</v>
      </c>
      <c r="G7" s="80" t="n">
        <f aca="true">TODAY()-10</f>
        <v>46241</v>
      </c>
      <c r="H7" s="80"/>
      <c r="I7" s="79"/>
      <c r="J7" s="84" t="str">
        <f aca="false">IF($D7="","",IF($H7&lt;&gt;"","Done",IF($G7="","No date",IF($G7&gt;Setup!$D$18,"Due after RFS",IF(Setup!$D$19&gt;$G7,"Overdue",IF($G7-Setup!$D$19&lt;=Setup!$D$23,"Due soon","Open"))))))</f>
        <v>Overdue</v>
      </c>
      <c r="K7" s="79" t="s">
        <v>423</v>
      </c>
    </row>
    <row r="8" customFormat="false" ht="39.75" hidden="false" customHeight="true" outlineLevel="0" collapsed="false">
      <c r="B8" s="78" t="str">
        <f aca="false">IF($D8="","","OR"&amp;TEXT(ROW()-6,"00"))</f>
        <v>OR02</v>
      </c>
      <c r="C8" s="85" t="s">
        <v>202</v>
      </c>
      <c r="D8" s="85" t="s">
        <v>424</v>
      </c>
      <c r="E8" s="85" t="s">
        <v>425</v>
      </c>
      <c r="F8" s="85" t="s">
        <v>165</v>
      </c>
      <c r="G8" s="86" t="n">
        <f aca="true">TODAY()+45</f>
        <v>46296</v>
      </c>
      <c r="H8" s="86"/>
      <c r="I8" s="85"/>
      <c r="J8" s="84" t="str">
        <f aca="false">IF($D8="","",IF($H8&lt;&gt;"","Done",IF($G8="","No date",IF($G8&gt;Setup!$D$18,"Due after RFS",IF(Setup!$D$19&gt;$G8,"Overdue",IF($G8-Setup!$D$19&lt;=Setup!$D$23,"Due soon","Open"))))))</f>
        <v>Open</v>
      </c>
      <c r="K8" s="85" t="s">
        <v>426</v>
      </c>
    </row>
    <row r="9" customFormat="false" ht="39.75" hidden="false" customHeight="true" outlineLevel="0" collapsed="false">
      <c r="B9" s="78" t="str">
        <f aca="false">IF($D9="","","OR"&amp;TEXT(ROW()-6,"00"))</f>
        <v>OR03</v>
      </c>
      <c r="C9" s="79" t="s">
        <v>202</v>
      </c>
      <c r="D9" s="79" t="s">
        <v>427</v>
      </c>
      <c r="E9" s="79" t="s">
        <v>428</v>
      </c>
      <c r="F9" s="79" t="s">
        <v>165</v>
      </c>
      <c r="G9" s="80" t="n">
        <f aca="true">TODAY()+55</f>
        <v>46306</v>
      </c>
      <c r="H9" s="80"/>
      <c r="I9" s="79"/>
      <c r="J9" s="84" t="str">
        <f aca="false">IF($D9="","",IF($H9&lt;&gt;"","Done",IF($G9="","No date",IF($G9&gt;Setup!$D$18,"Due after RFS",IF(Setup!$D$19&gt;$G9,"Overdue",IF($G9-Setup!$D$19&lt;=Setup!$D$23,"Due soon","Open"))))))</f>
        <v>Open</v>
      </c>
      <c r="K9" s="79"/>
    </row>
    <row r="10" customFormat="false" ht="39.75" hidden="false" customHeight="true" outlineLevel="0" collapsed="false">
      <c r="B10" s="78" t="str">
        <f aca="false">IF($D10="","","OR"&amp;TEXT(ROW()-6,"00"))</f>
        <v>OR04</v>
      </c>
      <c r="C10" s="85" t="s">
        <v>202</v>
      </c>
      <c r="D10" s="85" t="s">
        <v>429</v>
      </c>
      <c r="E10" s="85" t="s">
        <v>430</v>
      </c>
      <c r="F10" s="85" t="s">
        <v>165</v>
      </c>
      <c r="G10" s="86" t="n">
        <f aca="true">TODAY()+70</f>
        <v>46321</v>
      </c>
      <c r="H10" s="86"/>
      <c r="I10" s="85"/>
      <c r="J10" s="84" t="str">
        <f aca="false">IF($D10="","",IF($H10&lt;&gt;"","Done",IF($G10="","No date",IF($G10&gt;Setup!$D$18,"Due after RFS",IF(Setup!$D$19&gt;$G10,"Overdue",IF($G10-Setup!$D$19&lt;=Setup!$D$23,"Due soon","Open"))))))</f>
        <v>Open</v>
      </c>
      <c r="K10" s="85"/>
    </row>
    <row r="11" customFormat="false" ht="39.75" hidden="false" customHeight="true" outlineLevel="0" collapsed="false">
      <c r="B11" s="78" t="str">
        <f aca="false">IF($D11="","","OR"&amp;TEXT(ROW()-6,"00"))</f>
        <v>OR05</v>
      </c>
      <c r="C11" s="79" t="s">
        <v>203</v>
      </c>
      <c r="D11" s="79" t="s">
        <v>431</v>
      </c>
      <c r="E11" s="79"/>
      <c r="F11" s="79" t="s">
        <v>165</v>
      </c>
      <c r="G11" s="80" t="n">
        <f aca="true">TODAY()-20</f>
        <v>46231</v>
      </c>
      <c r="H11" s="80" t="n">
        <f aca="true">TODAY()-25</f>
        <v>46226</v>
      </c>
      <c r="I11" s="79" t="s">
        <v>432</v>
      </c>
      <c r="J11" s="84" t="str">
        <f aca="false">IF($D11="","",IF($H11&lt;&gt;"","Done",IF($G11="","No date",IF($G11&gt;Setup!$D$18,"Due after RFS",IF(Setup!$D$19&gt;$G11,"Overdue",IF($G11-Setup!$D$19&lt;=Setup!$D$23,"Due soon","Open"))))))</f>
        <v>Done</v>
      </c>
      <c r="K11" s="79"/>
    </row>
    <row r="12" customFormat="false" ht="39.75" hidden="false" customHeight="true" outlineLevel="0" collapsed="false">
      <c r="B12" s="78" t="str">
        <f aca="false">IF($D12="","","OR"&amp;TEXT(ROW()-6,"00"))</f>
        <v>OR06</v>
      </c>
      <c r="C12" s="85" t="s">
        <v>203</v>
      </c>
      <c r="D12" s="85" t="s">
        <v>433</v>
      </c>
      <c r="E12" s="85"/>
      <c r="F12" s="85" t="s">
        <v>165</v>
      </c>
      <c r="G12" s="86" t="n">
        <f aca="true">TODAY()+10</f>
        <v>46261</v>
      </c>
      <c r="H12" s="86"/>
      <c r="I12" s="85"/>
      <c r="J12" s="84" t="str">
        <f aca="false">IF($D12="","",IF($H12&lt;&gt;"","Done",IF($G12="","No date",IF($G12&gt;Setup!$D$18,"Due after RFS",IF(Setup!$D$19&gt;$G12,"Overdue",IF($G12-Setup!$D$19&lt;=Setup!$D$23,"Due soon","Open"))))))</f>
        <v>Due soon</v>
      </c>
      <c r="K12" s="85"/>
    </row>
    <row r="13" customFormat="false" ht="39.75" hidden="false" customHeight="true" outlineLevel="0" collapsed="false">
      <c r="B13" s="78" t="str">
        <f aca="false">IF($D13="","","OR"&amp;TEXT(ROW()-6,"00"))</f>
        <v>OR07</v>
      </c>
      <c r="C13" s="79" t="s">
        <v>203</v>
      </c>
      <c r="D13" s="79" t="s">
        <v>434</v>
      </c>
      <c r="E13" s="79" t="s">
        <v>435</v>
      </c>
      <c r="F13" s="79" t="s">
        <v>165</v>
      </c>
      <c r="G13" s="80" t="n">
        <f aca="true">TODAY()+60</f>
        <v>46311</v>
      </c>
      <c r="H13" s="80"/>
      <c r="I13" s="79"/>
      <c r="J13" s="84" t="str">
        <f aca="false">IF($D13="","",IF($H13&lt;&gt;"","Done",IF($G13="","No date",IF($G13&gt;Setup!$D$18,"Due after RFS",IF(Setup!$D$19&gt;$G13,"Overdue",IF($G13-Setup!$D$19&lt;=Setup!$D$23,"Due soon","Open"))))))</f>
        <v>Open</v>
      </c>
      <c r="K13" s="79"/>
    </row>
    <row r="14" customFormat="false" ht="39.75" hidden="false" customHeight="true" outlineLevel="0" collapsed="false">
      <c r="B14" s="78" t="str">
        <f aca="false">IF($D14="","","OR"&amp;TEXT(ROW()-6,"00"))</f>
        <v>OR08</v>
      </c>
      <c r="C14" s="85" t="s">
        <v>203</v>
      </c>
      <c r="D14" s="85" t="s">
        <v>436</v>
      </c>
      <c r="E14" s="85"/>
      <c r="F14" s="85" t="s">
        <v>165</v>
      </c>
      <c r="G14" s="86" t="n">
        <f aca="true">TODAY()+75</f>
        <v>46326</v>
      </c>
      <c r="H14" s="86"/>
      <c r="I14" s="85"/>
      <c r="J14" s="84" t="str">
        <f aca="false">IF($D14="","",IF($H14&lt;&gt;"","Done",IF($G14="","No date",IF($G14&gt;Setup!$D$18,"Due after RFS",IF(Setup!$D$19&gt;$G14,"Overdue",IF($G14-Setup!$D$19&lt;=Setup!$D$23,"Due soon","Open"))))))</f>
        <v>Open</v>
      </c>
      <c r="K14" s="85"/>
    </row>
    <row r="15" customFormat="false" ht="39.75" hidden="false" customHeight="true" outlineLevel="0" collapsed="false">
      <c r="B15" s="78" t="str">
        <f aca="false">IF($D15="","","OR"&amp;TEXT(ROW()-6,"00"))</f>
        <v>OR09</v>
      </c>
      <c r="C15" s="79" t="s">
        <v>204</v>
      </c>
      <c r="D15" s="79" t="s">
        <v>437</v>
      </c>
      <c r="E15" s="79"/>
      <c r="F15" s="79" t="s">
        <v>165</v>
      </c>
      <c r="G15" s="80" t="n">
        <f aca="true">TODAY()+50</f>
        <v>46301</v>
      </c>
      <c r="H15" s="80"/>
      <c r="I15" s="79"/>
      <c r="J15" s="84" t="str">
        <f aca="false">IF($D15="","",IF($H15&lt;&gt;"","Done",IF($G15="","No date",IF($G15&gt;Setup!$D$18,"Due after RFS",IF(Setup!$D$19&gt;$G15,"Overdue",IF($G15-Setup!$D$19&lt;=Setup!$D$23,"Due soon","Open"))))))</f>
        <v>Open</v>
      </c>
      <c r="K15" s="79"/>
    </row>
    <row r="16" customFormat="false" ht="39.75" hidden="false" customHeight="true" outlineLevel="0" collapsed="false">
      <c r="B16" s="78" t="str">
        <f aca="false">IF($D16="","","OR"&amp;TEXT(ROW()-6,"00"))</f>
        <v>OR10</v>
      </c>
      <c r="C16" s="85" t="s">
        <v>204</v>
      </c>
      <c r="D16" s="85" t="s">
        <v>438</v>
      </c>
      <c r="E16" s="85" t="s">
        <v>439</v>
      </c>
      <c r="F16" s="85" t="s">
        <v>97</v>
      </c>
      <c r="G16" s="86" t="n">
        <f aca="true">TODAY()+55</f>
        <v>46306</v>
      </c>
      <c r="H16" s="86"/>
      <c r="I16" s="85"/>
      <c r="J16" s="84" t="str">
        <f aca="false">IF($D16="","",IF($H16&lt;&gt;"","Done",IF($G16="","No date",IF($G16&gt;Setup!$D$18,"Due after RFS",IF(Setup!$D$19&gt;$G16,"Overdue",IF($G16-Setup!$D$19&lt;=Setup!$D$23,"Due soon","Open"))))))</f>
        <v>Open</v>
      </c>
      <c r="K16" s="85"/>
    </row>
    <row r="17" customFormat="false" ht="39.75" hidden="false" customHeight="true" outlineLevel="0" collapsed="false">
      <c r="B17" s="78" t="str">
        <f aca="false">IF($D17="","","OR"&amp;TEXT(ROW()-6,"00"))</f>
        <v>OR11</v>
      </c>
      <c r="C17" s="79" t="s">
        <v>204</v>
      </c>
      <c r="D17" s="79" t="s">
        <v>440</v>
      </c>
      <c r="E17" s="79"/>
      <c r="F17" s="79" t="s">
        <v>165</v>
      </c>
      <c r="G17" s="80" t="n">
        <f aca="true">TODAY()+65</f>
        <v>46316</v>
      </c>
      <c r="H17" s="80"/>
      <c r="I17" s="79"/>
      <c r="J17" s="84" t="str">
        <f aca="false">IF($D17="","",IF($H17&lt;&gt;"","Done",IF($G17="","No date",IF($G17&gt;Setup!$D$18,"Due after RFS",IF(Setup!$D$19&gt;$G17,"Overdue",IF($G17-Setup!$D$19&lt;=Setup!$D$23,"Due soon","Open"))))))</f>
        <v>Open</v>
      </c>
      <c r="K17" s="79"/>
    </row>
    <row r="18" customFormat="false" ht="39.75" hidden="false" customHeight="true" outlineLevel="0" collapsed="false">
      <c r="B18" s="78" t="str">
        <f aca="false">IF($D18="","","OR"&amp;TEXT(ROW()-6,"00"))</f>
        <v>OR12</v>
      </c>
      <c r="C18" s="85" t="s">
        <v>205</v>
      </c>
      <c r="D18" s="85" t="s">
        <v>441</v>
      </c>
      <c r="E18" s="85"/>
      <c r="F18" s="85" t="s">
        <v>165</v>
      </c>
      <c r="G18" s="86" t="n">
        <f aca="true">TODAY()+45</f>
        <v>46296</v>
      </c>
      <c r="H18" s="86"/>
      <c r="I18" s="85"/>
      <c r="J18" s="84" t="str">
        <f aca="false">IF($D18="","",IF($H18&lt;&gt;"","Done",IF($G18="","No date",IF($G18&gt;Setup!$D$18,"Due after RFS",IF(Setup!$D$19&gt;$G18,"Overdue",IF($G18-Setup!$D$19&lt;=Setup!$D$23,"Due soon","Open"))))))</f>
        <v>Open</v>
      </c>
      <c r="K18" s="85"/>
    </row>
    <row r="19" customFormat="false" ht="39.75" hidden="false" customHeight="true" outlineLevel="0" collapsed="false">
      <c r="B19" s="78" t="str">
        <f aca="false">IF($D19="","","OR"&amp;TEXT(ROW()-6,"00"))</f>
        <v>OR13</v>
      </c>
      <c r="C19" s="79" t="s">
        <v>205</v>
      </c>
      <c r="D19" s="79" t="s">
        <v>442</v>
      </c>
      <c r="E19" s="79" t="s">
        <v>443</v>
      </c>
      <c r="F19" s="79" t="s">
        <v>165</v>
      </c>
      <c r="G19" s="80" t="n">
        <f aca="true">TODAY()+55</f>
        <v>46306</v>
      </c>
      <c r="H19" s="80"/>
      <c r="I19" s="79"/>
      <c r="J19" s="84" t="str">
        <f aca="false">IF($D19="","",IF($H19&lt;&gt;"","Done",IF($G19="","No date",IF($G19&gt;Setup!$D$18,"Due after RFS",IF(Setup!$D$19&gt;$G19,"Overdue",IF($G19-Setup!$D$19&lt;=Setup!$D$23,"Due soon","Open"))))))</f>
        <v>Open</v>
      </c>
      <c r="K19" s="79"/>
    </row>
    <row r="20" customFormat="false" ht="39.75" hidden="false" customHeight="true" outlineLevel="0" collapsed="false">
      <c r="B20" s="78" t="str">
        <f aca="false">IF($D20="","","OR"&amp;TEXT(ROW()-6,"00"))</f>
        <v>OR14</v>
      </c>
      <c r="C20" s="85" t="s">
        <v>205</v>
      </c>
      <c r="D20" s="85" t="s">
        <v>444</v>
      </c>
      <c r="E20" s="85" t="s">
        <v>445</v>
      </c>
      <c r="F20" s="85" t="s">
        <v>165</v>
      </c>
      <c r="G20" s="86" t="n">
        <f aca="true">TODAY()+40</f>
        <v>46291</v>
      </c>
      <c r="H20" s="86"/>
      <c r="I20" s="85"/>
      <c r="J20" s="84" t="str">
        <f aca="false">IF($D20="","",IF($H20&lt;&gt;"","Done",IF($G20="","No date",IF($G20&gt;Setup!$D$18,"Due after RFS",IF(Setup!$D$19&gt;$G20,"Overdue",IF($G20-Setup!$D$19&lt;=Setup!$D$23,"Due soon","Open"))))))</f>
        <v>Open</v>
      </c>
      <c r="K20" s="85"/>
    </row>
    <row r="21" customFormat="false" ht="39.75" hidden="false" customHeight="true" outlineLevel="0" collapsed="false">
      <c r="B21" s="78" t="str">
        <f aca="false">IF($D21="","","OR"&amp;TEXT(ROW()-6,"00"))</f>
        <v>OR15</v>
      </c>
      <c r="C21" s="79" t="s">
        <v>206</v>
      </c>
      <c r="D21" s="79" t="s">
        <v>446</v>
      </c>
      <c r="E21" s="79"/>
      <c r="F21" s="79" t="s">
        <v>158</v>
      </c>
      <c r="G21" s="80" t="n">
        <f aca="true">TODAY()+70</f>
        <v>46321</v>
      </c>
      <c r="H21" s="80"/>
      <c r="I21" s="79"/>
      <c r="J21" s="84" t="str">
        <f aca="false">IF($D21="","",IF($H21&lt;&gt;"","Done",IF($G21="","No date",IF($G21&gt;Setup!$D$18,"Due after RFS",IF(Setup!$D$19&gt;$G21,"Overdue",IF($G21-Setup!$D$19&lt;=Setup!$D$23,"Due soon","Open"))))))</f>
        <v>Open</v>
      </c>
      <c r="K21" s="79"/>
    </row>
    <row r="22" customFormat="false" ht="39.75" hidden="false" customHeight="true" outlineLevel="0" collapsed="false">
      <c r="B22" s="78" t="str">
        <f aca="false">IF($D22="","","OR"&amp;TEXT(ROW()-6,"00"))</f>
        <v>OR16</v>
      </c>
      <c r="C22" s="85" t="s">
        <v>206</v>
      </c>
      <c r="D22" s="85" t="s">
        <v>447</v>
      </c>
      <c r="E22" s="85"/>
      <c r="F22" s="85" t="s">
        <v>97</v>
      </c>
      <c r="G22" s="86" t="n">
        <f aca="true">TODAY()+78</f>
        <v>46329</v>
      </c>
      <c r="H22" s="86"/>
      <c r="I22" s="85"/>
      <c r="J22" s="84" t="str">
        <f aca="false">IF($D22="","",IF($H22&lt;&gt;"","Done",IF($G22="","No date",IF($G22&gt;Setup!$D$18,"Due after RFS",IF(Setup!$D$19&gt;$G22,"Overdue",IF($G22-Setup!$D$19&lt;=Setup!$D$23,"Due soon","Open"))))))</f>
        <v>Open</v>
      </c>
      <c r="K22" s="85"/>
    </row>
    <row r="23" customFormat="false" ht="39.75" hidden="false" customHeight="true" outlineLevel="0" collapsed="false">
      <c r="B23" s="78" t="str">
        <f aca="false">IF($D23="","","OR"&amp;TEXT(ROW()-6,"00"))</f>
        <v>OR17</v>
      </c>
      <c r="C23" s="79" t="s">
        <v>206</v>
      </c>
      <c r="D23" s="79" t="s">
        <v>448</v>
      </c>
      <c r="E23" s="79"/>
      <c r="F23" s="79" t="s">
        <v>165</v>
      </c>
      <c r="G23" s="80" t="n">
        <f aca="true">TODAY()+65</f>
        <v>46316</v>
      </c>
      <c r="H23" s="80"/>
      <c r="I23" s="79"/>
      <c r="J23" s="84" t="str">
        <f aca="false">IF($D23="","",IF($H23&lt;&gt;"","Done",IF($G23="","No date",IF($G23&gt;Setup!$D$18,"Due after RFS",IF(Setup!$D$19&gt;$G23,"Overdue",IF($G23-Setup!$D$19&lt;=Setup!$D$23,"Due soon","Open"))))))</f>
        <v>Open</v>
      </c>
      <c r="K23" s="79"/>
    </row>
    <row r="24" customFormat="false" ht="39.75" hidden="false" customHeight="true" outlineLevel="0" collapsed="false">
      <c r="B24" s="78" t="str">
        <f aca="false">IF($D24="","","OR"&amp;TEXT(ROW()-6,"00"))</f>
        <v>OR18</v>
      </c>
      <c r="C24" s="85" t="s">
        <v>207</v>
      </c>
      <c r="D24" s="85" t="s">
        <v>449</v>
      </c>
      <c r="E24" s="85"/>
      <c r="F24" s="85" t="s">
        <v>165</v>
      </c>
      <c r="G24" s="86" t="n">
        <f aca="true">TODAY()+50</f>
        <v>46301</v>
      </c>
      <c r="H24" s="86"/>
      <c r="I24" s="85"/>
      <c r="J24" s="84" t="str">
        <f aca="false">IF($D24="","",IF($H24&lt;&gt;"","Done",IF($G24="","No date",IF($G24&gt;Setup!$D$18,"Due after RFS",IF(Setup!$D$19&gt;$G24,"Overdue",IF($G24-Setup!$D$19&lt;=Setup!$D$23,"Due soon","Open"))))))</f>
        <v>Open</v>
      </c>
      <c r="K24" s="85"/>
    </row>
    <row r="25" customFormat="false" ht="39.75" hidden="false" customHeight="true" outlineLevel="0" collapsed="false">
      <c r="B25" s="78" t="str">
        <f aca="false">IF($D25="","","OR"&amp;TEXT(ROW()-6,"00"))</f>
        <v>OR19</v>
      </c>
      <c r="C25" s="79" t="s">
        <v>207</v>
      </c>
      <c r="D25" s="79" t="s">
        <v>450</v>
      </c>
      <c r="E25" s="79" t="s">
        <v>451</v>
      </c>
      <c r="F25" s="79" t="s">
        <v>97</v>
      </c>
      <c r="G25" s="80" t="n">
        <f aca="true">TODAY()+110</f>
        <v>46361</v>
      </c>
      <c r="H25" s="80"/>
      <c r="I25" s="79"/>
      <c r="J25" s="84" t="str">
        <f aca="false">IF($D25="","",IF($H25&lt;&gt;"","Done",IF($G25="","No date",IF($G25&gt;Setup!$D$18,"Due after RFS",IF(Setup!$D$19&gt;$G25,"Overdue",IF($G25-Setup!$D$19&lt;=Setup!$D$23,"Due soon","Open"))))))</f>
        <v>Due after RFS</v>
      </c>
      <c r="K25" s="79" t="s">
        <v>452</v>
      </c>
    </row>
    <row r="26" customFormat="false" ht="39.75" hidden="false" customHeight="true" outlineLevel="0" collapsed="false">
      <c r="B26" s="78" t="str">
        <f aca="false">IF($D26="","","OR"&amp;TEXT(ROW()-6,"00"))</f>
        <v>OR20</v>
      </c>
      <c r="C26" s="85" t="s">
        <v>208</v>
      </c>
      <c r="D26" s="85" t="s">
        <v>453</v>
      </c>
      <c r="E26" s="85" t="s">
        <v>454</v>
      </c>
      <c r="F26" s="85" t="s">
        <v>165</v>
      </c>
      <c r="G26" s="86" t="n">
        <f aca="true">TODAY()+60</f>
        <v>46311</v>
      </c>
      <c r="H26" s="86"/>
      <c r="I26" s="85"/>
      <c r="J26" s="84" t="str">
        <f aca="false">IF($D26="","",IF($H26&lt;&gt;"","Done",IF($G26="","No date",IF($G26&gt;Setup!$D$18,"Due after RFS",IF(Setup!$D$19&gt;$G26,"Overdue",IF($G26-Setup!$D$19&lt;=Setup!$D$23,"Due soon","Open"))))))</f>
        <v>Open</v>
      </c>
      <c r="K26" s="85"/>
    </row>
    <row r="27" customFormat="false" ht="39.75" hidden="false" customHeight="true" outlineLevel="0" collapsed="false">
      <c r="B27" s="78" t="str">
        <f aca="false">IF($D27="","","OR"&amp;TEXT(ROW()-6,"00"))</f>
        <v>OR21</v>
      </c>
      <c r="C27" s="79" t="s">
        <v>208</v>
      </c>
      <c r="D27" s="79" t="s">
        <v>455</v>
      </c>
      <c r="E27" s="79"/>
      <c r="F27" s="79" t="s">
        <v>165</v>
      </c>
      <c r="G27" s="80" t="n">
        <f aca="true">TODAY()+68</f>
        <v>46319</v>
      </c>
      <c r="H27" s="80"/>
      <c r="I27" s="79"/>
      <c r="J27" s="84" t="str">
        <f aca="false">IF($D27="","",IF($H27&lt;&gt;"","Done",IF($G27="","No date",IF($G27&gt;Setup!$D$18,"Due after RFS",IF(Setup!$D$19&gt;$G27,"Overdue",IF($G27-Setup!$D$19&lt;=Setup!$D$23,"Due soon","Open"))))))</f>
        <v>Open</v>
      </c>
      <c r="K27" s="79"/>
    </row>
    <row r="28" customFormat="false" ht="39.75" hidden="false" customHeight="true" outlineLevel="0" collapsed="false">
      <c r="B28" s="78" t="str">
        <f aca="false">IF($D28="","","OR"&amp;TEXT(ROW()-6,"00"))</f>
        <v>OR22</v>
      </c>
      <c r="C28" s="85" t="s">
        <v>209</v>
      </c>
      <c r="D28" s="85" t="s">
        <v>456</v>
      </c>
      <c r="E28" s="85" t="s">
        <v>457</v>
      </c>
      <c r="F28" s="85" t="s">
        <v>97</v>
      </c>
      <c r="G28" s="86" t="n">
        <f aca="true">TODAY()+80</f>
        <v>46331</v>
      </c>
      <c r="H28" s="86"/>
      <c r="I28" s="85"/>
      <c r="J28" s="84" t="str">
        <f aca="false">IF($D28="","",IF($H28&lt;&gt;"","Done",IF($G28="","No date",IF($G28&gt;Setup!$D$18,"Due after RFS",IF(Setup!$D$19&gt;$G28,"Overdue",IF($G28-Setup!$D$19&lt;=Setup!$D$23,"Due soon","Open"))))))</f>
        <v>Open</v>
      </c>
      <c r="K28" s="85"/>
    </row>
    <row r="29" customFormat="false" ht="39.75" hidden="false" customHeight="true" outlineLevel="0" collapsed="false">
      <c r="B29" s="78" t="str">
        <f aca="false">IF($D29="","","OR"&amp;TEXT(ROW()-6,"00"))</f>
        <v>OR23</v>
      </c>
      <c r="C29" s="79" t="s">
        <v>209</v>
      </c>
      <c r="D29" s="79" t="s">
        <v>458</v>
      </c>
      <c r="E29" s="79"/>
      <c r="F29" s="79" t="s">
        <v>97</v>
      </c>
      <c r="G29" s="80" t="n">
        <f aca="true">TODAY()+72</f>
        <v>46323</v>
      </c>
      <c r="H29" s="80"/>
      <c r="I29" s="79"/>
      <c r="J29" s="84" t="str">
        <f aca="false">IF($D29="","",IF($H29&lt;&gt;"","Done",IF($G29="","No date",IF($G29&gt;Setup!$D$18,"Due after RFS",IF(Setup!$D$19&gt;$G29,"Overdue",IF($G29-Setup!$D$19&lt;=Setup!$D$23,"Due soon","Open"))))))</f>
        <v>Open</v>
      </c>
      <c r="K29" s="79"/>
    </row>
    <row r="30" customFormat="false" ht="39.75" hidden="false" customHeight="true" outlineLevel="0" collapsed="false">
      <c r="B30" s="78" t="str">
        <f aca="false">IF($D30="","","OR"&amp;TEXT(ROW()-6,"00"))</f>
        <v/>
      </c>
      <c r="C30" s="85"/>
      <c r="D30" s="85"/>
      <c r="E30" s="85"/>
      <c r="F30" s="85"/>
      <c r="G30" s="86"/>
      <c r="H30" s="86"/>
      <c r="I30" s="85"/>
      <c r="J30" s="84" t="str">
        <f aca="false">IF($D30="","",IF($H30&lt;&gt;"","Done",IF($G30="","No date",IF($G30&gt;Setup!$D$18,"Due after RFS",IF(Setup!$D$19&gt;$G30,"Overdue",IF($G30-Setup!$D$19&lt;=Setup!$D$23,"Due soon","Open"))))))</f>
        <v/>
      </c>
      <c r="K30" s="85"/>
    </row>
    <row r="31" customFormat="false" ht="39.75" hidden="false" customHeight="true" outlineLevel="0" collapsed="false">
      <c r="B31" s="78" t="str">
        <f aca="false">IF($D31="","","OR"&amp;TEXT(ROW()-6,"00"))</f>
        <v/>
      </c>
      <c r="C31" s="79"/>
      <c r="D31" s="79"/>
      <c r="E31" s="79"/>
      <c r="F31" s="79"/>
      <c r="G31" s="80"/>
      <c r="H31" s="80"/>
      <c r="I31" s="79"/>
      <c r="J31" s="84" t="str">
        <f aca="false">IF($D31="","",IF($H31&lt;&gt;"","Done",IF($G31="","No date",IF($G31&gt;Setup!$D$18,"Due after RFS",IF(Setup!$D$19&gt;$G31,"Overdue",IF($G31-Setup!$D$19&lt;=Setup!$D$23,"Due soon","Open"))))))</f>
        <v/>
      </c>
      <c r="K31" s="79"/>
    </row>
    <row r="32" customFormat="false" ht="39.75" hidden="false" customHeight="true" outlineLevel="0" collapsed="false">
      <c r="B32" s="78" t="str">
        <f aca="false">IF($D32="","","OR"&amp;TEXT(ROW()-6,"00"))</f>
        <v/>
      </c>
      <c r="C32" s="85"/>
      <c r="D32" s="85"/>
      <c r="E32" s="85"/>
      <c r="F32" s="85"/>
      <c r="G32" s="86"/>
      <c r="H32" s="86"/>
      <c r="I32" s="85"/>
      <c r="J32" s="84" t="str">
        <f aca="false">IF($D32="","",IF($H32&lt;&gt;"","Done",IF($G32="","No date",IF($G32&gt;Setup!$D$18,"Due after RFS",IF(Setup!$D$19&gt;$G32,"Overdue",IF($G32-Setup!$D$19&lt;=Setup!$D$23,"Due soon","Open"))))))</f>
        <v/>
      </c>
      <c r="K32" s="85"/>
    </row>
    <row r="33" customFormat="false" ht="39.75" hidden="false" customHeight="true" outlineLevel="0" collapsed="false">
      <c r="B33" s="78" t="str">
        <f aca="false">IF($D33="","","OR"&amp;TEXT(ROW()-6,"00"))</f>
        <v/>
      </c>
      <c r="C33" s="79"/>
      <c r="D33" s="79"/>
      <c r="E33" s="79"/>
      <c r="F33" s="79"/>
      <c r="G33" s="80"/>
      <c r="H33" s="80"/>
      <c r="I33" s="79"/>
      <c r="J33" s="84" t="str">
        <f aca="false">IF($D33="","",IF($H33&lt;&gt;"","Done",IF($G33="","No date",IF($G33&gt;Setup!$D$18,"Due after RFS",IF(Setup!$D$19&gt;$G33,"Overdue",IF($G33-Setup!$D$19&lt;=Setup!$D$23,"Due soon","Open"))))))</f>
        <v/>
      </c>
      <c r="K33" s="79"/>
    </row>
    <row r="34" customFormat="false" ht="39.75" hidden="false" customHeight="true" outlineLevel="0" collapsed="false">
      <c r="B34" s="78" t="str">
        <f aca="false">IF($D34="","","OR"&amp;TEXT(ROW()-6,"00"))</f>
        <v/>
      </c>
      <c r="C34" s="85"/>
      <c r="D34" s="85"/>
      <c r="E34" s="85"/>
      <c r="F34" s="85"/>
      <c r="G34" s="86"/>
      <c r="H34" s="86"/>
      <c r="I34" s="85"/>
      <c r="J34" s="84" t="str">
        <f aca="false">IF($D34="","",IF($H34&lt;&gt;"","Done",IF($G34="","No date",IF($G34&gt;Setup!$D$18,"Due after RFS",IF(Setup!$D$19&gt;$G34,"Overdue",IF($G34-Setup!$D$19&lt;=Setup!$D$23,"Due soon","Open"))))))</f>
        <v/>
      </c>
      <c r="K34" s="85"/>
    </row>
    <row r="35" customFormat="false" ht="39.75" hidden="false" customHeight="true" outlineLevel="0" collapsed="false">
      <c r="B35" s="78" t="str">
        <f aca="false">IF($D35="","","OR"&amp;TEXT(ROW()-6,"00"))</f>
        <v/>
      </c>
      <c r="C35" s="79"/>
      <c r="D35" s="79"/>
      <c r="E35" s="79"/>
      <c r="F35" s="79"/>
      <c r="G35" s="80"/>
      <c r="H35" s="80"/>
      <c r="I35" s="79"/>
      <c r="J35" s="84" t="str">
        <f aca="false">IF($D35="","",IF($H35&lt;&gt;"","Done",IF($G35="","No date",IF($G35&gt;Setup!$D$18,"Due after RFS",IF(Setup!$D$19&gt;$G35,"Overdue",IF($G35-Setup!$D$19&lt;=Setup!$D$23,"Due soon","Open"))))))</f>
        <v/>
      </c>
      <c r="K35" s="79"/>
    </row>
    <row r="36" customFormat="false" ht="39.75" hidden="false" customHeight="true" outlineLevel="0" collapsed="false">
      <c r="B36" s="78" t="str">
        <f aca="false">IF($D36="","","OR"&amp;TEXT(ROW()-6,"00"))</f>
        <v/>
      </c>
      <c r="C36" s="85"/>
      <c r="D36" s="85"/>
      <c r="E36" s="85"/>
      <c r="F36" s="85"/>
      <c r="G36" s="86"/>
      <c r="H36" s="86"/>
      <c r="I36" s="85"/>
      <c r="J36" s="84" t="str">
        <f aca="false">IF($D36="","",IF($H36&lt;&gt;"","Done",IF($G36="","No date",IF($G36&gt;Setup!$D$18,"Due after RFS",IF(Setup!$D$19&gt;$G36,"Overdue",IF($G36-Setup!$D$19&lt;=Setup!$D$23,"Due soon","Open"))))))</f>
        <v/>
      </c>
      <c r="K36" s="85"/>
    </row>
    <row r="37" customFormat="false" ht="39.75" hidden="false" customHeight="true" outlineLevel="0" collapsed="false">
      <c r="B37" s="78" t="str">
        <f aca="false">IF($D37="","","OR"&amp;TEXT(ROW()-6,"00"))</f>
        <v/>
      </c>
      <c r="C37" s="79"/>
      <c r="D37" s="79"/>
      <c r="E37" s="79"/>
      <c r="F37" s="79"/>
      <c r="G37" s="80"/>
      <c r="H37" s="80"/>
      <c r="I37" s="79"/>
      <c r="J37" s="84" t="str">
        <f aca="false">IF($D37="","",IF($H37&lt;&gt;"","Done",IF($G37="","No date",IF($G37&gt;Setup!$D$18,"Due after RFS",IF(Setup!$D$19&gt;$G37,"Overdue",IF($G37-Setup!$D$19&lt;=Setup!$D$23,"Due soon","Open"))))))</f>
        <v/>
      </c>
      <c r="K37" s="79"/>
    </row>
    <row r="38" customFormat="false" ht="39.75" hidden="false" customHeight="true" outlineLevel="0" collapsed="false">
      <c r="B38" s="78" t="str">
        <f aca="false">IF($D38="","","OR"&amp;TEXT(ROW()-6,"00"))</f>
        <v/>
      </c>
      <c r="C38" s="85"/>
      <c r="D38" s="85"/>
      <c r="E38" s="85"/>
      <c r="F38" s="85"/>
      <c r="G38" s="86"/>
      <c r="H38" s="86"/>
      <c r="I38" s="85"/>
      <c r="J38" s="84" t="str">
        <f aca="false">IF($D38="","",IF($H38&lt;&gt;"","Done",IF($G38="","No date",IF($G38&gt;Setup!$D$18,"Due after RFS",IF(Setup!$D$19&gt;$G38,"Overdue",IF($G38-Setup!$D$19&lt;=Setup!$D$23,"Due soon","Open"))))))</f>
        <v/>
      </c>
      <c r="K38" s="85"/>
    </row>
    <row r="40" customFormat="false" ht="15" hidden="false" customHeight="true" outlineLevel="0" collapsed="false">
      <c r="B40" s="43" t="s">
        <v>459</v>
      </c>
      <c r="C40" s="43"/>
      <c r="D40" s="43"/>
      <c r="E40" s="43"/>
      <c r="F40" s="43"/>
      <c r="G40" s="43"/>
      <c r="H40" s="43"/>
      <c r="I40" s="43"/>
    </row>
    <row r="41" customFormat="false" ht="15" hidden="false" customHeight="true" outlineLevel="0" collapsed="false">
      <c r="B41" s="43"/>
      <c r="C41" s="43"/>
      <c r="D41" s="43"/>
      <c r="E41" s="43"/>
      <c r="F41" s="43"/>
      <c r="G41" s="43"/>
      <c r="H41" s="43"/>
      <c r="I41" s="43"/>
    </row>
    <row r="43" customFormat="false" ht="18" hidden="false" customHeight="true" outlineLevel="0" collapsed="false">
      <c r="B43" s="52" t="s">
        <v>129</v>
      </c>
      <c r="C43" s="52"/>
      <c r="D43" s="52"/>
      <c r="E43" s="52"/>
      <c r="F43" s="52"/>
      <c r="G43" s="52"/>
      <c r="H43" s="52"/>
      <c r="I43" s="52"/>
      <c r="J43" s="52"/>
      <c r="K43" s="52"/>
    </row>
  </sheetData>
  <autoFilter ref="B6:K38"/>
  <mergeCells count="6">
    <mergeCell ref="B1:K1"/>
    <mergeCell ref="B2:K2"/>
    <mergeCell ref="B3:K3"/>
    <mergeCell ref="B4:K4"/>
    <mergeCell ref="B40:I41"/>
    <mergeCell ref="B43:K43"/>
  </mergeCells>
  <conditionalFormatting sqref="B3:K3">
    <cfRule type="expression" priority="2" aboveAverage="0" equalAverage="0" bottom="0" percent="0" rank="0" text="" dxfId="0">
      <formula>LEN($B$3)&gt;0</formula>
    </cfRule>
  </conditionalFormatting>
  <conditionalFormatting sqref="B7:K38">
    <cfRule type="expression" priority="3" aboveAverage="0" equalAverage="0" bottom="0" percent="0" rank="0" text="" dxfId="4">
      <formula>$J7="Done"</formula>
    </cfRule>
    <cfRule type="expression" priority="4" aboveAverage="0" equalAverage="0" bottom="0" percent="0" rank="0" text="" dxfId="19">
      <formula>$J7="Due after RFS"</formula>
    </cfRule>
    <cfRule type="expression" priority="5" aboveAverage="0" equalAverage="0" bottom="0" percent="0" rank="0" text="" dxfId="19">
      <formula>AND($J7&lt;&gt;"Due after RFS",$J7="Overdue")</formula>
    </cfRule>
    <cfRule type="expression" priority="6" aboveAverage="0" equalAverage="0" bottom="0" percent="0" rank="0" text="" dxfId="5">
      <formula>$J7="No date"</formula>
    </cfRule>
    <cfRule type="expression" priority="7" aboveAverage="0" equalAverage="0" bottom="0" percent="0" rank="0" text="" dxfId="0">
      <formula>$J7="Due soon"</formula>
    </cfRule>
  </conditionalFormatting>
  <conditionalFormatting sqref="I7:I38">
    <cfRule type="expression" priority="8" aboveAverage="0" equalAverage="0" bottom="0" percent="0" rank="0" text="" dxfId="5">
      <formula>AND($H7&lt;&gt;"",$I7="")</formula>
    </cfRule>
  </conditionalFormatting>
  <dataValidations count="65">
    <dataValidation allowBlank="true" errorStyle="stop" operator="between" showDropDown="false" showErrorMessage="false" showInputMessage="false" sqref="C7" type="list">
      <formula1>Reference!$C$92:$C$99</formula1>
      <formula2>0</formula2>
    </dataValidation>
    <dataValidation allowBlank="true" errorStyle="stop" operator="between" showDropDown="false" showErrorMessage="false" showInputMessage="false" sqref="F7" type="list">
      <formula1>Reference!$C$79:$C$89</formula1>
      <formula2>0</formula2>
    </dataValidation>
    <dataValidation allowBlank="false" errorStyle="stop" operator="between" prompt="The reference that proves it - an approved procedure number, a signed training record, a drill report, a test result. Not a sentence." promptTitle="Evidence" showDropDown="false" showErrorMessage="false" showInputMessage="true" sqref="I7:I38" type="none">
      <formula1>0</formula1>
      <formula2>0</formula2>
    </dataValidation>
    <dataValidation allowBlank="true" errorStyle="stop" operator="between" showDropDown="false" showErrorMessage="false" showInputMessage="false" sqref="C8" type="list">
      <formula1>Reference!$C$92:$C$99</formula1>
      <formula2>0</formula2>
    </dataValidation>
    <dataValidation allowBlank="true" errorStyle="stop" operator="between" showDropDown="false" showErrorMessage="false" showInputMessage="false" sqref="F8" type="list">
      <formula1>Reference!$C$79:$C$89</formula1>
      <formula2>0</formula2>
    </dataValidation>
    <dataValidation allowBlank="true" errorStyle="stop" operator="between" showDropDown="false" showErrorMessage="false" showInputMessage="false" sqref="C9" type="list">
      <formula1>Reference!$C$92:$C$99</formula1>
      <formula2>0</formula2>
    </dataValidation>
    <dataValidation allowBlank="true" errorStyle="stop" operator="between" showDropDown="false" showErrorMessage="false" showInputMessage="false" sqref="F9" type="list">
      <formula1>Reference!$C$79:$C$89</formula1>
      <formula2>0</formula2>
    </dataValidation>
    <dataValidation allowBlank="true" errorStyle="stop" operator="between" showDropDown="false" showErrorMessage="false" showInputMessage="false" sqref="C10" type="list">
      <formula1>Reference!$C$92:$C$99</formula1>
      <formula2>0</formula2>
    </dataValidation>
    <dataValidation allowBlank="true" errorStyle="stop" operator="between" showDropDown="false" showErrorMessage="false" showInputMessage="false" sqref="F10" type="list">
      <formula1>Reference!$C$79:$C$89</formula1>
      <formula2>0</formula2>
    </dataValidation>
    <dataValidation allowBlank="true" errorStyle="stop" operator="between" showDropDown="false" showErrorMessage="false" showInputMessage="false" sqref="C11" type="list">
      <formula1>Reference!$C$92:$C$99</formula1>
      <formula2>0</formula2>
    </dataValidation>
    <dataValidation allowBlank="true" errorStyle="stop" operator="between" showDropDown="false" showErrorMessage="false" showInputMessage="false" sqref="F11" type="list">
      <formula1>Reference!$C$79:$C$89</formula1>
      <formula2>0</formula2>
    </dataValidation>
    <dataValidation allowBlank="true" errorStyle="stop" operator="between" showDropDown="false" showErrorMessage="false" showInputMessage="false" sqref="C12" type="list">
      <formula1>Reference!$C$92:$C$99</formula1>
      <formula2>0</formula2>
    </dataValidation>
    <dataValidation allowBlank="true" errorStyle="stop" operator="between" showDropDown="false" showErrorMessage="false" showInputMessage="false" sqref="F12" type="list">
      <formula1>Reference!$C$79:$C$89</formula1>
      <formula2>0</formula2>
    </dataValidation>
    <dataValidation allowBlank="true" errorStyle="stop" operator="between" showDropDown="false" showErrorMessage="false" showInputMessage="false" sqref="C13" type="list">
      <formula1>Reference!$C$92:$C$99</formula1>
      <formula2>0</formula2>
    </dataValidation>
    <dataValidation allowBlank="true" errorStyle="stop" operator="between" showDropDown="false" showErrorMessage="false" showInputMessage="false" sqref="F13" type="list">
      <formula1>Reference!$C$79:$C$89</formula1>
      <formula2>0</formula2>
    </dataValidation>
    <dataValidation allowBlank="true" errorStyle="stop" operator="between" showDropDown="false" showErrorMessage="false" showInputMessage="false" sqref="C14" type="list">
      <formula1>Reference!$C$92:$C$99</formula1>
      <formula2>0</formula2>
    </dataValidation>
    <dataValidation allowBlank="true" errorStyle="stop" operator="between" showDropDown="false" showErrorMessage="false" showInputMessage="false" sqref="F14" type="list">
      <formula1>Reference!$C$79:$C$89</formula1>
      <formula2>0</formula2>
    </dataValidation>
    <dataValidation allowBlank="true" errorStyle="stop" operator="between" showDropDown="false" showErrorMessage="false" showInputMessage="false" sqref="C15" type="list">
      <formula1>Reference!$C$92:$C$99</formula1>
      <formula2>0</formula2>
    </dataValidation>
    <dataValidation allowBlank="true" errorStyle="stop" operator="between" showDropDown="false" showErrorMessage="false" showInputMessage="false" sqref="F15" type="list">
      <formula1>Reference!$C$79:$C$89</formula1>
      <formula2>0</formula2>
    </dataValidation>
    <dataValidation allowBlank="true" errorStyle="stop" operator="between" showDropDown="false" showErrorMessage="false" showInputMessage="false" sqref="C16" type="list">
      <formula1>Reference!$C$92:$C$99</formula1>
      <formula2>0</formula2>
    </dataValidation>
    <dataValidation allowBlank="true" errorStyle="stop" operator="between" showDropDown="false" showErrorMessage="false" showInputMessage="false" sqref="F16" type="list">
      <formula1>Reference!$C$79:$C$89</formula1>
      <formula2>0</formula2>
    </dataValidation>
    <dataValidation allowBlank="true" errorStyle="stop" operator="between" showDropDown="false" showErrorMessage="false" showInputMessage="false" sqref="C17" type="list">
      <formula1>Reference!$C$92:$C$99</formula1>
      <formula2>0</formula2>
    </dataValidation>
    <dataValidation allowBlank="true" errorStyle="stop" operator="between" showDropDown="false" showErrorMessage="false" showInputMessage="false" sqref="F17" type="list">
      <formula1>Reference!$C$79:$C$89</formula1>
      <formula2>0</formula2>
    </dataValidation>
    <dataValidation allowBlank="true" errorStyle="stop" operator="between" showDropDown="false" showErrorMessage="false" showInputMessage="false" sqref="C18" type="list">
      <formula1>Reference!$C$92:$C$99</formula1>
      <formula2>0</formula2>
    </dataValidation>
    <dataValidation allowBlank="true" errorStyle="stop" operator="between" showDropDown="false" showErrorMessage="false" showInputMessage="false" sqref="F18" type="list">
      <formula1>Reference!$C$79:$C$89</formula1>
      <formula2>0</formula2>
    </dataValidation>
    <dataValidation allowBlank="true" errorStyle="stop" operator="between" showDropDown="false" showErrorMessage="false" showInputMessage="false" sqref="C19" type="list">
      <formula1>Reference!$C$92:$C$99</formula1>
      <formula2>0</formula2>
    </dataValidation>
    <dataValidation allowBlank="true" errorStyle="stop" operator="between" showDropDown="false" showErrorMessage="false" showInputMessage="false" sqref="F19" type="list">
      <formula1>Reference!$C$79:$C$89</formula1>
      <formula2>0</formula2>
    </dataValidation>
    <dataValidation allowBlank="true" errorStyle="stop" operator="between" showDropDown="false" showErrorMessage="false" showInputMessage="false" sqref="C20" type="list">
      <formula1>Reference!$C$92:$C$99</formula1>
      <formula2>0</formula2>
    </dataValidation>
    <dataValidation allowBlank="true" errorStyle="stop" operator="between" showDropDown="false" showErrorMessage="false" showInputMessage="false" sqref="F20" type="list">
      <formula1>Reference!$C$79:$C$89</formula1>
      <formula2>0</formula2>
    </dataValidation>
    <dataValidation allowBlank="true" errorStyle="stop" operator="between" showDropDown="false" showErrorMessage="false" showInputMessage="false" sqref="C21" type="list">
      <formula1>Reference!$C$92:$C$99</formula1>
      <formula2>0</formula2>
    </dataValidation>
    <dataValidation allowBlank="true" errorStyle="stop" operator="between" showDropDown="false" showErrorMessage="false" showInputMessage="false" sqref="F21" type="list">
      <formula1>Reference!$C$79:$C$89</formula1>
      <formula2>0</formula2>
    </dataValidation>
    <dataValidation allowBlank="true" errorStyle="stop" operator="between" showDropDown="false" showErrorMessage="false" showInputMessage="false" sqref="C22" type="list">
      <formula1>Reference!$C$92:$C$99</formula1>
      <formula2>0</formula2>
    </dataValidation>
    <dataValidation allowBlank="true" errorStyle="stop" operator="between" showDropDown="false" showErrorMessage="false" showInputMessage="false" sqref="F22" type="list">
      <formula1>Reference!$C$79:$C$89</formula1>
      <formula2>0</formula2>
    </dataValidation>
    <dataValidation allowBlank="true" errorStyle="stop" operator="between" showDropDown="false" showErrorMessage="false" showInputMessage="false" sqref="C23" type="list">
      <formula1>Reference!$C$92:$C$99</formula1>
      <formula2>0</formula2>
    </dataValidation>
    <dataValidation allowBlank="true" errorStyle="stop" operator="between" showDropDown="false" showErrorMessage="false" showInputMessage="false" sqref="F23" type="list">
      <formula1>Reference!$C$79:$C$89</formula1>
      <formula2>0</formula2>
    </dataValidation>
    <dataValidation allowBlank="true" errorStyle="stop" operator="between" showDropDown="false" showErrorMessage="false" showInputMessage="false" sqref="C24" type="list">
      <formula1>Reference!$C$92:$C$99</formula1>
      <formula2>0</formula2>
    </dataValidation>
    <dataValidation allowBlank="true" errorStyle="stop" operator="between" showDropDown="false" showErrorMessage="false" showInputMessage="false" sqref="F24" type="list">
      <formula1>Reference!$C$79:$C$89</formula1>
      <formula2>0</formula2>
    </dataValidation>
    <dataValidation allowBlank="true" errorStyle="stop" operator="between" showDropDown="false" showErrorMessage="false" showInputMessage="false" sqref="C25" type="list">
      <formula1>Reference!$C$92:$C$99</formula1>
      <formula2>0</formula2>
    </dataValidation>
    <dataValidation allowBlank="true" errorStyle="stop" operator="between" showDropDown="false" showErrorMessage="false" showInputMessage="false" sqref="F25" type="list">
      <formula1>Reference!$C$79:$C$89</formula1>
      <formula2>0</formula2>
    </dataValidation>
    <dataValidation allowBlank="true" errorStyle="stop" operator="between" showDropDown="false" showErrorMessage="false" showInputMessage="false" sqref="C26" type="list">
      <formula1>Reference!$C$92:$C$99</formula1>
      <formula2>0</formula2>
    </dataValidation>
    <dataValidation allowBlank="true" errorStyle="stop" operator="between" showDropDown="false" showErrorMessage="false" showInputMessage="false" sqref="F26" type="list">
      <formula1>Reference!$C$79:$C$89</formula1>
      <formula2>0</formula2>
    </dataValidation>
    <dataValidation allowBlank="true" errorStyle="stop" operator="between" showDropDown="false" showErrorMessage="false" showInputMessage="false" sqref="C27" type="list">
      <formula1>Reference!$C$92:$C$99</formula1>
      <formula2>0</formula2>
    </dataValidation>
    <dataValidation allowBlank="true" errorStyle="stop" operator="between" showDropDown="false" showErrorMessage="false" showInputMessage="false" sqref="F27" type="list">
      <formula1>Reference!$C$79:$C$89</formula1>
      <formula2>0</formula2>
    </dataValidation>
    <dataValidation allowBlank="true" errorStyle="stop" operator="between" showDropDown="false" showErrorMessage="false" showInputMessage="false" sqref="C28" type="list">
      <formula1>Reference!$C$92:$C$99</formula1>
      <formula2>0</formula2>
    </dataValidation>
    <dataValidation allowBlank="true" errorStyle="stop" operator="between" showDropDown="false" showErrorMessage="false" showInputMessage="false" sqref="F28" type="list">
      <formula1>Reference!$C$79:$C$89</formula1>
      <formula2>0</formula2>
    </dataValidation>
    <dataValidation allowBlank="true" errorStyle="stop" operator="between" showDropDown="false" showErrorMessage="false" showInputMessage="false" sqref="C29" type="list">
      <formula1>Reference!$C$92:$C$99</formula1>
      <formula2>0</formula2>
    </dataValidation>
    <dataValidation allowBlank="true" errorStyle="stop" operator="between" showDropDown="false" showErrorMessage="false" showInputMessage="false" sqref="F29" type="list">
      <formula1>Reference!$C$79:$C$89</formula1>
      <formula2>0</formula2>
    </dataValidation>
    <dataValidation allowBlank="true" errorStyle="stop" operator="between" showDropDown="false" showErrorMessage="false" showInputMessage="false" sqref="C30" type="list">
      <formula1>Reference!$C$92:$C$99</formula1>
      <formula2>0</formula2>
    </dataValidation>
    <dataValidation allowBlank="true" errorStyle="stop" operator="between" showDropDown="false" showErrorMessage="false" showInputMessage="false" sqref="F30" type="list">
      <formula1>Reference!$C$79:$C$89</formula1>
      <formula2>0</formula2>
    </dataValidation>
    <dataValidation allowBlank="true" errorStyle="stop" operator="between" showDropDown="false" showErrorMessage="false" showInputMessage="false" sqref="C31" type="list">
      <formula1>Reference!$C$92:$C$99</formula1>
      <formula2>0</formula2>
    </dataValidation>
    <dataValidation allowBlank="true" errorStyle="stop" operator="between" showDropDown="false" showErrorMessage="false" showInputMessage="false" sqref="F31" type="list">
      <formula1>Reference!$C$79:$C$89</formula1>
      <formula2>0</formula2>
    </dataValidation>
    <dataValidation allowBlank="true" errorStyle="stop" operator="between" showDropDown="false" showErrorMessage="false" showInputMessage="false" sqref="C32" type="list">
      <formula1>Reference!$C$92:$C$99</formula1>
      <formula2>0</formula2>
    </dataValidation>
    <dataValidation allowBlank="true" errorStyle="stop" operator="between" showDropDown="false" showErrorMessage="false" showInputMessage="false" sqref="F32" type="list">
      <formula1>Reference!$C$79:$C$89</formula1>
      <formula2>0</formula2>
    </dataValidation>
    <dataValidation allowBlank="true" errorStyle="stop" operator="between" showDropDown="false" showErrorMessage="false" showInputMessage="false" sqref="C33" type="list">
      <formula1>Reference!$C$92:$C$99</formula1>
      <formula2>0</formula2>
    </dataValidation>
    <dataValidation allowBlank="true" errorStyle="stop" operator="between" showDropDown="false" showErrorMessage="false" showInputMessage="false" sqref="F33" type="list">
      <formula1>Reference!$C$79:$C$89</formula1>
      <formula2>0</formula2>
    </dataValidation>
    <dataValidation allowBlank="true" errorStyle="stop" operator="between" showDropDown="false" showErrorMessage="false" showInputMessage="false" sqref="C34" type="list">
      <formula1>Reference!$C$92:$C$99</formula1>
      <formula2>0</formula2>
    </dataValidation>
    <dataValidation allowBlank="true" errorStyle="stop" operator="between" showDropDown="false" showErrorMessage="false" showInputMessage="false" sqref="F34" type="list">
      <formula1>Reference!$C$79:$C$89</formula1>
      <formula2>0</formula2>
    </dataValidation>
    <dataValidation allowBlank="true" errorStyle="stop" operator="between" showDropDown="false" showErrorMessage="false" showInputMessage="false" sqref="C35" type="list">
      <formula1>Reference!$C$92:$C$99</formula1>
      <formula2>0</formula2>
    </dataValidation>
    <dataValidation allowBlank="true" errorStyle="stop" operator="between" showDropDown="false" showErrorMessage="false" showInputMessage="false" sqref="F35" type="list">
      <formula1>Reference!$C$79:$C$89</formula1>
      <formula2>0</formula2>
    </dataValidation>
    <dataValidation allowBlank="true" errorStyle="stop" operator="between" showDropDown="false" showErrorMessage="false" showInputMessage="false" sqref="C36" type="list">
      <formula1>Reference!$C$92:$C$99</formula1>
      <formula2>0</formula2>
    </dataValidation>
    <dataValidation allowBlank="true" errorStyle="stop" operator="between" showDropDown="false" showErrorMessage="false" showInputMessage="false" sqref="F36" type="list">
      <formula1>Reference!$C$79:$C$89</formula1>
      <formula2>0</formula2>
    </dataValidation>
    <dataValidation allowBlank="true" errorStyle="stop" operator="between" showDropDown="false" showErrorMessage="false" showInputMessage="false" sqref="C37" type="list">
      <formula1>Reference!$C$92:$C$99</formula1>
      <formula2>0</formula2>
    </dataValidation>
    <dataValidation allowBlank="true" errorStyle="stop" operator="between" showDropDown="false" showErrorMessage="false" showInputMessage="false" sqref="F37" type="list">
      <formula1>Reference!$C$79:$C$89</formula1>
      <formula2>0</formula2>
    </dataValidation>
    <dataValidation allowBlank="true" errorStyle="stop" operator="between" showDropDown="false" showErrorMessage="false" showInputMessage="false" sqref="C38" type="list">
      <formula1>Reference!$C$92:$C$99</formula1>
      <formula2>0</formula2>
    </dataValidation>
    <dataValidation allowBlank="true" errorStyle="stop" operator="between" showDropDown="false" showErrorMessage="false" showInputMessage="false" sqref="F38" type="list">
      <formula1>Reference!$C$79:$C$89</formula1>
      <formula2>0</formula2>
    </dataValidation>
  </dataValidations>
  <hyperlinks>
    <hyperlink ref="B43" r:id="rId1" display="Visit mastt.com"/>
  </hyperlink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F76BB"/>
    <pageSetUpPr fitToPage="true"/>
  </sheetPr>
  <dimension ref="B1:H4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40"/>
    <col collapsed="false" customWidth="true" hidden="false" outlineLevel="0" max="3" min="3" style="0" width="4"/>
    <col collapsed="false" customWidth="true" hidden="false" outlineLevel="0" max="5" min="4" style="0" width="26"/>
    <col collapsed="false" customWidth="true" hidden="false" outlineLevel="0" max="7" min="6" style="0" width="22"/>
    <col collapsed="false" customWidth="true" hidden="false" outlineLevel="0" max="8" min="8" style="0" width="40"/>
    <col collapsed="false" customWidth="true" hidden="false" outlineLevel="0" max="9" min="9" style="0" width="2.2"/>
  </cols>
  <sheetData>
    <row r="1" customFormat="false" ht="33.75" hidden="false" customHeight="true" outlineLevel="0" collapsed="false">
      <c r="B1" s="40" t="s">
        <v>460</v>
      </c>
      <c r="C1" s="40"/>
      <c r="D1" s="40"/>
      <c r="E1" s="40"/>
      <c r="F1" s="40"/>
      <c r="G1" s="40"/>
      <c r="H1" s="40"/>
    </row>
    <row r="2" customFormat="false" ht="4.5" hidden="false" customHeight="true" outlineLevel="0" collapsed="false">
      <c r="B2" s="103"/>
      <c r="C2" s="103"/>
      <c r="D2" s="103"/>
      <c r="E2" s="103"/>
      <c r="F2" s="103"/>
      <c r="G2" s="103"/>
      <c r="H2" s="103"/>
    </row>
    <row r="3" customFormat="false" ht="16.5" hidden="false" customHeight="true" outlineLevel="0" collapsed="false">
      <c r="B3" s="42" t="str">
        <f aca="false">IF(LEFT(Setup!$D$7,7)&lt;&gt;"EXAMPLE","","EXAMPLE DATA - type your own project name on Setup to clear this.")</f>
        <v>EXAMPLE DATA - type your own project name on Setup to clear this.</v>
      </c>
      <c r="C3" s="42"/>
      <c r="D3" s="42"/>
      <c r="E3" s="42"/>
      <c r="F3" s="42"/>
      <c r="G3" s="42"/>
      <c r="H3" s="42"/>
    </row>
    <row r="4" customFormat="false" ht="25.5" hidden="false" customHeight="true" outlineLevel="0" collapsed="false">
      <c r="B4" s="43" t="s">
        <v>461</v>
      </c>
      <c r="C4" s="43"/>
      <c r="D4" s="43"/>
      <c r="E4" s="43"/>
      <c r="F4" s="43"/>
      <c r="G4" s="43"/>
      <c r="H4" s="43"/>
    </row>
    <row r="6" customFormat="false" ht="21.75" hidden="false" customHeight="true" outlineLevel="0" collapsed="false">
      <c r="B6" s="6" t="s">
        <v>462</v>
      </c>
      <c r="C6" s="6"/>
      <c r="D6" s="6"/>
      <c r="E6" s="6"/>
      <c r="F6" s="6"/>
      <c r="G6" s="6"/>
      <c r="H6" s="6"/>
    </row>
    <row r="7" customFormat="false" ht="21.75" hidden="false" customHeight="true" outlineLevel="0" collapsed="false">
      <c r="B7" s="44" t="s">
        <v>463</v>
      </c>
      <c r="C7" s="44"/>
      <c r="D7" s="104" t="n">
        <v>36</v>
      </c>
      <c r="E7" s="43" t="s">
        <v>464</v>
      </c>
      <c r="F7" s="43"/>
      <c r="G7" s="43"/>
      <c r="H7" s="43"/>
    </row>
    <row r="8" customFormat="false" ht="30" hidden="false" customHeight="true" outlineLevel="0" collapsed="false">
      <c r="B8" s="44" t="s">
        <v>465</v>
      </c>
      <c r="C8" s="44"/>
      <c r="D8" s="104" t="n">
        <v>12</v>
      </c>
      <c r="E8" s="43" t="s">
        <v>466</v>
      </c>
      <c r="F8" s="43"/>
      <c r="G8" s="43"/>
      <c r="H8" s="43"/>
    </row>
    <row r="9" customFormat="false" ht="33.75" hidden="false" customHeight="true" outlineLevel="0" collapsed="false">
      <c r="B9" s="44" t="s">
        <v>467</v>
      </c>
      <c r="C9" s="44"/>
      <c r="D9" s="105" t="n">
        <v>1.25</v>
      </c>
      <c r="E9" s="43" t="s">
        <v>468</v>
      </c>
      <c r="F9" s="43"/>
      <c r="G9" s="43"/>
      <c r="H9" s="43"/>
    </row>
    <row r="10" customFormat="false" ht="30" hidden="false" customHeight="true" outlineLevel="0" collapsed="false">
      <c r="B10" s="44" t="s">
        <v>469</v>
      </c>
      <c r="C10" s="44"/>
      <c r="D10" s="106" t="n">
        <f aca="false">IF(OR('Design Basis'!$D$7="",'Design Basis'!$D$9=""),"",'Design Basis'!$D$7*'Design Basis'!$D$9)</f>
        <v>45</v>
      </c>
      <c r="E10" s="43" t="s">
        <v>470</v>
      </c>
      <c r="F10" s="43"/>
      <c r="G10" s="43"/>
      <c r="H10" s="43"/>
    </row>
    <row r="11" customFormat="false" ht="21.75" hidden="false" customHeight="true" outlineLevel="0" collapsed="false">
      <c r="B11" s="44" t="s">
        <v>307</v>
      </c>
      <c r="C11" s="44"/>
      <c r="D11" s="106" t="n">
        <f aca="false">IF(OR('Design Basis'!$D$8="",'Design Basis'!$D$9=""),"",'Design Basis'!$D$8*'Design Basis'!$D$9)</f>
        <v>15</v>
      </c>
      <c r="E11" s="43" t="s">
        <v>471</v>
      </c>
      <c r="F11" s="43"/>
      <c r="G11" s="43"/>
      <c r="H11" s="43"/>
    </row>
    <row r="12" customFormat="false" ht="21.75" hidden="false" customHeight="true" outlineLevel="0" collapsed="false">
      <c r="B12" s="44" t="s">
        <v>472</v>
      </c>
      <c r="C12" s="44"/>
      <c r="D12" s="107" t="n">
        <v>2400</v>
      </c>
    </row>
    <row r="13" customFormat="false" ht="33.75" hidden="false" customHeight="true" outlineLevel="0" collapsed="false">
      <c r="B13" s="44" t="s">
        <v>473</v>
      </c>
      <c r="C13" s="44"/>
      <c r="D13" s="106" t="n">
        <f aca="false">IF(OR('Design Basis'!$D$7="",'Design Basis'!$D$12=""),"",'Design Basis'!$D$7*1000/'Design Basis'!$D$12)</f>
        <v>15</v>
      </c>
      <c r="E13" s="43" t="s">
        <v>474</v>
      </c>
      <c r="F13" s="43"/>
      <c r="G13" s="43"/>
      <c r="H13" s="43"/>
    </row>
    <row r="14" customFormat="false" ht="30" hidden="false" customHeight="true" outlineLevel="0" collapsed="false">
      <c r="B14" s="44" t="s">
        <v>475</v>
      </c>
      <c r="C14" s="44"/>
      <c r="D14" s="107" t="n">
        <v>10000</v>
      </c>
      <c r="E14" s="43" t="s">
        <v>476</v>
      </c>
      <c r="F14" s="43"/>
      <c r="G14" s="43"/>
      <c r="H14" s="43"/>
    </row>
    <row r="15" customFormat="false" ht="21.75" hidden="false" customHeight="true" outlineLevel="0" collapsed="false">
      <c r="B15" s="44" t="s">
        <v>477</v>
      </c>
      <c r="C15" s="44"/>
      <c r="D15" s="48" t="n">
        <f aca="false">IF(OR('Design Basis'!$D$7="",'Design Basis'!$D$14=""),"",'Design Basis'!$D$7*1000000/'Design Basis'!$D$14)</f>
        <v>3600</v>
      </c>
    </row>
    <row r="16" customFormat="false" ht="21.75" hidden="false" customHeight="true" outlineLevel="0" collapsed="false">
      <c r="B16" s="44" t="s">
        <v>478</v>
      </c>
      <c r="C16" s="44"/>
      <c r="D16" s="107" t="n">
        <v>11000</v>
      </c>
    </row>
    <row r="18" customFormat="false" ht="21.75" hidden="false" customHeight="true" outlineLevel="0" collapsed="false">
      <c r="B18" s="6" t="s">
        <v>479</v>
      </c>
      <c r="C18" s="6"/>
      <c r="D18" s="6"/>
      <c r="E18" s="6"/>
      <c r="F18" s="6"/>
      <c r="G18" s="6"/>
      <c r="H18" s="6"/>
    </row>
    <row r="19" customFormat="false" ht="21.75" hidden="false" customHeight="true" outlineLevel="0" collapsed="false">
      <c r="B19" s="44" t="s">
        <v>480</v>
      </c>
      <c r="C19" s="44"/>
      <c r="D19" s="45" t="s">
        <v>481</v>
      </c>
    </row>
    <row r="20" customFormat="false" ht="30" hidden="false" customHeight="true" outlineLevel="0" collapsed="false">
      <c r="B20" s="44" t="s">
        <v>482</v>
      </c>
      <c r="C20" s="44"/>
      <c r="D20" s="105" t="n">
        <v>0.35</v>
      </c>
      <c r="E20" s="43" t="s">
        <v>483</v>
      </c>
      <c r="F20" s="43"/>
      <c r="G20" s="43"/>
      <c r="H20" s="43"/>
    </row>
    <row r="21" customFormat="false" ht="21.75" hidden="false" customHeight="true" outlineLevel="0" collapsed="false">
      <c r="B21" s="44" t="s">
        <v>484</v>
      </c>
      <c r="C21" s="44"/>
      <c r="D21" s="49" t="n">
        <v>24</v>
      </c>
      <c r="E21" s="43" t="s">
        <v>485</v>
      </c>
      <c r="F21" s="43"/>
      <c r="G21" s="43"/>
      <c r="H21" s="43"/>
    </row>
    <row r="23" customFormat="false" ht="21.75" hidden="false" customHeight="true" outlineLevel="0" collapsed="false">
      <c r="B23" s="6" t="s">
        <v>486</v>
      </c>
      <c r="C23" s="6"/>
      <c r="D23" s="6"/>
      <c r="E23" s="6"/>
      <c r="F23" s="6"/>
      <c r="G23" s="6"/>
      <c r="H23" s="6"/>
    </row>
    <row r="24" customFormat="false" ht="12.75" hidden="false" customHeight="true" outlineLevel="0" collapsed="false">
      <c r="B24" s="43" t="s">
        <v>487</v>
      </c>
      <c r="C24" s="43"/>
      <c r="D24" s="43"/>
      <c r="E24" s="43"/>
      <c r="F24" s="43"/>
      <c r="G24" s="43"/>
      <c r="H24" s="43"/>
    </row>
    <row r="25" customFormat="false" ht="12.75" hidden="false" customHeight="true" outlineLevel="0" collapsed="false">
      <c r="B25" s="43"/>
      <c r="C25" s="43"/>
      <c r="D25" s="43"/>
      <c r="E25" s="43"/>
      <c r="F25" s="43"/>
      <c r="G25" s="43"/>
      <c r="H25" s="43"/>
    </row>
    <row r="26" customFormat="false" ht="12.75" hidden="false" customHeight="true" outlineLevel="0" collapsed="false">
      <c r="B26" s="43"/>
      <c r="C26" s="43"/>
      <c r="D26" s="43"/>
      <c r="E26" s="43"/>
      <c r="F26" s="43"/>
      <c r="G26" s="43"/>
      <c r="H26" s="43"/>
    </row>
    <row r="27" customFormat="false" ht="21.75" hidden="false" customHeight="true" outlineLevel="0" collapsed="false">
      <c r="B27" s="44" t="s">
        <v>488</v>
      </c>
      <c r="C27" s="44"/>
      <c r="D27" s="45" t="s">
        <v>489</v>
      </c>
    </row>
    <row r="28" customFormat="false" ht="21.75" hidden="false" customHeight="true" outlineLevel="0" collapsed="false">
      <c r="B28" s="44" t="s">
        <v>490</v>
      </c>
      <c r="C28" s="44"/>
      <c r="D28" s="45" t="s">
        <v>491</v>
      </c>
      <c r="E28" s="43" t="s">
        <v>492</v>
      </c>
      <c r="F28" s="43"/>
      <c r="G28" s="43"/>
      <c r="H28" s="43"/>
    </row>
    <row r="29" customFormat="false" ht="30" hidden="false" customHeight="true" outlineLevel="0" collapsed="false">
      <c r="B29" s="44" t="s">
        <v>493</v>
      </c>
      <c r="C29" s="44"/>
      <c r="D29" s="45" t="s">
        <v>494</v>
      </c>
      <c r="E29" s="43" t="s">
        <v>495</v>
      </c>
      <c r="F29" s="43"/>
      <c r="G29" s="43"/>
      <c r="H29" s="43"/>
    </row>
    <row r="30" customFormat="false" ht="33.75" hidden="false" customHeight="true" outlineLevel="0" collapsed="false">
      <c r="B30" s="44" t="s">
        <v>496</v>
      </c>
      <c r="C30" s="44"/>
      <c r="D30" s="45" t="s">
        <v>497</v>
      </c>
      <c r="E30" s="43" t="s">
        <v>498</v>
      </c>
      <c r="F30" s="43"/>
      <c r="G30" s="43"/>
      <c r="H30" s="43"/>
    </row>
    <row r="31" customFormat="false" ht="21.75" hidden="false" customHeight="true" outlineLevel="0" collapsed="false">
      <c r="B31" s="44" t="s">
        <v>499</v>
      </c>
      <c r="C31" s="44"/>
      <c r="D31" s="45" t="s">
        <v>500</v>
      </c>
    </row>
    <row r="33" customFormat="false" ht="21.75" hidden="false" customHeight="true" outlineLevel="0" collapsed="false">
      <c r="B33" s="6" t="s">
        <v>501</v>
      </c>
      <c r="C33" s="6"/>
      <c r="D33" s="6"/>
      <c r="E33" s="6"/>
      <c r="F33" s="6"/>
      <c r="G33" s="6"/>
      <c r="H33" s="6"/>
    </row>
    <row r="34" customFormat="false" ht="12.75" hidden="false" customHeight="true" outlineLevel="0" collapsed="false">
      <c r="B34" s="43" t="s">
        <v>502</v>
      </c>
      <c r="C34" s="43"/>
      <c r="D34" s="43"/>
      <c r="E34" s="43"/>
      <c r="F34" s="43"/>
      <c r="G34" s="43"/>
      <c r="H34" s="43"/>
    </row>
    <row r="35" customFormat="false" ht="12.75" hidden="false" customHeight="true" outlineLevel="0" collapsed="false">
      <c r="B35" s="43"/>
      <c r="C35" s="43"/>
      <c r="D35" s="43"/>
      <c r="E35" s="43"/>
      <c r="F35" s="43"/>
      <c r="G35" s="43"/>
      <c r="H35" s="43"/>
    </row>
    <row r="36" customFormat="false" ht="12.75" hidden="false" customHeight="true" outlineLevel="0" collapsed="false">
      <c r="B36" s="43"/>
      <c r="C36" s="43"/>
      <c r="D36" s="43"/>
      <c r="E36" s="43"/>
      <c r="F36" s="43"/>
      <c r="G36" s="43"/>
      <c r="H36" s="43"/>
    </row>
    <row r="37" customFormat="false" ht="21.75" hidden="false" customHeight="true" outlineLevel="0" collapsed="false">
      <c r="B37" s="10" t="s">
        <v>376</v>
      </c>
      <c r="C37" s="10"/>
      <c r="D37" s="10" t="s">
        <v>503</v>
      </c>
      <c r="E37" s="10" t="s">
        <v>504</v>
      </c>
      <c r="F37" s="10" t="s">
        <v>505</v>
      </c>
      <c r="G37" s="10"/>
      <c r="H37" s="10" t="s">
        <v>222</v>
      </c>
    </row>
    <row r="38" customFormat="false" ht="37.5" hidden="false" customHeight="true" outlineLevel="0" collapsed="false">
      <c r="B38" s="67" t="s">
        <v>506</v>
      </c>
      <c r="C38" s="67"/>
      <c r="D38" s="108" t="s">
        <v>507</v>
      </c>
      <c r="E38" s="68" t="s">
        <v>508</v>
      </c>
      <c r="F38" s="68" t="s">
        <v>381</v>
      </c>
      <c r="G38" s="68"/>
      <c r="H38" s="13" t="s">
        <v>509</v>
      </c>
    </row>
    <row r="39" customFormat="false" ht="37.5" hidden="false" customHeight="true" outlineLevel="0" collapsed="false">
      <c r="B39" s="71" t="s">
        <v>381</v>
      </c>
      <c r="C39" s="71"/>
      <c r="D39" s="108" t="s">
        <v>510</v>
      </c>
      <c r="E39" s="68" t="s">
        <v>511</v>
      </c>
      <c r="F39" s="68" t="s">
        <v>512</v>
      </c>
      <c r="G39" s="68"/>
      <c r="H39" s="16" t="s">
        <v>513</v>
      </c>
    </row>
    <row r="40" customFormat="false" ht="37.5" hidden="false" customHeight="true" outlineLevel="0" collapsed="false">
      <c r="B40" s="67" t="s">
        <v>514</v>
      </c>
      <c r="C40" s="67"/>
      <c r="D40" s="108" t="s">
        <v>515</v>
      </c>
      <c r="E40" s="68" t="s">
        <v>516</v>
      </c>
      <c r="F40" s="68" t="s">
        <v>517</v>
      </c>
      <c r="G40" s="68"/>
      <c r="H40" s="13" t="s">
        <v>518</v>
      </c>
    </row>
    <row r="41" customFormat="false" ht="37.5" hidden="false" customHeight="true" outlineLevel="0" collapsed="false">
      <c r="B41" s="71" t="s">
        <v>387</v>
      </c>
      <c r="C41" s="71"/>
      <c r="D41" s="108" t="s">
        <v>510</v>
      </c>
      <c r="E41" s="68" t="s">
        <v>519</v>
      </c>
      <c r="F41" s="68" t="s">
        <v>520</v>
      </c>
      <c r="G41" s="68"/>
      <c r="H41" s="16" t="s">
        <v>521</v>
      </c>
    </row>
    <row r="42" customFormat="false" ht="37.5" hidden="false" customHeight="true" outlineLevel="0" collapsed="false">
      <c r="B42" s="67" t="s">
        <v>522</v>
      </c>
      <c r="C42" s="67"/>
      <c r="D42" s="108" t="s">
        <v>510</v>
      </c>
      <c r="E42" s="68" t="s">
        <v>523</v>
      </c>
      <c r="F42" s="68" t="s">
        <v>524</v>
      </c>
      <c r="G42" s="68"/>
      <c r="H42" s="13" t="s">
        <v>525</v>
      </c>
    </row>
    <row r="43" customFormat="false" ht="37.5" hidden="false" customHeight="true" outlineLevel="0" collapsed="false">
      <c r="B43" s="71" t="s">
        <v>349</v>
      </c>
      <c r="C43" s="71"/>
      <c r="D43" s="108" t="s">
        <v>510</v>
      </c>
      <c r="E43" s="68" t="s">
        <v>526</v>
      </c>
      <c r="F43" s="68" t="s">
        <v>508</v>
      </c>
      <c r="G43" s="68"/>
      <c r="H43" s="16"/>
    </row>
    <row r="44" customFormat="false" ht="37.5" hidden="false" customHeight="true" outlineLevel="0" collapsed="false">
      <c r="B44" s="67" t="s">
        <v>527</v>
      </c>
      <c r="C44" s="67"/>
      <c r="D44" s="108" t="s">
        <v>528</v>
      </c>
      <c r="E44" s="68" t="s">
        <v>508</v>
      </c>
      <c r="F44" s="68" t="s">
        <v>529</v>
      </c>
      <c r="G44" s="68"/>
      <c r="H44" s="13" t="s">
        <v>530</v>
      </c>
    </row>
    <row r="45" customFormat="false" ht="37.5" hidden="false" customHeight="true" outlineLevel="0" collapsed="false">
      <c r="B45" s="71" t="s">
        <v>351</v>
      </c>
      <c r="C45" s="71"/>
      <c r="D45" s="108" t="s">
        <v>531</v>
      </c>
      <c r="E45" s="68" t="s">
        <v>532</v>
      </c>
      <c r="F45" s="68" t="s">
        <v>533</v>
      </c>
      <c r="G45" s="68"/>
      <c r="H45" s="16"/>
    </row>
    <row r="46" customFormat="false" ht="37.5" hidden="false" customHeight="true" outlineLevel="0" collapsed="false">
      <c r="B46" s="67" t="s">
        <v>534</v>
      </c>
      <c r="C46" s="67"/>
      <c r="D46" s="108" t="s">
        <v>535</v>
      </c>
      <c r="E46" s="68" t="s">
        <v>508</v>
      </c>
      <c r="F46" s="68" t="s">
        <v>508</v>
      </c>
      <c r="G46" s="68"/>
      <c r="H46" s="13" t="s">
        <v>536</v>
      </c>
    </row>
    <row r="47" customFormat="false" ht="37.5" hidden="false" customHeight="true" outlineLevel="0" collapsed="false">
      <c r="B47" s="71" t="s">
        <v>537</v>
      </c>
      <c r="C47" s="71"/>
      <c r="D47" s="108" t="s">
        <v>538</v>
      </c>
      <c r="E47" s="68" t="s">
        <v>508</v>
      </c>
      <c r="F47" s="68" t="s">
        <v>508</v>
      </c>
      <c r="G47" s="68"/>
      <c r="H47" s="16" t="s">
        <v>539</v>
      </c>
    </row>
    <row r="49" customFormat="false" ht="18" hidden="false" customHeight="true" outlineLevel="0" collapsed="false">
      <c r="B49" s="52" t="s">
        <v>129</v>
      </c>
      <c r="C49" s="52"/>
      <c r="D49" s="52"/>
      <c r="E49" s="52"/>
      <c r="F49" s="52"/>
      <c r="G49" s="52"/>
      <c r="H49" s="52"/>
    </row>
  </sheetData>
  <mergeCells count="63">
    <mergeCell ref="B1:H1"/>
    <mergeCell ref="B2:H2"/>
    <mergeCell ref="B3:H3"/>
    <mergeCell ref="B4:H4"/>
    <mergeCell ref="B6:H6"/>
    <mergeCell ref="B7:C7"/>
    <mergeCell ref="E7:H7"/>
    <mergeCell ref="B8:C8"/>
    <mergeCell ref="E8:H8"/>
    <mergeCell ref="B9:C9"/>
    <mergeCell ref="E9:H9"/>
    <mergeCell ref="B10:C10"/>
    <mergeCell ref="E10:H10"/>
    <mergeCell ref="B11:C11"/>
    <mergeCell ref="E11:H11"/>
    <mergeCell ref="B12:C12"/>
    <mergeCell ref="B13:C13"/>
    <mergeCell ref="E13:H13"/>
    <mergeCell ref="B14:C14"/>
    <mergeCell ref="E14:H14"/>
    <mergeCell ref="B15:C15"/>
    <mergeCell ref="B16:C16"/>
    <mergeCell ref="B18:H18"/>
    <mergeCell ref="B19:C19"/>
    <mergeCell ref="B20:C20"/>
    <mergeCell ref="E20:H20"/>
    <mergeCell ref="B21:C21"/>
    <mergeCell ref="E21:H21"/>
    <mergeCell ref="B23:H23"/>
    <mergeCell ref="B24:H26"/>
    <mergeCell ref="B27:C27"/>
    <mergeCell ref="B28:C28"/>
    <mergeCell ref="E28:H28"/>
    <mergeCell ref="B29:C29"/>
    <mergeCell ref="E29:H29"/>
    <mergeCell ref="B30:C30"/>
    <mergeCell ref="E30:H30"/>
    <mergeCell ref="B31:C31"/>
    <mergeCell ref="B33:H33"/>
    <mergeCell ref="B34:H36"/>
    <mergeCell ref="B37:C37"/>
    <mergeCell ref="F37:G37"/>
    <mergeCell ref="B38:C38"/>
    <mergeCell ref="F38:G38"/>
    <mergeCell ref="B39:C39"/>
    <mergeCell ref="F39:G39"/>
    <mergeCell ref="B40:C40"/>
    <mergeCell ref="F40:G40"/>
    <mergeCell ref="B41:C41"/>
    <mergeCell ref="F41:G41"/>
    <mergeCell ref="B42:C42"/>
    <mergeCell ref="F42:G42"/>
    <mergeCell ref="B43:C43"/>
    <mergeCell ref="F43:G43"/>
    <mergeCell ref="B44:C44"/>
    <mergeCell ref="F44:G44"/>
    <mergeCell ref="B45:C45"/>
    <mergeCell ref="F45:G45"/>
    <mergeCell ref="B46:C46"/>
    <mergeCell ref="F46:G46"/>
    <mergeCell ref="B47:C47"/>
    <mergeCell ref="F47:G47"/>
    <mergeCell ref="B49:H49"/>
  </mergeCells>
  <conditionalFormatting sqref="B3:H3">
    <cfRule type="expression" priority="2" aboveAverage="0" equalAverage="0" bottom="0" percent="0" rank="0" text="" dxfId="0">
      <formula>LEN($B$3)&gt;0</formula>
    </cfRule>
  </conditionalFormatting>
  <dataValidations count="3">
    <dataValidation allowBlank="true" errorStyle="stop" operator="between" showDropDown="false" showErrorMessage="false" showInputMessage="false" sqref="D19" type="list">
      <formula1>Reference!$F$79:$F$85</formula1>
      <formula2>0</formula2>
    </dataValidation>
    <dataValidation allowBlank="true" errorStyle="stop" operator="between" showDropDown="false" showErrorMessage="false" showInputMessage="false" sqref="D27" type="list">
      <formula1>Reference!$G$79:$G$85</formula1>
      <formula2>0</formula2>
    </dataValidation>
    <dataValidation allowBlank="true" errorStyle="stop" operator="between" showDropDown="false" showErrorMessage="false" showInputMessage="false" sqref="D30" type="list">
      <formula1>Reference!$D$92:$D$93</formula1>
      <formula2>0</formula2>
    </dataValidation>
  </dataValidations>
  <hyperlinks>
    <hyperlink ref="B49" r:id="rId1" display="Visit mastt.com"/>
  </hyperlink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rowBreaks count="1" manualBreakCount="1">
    <brk id="32" man="true" max="16383" min="0"/>
  </rowBreaks>
  <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2026-08-17T04:04:55Z</dcterms:created>
  <dc:creator>openpyxl</dc:creator>
  <dc:description/>
  <dc:language>en-US</dc:language>
  <cp:lastModifiedBy/>
  <dcterms:modified xsi:type="dcterms:W3CDTF">2026-08-17T04:04:55Z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