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Downloadable Files Folder\Data Center Migration Project Plan Template\"/>
    </mc:Choice>
  </mc:AlternateContent>
  <xr:revisionPtr revIDLastSave="0" documentId="13_ncr:1_{CA057B51-49F9-4496-9A72-E3FA462D3277}" xr6:coauthVersionLast="47" xr6:coauthVersionMax="47" xr10:uidLastSave="{00000000-0000-0000-0000-000000000000}"/>
  <bookViews>
    <workbookView xWindow="26850" yWindow="1695" windowWidth="21240" windowHeight="18420" tabRatio="500" firstSheet="6" activeTab="9" xr2:uid="{00000000-000D-0000-FFFF-FFFF00000000}"/>
  </bookViews>
  <sheets>
    <sheet name="Cover" sheetId="1" r:id="rId1"/>
    <sheet name="Setup" sheetId="2" r:id="rId2"/>
    <sheet name="Migration Summary" sheetId="3" r:id="rId3"/>
    <sheet name="Inventory &amp; Applications" sheetId="4" r:id="rId4"/>
    <sheet name="Dependencies" sheetId="5" r:id="rId5"/>
    <sheet name="Waves &amp; Move Groups" sheetId="6" r:id="rId6"/>
    <sheet name="Cutover Runbook" sheetId="7" r:id="rId7"/>
    <sheet name="Decommission" sheetId="8" r:id="rId8"/>
    <sheet name="Exit &amp; Close-out" sheetId="9" r:id="rId9"/>
    <sheet name="Reference" sheetId="10" r:id="rId10"/>
  </sheets>
  <definedNames>
    <definedName name="_xlnm._FilterDatabase" localSheetId="7" hidden="1">Decommission!$B$6:$N$36</definedName>
    <definedName name="_xlnm._FilterDatabase" localSheetId="4" hidden="1">Dependencies!$B$6:$L$36</definedName>
    <definedName name="_xlnm._FilterDatabase" localSheetId="3" hidden="1">'Inventory &amp; Applications'!$B$6:$O$38</definedName>
    <definedName name="_xlnm.Print_Area" localSheetId="0">Cover!$A$1:$G$180</definedName>
    <definedName name="_xlnm.Print_Area" localSheetId="6">'Cutover Runbook'!$A$1:$N$38</definedName>
    <definedName name="_xlnm.Print_Area" localSheetId="7">Decommission!$A$1:$N$40</definedName>
    <definedName name="_xlnm.Print_Area" localSheetId="4">Dependencies!$A$1:$L$40</definedName>
    <definedName name="_xlnm.Print_Area" localSheetId="8">'Exit &amp; Close-out'!$A$1:$J$45</definedName>
    <definedName name="_xlnm.Print_Area" localSheetId="3">'Inventory &amp; Applications'!$A$1:$O$42</definedName>
    <definedName name="_xlnm.Print_Area" localSheetId="2">'Migration Summary'!$A$1:$I$43</definedName>
    <definedName name="_xlnm.Print_Area" localSheetId="9">Reference!$A$1:$H$106</definedName>
    <definedName name="_xlnm.Print_Area" localSheetId="1">Setup!$A$1:$H$42</definedName>
    <definedName name="_xlnm.Print_Area" localSheetId="5">'Waves &amp; Move Groups'!$A$1:$N$22</definedName>
    <definedName name="_xlnm.Print_Titles" localSheetId="6">'Cutover Runbook'!$6:$6</definedName>
    <definedName name="_xlnm.Print_Titles" localSheetId="7">Decommission!$6:$6</definedName>
    <definedName name="_xlnm.Print_Titles" localSheetId="4">Dependencies!$6:$6</definedName>
    <definedName name="_xlnm.Print_Titles" localSheetId="3">'Inventory &amp; Applications'!$6:$6</definedName>
    <definedName name="_xlnm.Print_Titles" localSheetId="5">'Waves &amp; Move Groups'!$6:$6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40" i="9" l="1"/>
  <c r="I39" i="9"/>
  <c r="I38" i="9"/>
  <c r="I37" i="9"/>
  <c r="I36" i="9"/>
  <c r="I35" i="9"/>
  <c r="F34" i="9"/>
  <c r="F33" i="9"/>
  <c r="F32" i="9"/>
  <c r="F31" i="9"/>
  <c r="F30" i="9"/>
  <c r="F29" i="9"/>
  <c r="F28" i="9"/>
  <c r="F27" i="9"/>
  <c r="F26" i="9"/>
  <c r="F25" i="9"/>
  <c r="F24" i="9"/>
  <c r="F23" i="9"/>
  <c r="F22" i="9"/>
  <c r="F21" i="9"/>
  <c r="F20" i="9"/>
  <c r="G19" i="9"/>
  <c r="I19" i="9" s="1"/>
  <c r="F19" i="9"/>
  <c r="B3" i="9"/>
  <c r="M24" i="8"/>
  <c r="B24" i="8"/>
  <c r="M23" i="8"/>
  <c r="B23" i="8"/>
  <c r="M22" i="8"/>
  <c r="B22" i="8"/>
  <c r="M21" i="8"/>
  <c r="B21" i="8"/>
  <c r="M20" i="8"/>
  <c r="B20" i="8"/>
  <c r="M19" i="8"/>
  <c r="B19" i="8"/>
  <c r="M18" i="8"/>
  <c r="B18" i="8"/>
  <c r="L17" i="8"/>
  <c r="B17" i="8"/>
  <c r="M16" i="8"/>
  <c r="B16" i="8"/>
  <c r="M15" i="8"/>
  <c r="B15" i="8"/>
  <c r="M14" i="8"/>
  <c r="B14" i="8"/>
  <c r="L13" i="8"/>
  <c r="M13" i="8" s="1"/>
  <c r="B13" i="8"/>
  <c r="L12" i="8"/>
  <c r="B12" i="8"/>
  <c r="M11" i="8"/>
  <c r="B11" i="8"/>
  <c r="M10" i="8"/>
  <c r="L10" i="8"/>
  <c r="B10" i="8"/>
  <c r="M9" i="8"/>
  <c r="L9" i="8"/>
  <c r="B9" i="8"/>
  <c r="M8" i="8"/>
  <c r="L8" i="8"/>
  <c r="B8" i="8"/>
  <c r="M7" i="8"/>
  <c r="L7" i="8"/>
  <c r="B7" i="8"/>
  <c r="B3" i="8"/>
  <c r="M26" i="7"/>
  <c r="L26" i="7"/>
  <c r="G26" i="7"/>
  <c r="E26" i="7"/>
  <c r="M25" i="7"/>
  <c r="L25" i="7"/>
  <c r="E25" i="7"/>
  <c r="G25" i="7" s="1"/>
  <c r="M24" i="7"/>
  <c r="L24" i="7"/>
  <c r="G24" i="7"/>
  <c r="E24" i="7"/>
  <c r="M23" i="7"/>
  <c r="L23" i="7"/>
  <c r="G23" i="7"/>
  <c r="E23" i="7"/>
  <c r="M22" i="7"/>
  <c r="L22" i="7"/>
  <c r="G22" i="7"/>
  <c r="E22" i="7"/>
  <c r="M21" i="7"/>
  <c r="L21" i="7"/>
  <c r="E21" i="7"/>
  <c r="G21" i="7" s="1"/>
  <c r="M20" i="7"/>
  <c r="L20" i="7"/>
  <c r="M19" i="7"/>
  <c r="L19" i="7"/>
  <c r="M18" i="7"/>
  <c r="L18" i="7"/>
  <c r="M17" i="7"/>
  <c r="L17" i="7"/>
  <c r="M16" i="7"/>
  <c r="L16" i="7"/>
  <c r="M15" i="7"/>
  <c r="L15" i="7"/>
  <c r="M14" i="7"/>
  <c r="L14" i="7"/>
  <c r="M13" i="7"/>
  <c r="L13" i="7"/>
  <c r="M12" i="7"/>
  <c r="L12" i="7"/>
  <c r="M11" i="7"/>
  <c r="L11" i="7"/>
  <c r="M10" i="7"/>
  <c r="L10" i="7"/>
  <c r="M9" i="7"/>
  <c r="L9" i="7"/>
  <c r="M8" i="7"/>
  <c r="L8" i="7"/>
  <c r="M7" i="7"/>
  <c r="G41" i="3" s="1"/>
  <c r="L7" i="7"/>
  <c r="B3" i="7"/>
  <c r="M18" i="6"/>
  <c r="J18" i="6"/>
  <c r="I18" i="6"/>
  <c r="H18" i="6"/>
  <c r="G18" i="6"/>
  <c r="M17" i="6"/>
  <c r="J17" i="6"/>
  <c r="I17" i="6"/>
  <c r="H17" i="6"/>
  <c r="G17" i="6"/>
  <c r="M16" i="6"/>
  <c r="J16" i="6"/>
  <c r="I16" i="6"/>
  <c r="H16" i="6"/>
  <c r="G16" i="6"/>
  <c r="M15" i="6"/>
  <c r="J15" i="6"/>
  <c r="I15" i="6"/>
  <c r="H15" i="6"/>
  <c r="G15" i="6"/>
  <c r="M14" i="6"/>
  <c r="J14" i="6"/>
  <c r="I14" i="6"/>
  <c r="H14" i="6"/>
  <c r="G14" i="6"/>
  <c r="M13" i="6"/>
  <c r="J13" i="6"/>
  <c r="I13" i="6"/>
  <c r="H13" i="6"/>
  <c r="G13" i="6"/>
  <c r="K12" i="6"/>
  <c r="J12" i="6"/>
  <c r="H23" i="3" s="1"/>
  <c r="H12" i="6"/>
  <c r="G12" i="6"/>
  <c r="F12" i="6"/>
  <c r="E12" i="6"/>
  <c r="K11" i="6"/>
  <c r="H11" i="6"/>
  <c r="G11" i="6"/>
  <c r="E22" i="3" s="1"/>
  <c r="F11" i="6"/>
  <c r="E11" i="6"/>
  <c r="K10" i="6"/>
  <c r="H10" i="6"/>
  <c r="G10" i="6"/>
  <c r="F10" i="6"/>
  <c r="E10" i="6"/>
  <c r="K9" i="6"/>
  <c r="H9" i="6"/>
  <c r="G9" i="6"/>
  <c r="F9" i="6"/>
  <c r="E9" i="6"/>
  <c r="K8" i="6"/>
  <c r="H8" i="6"/>
  <c r="G8" i="6"/>
  <c r="F8" i="6"/>
  <c r="E8" i="6"/>
  <c r="K7" i="6"/>
  <c r="H7" i="6"/>
  <c r="G7" i="6"/>
  <c r="F7" i="6"/>
  <c r="E7" i="6"/>
  <c r="B3" i="6"/>
  <c r="K28" i="5"/>
  <c r="J28" i="5"/>
  <c r="I28" i="5"/>
  <c r="B28" i="5"/>
  <c r="K27" i="5"/>
  <c r="J27" i="5"/>
  <c r="I27" i="5"/>
  <c r="B27" i="5"/>
  <c r="K26" i="5"/>
  <c r="J26" i="5"/>
  <c r="I26" i="5"/>
  <c r="B26" i="5"/>
  <c r="K25" i="5"/>
  <c r="J25" i="5"/>
  <c r="I25" i="5"/>
  <c r="B25" i="5"/>
  <c r="K24" i="5"/>
  <c r="J24" i="5"/>
  <c r="I24" i="5"/>
  <c r="B24" i="5"/>
  <c r="K23" i="5"/>
  <c r="J23" i="5"/>
  <c r="I23" i="5"/>
  <c r="B23" i="5"/>
  <c r="K22" i="5"/>
  <c r="J22" i="5"/>
  <c r="I22" i="5"/>
  <c r="B22" i="5"/>
  <c r="K21" i="5"/>
  <c r="J21" i="5"/>
  <c r="I21" i="5"/>
  <c r="H21" i="5"/>
  <c r="B21" i="5"/>
  <c r="J20" i="5"/>
  <c r="K20" i="5" s="1"/>
  <c r="I20" i="5"/>
  <c r="H20" i="5"/>
  <c r="B20" i="5"/>
  <c r="J19" i="5"/>
  <c r="K19" i="5" s="1"/>
  <c r="I19" i="5"/>
  <c r="H19" i="5"/>
  <c r="B19" i="5"/>
  <c r="J18" i="5"/>
  <c r="K18" i="5" s="1"/>
  <c r="I18" i="5"/>
  <c r="H18" i="5"/>
  <c r="B18" i="5"/>
  <c r="J17" i="5"/>
  <c r="I17" i="5"/>
  <c r="K17" i="5" s="1"/>
  <c r="H17" i="5"/>
  <c r="B17" i="5"/>
  <c r="J16" i="5"/>
  <c r="I16" i="5"/>
  <c r="K16" i="5" s="1"/>
  <c r="H16" i="5"/>
  <c r="B16" i="5"/>
  <c r="J15" i="5"/>
  <c r="I15" i="5"/>
  <c r="K15" i="5" s="1"/>
  <c r="H15" i="5"/>
  <c r="B15" i="5"/>
  <c r="K14" i="5"/>
  <c r="J14" i="5"/>
  <c r="I14" i="5"/>
  <c r="B14" i="5"/>
  <c r="K13" i="5"/>
  <c r="J13" i="5"/>
  <c r="I13" i="5"/>
  <c r="H13" i="5"/>
  <c r="B13" i="5"/>
  <c r="J12" i="5"/>
  <c r="K12" i="5" s="1"/>
  <c r="I12" i="5"/>
  <c r="H12" i="5"/>
  <c r="B12" i="5"/>
  <c r="J11" i="5"/>
  <c r="K11" i="5" s="1"/>
  <c r="I11" i="5"/>
  <c r="H11" i="5"/>
  <c r="B11" i="5"/>
  <c r="K10" i="5"/>
  <c r="J10" i="5"/>
  <c r="I10" i="5"/>
  <c r="H10" i="5"/>
  <c r="B10" i="5"/>
  <c r="J9" i="5"/>
  <c r="I9" i="5"/>
  <c r="J7" i="6" s="1"/>
  <c r="H18" i="3" s="1"/>
  <c r="H9" i="5"/>
  <c r="B9" i="5"/>
  <c r="K8" i="5"/>
  <c r="J8" i="5"/>
  <c r="I8" i="5"/>
  <c r="H8" i="5"/>
  <c r="B8" i="5"/>
  <c r="J7" i="5"/>
  <c r="I7" i="5"/>
  <c r="H7" i="5"/>
  <c r="B7" i="5"/>
  <c r="B3" i="5"/>
  <c r="N32" i="4"/>
  <c r="B32" i="4"/>
  <c r="N31" i="4"/>
  <c r="B31" i="4"/>
  <c r="N30" i="4"/>
  <c r="B30" i="4"/>
  <c r="N29" i="4"/>
  <c r="B29" i="4"/>
  <c r="L28" i="4"/>
  <c r="B28" i="4"/>
  <c r="L27" i="4"/>
  <c r="B27" i="4"/>
  <c r="N26" i="4"/>
  <c r="L26" i="4"/>
  <c r="B26" i="4"/>
  <c r="N25" i="4"/>
  <c r="G35" i="3" s="1"/>
  <c r="L25" i="4"/>
  <c r="B25" i="4"/>
  <c r="L24" i="4"/>
  <c r="B24" i="4"/>
  <c r="L23" i="4"/>
  <c r="B23" i="4"/>
  <c r="L22" i="4"/>
  <c r="B22" i="4"/>
  <c r="L21" i="4"/>
  <c r="B21" i="4"/>
  <c r="M20" i="4"/>
  <c r="N20" i="4" s="1"/>
  <c r="L20" i="4"/>
  <c r="B20" i="4"/>
  <c r="N19" i="4"/>
  <c r="L19" i="4"/>
  <c r="B19" i="4"/>
  <c r="L18" i="4"/>
  <c r="B18" i="4"/>
  <c r="L17" i="4"/>
  <c r="B17" i="4"/>
  <c r="M16" i="4"/>
  <c r="N16" i="4" s="1"/>
  <c r="L16" i="4"/>
  <c r="B16" i="4"/>
  <c r="L15" i="4"/>
  <c r="B15" i="4"/>
  <c r="L14" i="4"/>
  <c r="B14" i="4"/>
  <c r="L13" i="4"/>
  <c r="B13" i="4"/>
  <c r="L12" i="4"/>
  <c r="N12" i="4" s="1"/>
  <c r="B12" i="4"/>
  <c r="L11" i="4"/>
  <c r="B11" i="4"/>
  <c r="L10" i="4"/>
  <c r="B10" i="4"/>
  <c r="L9" i="4"/>
  <c r="B9" i="4"/>
  <c r="L8" i="4"/>
  <c r="B8" i="4"/>
  <c r="L7" i="4"/>
  <c r="B7" i="4"/>
  <c r="B3" i="4"/>
  <c r="G42" i="3"/>
  <c r="I35" i="3"/>
  <c r="H35" i="3"/>
  <c r="F35" i="3"/>
  <c r="E35" i="3"/>
  <c r="F34" i="3"/>
  <c r="E34" i="3"/>
  <c r="I34" i="3" s="1"/>
  <c r="H33" i="3"/>
  <c r="G33" i="3"/>
  <c r="F33" i="3"/>
  <c r="E33" i="3"/>
  <c r="I33" i="3" s="1"/>
  <c r="H32" i="3"/>
  <c r="G32" i="3"/>
  <c r="F32" i="3"/>
  <c r="E32" i="3"/>
  <c r="I32" i="3" s="1"/>
  <c r="F31" i="3"/>
  <c r="E31" i="3"/>
  <c r="I31" i="3" s="1"/>
  <c r="H30" i="3"/>
  <c r="G30" i="3"/>
  <c r="F30" i="3"/>
  <c r="E30" i="3"/>
  <c r="I30" i="3" s="1"/>
  <c r="I29" i="3"/>
  <c r="F29" i="3"/>
  <c r="E29" i="3"/>
  <c r="I28" i="3"/>
  <c r="F28" i="3"/>
  <c r="E28" i="3"/>
  <c r="I27" i="3"/>
  <c r="F27" i="3"/>
  <c r="E27" i="3"/>
  <c r="F23" i="3"/>
  <c r="E23" i="3"/>
  <c r="B23" i="3"/>
  <c r="F22" i="3"/>
  <c r="B22" i="3"/>
  <c r="F21" i="3"/>
  <c r="E21" i="3"/>
  <c r="B21" i="3"/>
  <c r="F20" i="3"/>
  <c r="E20" i="3"/>
  <c r="B20" i="3"/>
  <c r="F19" i="3"/>
  <c r="E19" i="3"/>
  <c r="B19" i="3"/>
  <c r="F18" i="3"/>
  <c r="E18" i="3"/>
  <c r="B18" i="3"/>
  <c r="B3" i="3"/>
  <c r="D35" i="2"/>
  <c r="D12" i="9" s="1"/>
  <c r="D19" i="2"/>
  <c r="D18" i="2"/>
  <c r="E7" i="7" s="1"/>
  <c r="G7" i="7" s="1"/>
  <c r="E8" i="7" s="1"/>
  <c r="G8" i="7" s="1"/>
  <c r="E9" i="7" s="1"/>
  <c r="G9" i="7" s="1"/>
  <c r="E10" i="7" s="1"/>
  <c r="G10" i="7" s="1"/>
  <c r="E11" i="7" s="1"/>
  <c r="G11" i="7" s="1"/>
  <c r="E12" i="7" s="1"/>
  <c r="G12" i="7" s="1"/>
  <c r="E13" i="7" s="1"/>
  <c r="G13" i="7" s="1"/>
  <c r="E14" i="7" s="1"/>
  <c r="G14" i="7" s="1"/>
  <c r="E15" i="7" s="1"/>
  <c r="G15" i="7" s="1"/>
  <c r="E16" i="7" s="1"/>
  <c r="G16" i="7" s="1"/>
  <c r="E17" i="7" s="1"/>
  <c r="G17" i="7" s="1"/>
  <c r="E18" i="7" s="1"/>
  <c r="G18" i="7" s="1"/>
  <c r="E19" i="7" s="1"/>
  <c r="G19" i="7" s="1"/>
  <c r="E20" i="7" s="1"/>
  <c r="G20" i="7" s="1"/>
  <c r="D17" i="2"/>
  <c r="D16" i="2"/>
  <c r="D11" i="9" s="1"/>
  <c r="D15" i="2"/>
  <c r="B3" i="2"/>
  <c r="I27" i="9" l="1"/>
  <c r="I28" i="9"/>
  <c r="N7" i="4"/>
  <c r="I32" i="9"/>
  <c r="N15" i="4"/>
  <c r="N14" i="4"/>
  <c r="I29" i="9"/>
  <c r="N28" i="4"/>
  <c r="N22" i="4"/>
  <c r="I20" i="9"/>
  <c r="I21" i="9"/>
  <c r="N17" i="4"/>
  <c r="H34" i="3" s="1"/>
  <c r="N24" i="4"/>
  <c r="I24" i="9"/>
  <c r="H31" i="3"/>
  <c r="G31" i="3"/>
  <c r="H29" i="3"/>
  <c r="H28" i="3"/>
  <c r="D14" i="9"/>
  <c r="D15" i="9" s="1"/>
  <c r="H11" i="3" s="1"/>
  <c r="D13" i="9"/>
  <c r="E13" i="3" s="1"/>
  <c r="D40" i="2"/>
  <c r="J9" i="6"/>
  <c r="H20" i="3" s="1"/>
  <c r="N11" i="4"/>
  <c r="N21" i="4"/>
  <c r="I22" i="9"/>
  <c r="I30" i="9"/>
  <c r="B8" i="3"/>
  <c r="M17" i="8"/>
  <c r="D10" i="9"/>
  <c r="I23" i="9"/>
  <c r="I31" i="9"/>
  <c r="I8" i="6"/>
  <c r="K7" i="5"/>
  <c r="J8" i="6"/>
  <c r="H19" i="3" s="1"/>
  <c r="I12" i="6"/>
  <c r="N27" i="4"/>
  <c r="G29" i="3" s="1"/>
  <c r="I10" i="6"/>
  <c r="J10" i="6"/>
  <c r="H21" i="3" s="1"/>
  <c r="N13" i="4"/>
  <c r="G28" i="3" s="1"/>
  <c r="N18" i="4"/>
  <c r="N23" i="4"/>
  <c r="M12" i="8"/>
  <c r="I25" i="9"/>
  <c r="I33" i="9"/>
  <c r="K9" i="5"/>
  <c r="N8" i="4"/>
  <c r="N10" i="4"/>
  <c r="I26" i="9"/>
  <c r="I34" i="9"/>
  <c r="N9" i="4"/>
  <c r="I7" i="6"/>
  <c r="I9" i="6"/>
  <c r="D11" i="3" l="1"/>
  <c r="G34" i="3"/>
  <c r="G38" i="3"/>
  <c r="E14" i="3"/>
  <c r="F11" i="3"/>
  <c r="G40" i="3"/>
  <c r="G39" i="3"/>
  <c r="F8" i="3"/>
  <c r="D8" i="3"/>
  <c r="J11" i="6"/>
  <c r="H22" i="3" s="1"/>
  <c r="I11" i="6"/>
  <c r="M8" i="6"/>
  <c r="I19" i="3" s="1"/>
  <c r="G19" i="3"/>
  <c r="B11" i="3"/>
  <c r="G27" i="3"/>
  <c r="H27" i="3"/>
  <c r="G20" i="3"/>
  <c r="M9" i="6"/>
  <c r="I20" i="3" s="1"/>
  <c r="G21" i="3"/>
  <c r="M10" i="6"/>
  <c r="I21" i="3" s="1"/>
  <c r="M7" i="6"/>
  <c r="G18" i="3"/>
  <c r="G23" i="3"/>
  <c r="M12" i="6"/>
  <c r="I23" i="3" s="1"/>
  <c r="I18" i="3" l="1"/>
  <c r="G22" i="3"/>
  <c r="M11" i="6"/>
  <c r="I22" i="3" s="1"/>
  <c r="H8" i="3" l="1"/>
</calcChain>
</file>

<file path=xl/sharedStrings.xml><?xml version="1.0" encoding="utf-8"?>
<sst xmlns="http://schemas.openxmlformats.org/spreadsheetml/2006/main" count="967" uniqueCount="585">
  <si>
    <t>Data Center Migration Project Plan</t>
  </si>
  <si>
    <t>Moving into a facility, and closing the one you are leaving. It records how every dependency was found and who verified it, checks that nothing moves before the thing it needs, times the cutover night step by step, and carries the half of the job every other template stops short of - data destruction, asset disposal, lease exit, and the date you actually stop paying for the old site.</t>
  </si>
  <si>
    <t>HOW TO USE IT</t>
  </si>
  <si>
    <t>1</t>
  </si>
  <si>
    <t>Fill in Setup, including the contract dates for the site you are leaving.</t>
  </si>
  <si>
    <t>The move dates matter, but the date you can serve notice on the old site is what decides when the money stops. Exit &amp; Close-out works it out and tells you whether the migration schedule and the contract schedule agree. Usually they do not.</t>
  </si>
  <si>
    <t>2</t>
  </si>
  <si>
    <t>Inventory everything, then decide what does not move.</t>
  </si>
  <si>
    <t>Every migration finds systems nobody needs. Retire is a strategy, it is the cheapest one on the programme, and it is the only one that reduces the size of everything downstream. Retain in place is also a strategy - record why, and record when it gets revisited.</t>
  </si>
  <si>
    <t>3</t>
  </si>
  <si>
    <t>Record how each dependency was found, and who verified it.</t>
  </si>
  <si>
    <t>The failure mode is not a missing dependency, it is one that was discovered automatically and never checked by the person who owns the application. Two columns: how it was found, and who confirmed it. An unverified dependency is red until somebody signs for it.</t>
  </si>
  <si>
    <t>4</t>
  </si>
  <si>
    <t>Let the sheet find dependencies that move in the wrong order.</t>
  </si>
  <si>
    <t>If something moves in wave 3 and the thing it depends on moves in wave 5, it is broken for two waves and nobody notices until the night. The Dependencies sheet compares the two wave numbers and flags it.</t>
  </si>
  <si>
    <t>5</t>
  </si>
  <si>
    <t>Keep waves small at the start and put the boring things first.</t>
  </si>
  <si>
    <t>Low complexity and non-production early, to prove the process on something that does not matter. The most specific published numbers are AWS's - early waves under ten servers, no wave above fifty. That is vendor guidance calibrated to cloud rehosting, not a standard. The sheet counts and warns; it does not stop you.</t>
  </si>
  <si>
    <t>6</t>
  </si>
  <si>
    <t>Write the runbook with a success criterion per step, not per phase.</t>
  </si>
  <si>
    <t>Enter a start time and a duration for each step and the sheet times the whole night for you. Change one duration and everything after it moves. Mark the step that is the point of no return - see the note on the Cutover Runbook about what that actually is.</t>
  </si>
  <si>
    <t>7</t>
  </si>
  <si>
    <t>Do not close the old site when the new one goes live.</t>
  </si>
  <si>
    <t>There is a fallback period after go-live during which the old environment has to stay capable of taking the load back. It is a real cost, it runs against contract dates you may not be able to change, and it is the single most common thing missing from a migration plan.</t>
  </si>
  <si>
    <t>WHAT IS IN THE WORKBOOK</t>
  </si>
  <si>
    <t>Sheet</t>
  </si>
  <si>
    <t>What it is for</t>
  </si>
  <si>
    <t>Setup</t>
  </si>
  <si>
    <t>The sites, the dates, the tolerances and the contract dates for the site you are leaving.</t>
  </si>
  <si>
    <t>Migration Summary</t>
  </si>
  <si>
    <t>The board read. What is unverified, what moves in the wrong order, which waves are oversized, what is still to be sanitised, and what the overlap is costing.</t>
  </si>
  <si>
    <t>Inventory &amp; Applications</t>
  </si>
  <si>
    <t>Everything in scope, what happens to it, when it moves, and the outage and data loss each one can actually stand.</t>
  </si>
  <si>
    <t>Dependencies</t>
  </si>
  <si>
    <t>What depends on what, how it was found, who verified it, and whether the two ends move in an order that works.</t>
  </si>
  <si>
    <t>Waves &amp; Move Groups</t>
  </si>
  <si>
    <t>The wave plan, counted from the inventory rather than typed, with the go/no-go decision recorded against each one.</t>
  </si>
  <si>
    <t>Cutover Runbook</t>
  </si>
  <si>
    <t>The night itself, step by step, with a success criterion on every step and the point of no return marked.</t>
  </si>
  <si>
    <t>Decommission</t>
  </si>
  <si>
    <t>What happens to every asset that does not move - sanitisation method, whether it completed, whether the data was actually eliminated, and the certificate reference.</t>
  </si>
  <si>
    <t>Exit &amp; Close-out</t>
  </si>
  <si>
    <t>Closing the old site: fallback, notice, lease exit, make good, disconnection - and what the overlap costs you.</t>
  </si>
  <si>
    <t>Reference</t>
  </si>
  <si>
    <t>The colour key, the strategies, what a point of no return really is, definitions and every dropdown source.</t>
  </si>
  <si>
    <t>THE COLOUR KEY</t>
  </si>
  <si>
    <t>Done</t>
  </si>
  <si>
    <t>Complete, evidenced, and accepted.</t>
  </si>
  <si>
    <t>On track</t>
  </si>
  <si>
    <t>Under way and forecast to land on its date.</t>
  </si>
  <si>
    <t>Watch</t>
  </si>
  <si>
    <t>Inside the warning window, or a soft rule exceeded. Nothing wrong yet.</t>
  </si>
  <si>
    <t>Needs a decision</t>
  </si>
  <si>
    <t>Something has to be settled before the next wave can go.</t>
  </si>
  <si>
    <t>Blocking</t>
  </si>
  <si>
    <t>A dependency that moves after the thing that needs it, an unverified dependency, a rejected sanitisation, a notice date already gone by. These do not recover on their own.</t>
  </si>
  <si>
    <t>Not applicable</t>
  </si>
  <si>
    <t>Out of scope for this asset or this move type.</t>
  </si>
  <si>
    <t>WHAT MOST MIGRATION PLANS GET WRONG</t>
  </si>
  <si>
    <t>No decommissioning and no exit</t>
  </si>
  <si>
    <t>Every template that ranks for this stops at cutover. None of them covers data destruction, asset disposal, lease exit, make good or the moment you stop paying for the old site - which is the part that costs real money and the part a project team is actually equipped to run. Decommissioning is the more searched of the two terms and the more commercially valuable, and it is the half nobody builds for.</t>
  </si>
  <si>
    <t>Assuming the old site closes when the new one opens</t>
  </si>
  <si>
    <t>It does not. There is a fallback period during which the old environment has to stay capable of taking the load back, and you cannot serve notice on a contract until you know that period has passed. Dual running is not a failure of planning, it is a mandatory cost line, and it is governed by contract dates rather than by your schedule.</t>
  </si>
  <si>
    <t>Trusting automated discovery</t>
  </si>
  <si>
    <t>A dependency map generated from a discovery tool or a configuration database is a starting point, not an answer. The 2017 federal guide - still the nearest thing to published non-vendor methodology - puts data verification workshops in its discovery phase, treating the collected inventory as something to walk through with the business before it is trusted. It recommends rather than mandates, and it predates current tooling. Record who verified each one and when.</t>
  </si>
  <si>
    <t>Sequencing waves by business unit</t>
  </si>
  <si>
    <t>Business units are a convenient way to communicate a plan and a bad way to build one. Dependency clusters decide what has to move together; risk decides what goes first. Group by what breaks, not by who reports to whom.</t>
  </si>
  <si>
    <t>Treating the point of no return as a time</t>
  </si>
  <si>
    <t>It is not a clock, it is an event - the first production write accepted at the target. Before it, rolling back is repointing traffic. After it, there is no rollback, only fail-forward, a pre-designed dual write, or a restore with data loss. Decide which of those three you have before the night, not during it.</t>
  </si>
  <si>
    <t>One outage number</t>
  </si>
  <si>
    <t>How long a system can be down and how much data it can afford to lose are two different questions with two different answers, and the second one decides your migration method. Two columns.</t>
  </si>
  <si>
    <t>Quoting a migration failure rate</t>
  </si>
  <si>
    <t>The figures in circulation - seventy per cent fail, seventy-five per cent go over budget - trace to vendor blogs quoting other vendor blogs, and the one attributed to a major consultancy is not in its research at all. There is no credible public data on migration failure rates. What there is good data on is that change sits underneath most IT-side outages: Uptime Institute finds configuration and change management is the largest contributor within both networking and IT/software outages, the two biggest IT categories, and Google's SRE practice reports around seventy per cent of its outages follow a change to a live system. Facility outages are still led by power. A migration is a very large change.</t>
  </si>
  <si>
    <t>WHY IT IS BUILT THIS WAY</t>
  </si>
  <si>
    <t>Exit is half the artefact</t>
  </si>
  <si>
    <t>Decommissioning is searched about half as often again as migration and carries half as much again in commercial value per click, and not one template that ranks for either covers it. Data destruction, asset disposal, lease exit, make good and the date the cost stops are all in here as first-class content.</t>
  </si>
  <si>
    <t>Dual running modelled as a cost, driven by contract dates</t>
  </si>
  <si>
    <t>Fallback period, notice period and renewal date, and the arithmetic that tells you whether you can serve notice in time or whether you are committed to another term. That question is a capital project question and nobody else is answering it.</t>
  </si>
  <si>
    <t>Dependencies carry their provenance</t>
  </si>
  <si>
    <t>How it was found and who verified it, as two separate columns, because the thing that breaks a migration is not an undiscovered dependency but an unchecked one.</t>
  </si>
  <si>
    <t>The sheet finds bad wave ordering itself</t>
  </si>
  <si>
    <t>It compares the wave of each thing against the wave of what it depends on and flags anything that moves before the thing it needs. That check costs nothing and it is not in any template that ranks.</t>
  </si>
  <si>
    <t>Sanitisation recorded as three separate facts</t>
  </si>
  <si>
    <t>The method used, whether the process completed, and whether the data was actually eliminated. The third one is a decision with an approve or reject outcome, and it is newer than most policies in circulation.</t>
  </si>
  <si>
    <t>Outage window and data loss tolerance kept apart</t>
  </si>
  <si>
    <t>They answer different questions and the second one decides the migration method. Most plans carry one number and it is usually the wrong one.</t>
  </si>
  <si>
    <t>No invented statistics</t>
  </si>
  <si>
    <t>There is no credible public data on migration failure rates, downtime by move type, hardware loss in transit or the accuracy of automated discovery. Where the number does not exist the workbook gives you a field instead of a fabrication.</t>
  </si>
  <si>
    <t>IMPORTANT</t>
  </si>
  <si>
    <t>This is a planning artefact, not a method statement and not advice. Sanitisation and disposal obligations, data protection obligations, lease and contract terms and any regulatory requirement over what may be moved and where it may be held are specific to your organisation, your jurisdiction and your contracts - take your own legal, security and technical advice. Where the workbook names a sanitisation category or a disposal regime it is naming the category, not certifying compliance. Confirm the current edition of whatever your policy references before you specify it.</t>
  </si>
  <si>
    <t>Built for teams delivering capital projects, programs and portfolios  ·  mastt.com</t>
  </si>
  <si>
    <t>DATA CENTER MIGRATION     ·     SETUP</t>
  </si>
  <si>
    <t>The sites, the dates and the thresholds. The contract block at the bottom is the one nobody fills in, and it is the one that decides when you stop paying for the site you are leaving.</t>
  </si>
  <si>
    <t>1  ·  THE MOVE</t>
  </si>
  <si>
    <t>Project name</t>
  </si>
  <si>
    <t>EXAMPLE - Ashgrove and Trent Park into Kelvedon Point</t>
  </si>
  <si>
    <t>Project number</t>
  </si>
  <si>
    <t>MIG-3308</t>
  </si>
  <si>
    <t>Owner</t>
  </si>
  <si>
    <t>Northbridge Digital Infrastructure</t>
  </si>
  <si>
    <t>Plan maintained by</t>
  </si>
  <si>
    <t>H. Nakamura, Migration Lead</t>
  </si>
  <si>
    <t>Moving out of</t>
  </si>
  <si>
    <t>Ashgrove and Trent Park</t>
  </si>
  <si>
    <t>Name every site you are leaving. Each one has its own contract, its own notice date and its own make good obligation.</t>
  </si>
  <si>
    <t>Moving into</t>
  </si>
  <si>
    <t>Kelvedon Point, Hall 1</t>
  </si>
  <si>
    <t>2  ·  THE DATES</t>
  </si>
  <si>
    <t>First wave starts</t>
  </si>
  <si>
    <t>Put something dull first - low criticality, non-production - so the process gets proven on something that does not matter.</t>
  </si>
  <si>
    <t>Final cutover</t>
  </si>
  <si>
    <t>The last wave, not the day the old site closes. Those are months apart.</t>
  </si>
  <si>
    <t>New site fully live</t>
  </si>
  <si>
    <t>Cutover window starts</t>
  </si>
  <si>
    <t>The clock the runbook counts from - set it per cutover night and every step re-times itself.</t>
  </si>
  <si>
    <t>Today</t>
  </si>
  <si>
    <t>Every countdown and overdue flag is measured against this.</t>
  </si>
  <si>
    <t>Warn me this many days before a date</t>
  </si>
  <si>
    <t>Hypercare after each cutover (days)</t>
  </si>
  <si>
    <t>There is no standard definition and no standard duration. Agree yours and put it here.</t>
  </si>
  <si>
    <t>3  ·  WAVE SIZE GUIDES - WARNINGS, NOT LIMITS</t>
  </si>
  <si>
    <t>The most specific published numbers are AWS's - early waves under ten servers while the process is being proven, no wave above fifty. That is vendor guidance calibrated to cloud rehosting rather than a physical move, and it is somebody else's house rule, not a requirement - change it to yours. The sheet counts and warns; it does not stop you.</t>
  </si>
  <si>
    <t>Warn when a wave exceeds this many assets</t>
  </si>
  <si>
    <t>Warn when an early wave exceeds this many assets</t>
  </si>
  <si>
    <t>Applies to the first waves, where the point is to prove the process rather than to move volume.</t>
  </si>
  <si>
    <t>How many waves count as early</t>
  </si>
  <si>
    <t>4  ·  THE SITE YOU ARE LEAVING - THE BLOCK NOBODY FILLS IN</t>
  </si>
  <si>
    <t>The old site does not close when the new one opens. It has to stay able to take the load back through a fallback period, and contract notice runs against a renewal date that will not wait for you. Exit &amp; Close-out works out whether those two facts agree.</t>
  </si>
  <si>
    <t>Fallback period after final cutover (weeks)</t>
  </si>
  <si>
    <t>How long the old environment must stay capable of taking the load back. Agree it with the business, not with the infrastructure team.</t>
  </si>
  <si>
    <t>Contract notice period (months)</t>
  </si>
  <si>
    <t>Read it off the contract. Colocation terms run long and renew automatically.</t>
  </si>
  <si>
    <t>Contract renewal or expiry date</t>
  </si>
  <si>
    <t>The date the next term starts if you have not served notice.</t>
  </si>
  <si>
    <t>Old site cost per month</t>
  </si>
  <si>
    <t>Everything you stop paying when it closes - rent, power, support, licences tied to it.</t>
  </si>
  <si>
    <t>New site cost per month</t>
  </si>
  <si>
    <t>So the overlap can be costed honestly rather than argued about.</t>
  </si>
  <si>
    <t>5  ·  IS THIS SHEET FINISHED?</t>
  </si>
  <si>
    <t>Setup complete</t>
  </si>
  <si>
    <t>Until this reads 100% some flags cannot compute.</t>
  </si>
  <si>
    <t>Visit mastt.com</t>
  </si>
  <si>
    <t>DATA CENTER MIGRATION     ·     MIGRATION SUMMARY</t>
  </si>
  <si>
    <t>The board read. Every figure counts itself from the sheets behind it - none of it is typed.</t>
  </si>
  <si>
    <t>WHERE THE MIGRATION STANDS</t>
  </si>
  <si>
    <t>Days to final cutover</t>
  </si>
  <si>
    <t>Dependencies that move in the wrong order</t>
  </si>
  <si>
    <t>Dependencies nobody has verified</t>
  </si>
  <si>
    <t>Waves blocked</t>
  </si>
  <si>
    <t>Assets moved or retired</t>
  </si>
  <si>
    <t>Sanitisations rejected</t>
  </si>
  <si>
    <t>Certificates still outstanding</t>
  </si>
  <si>
    <t>Cost of running both sites</t>
  </si>
  <si>
    <t>Days between the fallback ending and the notice deadline</t>
  </si>
  <si>
    <t>Negative means the contract will not wait for the fallback period, and the decision has to be taken before you know whether you still need the old site.</t>
  </si>
  <si>
    <t>Assets with no strategy, no wave or no date</t>
  </si>
  <si>
    <t>Anything here is not in the plan yet, whatever the wave sheet says.</t>
  </si>
  <si>
    <t>BY WAVE</t>
  </si>
  <si>
    <t>Wave</t>
  </si>
  <si>
    <t>Assets</t>
  </si>
  <si>
    <t>Critical</t>
  </si>
  <si>
    <t>Wrong order</t>
  </si>
  <si>
    <t>Unverified</t>
  </si>
  <si>
    <t>Status</t>
  </si>
  <si>
    <t>WHAT HAPPENS TO EVERYTHING</t>
  </si>
  <si>
    <t>Strategy</t>
  </si>
  <si>
    <t>Moved or retired</t>
  </si>
  <si>
    <t>Still to go</t>
  </si>
  <si>
    <t>Share</t>
  </si>
  <si>
    <t>Swing - move the hardware</t>
  </si>
  <si>
    <t>Push/pull - rebuild at target</t>
  </si>
  <si>
    <t>Rehost - lift and shift</t>
  </si>
  <si>
    <t>Replatform</t>
  </si>
  <si>
    <t>Repurchase - move to a service</t>
  </si>
  <si>
    <t>Refactor</t>
  </si>
  <si>
    <t>Relocate - platform to platform</t>
  </si>
  <si>
    <t>Retire - switch it off</t>
  </si>
  <si>
    <t>Retain in place</t>
  </si>
  <si>
    <t>CLOSING THE OLD SITE</t>
  </si>
  <si>
    <t>Closing items complete</t>
  </si>
  <si>
    <t>Closing items overdue</t>
  </si>
  <si>
    <t>Assets still to be sanitised</t>
  </si>
  <si>
    <t>Runbook steps with no success criterion</t>
  </si>
  <si>
    <t>Runbook steps marked as the point of no return</t>
  </si>
  <si>
    <t>DATA CENTER MIGRATION     ·     INVENTORY &amp; APPLICATIONS</t>
  </si>
  <si>
    <t>Everything in scope and what happens to it. Outage window and data loss tolerance are two different questions - the first is a scheduling constraint, the second decides your migration method.</t>
  </si>
  <si>
    <t>Ref</t>
  </si>
  <si>
    <t>Asset or application</t>
  </si>
  <si>
    <t>Type</t>
  </si>
  <si>
    <t>Business owner</t>
  </si>
  <si>
    <t>Criticality</t>
  </si>
  <si>
    <t>Move group</t>
  </si>
  <si>
    <t>Outage window
(hours)</t>
  </si>
  <si>
    <t>Data loss
(minutes)</t>
  </si>
  <si>
    <t>Planned move</t>
  </si>
  <si>
    <t>Moved</t>
  </si>
  <si>
    <t>Note</t>
  </si>
  <si>
    <t>Core banking platform - application tier</t>
  </si>
  <si>
    <t>Application</t>
  </si>
  <si>
    <t>Retail Banking</t>
  </si>
  <si>
    <t>1 - Critical</t>
  </si>
  <si>
    <t>MG-01</t>
  </si>
  <si>
    <t>Zero data loss tolerance. Replicated, final sync at cutover, no exceptions.</t>
  </si>
  <si>
    <t>Core banking platform - database cluster</t>
  </si>
  <si>
    <t>Database</t>
  </si>
  <si>
    <t>Payments gateway</t>
  </si>
  <si>
    <t>Payments</t>
  </si>
  <si>
    <t>Identity and access management</t>
  </si>
  <si>
    <t>Security</t>
  </si>
  <si>
    <t>MG-02</t>
  </si>
  <si>
    <t>Moves early on purpose. Almost everything else authenticates against it.</t>
  </si>
  <si>
    <t>Name resolution and directory</t>
  </si>
  <si>
    <t>Infrastructure</t>
  </si>
  <si>
    <t>Enterprise data warehouse</t>
  </si>
  <si>
    <t>Finance</t>
  </si>
  <si>
    <t>2 - High</t>
  </si>
  <si>
    <t>MG-03</t>
  </si>
  <si>
    <t>Rebuilt at the target. Long outage tolerated, nothing transacts on it.</t>
  </si>
  <si>
    <t>Reporting and analytics suite</t>
  </si>
  <si>
    <t>3 - Medium</t>
  </si>
  <si>
    <t>Customer relationship management</t>
  </si>
  <si>
    <t>Sales</t>
  </si>
  <si>
    <t>MG-04</t>
  </si>
  <si>
    <t>Not moving. Replaced by the vendor's service - hardware and licence gone.</t>
  </si>
  <si>
    <t>Document management</t>
  </si>
  <si>
    <t>Operations</t>
  </si>
  <si>
    <t>Legacy claims system</t>
  </si>
  <si>
    <t>4 - Low</t>
  </si>
  <si>
    <t>MG-05</t>
  </si>
  <si>
    <t>Nobody logged in for eleven months. Retiring it freed two arrays.</t>
  </si>
  <si>
    <t>Print and output management</t>
  </si>
  <si>
    <t>Legacy file and print servers</t>
  </si>
  <si>
    <t>Physical server</t>
  </si>
  <si>
    <t>Should have gone with the first wave and did not. Two boxes nobody will own.</t>
  </si>
  <si>
    <t>Unidentified rack, Trent Park cage 4</t>
  </si>
  <si>
    <t>Other hardware</t>
  </si>
  <si>
    <t>Powered, cabled, unclaimed. Every migration finds one of these.</t>
  </si>
  <si>
    <t>Development and test estate</t>
  </si>
  <si>
    <t>Virtual server</t>
  </si>
  <si>
    <t>Engineering</t>
  </si>
  <si>
    <t>MG-06</t>
  </si>
  <si>
    <t>First wave on purpose - it proves the process on something dull.</t>
  </si>
  <si>
    <t>Backup infrastructure</t>
  </si>
  <si>
    <t>Tape or backup</t>
  </si>
  <si>
    <t>MG-07</t>
  </si>
  <si>
    <t>Storage area network - primary</t>
  </si>
  <si>
    <t>Storage array</t>
  </si>
  <si>
    <t>Core network - Ashgrove</t>
  </si>
  <si>
    <t>Network device</t>
  </si>
  <si>
    <t>Network</t>
  </si>
  <si>
    <t>MG-08</t>
  </si>
  <si>
    <t>Last out. Everything else has to be gone first.</t>
  </si>
  <si>
    <t>Core network - Trent Park</t>
  </si>
  <si>
    <t>Regulatory archive</t>
  </si>
  <si>
    <t>Compliance</t>
  </si>
  <si>
    <t>MG-09</t>
  </si>
  <si>
    <t>Retention obligation holds it. This is why the cage cannot be handed back.</t>
  </si>
  <si>
    <t>Building management and access control</t>
  </si>
  <si>
    <t>Appliance</t>
  </si>
  <si>
    <t>Facilities</t>
  </si>
  <si>
    <t>Belongs to the building, not to us. Stays.</t>
  </si>
  <si>
    <t>Monitoring and alerting</t>
  </si>
  <si>
    <t>Middleware and integration bus</t>
  </si>
  <si>
    <t>MG-10</t>
  </si>
  <si>
    <t>Moves in wave 3, needs the warehouse in wave 4. See Dependencies.</t>
  </si>
  <si>
    <t>A zero in the data loss column turns red on purpose. It is a real requirement on a transaction system and it rules out a backup-and-restore move - but it is also the default answer everybody gives when nobody has asked the business, so it is worth a second look.</t>
  </si>
  <si>
    <t>DATA CENTER MIGRATION     ·     DEPENDENCIES</t>
  </si>
  <si>
    <t>How each one was found and who verified it, because the thing that breaks a migration is an unchecked dependency rather than a missing one. The sheet then compares the two wave numbers and tells you if something moves before the thing it needs.</t>
  </si>
  <si>
    <t>This...</t>
  </si>
  <si>
    <t>...depends on this</t>
  </si>
  <si>
    <t>Dependency type</t>
  </si>
  <si>
    <t>How it was found</t>
  </si>
  <si>
    <t>Verified by</t>
  </si>
  <si>
    <t>Verified on</t>
  </si>
  <si>
    <t>Moves in wave</t>
  </si>
  <si>
    <t>Depends on wave</t>
  </si>
  <si>
    <t>Check</t>
  </si>
  <si>
    <t>Authentication</t>
  </si>
  <si>
    <t>Application owner interview</t>
  </si>
  <si>
    <t>R. Okonjo</t>
  </si>
  <si>
    <t>Data - writes to</t>
  </si>
  <si>
    <t>Automated discovery</t>
  </si>
  <si>
    <t>Data - reads from</t>
  </si>
  <si>
    <t>Network - outbound</t>
  </si>
  <si>
    <t>P. Lindqvist</t>
  </si>
  <si>
    <t>Batch or scheduled job</t>
  </si>
  <si>
    <t>Network flow analysis</t>
  </si>
  <si>
    <t>S. Achebe</t>
  </si>
  <si>
    <t>Documentation</t>
  </si>
  <si>
    <t>Configuration database</t>
  </si>
  <si>
    <t>From the CMDB, never confirmed with the owner. Until signed, a guess.</t>
  </si>
  <si>
    <t>M. Duarte</t>
  </si>
  <si>
    <t>Name resolution</t>
  </si>
  <si>
    <t>Backup</t>
  </si>
  <si>
    <t>T. Bergström</t>
  </si>
  <si>
    <t>Monitoring</t>
  </si>
  <si>
    <t>Observed in testing</t>
  </si>
  <si>
    <t>K. Mensah</t>
  </si>
  <si>
    <t>Scheduled two waves before the warehouse it reads. One has to move.</t>
  </si>
  <si>
    <t>Physical - same rack or chassis</t>
  </si>
  <si>
    <t>Network - inbound</t>
  </si>
  <si>
    <t>The network team has not walked this through with the platform owner.</t>
  </si>
  <si>
    <t>Read a row as a sentence: this depends on this. If the left-hand thing moves in an earlier wave than the right-hand thing, it spends the gap between the two waves without something it needs - which is why that case is red rather than a warning.</t>
  </si>
  <si>
    <t>DATA CENTER MIGRATION     ·     WAVES &amp; MOVE GROUPS</t>
  </si>
  <si>
    <t>The wave plan. Everything numeric here counts itself from the other sheets - if a wave carries a broken dependency order or an unverified one, it says so before the go/no-go call rather than after it.</t>
  </si>
  <si>
    <t>What is in it</t>
  </si>
  <si>
    <t>Move groups</t>
  </si>
  <si>
    <t>Window opens</t>
  </si>
  <si>
    <t>Window closes</t>
  </si>
  <si>
    <t>Broken order</t>
  </si>
  <si>
    <t>Go/no-go on</t>
  </si>
  <si>
    <t>Decision</t>
  </si>
  <si>
    <t>Proving wave - development, test and the retirements</t>
  </si>
  <si>
    <t>MG-05, MG-06</t>
  </si>
  <si>
    <t>Go</t>
  </si>
  <si>
    <t>Deliberately dull. Nothing here matters and that is the point.</t>
  </si>
  <si>
    <t>Shared services - identity, directory, monitoring</t>
  </si>
  <si>
    <t>Everything downstream authenticates against this wave. It has to be right.</t>
  </si>
  <si>
    <t>Business applications, first tranche</t>
  </si>
  <si>
    <t>MG-04, MG-10</t>
  </si>
  <si>
    <t>Go with conditions</t>
  </si>
  <si>
    <t>Conditional on the integration bus dependency being resolved.</t>
  </si>
  <si>
    <t>Data platform and backup</t>
  </si>
  <si>
    <t>MG-03, MG-07</t>
  </si>
  <si>
    <t>Not yet decided</t>
  </si>
  <si>
    <t>Core transaction platform</t>
  </si>
  <si>
    <t>The one that matters. Rehearsed twice before the go decision.</t>
  </si>
  <si>
    <t>Network core and final sweep</t>
  </si>
  <si>
    <t>MG-08, MG-09</t>
  </si>
  <si>
    <t>Sequence by risk and by dependency, not by business unit. Business units are a convenient way to communicate a plan and a bad way to build one - what has to move together is decided by what connects it, and what goes first should be whatever proves the process most cheaply.</t>
  </si>
  <si>
    <t>DATA CENTER MIGRATION     ·     CUTOVER RUNBOOK</t>
  </si>
  <si>
    <t>The night itself. Enter a duration against each step and the sheet times the whole runbook from the window start on Setup - change one duration and everything after it moves. A success criterion on every step, not one per phase.</t>
  </si>
  <si>
    <t>Step</t>
  </si>
  <si>
    <t>Activity</t>
  </si>
  <si>
    <t>Planned start</t>
  </si>
  <si>
    <t>Duration
(mins)</t>
  </si>
  <si>
    <t>Planned end</t>
  </si>
  <si>
    <t>Actual start</t>
  </si>
  <si>
    <t>Actual end</t>
  </si>
  <si>
    <t>Success criterion</t>
  </si>
  <si>
    <t>Point of
no return</t>
  </si>
  <si>
    <t>Over/under
(mins)</t>
  </si>
  <si>
    <t>Confirm change freeze in force and no open changes on the affected systems</t>
  </si>
  <si>
    <t>Programme manager</t>
  </si>
  <si>
    <t>Change record shows freeze active; zero open changes</t>
  </si>
  <si>
    <t>No</t>
  </si>
  <si>
    <t>Go/no-go call with all stream leads and the business owner</t>
  </si>
  <si>
    <t>Recorded decision from every named attendee</t>
  </si>
  <si>
    <t>Notify users and place the service in planned maintenance</t>
  </si>
  <si>
    <t>Infrastructure team</t>
  </si>
  <si>
    <t>Maintenance page live; monitoring suppressed for the window</t>
  </si>
  <si>
    <t>Stop ingestion and quiesce the application tier</t>
  </si>
  <si>
    <t>Application owner</t>
  </si>
  <si>
    <t>No new transactions accepted; queue depth zero</t>
  </si>
  <si>
    <t>Final full backup of source and verify restorability</t>
  </si>
  <si>
    <t>Backup completes and a test restore of a sample succeeds.</t>
  </si>
  <si>
    <t>If this fails, stop. It is the only rollback artefact you have.</t>
  </si>
  <si>
    <t>Final data synchronisation to target</t>
  </si>
  <si>
    <t>Replication reports zero lag and row counts match</t>
  </si>
  <si>
    <t>Break replication and make target writable</t>
  </si>
  <si>
    <t>Target accepts a write from the application service account</t>
  </si>
  <si>
    <t>Yes</t>
  </si>
  <si>
    <t>POINT OF NO RETURN. The source is stale from here on.</t>
  </si>
  <si>
    <t>Repoint name resolution and load balancers to target</t>
  </si>
  <si>
    <t>Network team</t>
  </si>
  <si>
    <t>Resolution returns the target address from three separate networks</t>
  </si>
  <si>
    <t>Start application tier at target</t>
  </si>
  <si>
    <t>All services start clean; no errors in the first five minutes of log</t>
  </si>
  <si>
    <t>Technical smoke test</t>
  </si>
  <si>
    <t>Every item on the smoke test list passes</t>
  </si>
  <si>
    <t>Business validation by named testers</t>
  </si>
  <si>
    <t>Business unit</t>
  </si>
  <si>
    <t>Each named tester confirms their scenario in writing</t>
  </si>
  <si>
    <t>Named people, named scenarios, written confirmation.</t>
  </si>
  <si>
    <t>Release to users and lift maintenance</t>
  </si>
  <si>
    <t>Service available; monitoring restored</t>
  </si>
  <si>
    <t>Hypercare handover to the operations team</t>
  </si>
  <si>
    <t>No success criterion. What does handover mean, and who says so?</t>
  </si>
  <si>
    <t>Confirm the source environment is preserved, not decommissioned</t>
  </si>
  <si>
    <t>Source powered, supported and untouched for the agreed fallback period</t>
  </si>
  <si>
    <t>The step everybody forgets. Nothing gets switched off tonight.</t>
  </si>
  <si>
    <t>The point of no return is not a time, it is the first production write accepted at the target. Before it, going back means repointing traffic at a source that is still current. After it there is no rollback - only failing forward, a dual write you designed in advance, or a restore that loses everything since the last backup. Mark the step, and decide which of those three you have before the night rather than during it.</t>
  </si>
  <si>
    <t>DATA CENTER MIGRATION     ·     DECOMMISSION</t>
  </si>
  <si>
    <t>Three separate facts per asset: the method used, whether the process completed, and whether the data was actually eliminated. The third is a decision with an approve or reject outcome - a rejected one is not a snag, it is an asset that still holds data.</t>
  </si>
  <si>
    <t>Asset</t>
  </si>
  <si>
    <t>Disposition</t>
  </si>
  <si>
    <t>Media type</t>
  </si>
  <si>
    <t>Sanitisation</t>
  </si>
  <si>
    <t>Technique used</t>
  </si>
  <si>
    <t>Process
completed</t>
  </si>
  <si>
    <t>Data eliminated</t>
  </si>
  <si>
    <t>Certificate</t>
  </si>
  <si>
    <t>Disposal vendor</t>
  </si>
  <si>
    <t>Date</t>
  </si>
  <si>
    <t>Retire and dispose</t>
  </si>
  <si>
    <t>Magnetic disk</t>
  </si>
  <si>
    <t>Destroy</t>
  </si>
  <si>
    <t>Shredded to particle size</t>
  </si>
  <si>
    <t>Approved</t>
  </si>
  <si>
    <t>CERT-2026-0411</t>
  </si>
  <si>
    <t>Northwind Asset Recovery</t>
  </si>
  <si>
    <t>Purge</t>
  </si>
  <si>
    <t>Firmware secure erase</t>
  </si>
  <si>
    <t>Rejected</t>
  </si>
  <si>
    <t>Failed validation on a read-back sample. Re-sanitise the batch.</t>
  </si>
  <si>
    <t>Retire and redeploy</t>
  </si>
  <si>
    <t>Solid state</t>
  </si>
  <si>
    <t>Cryptographic erase</t>
  </si>
  <si>
    <t>CERT-2026-0412</t>
  </si>
  <si>
    <t>Internal</t>
  </si>
  <si>
    <t>Not required</t>
  </si>
  <si>
    <t>Erase completed. Nobody has checked the data is gone. Not finished.</t>
  </si>
  <si>
    <t>Move to target site</t>
  </si>
  <si>
    <t>Not required - retained</t>
  </si>
  <si>
    <t>Moves with its data. Nothing to sanitise.</t>
  </si>
  <si>
    <t>Rebuild at target</t>
  </si>
  <si>
    <t>Overwrite, three pass verified</t>
  </si>
  <si>
    <t>Source media is sanitised after the fallback period, not before.</t>
  </si>
  <si>
    <t>Return to lessor</t>
  </si>
  <si>
    <t>Leasing company</t>
  </si>
  <si>
    <t>Leased. The lessor's certificate is not our evidence - get our own.</t>
  </si>
  <si>
    <t>Retention obligation. This is why the cage stays partly occupied.</t>
  </si>
  <si>
    <t>Tapes move under chain of custody with a manifest signed at both ends.</t>
  </si>
  <si>
    <t>Embedded storage</t>
  </si>
  <si>
    <t>Clear</t>
  </si>
  <si>
    <t>Configuration wipe to factory</t>
  </si>
  <si>
    <t>Network kit holds config, credentials and keys. Not media-free.</t>
  </si>
  <si>
    <t>Completed and eliminated are different questions. The first asks whether the process ran; the second asks whether the data has actually gone, and it ends in an approve or a reject with any anomaly assessed rather than waved through. A disposal vendor's own certification covers their process, not your outcome - you still need a certificate per asset.</t>
  </si>
  <si>
    <t>DATA CENTER MIGRATION     ·     EXIT &amp; CLOSE-OUT</t>
  </si>
  <si>
    <t>Closing the site you are leaving. The block at the top is the arithmetic nobody does - whether the date you must serve notice by falls before or after the date you can actually let the old site go.</t>
  </si>
  <si>
    <t>CAN YOU ACTUALLY LET IT GO IN TIME?</t>
  </si>
  <si>
    <t>Two dates decide this and they are set by different people. The fallback period is agreed with the business and runs from final cutover. The notice date is set by the contract and runs backwards from renewal. If the notice date comes first you are choosing between giving notice on a site you might still need and paying for another term.</t>
  </si>
  <si>
    <t>From Setup.</t>
  </si>
  <si>
    <t>Fallback ends - the earliest the old site can close</t>
  </si>
  <si>
    <t>Final cutover plus the fallback period. Before this date the old environment has to stay able to take the load back, which means powered, supported and paid for.</t>
  </si>
  <si>
    <t>Latest date to serve notice</t>
  </si>
  <si>
    <t>Renewal date less the notice period. Set by the contract, not by your schedule.</t>
  </si>
  <si>
    <t>Days between the two</t>
  </si>
  <si>
    <t>Positive means you can wait for fallback to pass and still serve notice in time. Negative means you cannot, and the decision has to be taken early.</t>
  </si>
  <si>
    <t>Months both sites are paid for</t>
  </si>
  <si>
    <t>From the first wave to the earliest realistic exit. Not a planning failure - a mandatory cost line, and the one nobody puts in the business case.</t>
  </si>
  <si>
    <t>Cost of dual running</t>
  </si>
  <si>
    <t>The old site's monthly cost across the overlap. The number nobody puts in the business case.</t>
  </si>
  <si>
    <t>CLOSING THE SITE</t>
  </si>
  <si>
    <t>Item</t>
  </si>
  <si>
    <t>Due</t>
  </si>
  <si>
    <t>Evidence</t>
  </si>
  <si>
    <t>Fallback period agreed with the business and written into the plan</t>
  </si>
  <si>
    <t>PLAN-REV-C</t>
  </si>
  <si>
    <t>Source environment confirmed preserved and supported through fallback</t>
  </si>
  <si>
    <t>Asset register reconciled - every asset accounted for at one end or the other</t>
  </si>
  <si>
    <t>The count that has to balance before anything is handed back.</t>
  </si>
  <si>
    <t>Chain of custody records complete for everything that left the building</t>
  </si>
  <si>
    <t>Removals contractor</t>
  </si>
  <si>
    <t>Sanitisation certificates received for every disposed asset</t>
  </si>
  <si>
    <t>Security team</t>
  </si>
  <si>
    <t>Disposal vendor's own certification current and evidence retained</t>
  </si>
  <si>
    <t>Environmental and waste obligations discharged and documentation held</t>
  </si>
  <si>
    <t>Notice served on the colocation contract</t>
  </si>
  <si>
    <t>See the block below. This date is not negotiable and it does not wait for the migration.</t>
  </si>
  <si>
    <t>Make good scope agreed with the landlord in writing</t>
  </si>
  <si>
    <t>Agree it before you start removing things, not after.</t>
  </si>
  <si>
    <t>Containment, cabling and cage removed to the agreed standard</t>
  </si>
  <si>
    <t>Power and cooling equipment disconnected and removed where required</t>
  </si>
  <si>
    <t>Utility accounts closed or transferred</t>
  </si>
  <si>
    <t>Connectivity and carrier circuits ceased</t>
  </si>
  <si>
    <t>Cease them, do not just stop using them. Circuits bill until somebody tells the carrier.</t>
  </si>
  <si>
    <t>Access credentials revoked and passes returned</t>
  </si>
  <si>
    <t>Final inspection with the landlord and condition report signed</t>
  </si>
  <si>
    <t>Keys handed back and site formally exited</t>
  </si>
  <si>
    <t>Cease circuits, do not just stop using them - they bill until somebody tells the carrier. Agree the make good scope in writing before you start removing things rather than after. And reconcile the asset register before anything is handed back: the asset you cannot account for is the one that turns up somewhere you would rather it did not.</t>
  </si>
  <si>
    <t>DATA CENTER MIGRATION     ·     REFERENCE</t>
  </si>
  <si>
    <t>The colour key, the strategies and what each one really costs you, what a point of no return actually is, why the old site stays open, definitions and every dropdown source.</t>
  </si>
  <si>
    <t>THE COLOUR KEY - THE SAME SIX MEANINGS ON EVERY SHEET</t>
  </si>
  <si>
    <t>Colour</t>
  </si>
  <si>
    <t>It means</t>
  </si>
  <si>
    <t>When you will see it</t>
  </si>
  <si>
    <t>DONE</t>
  </si>
  <si>
    <t>ON TRACK</t>
  </si>
  <si>
    <t>WATCH</t>
  </si>
  <si>
    <t>NEEDS A DECISION</t>
  </si>
  <si>
    <t>BLOCKING</t>
  </si>
  <si>
    <t>NOT APPLICABLE</t>
  </si>
  <si>
    <t>THERE IS NO STANDARD FOR THIS</t>
  </si>
  <si>
    <t>There is no standard for data center migration. Not from the standards bodies that cover data center design, not from the certification bodies, not from the service management frameworks - those tell you how to authorise a change, not how to move a facility. What exists is vendor methodology, plus one government migration and closure guide that is now nine years old and whose consolidation programme has since been repealed - federal data center policy continues, but it covers security, resilience and availability, not migration method. The absence is worth knowing, because it means every confident-sounding rule you are quoted about waves, hypercare, fallback periods or acceptable downtime is somebody's house practice rather than a requirement. Agree yours, write it down here, and hold it.</t>
  </si>
  <si>
    <t>WHAT THE POINT OF NO RETURN ACTUALLY IS</t>
  </si>
  <si>
    <t>The point of no return is not a time, and treating it as one is how migrations go wrong. It is an event: the first production write accepted at the target. Before it, rolling back is repointing traffic at a source system that is still current. After it, there is no rollback - only failing forward, a dual write you had to design in advance, or a restore that loses whatever was written since the last backup. Decide which of those three you have before the night, and mark the step in the runbook where it happens. What you can usefully timebox is the decision: agree how long you will spend diagnosing a problem before you call it, because the length matters far less than having agreed one.</t>
  </si>
  <si>
    <t>WHY THE OLD SITE STAYS OPEN AFTER THE NEW ONE GOES LIVE</t>
  </si>
  <si>
    <t>The old environment does not switch off when the new one goes live. It has to stay capable of taking the load back for an agreed fallback period, which means the site stays powered, supported, licensed and paid for. Two things then collide. The first is that you cannot confirm the fallback has passed until it has passed. The second is that contract notice runs against a renewal date that will not wait for you. If the latest date to serve notice falls before the fallback period ends, you are choosing between giving notice on a site you might still need and paying for another term. Work that out now, not in the week it happens.</t>
  </si>
  <si>
    <t>THE STRATEGIES, AND WHAT EACH ONE COSTS YOU</t>
  </si>
  <si>
    <t>What it means, and what it costs</t>
  </si>
  <si>
    <t>Shut it down, put it in a truck, rack it at the other end. Real downtime, but a real back-out: the hardware still exists and can go back.</t>
  </si>
  <si>
    <t>Build it at the target and transfer the workload; the old hardware stays where it is. Short outage, but if the transition fails you are rebuilding a stack rather than reversing a move.</t>
  </si>
  <si>
    <t>Same application, new platform, no code change. The cloud equivalent of a swing move.</t>
  </si>
  <si>
    <t>Minor changes to take advantage of the target platform. No new features.</t>
  </si>
  <si>
    <t>Stop running it and buy the same capability as a service. Often the cheapest answer and the one nobody proposes.</t>
  </si>
  <si>
    <t>Rewrite for the target. The most expensive option and the one that turns a migration into a development programme. Decide it separately.</t>
  </si>
  <si>
    <t>Move between environments on the same platform without changing the workload.</t>
  </si>
  <si>
    <t>Nothing moves. Every migration finds systems nobody needs, and the ones you retire are the cheapest wins on the programme.</t>
  </si>
  <si>
    <t>Stays where it is, for now. Record why, and record when the decision gets revisited - retained systems are how a site that was supposed to close stays open.</t>
  </si>
  <si>
    <t>DEFINITIONS</t>
  </si>
  <si>
    <t>A set of assets that have to move together because of what connects them. Decided by dependencies, not by convenience.</t>
  </si>
  <si>
    <t>One or more move groups executed in the same window. Waves are the unit of planning; move groups are the unit of dependency.</t>
  </si>
  <si>
    <t>Cutover</t>
  </si>
  <si>
    <t>The switch itself - final sync, routing change, validation. Usually a few hours inside a much longer wave.</t>
  </si>
  <si>
    <t>Change freeze</t>
  </si>
  <si>
    <t>An agreed period before and after cutover when nothing else changes in the affected systems. Agree it with the business owner and announce it well in advance; a month is common practice, not a rule.</t>
  </si>
  <si>
    <t>Point of no return</t>
  </si>
  <si>
    <t>The first production write accepted at the target. See the note above - it is an event, not a time.</t>
  </si>
  <si>
    <t>Fallback period</t>
  </si>
  <si>
    <t>The time after go-live during which the old environment must remain able to take the load back. The old site stays live and stays paid for.</t>
  </si>
  <si>
    <t>Back-out</t>
  </si>
  <si>
    <t>Returning to the source. Trivial before the first write at the target and impossible after it without a mechanism designed in beforehand.</t>
  </si>
  <si>
    <t>Hypercare</t>
  </si>
  <si>
    <t>Heightened support immediately after go-live. Not an ITIL term - the nearest framework equivalent is Early Life Support, which is defined but carries no prescribed duration either. Anyone quoting a typical length is quoting nothing. Agree yours and put it on Setup.</t>
  </si>
  <si>
    <t>Outage window</t>
  </si>
  <si>
    <t>How long the thing can be unavailable. A scheduling constraint.</t>
  </si>
  <si>
    <t>Data loss tolerance</t>
  </si>
  <si>
    <t>How much recent data you can afford to lose if you have to go back. A design constraint, and the one that decides your migration method.</t>
  </si>
  <si>
    <t>Overwrite through the normal read and write interfaces, so the data cannot be recovered by ordinary means.</t>
  </si>
  <si>
    <t>A stronger technique that defeats laboratory recovery, applied where the media is leaving your control but is being reused.</t>
  </si>
  <si>
    <t>Physical destruction. The media cannot be reused and the record is the certificate.</t>
  </si>
  <si>
    <t>Logical sanitisation</t>
  </si>
  <si>
    <t>Rendering data unreadable where you do not control the media - encrypted storage whose keys are destroyed, or space you cannot physically reach because it is shared or virtualised.</t>
  </si>
  <si>
    <t>Verification</t>
  </si>
  <si>
    <t>Did the sanitisation process complete as intended? A process question.</t>
  </si>
  <si>
    <t>Validation</t>
  </si>
  <si>
    <t>Was the data actually eliminated? A separate question with an approve or reject answer, and any anomaly has to be assessed rather than waved through.</t>
  </si>
  <si>
    <t>Chain of custody</t>
  </si>
  <si>
    <t>An unbroken record of who held each asset from the moment it left the rack. Without it you cannot prove where anything went, and the asset you cannot account for is the one that turns up on an auction site.</t>
  </si>
  <si>
    <t>Make good</t>
  </si>
  <si>
    <t>Returning the leased space to the condition the lease requires - containment, cabling, cages, penetrations, power and cooling equipment. Read the lease before you assume it is a sweep and a paint.</t>
  </si>
  <si>
    <t>THE SAME THING, CALLED SOMETHING ELSE</t>
  </si>
  <si>
    <t>Used here</t>
  </si>
  <si>
    <t>Also called</t>
  </si>
  <si>
    <t>Data center</t>
  </si>
  <si>
    <t>Data centre</t>
  </si>
  <si>
    <t>The US spelling is the search term everywhere, including the markets that would otherwise write centre.</t>
  </si>
  <si>
    <t>Migration</t>
  </si>
  <si>
    <t>Relocation, move, transition, consolidation</t>
  </si>
  <si>
    <t>Relocation usually means the hardware physically moves. Consolidation means several sites become fewer. Migration covers both and also covers moving to a platform.</t>
  </si>
  <si>
    <t>Decom, retirement, close-down, exit</t>
  </si>
  <si>
    <t>Switching it off, taking it out, destroying the data and disposing of the asset.</t>
  </si>
  <si>
    <t>ITAD, asset recovery, recycler</t>
  </si>
  <si>
    <t>IT asset disposition. Their certification covers their process, not your outcome - R2v3 verification can be satisfied by sampling as little as five per cent of sanitised media. Per-device records are required under the standard, so ask for a certificate per asset: it is a record you are owed, not an extra.</t>
  </si>
  <si>
    <t>Runbook</t>
  </si>
  <si>
    <t>Cutover plan, method of procedure, execution plan, playbook</t>
  </si>
  <si>
    <t>The step by step for the night, with a success criterion on each step.</t>
  </si>
  <si>
    <t>Fallback</t>
  </si>
  <si>
    <t>Back-out, reversion, rollback window, parallel run</t>
  </si>
  <si>
    <t>Dilapidations, reinstatement, restoration</t>
  </si>
  <si>
    <t>Returning the space to the condition the lease requires.</t>
  </si>
  <si>
    <t>HOW TO READ A CELL</t>
  </si>
  <si>
    <t>Pale blue</t>
  </si>
  <si>
    <t>You type here.</t>
  </si>
  <si>
    <t>Off white</t>
  </si>
  <si>
    <t>Worked out for you. Do not type over it.</t>
  </si>
  <si>
    <t>Pale cyan</t>
  </si>
  <si>
    <t>Column heading.</t>
  </si>
  <si>
    <t>Grey</t>
  </si>
  <si>
    <t>Reference, or something that does not apply.</t>
  </si>
  <si>
    <t>DROPDOWN SOURCES - EDIT THESE AND EVERY LIST IN THE WORKBOOK FOLLOWS</t>
  </si>
  <si>
    <t>Asset type</t>
  </si>
  <si>
    <t>Party</t>
  </si>
  <si>
    <t>Migration partner</t>
  </si>
  <si>
    <t>Licence server</t>
  </si>
  <si>
    <t>Found during a previous move</t>
  </si>
  <si>
    <t>8</t>
  </si>
  <si>
    <t>9</t>
  </si>
  <si>
    <t>Target site operator</t>
  </si>
  <si>
    <t>10</t>
  </si>
  <si>
    <t>11</t>
  </si>
  <si>
    <t>12</t>
  </si>
  <si>
    <t>Verified</t>
  </si>
  <si>
    <t>Validated</t>
  </si>
  <si>
    <t>Yes or no</t>
  </si>
  <si>
    <t>Hybrid</t>
  </si>
  <si>
    <t>No go - reschedule</t>
  </si>
  <si>
    <t>Tape</t>
  </si>
  <si>
    <t>Optical</t>
  </si>
  <si>
    <t>Not required - no data</t>
  </si>
  <si>
    <t>Flash or removable</t>
  </si>
  <si>
    <t>Sell or trade in</t>
  </si>
  <si>
    <t>No media</t>
  </si>
  <si>
    <t>Not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</si>
</sst>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 mmm\ yyyy"/>
    <numFmt numFmtId="165" formatCode="d\ mmm&quot;  &quot;h:mm"/>
    <numFmt numFmtId="166" formatCode="\$#,##0;[Red]&quot;($&quot;#,##0\);\-"/>
    <numFmt numFmtId="167" formatCode="0%;\-0%;\-"/>
    <numFmt numFmtId="168" formatCode="#,##0;\-#,##0;\-"/>
    <numFmt numFmtId="169" formatCode="#,##0.0;\-#,##0.0;\-"/>
  </numFmts>
  <fonts count="36">
    <font>
      <sz val="11"/>
      <color theme="1"/>
      <name val="Calibri"/>
      <family val="2"/>
      <charset val="1"/>
    </font>
    <font>
      <b/>
      <sz val="11"/>
      <color rgb="FFFFFFFF"/>
      <name val="Inter"/>
      <charset val="1"/>
    </font>
    <font>
      <b/>
      <sz val="24"/>
      <color rgb="FF1D3245"/>
      <name val="Inter"/>
      <charset val="1"/>
    </font>
    <font>
      <sz val="10.5"/>
      <color rgb="FF1D3245"/>
      <name val="Inter"/>
      <charset val="1"/>
    </font>
    <font>
      <b/>
      <sz val="10"/>
      <color rgb="FF1D3245"/>
      <name val="Inter"/>
      <charset val="1"/>
    </font>
    <font>
      <b/>
      <sz val="10"/>
      <color rgb="FF0D3C61"/>
      <name val="Inter"/>
      <charset val="1"/>
    </font>
    <font>
      <sz val="9.5"/>
      <color rgb="FF1D3245"/>
      <name val="Inter"/>
      <charset val="1"/>
    </font>
    <font>
      <b/>
      <sz val="9.5"/>
      <color rgb="FF0D3C61"/>
      <name val="Inter"/>
      <charset val="1"/>
    </font>
    <font>
      <b/>
      <u/>
      <sz val="10"/>
      <color rgb="FF3480BC"/>
      <name val="Inter"/>
      <charset val="1"/>
    </font>
    <font>
      <b/>
      <sz val="9"/>
      <color rgb="FF1D3245"/>
      <name val="Inter"/>
      <charset val="1"/>
    </font>
    <font>
      <b/>
      <sz val="9.5"/>
      <color rgb="FF4CAF50"/>
      <name val="Inter"/>
      <charset val="1"/>
    </font>
    <font>
      <b/>
      <sz val="9.5"/>
      <color rgb="FF0B79D0"/>
      <name val="Inter"/>
      <charset val="1"/>
    </font>
    <font>
      <b/>
      <sz val="9.5"/>
      <color rgb="FFFFB547"/>
      <name val="Inter"/>
      <charset val="1"/>
    </font>
    <font>
      <b/>
      <sz val="9"/>
      <color rgb="FFFFFFFF"/>
      <name val="Inter"/>
      <charset val="1"/>
    </font>
    <font>
      <b/>
      <sz val="9.5"/>
      <color rgb="FFEC6917"/>
      <name val="Inter"/>
      <charset val="1"/>
    </font>
    <font>
      <b/>
      <sz val="9.5"/>
      <color rgb="FFE31B0C"/>
      <name val="Inter"/>
      <charset val="1"/>
    </font>
    <font>
      <b/>
      <sz val="9.5"/>
      <color rgb="FF8E98A2"/>
      <name val="Inter"/>
      <charset val="1"/>
    </font>
    <font>
      <u/>
      <sz val="10"/>
      <color rgb="FF3480BC"/>
      <name val="Inter"/>
      <charset val="1"/>
    </font>
    <font>
      <b/>
      <sz val="13"/>
      <color rgb="FFFFFFFF"/>
      <name val="Inter"/>
      <charset val="1"/>
    </font>
    <font>
      <b/>
      <sz val="9.5"/>
      <color rgb="FF1D3245"/>
      <name val="Inter"/>
      <charset val="1"/>
    </font>
    <font>
      <i/>
      <sz val="9"/>
      <color rgb="FF8E98A2"/>
      <name val="Inter"/>
      <charset val="1"/>
    </font>
    <font>
      <sz val="10"/>
      <color rgb="FF1D3245"/>
      <name val="Inter"/>
      <charset val="1"/>
    </font>
    <font>
      <sz val="10"/>
      <color rgb="FF0D3C61"/>
      <name val="Inter"/>
      <charset val="1"/>
    </font>
    <font>
      <b/>
      <sz val="16"/>
      <color rgb="FF4CAF50"/>
      <name val="Inter"/>
      <charset val="1"/>
    </font>
    <font>
      <u/>
      <sz val="9.5"/>
      <color rgb="FF3480BC"/>
      <name val="Inter"/>
      <charset val="1"/>
    </font>
    <font>
      <b/>
      <sz val="20"/>
      <color rgb="FF0B79D0"/>
      <name val="Inter"/>
      <charset val="1"/>
    </font>
    <font>
      <b/>
      <sz val="20"/>
      <color rgb="FFE31B0C"/>
      <name val="Inter"/>
      <charset val="1"/>
    </font>
    <font>
      <b/>
      <sz val="20"/>
      <color rgb="FFEC6917"/>
      <name val="Inter"/>
      <charset val="1"/>
    </font>
    <font>
      <b/>
      <sz val="20"/>
      <color rgb="FF4CAF50"/>
      <name val="Inter"/>
      <charset val="1"/>
    </font>
    <font>
      <b/>
      <sz val="20"/>
      <color rgb="FFFFB547"/>
      <name val="Inter"/>
      <charset val="1"/>
    </font>
    <font>
      <b/>
      <sz val="12"/>
      <color rgb="FF0D3C61"/>
      <name val="Inter"/>
      <charset val="1"/>
    </font>
    <font>
      <sz val="9.5"/>
      <color rgb="FF0D3C61"/>
      <name val="Inter"/>
      <charset val="1"/>
    </font>
    <font>
      <b/>
      <sz val="12"/>
      <color rgb="FF4CAF50"/>
      <name val="Inter"/>
      <charset val="1"/>
    </font>
    <font>
      <b/>
      <sz val="12"/>
      <color rgb="FFE31B0C"/>
      <name val="Inter"/>
      <charset val="1"/>
    </font>
    <font>
      <b/>
      <sz val="12"/>
      <color rgb="FFEC6917"/>
      <name val="Inter"/>
      <charset val="1"/>
    </font>
    <font>
      <b/>
      <sz val="9.5"/>
      <color rgb="FFFFFFFF"/>
      <name val="Inter"/>
      <charset val="1"/>
    </font>
  </fonts>
  <fills count="27">
    <fill>
      <patternFill patternType="none"/>
    </fill>
    <fill>
      <patternFill patternType="gray125"/>
    </fill>
    <fill>
      <patternFill patternType="solid">
        <fgColor rgb="FF1D3245"/>
        <bgColor rgb="FF0D3C61"/>
      </patternFill>
    </fill>
    <fill>
      <patternFill patternType="solid">
        <fgColor rgb="FF3480BC"/>
        <bgColor rgb="FF2F76BB"/>
      </patternFill>
    </fill>
    <fill>
      <patternFill patternType="solid">
        <fgColor rgb="FF0D3C61"/>
        <bgColor rgb="FF1D3245"/>
      </patternFill>
    </fill>
    <fill>
      <patternFill patternType="solid">
        <fgColor rgb="FF64B6F7"/>
        <bgColor rgb="FF33CCCC"/>
      </patternFill>
    </fill>
    <fill>
      <patternFill patternType="solid">
        <fgColor rgb="FFDCE9F4"/>
        <bgColor rgb="FFE3F0FA"/>
      </patternFill>
    </fill>
    <fill>
      <patternFill patternType="solid">
        <fgColor rgb="FF215383"/>
        <bgColor rgb="FF0D3C61"/>
      </patternFill>
    </fill>
    <fill>
      <patternFill patternType="solid">
        <fgColor rgb="FFFFFFFF"/>
        <bgColor rgb="FFF6F9FC"/>
      </patternFill>
    </fill>
    <fill>
      <patternFill patternType="solid">
        <fgColor rgb="FFF5F5F5"/>
        <bgColor rgb="FFF6F9FC"/>
      </patternFill>
    </fill>
    <fill>
      <patternFill patternType="solid">
        <fgColor rgb="FF0B79D0"/>
        <bgColor rgb="FF2F76BB"/>
      </patternFill>
    </fill>
    <fill>
      <patternFill patternType="solid">
        <fgColor rgb="FFE31B0C"/>
        <bgColor rgb="FF993300"/>
      </patternFill>
    </fill>
    <fill>
      <patternFill patternType="solid">
        <fgColor rgb="FF039BE5"/>
        <bgColor rgb="FF0B79D0"/>
      </patternFill>
    </fill>
    <fill>
      <patternFill patternType="solid">
        <fgColor rgb="FFEC6917"/>
        <bgColor rgb="FFFF9900"/>
      </patternFill>
    </fill>
    <fill>
      <patternFill patternType="solid">
        <fgColor rgb="FF4CAF50"/>
        <bgColor rgb="FF8E98A2"/>
      </patternFill>
    </fill>
    <fill>
      <patternFill patternType="solid">
        <fgColor rgb="FF2F76BB"/>
        <bgColor rgb="FF3480BC"/>
      </patternFill>
    </fill>
    <fill>
      <patternFill patternType="solid">
        <fgColor rgb="FF8E98A2"/>
        <bgColor rgb="FF808080"/>
      </patternFill>
    </fill>
    <fill>
      <patternFill patternType="solid">
        <fgColor rgb="FFE8F5E9"/>
        <bgColor rgb="FFEEEEEE"/>
      </patternFill>
    </fill>
    <fill>
      <patternFill patternType="solid">
        <fgColor rgb="FFE3F0FA"/>
        <bgColor rgb="FFDCE9F4"/>
      </patternFill>
    </fill>
    <fill>
      <patternFill patternType="solid">
        <fgColor rgb="FFFFB547"/>
        <bgColor rgb="FFFF9900"/>
      </patternFill>
    </fill>
    <fill>
      <patternFill patternType="solid">
        <fgColor rgb="FFFFF4E0"/>
        <bgColor rgb="FFFDEBE0"/>
      </patternFill>
    </fill>
    <fill>
      <patternFill patternType="solid">
        <fgColor rgb="FFFDEBE0"/>
        <bgColor rgb="FFFDEBE9"/>
      </patternFill>
    </fill>
    <fill>
      <patternFill patternType="solid">
        <fgColor rgb="FFFDEBE9"/>
        <bgColor rgb="FFFDEBE0"/>
      </patternFill>
    </fill>
    <fill>
      <patternFill patternType="solid">
        <fgColor rgb="FFE0E0E0"/>
        <bgColor rgb="FFD3DEE9"/>
      </patternFill>
    </fill>
    <fill>
      <patternFill patternType="solid">
        <fgColor rgb="FFEEEEEE"/>
        <bgColor rgb="FFE8F5E9"/>
      </patternFill>
    </fill>
    <fill>
      <patternFill patternType="solid">
        <fgColor rgb="FFF6F9FC"/>
        <bgColor rgb="FFF5F5F5"/>
      </patternFill>
    </fill>
    <fill>
      <patternFill patternType="solid">
        <fgColor rgb="FFD3DEE9"/>
        <bgColor rgb="FFE0E0E0"/>
      </patternFill>
    </fill>
  </fills>
  <borders count="3">
    <border>
      <left/>
      <right/>
      <top/>
      <bottom/>
      <diagonal/>
    </border>
    <border>
      <left style="thin">
        <color rgb="FFE0E0E0"/>
      </left>
      <right style="thin">
        <color rgb="FFE0E0E0"/>
      </right>
      <top style="thin">
        <color rgb="FFE0E0E0"/>
      </top>
      <bottom style="thin">
        <color rgb="FFE0E0E0"/>
      </bottom>
      <diagonal/>
    </border>
    <border>
      <left style="thin">
        <color rgb="FFE0E0E0"/>
      </left>
      <right style="thin">
        <color rgb="FFE0E0E0"/>
      </right>
      <top style="thin">
        <color rgb="FFE0E0E0"/>
      </top>
      <bottom style="medium">
        <color rgb="FF3480BC"/>
      </bottom>
      <diagonal/>
    </border>
  </borders>
  <cellStyleXfs count="1">
    <xf numFmtId="0" fontId="0" fillId="0" borderId="0"/>
  </cellStyleXfs>
  <cellXfs count="140">
    <xf numFmtId="0" fontId="0" fillId="0" borderId="0" xfId="0"/>
    <xf numFmtId="0" fontId="17" fillId="0" borderId="0" xfId="0" applyFont="1" applyAlignment="1">
      <alignment horizontal="left" vertical="center" indent="1"/>
    </xf>
    <xf numFmtId="0" fontId="6" fillId="20" borderId="1" xfId="0" applyFont="1" applyFill="1" applyBorder="1" applyAlignment="1">
      <alignment horizontal="left" vertical="top" wrapText="1" indent="1"/>
    </xf>
    <xf numFmtId="0" fontId="15" fillId="0" borderId="0" xfId="0" applyFont="1" applyAlignment="1">
      <alignment horizontal="left" vertical="center" indent="1"/>
    </xf>
    <xf numFmtId="0" fontId="6" fillId="9" borderId="1" xfId="0" applyFont="1" applyFill="1" applyBorder="1" applyAlignment="1">
      <alignment horizontal="left" vertical="center" wrapText="1" indent="1"/>
    </xf>
    <xf numFmtId="0" fontId="6" fillId="8" borderId="1" xfId="0" applyFont="1" applyFill="1" applyBorder="1" applyAlignment="1">
      <alignment horizontal="left" vertical="center" wrapText="1" indent="1"/>
    </xf>
    <xf numFmtId="0" fontId="7" fillId="6" borderId="2" xfId="0" applyFont="1" applyFill="1" applyBorder="1" applyAlignment="1">
      <alignment horizontal="center" vertical="center" wrapText="1"/>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1" fillId="4" borderId="0" xfId="0" applyFont="1" applyFill="1" applyAlignment="1">
      <alignment horizontal="left" vertical="center" indent="1"/>
    </xf>
    <xf numFmtId="0" fontId="3" fillId="0" borderId="0" xfId="0" applyFont="1" applyAlignment="1">
      <alignment horizontal="left" vertical="top" wrapText="1" indent="1"/>
    </xf>
    <xf numFmtId="0" fontId="2" fillId="0" borderId="0" xfId="0" applyFont="1" applyAlignment="1">
      <alignment horizontal="left" vertical="center" indent="1"/>
    </xf>
    <xf numFmtId="0" fontId="1" fillId="3" borderId="0" xfId="0" applyFont="1" applyFill="1" applyAlignment="1">
      <alignment horizontal="left" vertical="center" indent="1"/>
    </xf>
    <xf numFmtId="0" fontId="1" fillId="2" borderId="0" xfId="0" applyFont="1" applyFill="1" applyAlignment="1">
      <alignment horizontal="left" vertical="center" indent="1"/>
    </xf>
    <xf numFmtId="0" fontId="4" fillId="5" borderId="1" xfId="0" applyFont="1" applyFill="1" applyBorder="1" applyAlignment="1">
      <alignment horizontal="center" vertical="center"/>
    </xf>
    <xf numFmtId="0" fontId="7" fillId="6" borderId="2" xfId="0" applyFont="1" applyFill="1" applyBorder="1" applyAlignment="1">
      <alignment horizontal="center" vertical="center" wrapText="1"/>
    </xf>
    <xf numFmtId="0" fontId="0" fillId="7" borderId="1" xfId="0" applyFill="1" applyBorder="1"/>
    <xf numFmtId="0" fontId="8" fillId="8" borderId="1" xfId="0" applyFont="1" applyFill="1" applyBorder="1" applyAlignment="1">
      <alignment horizontal="left" vertical="center" wrapText="1" indent="1"/>
    </xf>
    <xf numFmtId="0" fontId="6" fillId="8" borderId="1" xfId="0" applyFont="1" applyFill="1" applyBorder="1" applyAlignment="1">
      <alignment horizontal="left" vertical="center" wrapText="1" indent="1"/>
    </xf>
    <xf numFmtId="0" fontId="0" fillId="4" borderId="1" xfId="0" applyFill="1" applyBorder="1"/>
    <xf numFmtId="0" fontId="8" fillId="9" borderId="1" xfId="0" applyFont="1" applyFill="1" applyBorder="1" applyAlignment="1">
      <alignment horizontal="left" vertical="center" wrapText="1" indent="1"/>
    </xf>
    <xf numFmtId="0" fontId="6" fillId="9" borderId="1" xfId="0" applyFont="1" applyFill="1" applyBorder="1" applyAlignment="1">
      <alignment horizontal="left" vertical="center" wrapText="1" indent="1"/>
    </xf>
    <xf numFmtId="0" fontId="0" fillId="10" borderId="1" xfId="0" applyFill="1" applyBorder="1"/>
    <xf numFmtId="0" fontId="0" fillId="11" borderId="1" xfId="0" applyFill="1" applyBorder="1"/>
    <xf numFmtId="0" fontId="0" fillId="12" borderId="1" xfId="0" applyFill="1" applyBorder="1"/>
    <xf numFmtId="0" fontId="0" fillId="13" borderId="1" xfId="0" applyFill="1" applyBorder="1"/>
    <xf numFmtId="0" fontId="0" fillId="14" borderId="1" xfId="0" applyFill="1" applyBorder="1"/>
    <xf numFmtId="0" fontId="0" fillId="15" borderId="1" xfId="0" applyFill="1" applyBorder="1"/>
    <xf numFmtId="0" fontId="0" fillId="16" borderId="1" xfId="0" applyFill="1" applyBorder="1"/>
    <xf numFmtId="0" fontId="9" fillId="14" borderId="1" xfId="0" applyFont="1" applyFill="1" applyBorder="1" applyAlignment="1">
      <alignment horizontal="center" vertical="center"/>
    </xf>
    <xf numFmtId="0" fontId="10" fillId="17" borderId="1" xfId="0" applyFont="1" applyFill="1" applyBorder="1" applyAlignment="1">
      <alignment horizontal="left" vertical="center" indent="1"/>
    </xf>
    <xf numFmtId="0" fontId="9" fillId="5" borderId="1" xfId="0" applyFont="1" applyFill="1" applyBorder="1" applyAlignment="1">
      <alignment horizontal="center" vertical="center"/>
    </xf>
    <xf numFmtId="0" fontId="11" fillId="18" borderId="1" xfId="0" applyFont="1" applyFill="1" applyBorder="1" applyAlignment="1">
      <alignment horizontal="left" vertical="center" indent="1"/>
    </xf>
    <xf numFmtId="0" fontId="9" fillId="19" borderId="1" xfId="0" applyFont="1" applyFill="1" applyBorder="1" applyAlignment="1">
      <alignment horizontal="center" vertical="center"/>
    </xf>
    <xf numFmtId="0" fontId="12" fillId="20" borderId="1" xfId="0" applyFont="1" applyFill="1" applyBorder="1" applyAlignment="1">
      <alignment horizontal="left" vertical="center" indent="1"/>
    </xf>
    <xf numFmtId="0" fontId="13" fillId="13" borderId="1" xfId="0" applyFont="1" applyFill="1" applyBorder="1" applyAlignment="1">
      <alignment horizontal="center" vertical="center"/>
    </xf>
    <xf numFmtId="0" fontId="14" fillId="21" borderId="1" xfId="0" applyFont="1" applyFill="1" applyBorder="1" applyAlignment="1">
      <alignment horizontal="left" vertical="center" indent="1"/>
    </xf>
    <xf numFmtId="0" fontId="13" fillId="11" borderId="1" xfId="0" applyFont="1" applyFill="1" applyBorder="1" applyAlignment="1">
      <alignment horizontal="center" vertical="center"/>
    </xf>
    <xf numFmtId="0" fontId="15" fillId="22" borderId="1" xfId="0" applyFont="1" applyFill="1" applyBorder="1" applyAlignment="1">
      <alignment horizontal="left" vertical="center" indent="1"/>
    </xf>
    <xf numFmtId="0" fontId="9" fillId="23" borderId="1" xfId="0" applyFont="1" applyFill="1" applyBorder="1" applyAlignment="1">
      <alignment horizontal="center" vertical="center"/>
    </xf>
    <xf numFmtId="0" fontId="16" fillId="24" borderId="1" xfId="0" applyFont="1" applyFill="1" applyBorder="1" applyAlignment="1">
      <alignment horizontal="left" vertical="center" indent="1"/>
    </xf>
    <xf numFmtId="0" fontId="22" fillId="18" borderId="1" xfId="0" applyFont="1" applyFill="1" applyBorder="1" applyAlignment="1">
      <alignment horizontal="left" vertical="center" indent="1"/>
    </xf>
    <xf numFmtId="164" fontId="22" fillId="18" borderId="1" xfId="0" applyNumberFormat="1" applyFont="1" applyFill="1" applyBorder="1" applyAlignment="1">
      <alignment horizontal="left" vertical="center" indent="1"/>
    </xf>
    <xf numFmtId="165" fontId="22" fillId="18" borderId="1" xfId="0" applyNumberFormat="1" applyFont="1" applyFill="1" applyBorder="1" applyAlignment="1">
      <alignment horizontal="left" vertical="center" indent="1"/>
    </xf>
    <xf numFmtId="164" fontId="21" fillId="25" borderId="1" xfId="0" applyNumberFormat="1" applyFont="1" applyFill="1" applyBorder="1" applyAlignment="1">
      <alignment horizontal="left" vertical="center" indent="1"/>
    </xf>
    <xf numFmtId="1" fontId="22" fillId="18" borderId="1" xfId="0" applyNumberFormat="1" applyFont="1" applyFill="1" applyBorder="1" applyAlignment="1">
      <alignment horizontal="left" vertical="center" indent="1"/>
    </xf>
    <xf numFmtId="166" fontId="22" fillId="18" borderId="1" xfId="0" applyNumberFormat="1" applyFont="1" applyFill="1" applyBorder="1" applyAlignment="1">
      <alignment horizontal="left" vertical="center" indent="1"/>
    </xf>
    <xf numFmtId="167" fontId="23" fillId="25" borderId="1" xfId="0" applyNumberFormat="1" applyFont="1" applyFill="1" applyBorder="1" applyAlignment="1">
      <alignment horizontal="center" vertical="center"/>
    </xf>
    <xf numFmtId="168" fontId="30" fillId="25" borderId="1" xfId="0" applyNumberFormat="1" applyFont="1" applyFill="1" applyBorder="1" applyAlignment="1">
      <alignment horizontal="center" vertical="center"/>
    </xf>
    <xf numFmtId="1" fontId="30" fillId="25" borderId="1" xfId="0" applyNumberFormat="1" applyFont="1" applyFill="1" applyBorder="1" applyAlignment="1">
      <alignment horizontal="center" vertical="center"/>
    </xf>
    <xf numFmtId="0" fontId="31" fillId="8" borderId="1" xfId="0" applyFont="1" applyFill="1" applyBorder="1" applyAlignment="1">
      <alignment horizontal="left" vertical="center" wrapText="1" indent="1"/>
    </xf>
    <xf numFmtId="1" fontId="6" fillId="25" borderId="1" xfId="0" applyNumberFormat="1" applyFont="1" applyFill="1" applyBorder="1" applyAlignment="1">
      <alignment horizontal="center" vertical="center"/>
    </xf>
    <xf numFmtId="0" fontId="6" fillId="25" borderId="1" xfId="0" applyFont="1" applyFill="1" applyBorder="1" applyAlignment="1">
      <alignment horizontal="center" vertical="center" wrapText="1"/>
    </xf>
    <xf numFmtId="0" fontId="31" fillId="9" borderId="1" xfId="0" applyFont="1" applyFill="1" applyBorder="1" applyAlignment="1">
      <alignment horizontal="left" vertical="center" wrapText="1" indent="1"/>
    </xf>
    <xf numFmtId="167" fontId="6" fillId="25" borderId="1" xfId="0" applyNumberFormat="1" applyFont="1" applyFill="1" applyBorder="1" applyAlignment="1">
      <alignment horizontal="center" vertical="center"/>
    </xf>
    <xf numFmtId="0" fontId="7" fillId="26" borderId="2" xfId="0" applyFont="1" applyFill="1" applyBorder="1" applyAlignment="1">
      <alignment horizontal="center" vertical="center" wrapText="1"/>
    </xf>
    <xf numFmtId="0" fontId="19" fillId="25" borderId="1" xfId="0" applyFont="1" applyFill="1" applyBorder="1" applyAlignment="1">
      <alignment horizontal="center" vertical="center"/>
    </xf>
    <xf numFmtId="0" fontId="31" fillId="8" borderId="1" xfId="0" applyFont="1" applyFill="1" applyBorder="1" applyAlignment="1">
      <alignment horizontal="center" vertical="center"/>
    </xf>
    <xf numFmtId="1" fontId="31" fillId="8" borderId="1" xfId="0" applyNumberFormat="1" applyFont="1" applyFill="1" applyBorder="1" applyAlignment="1">
      <alignment horizontal="center" vertical="center"/>
    </xf>
    <xf numFmtId="168" fontId="31" fillId="8" borderId="1" xfId="0" applyNumberFormat="1" applyFont="1" applyFill="1" applyBorder="1" applyAlignment="1">
      <alignment horizontal="right" vertical="center" indent="1"/>
    </xf>
    <xf numFmtId="164" fontId="31" fillId="8" borderId="1" xfId="0" applyNumberFormat="1" applyFont="1" applyFill="1" applyBorder="1" applyAlignment="1">
      <alignment horizontal="center" vertical="center"/>
    </xf>
    <xf numFmtId="0" fontId="6" fillId="25" borderId="1" xfId="0" applyFont="1" applyFill="1" applyBorder="1" applyAlignment="1">
      <alignment horizontal="left" vertical="center" wrapText="1" indent="1"/>
    </xf>
    <xf numFmtId="0" fontId="31" fillId="9" borderId="1" xfId="0" applyFont="1" applyFill="1" applyBorder="1" applyAlignment="1">
      <alignment horizontal="center" vertical="center"/>
    </xf>
    <xf numFmtId="1" fontId="31" fillId="9" borderId="1" xfId="0" applyNumberFormat="1" applyFont="1" applyFill="1" applyBorder="1" applyAlignment="1">
      <alignment horizontal="center" vertical="center"/>
    </xf>
    <xf numFmtId="168" fontId="31" fillId="9" borderId="1" xfId="0" applyNumberFormat="1" applyFont="1" applyFill="1" applyBorder="1" applyAlignment="1">
      <alignment horizontal="right" vertical="center" indent="1"/>
    </xf>
    <xf numFmtId="164" fontId="31" fillId="9" borderId="1" xfId="0" applyNumberFormat="1" applyFont="1" applyFill="1" applyBorder="1" applyAlignment="1">
      <alignment horizontal="center" vertical="center"/>
    </xf>
    <xf numFmtId="1" fontId="7" fillId="8" borderId="1" xfId="0" applyNumberFormat="1" applyFont="1" applyFill="1" applyBorder="1" applyAlignment="1">
      <alignment horizontal="center" vertical="center"/>
    </xf>
    <xf numFmtId="1" fontId="7" fillId="9" borderId="1" xfId="0" applyNumberFormat="1" applyFont="1" applyFill="1" applyBorder="1" applyAlignment="1">
      <alignment horizontal="center" vertical="center"/>
    </xf>
    <xf numFmtId="165" fontId="6" fillId="25" borderId="1" xfId="0" applyNumberFormat="1" applyFont="1" applyFill="1" applyBorder="1" applyAlignment="1">
      <alignment horizontal="center" vertical="center"/>
    </xf>
    <xf numFmtId="165" fontId="31" fillId="8" borderId="1" xfId="0" applyNumberFormat="1" applyFont="1" applyFill="1" applyBorder="1" applyAlignment="1">
      <alignment horizontal="center" vertical="center"/>
    </xf>
    <xf numFmtId="168" fontId="6" fillId="25" borderId="1" xfId="0" applyNumberFormat="1" applyFont="1" applyFill="1" applyBorder="1" applyAlignment="1">
      <alignment horizontal="right" vertical="center" indent="1"/>
    </xf>
    <xf numFmtId="165" fontId="31" fillId="9" borderId="1" xfId="0" applyNumberFormat="1" applyFont="1" applyFill="1" applyBorder="1" applyAlignment="1">
      <alignment horizontal="center" vertical="center"/>
    </xf>
    <xf numFmtId="164" fontId="31" fillId="8" borderId="1" xfId="0" applyNumberFormat="1" applyFont="1" applyFill="1" applyBorder="1" applyAlignment="1">
      <alignment horizontal="center" vertical="center" wrapText="1"/>
    </xf>
    <xf numFmtId="0" fontId="6" fillId="25" borderId="1" xfId="0" applyFont="1" applyFill="1" applyBorder="1" applyAlignment="1">
      <alignment horizontal="center" vertical="center"/>
    </xf>
    <xf numFmtId="164" fontId="31" fillId="9" borderId="1" xfId="0" applyNumberFormat="1" applyFont="1" applyFill="1" applyBorder="1" applyAlignment="1">
      <alignment horizontal="center" vertical="center" wrapText="1"/>
    </xf>
    <xf numFmtId="0" fontId="19" fillId="14" borderId="1" xfId="0" applyFont="1" applyFill="1" applyBorder="1" applyAlignment="1">
      <alignment horizontal="center" vertical="center"/>
    </xf>
    <xf numFmtId="0" fontId="19" fillId="5" borderId="1" xfId="0" applyFont="1" applyFill="1" applyBorder="1" applyAlignment="1">
      <alignment horizontal="center" vertical="center"/>
    </xf>
    <xf numFmtId="0" fontId="19" fillId="19" borderId="1" xfId="0" applyFont="1" applyFill="1" applyBorder="1" applyAlignment="1">
      <alignment horizontal="center" vertical="center"/>
    </xf>
    <xf numFmtId="0" fontId="35" fillId="13" borderId="1" xfId="0" applyFont="1" applyFill="1" applyBorder="1" applyAlignment="1">
      <alignment horizontal="center" vertical="center"/>
    </xf>
    <xf numFmtId="0" fontId="35" fillId="11" borderId="1" xfId="0" applyFont="1" applyFill="1" applyBorder="1" applyAlignment="1">
      <alignment horizontal="center" vertical="center"/>
    </xf>
    <xf numFmtId="0" fontId="19" fillId="23" borderId="1" xfId="0" applyFont="1" applyFill="1" applyBorder="1" applyAlignment="1">
      <alignment horizontal="center" vertical="center"/>
    </xf>
    <xf numFmtId="0" fontId="7" fillId="18" borderId="1" xfId="0" applyFont="1" applyFill="1" applyBorder="1" applyAlignment="1">
      <alignment horizontal="left" vertical="center" indent="1"/>
    </xf>
    <xf numFmtId="0" fontId="7" fillId="25" borderId="1" xfId="0" applyFont="1" applyFill="1" applyBorder="1" applyAlignment="1">
      <alignment horizontal="left" vertical="center" indent="1"/>
    </xf>
    <xf numFmtId="0" fontId="7" fillId="6" borderId="1" xfId="0" applyFont="1" applyFill="1" applyBorder="1" applyAlignment="1">
      <alignment horizontal="left" vertical="center" indent="1"/>
    </xf>
    <xf numFmtId="0" fontId="7" fillId="24" borderId="1" xfId="0" applyFont="1" applyFill="1" applyBorder="1" applyAlignment="1">
      <alignment horizontal="left" vertical="center" indent="1"/>
    </xf>
    <xf numFmtId="0" fontId="7" fillId="6" borderId="2" xfId="0" applyFont="1" applyFill="1" applyBorder="1" applyAlignment="1">
      <alignment horizontal="left" vertical="center" wrapText="1" indent="1"/>
    </xf>
    <xf numFmtId="0" fontId="18" fillId="2" borderId="0" xfId="0" applyFont="1" applyFill="1" applyAlignment="1">
      <alignment horizontal="left" vertical="center" indent="15"/>
    </xf>
    <xf numFmtId="0" fontId="1" fillId="7" borderId="0" xfId="0" applyFont="1" applyFill="1" applyAlignment="1">
      <alignment horizontal="left" vertical="center" indent="1"/>
    </xf>
    <xf numFmtId="0" fontId="19" fillId="0" borderId="0" xfId="0" applyFont="1" applyAlignment="1">
      <alignment horizontal="left" vertical="center" indent="1"/>
    </xf>
    <xf numFmtId="0" fontId="20" fillId="0" borderId="0" xfId="0" applyFont="1" applyAlignment="1">
      <alignment horizontal="left" vertical="top" wrapText="1" indent="1"/>
    </xf>
    <xf numFmtId="0" fontId="21" fillId="0" borderId="0" xfId="0" applyFont="1" applyAlignment="1">
      <alignment horizontal="left" vertical="center" wrapText="1" indent="1"/>
    </xf>
    <xf numFmtId="0" fontId="21" fillId="0" borderId="0" xfId="0" applyFont="1" applyAlignment="1">
      <alignment horizontal="left" vertical="center" indent="1"/>
    </xf>
    <xf numFmtId="0" fontId="24" fillId="0" borderId="0" xfId="0" applyFont="1" applyAlignment="1">
      <alignment horizontal="right" vertical="center" indent="1"/>
    </xf>
    <xf numFmtId="0" fontId="19" fillId="18" borderId="1" xfId="0" applyFont="1" applyFill="1" applyBorder="1" applyAlignment="1">
      <alignment horizontal="center" vertical="center" wrapText="1"/>
    </xf>
    <xf numFmtId="0" fontId="19" fillId="22" borderId="1" xfId="0" applyFont="1" applyFill="1" applyBorder="1" applyAlignment="1">
      <alignment horizontal="center" vertical="center" wrapText="1"/>
    </xf>
    <xf numFmtId="0" fontId="19" fillId="21" borderId="1" xfId="0" applyFont="1" applyFill="1" applyBorder="1" applyAlignment="1">
      <alignment horizontal="center" vertical="center" wrapText="1"/>
    </xf>
    <xf numFmtId="168" fontId="25" fillId="18" borderId="1" xfId="0" applyNumberFormat="1" applyFont="1" applyFill="1" applyBorder="1" applyAlignment="1">
      <alignment horizontal="center" vertical="center"/>
    </xf>
    <xf numFmtId="1" fontId="26" fillId="22" borderId="1" xfId="0" applyNumberFormat="1" applyFont="1" applyFill="1" applyBorder="1" applyAlignment="1">
      <alignment horizontal="center" vertical="center"/>
    </xf>
    <xf numFmtId="1" fontId="27" fillId="21" borderId="1" xfId="0" applyNumberFormat="1" applyFont="1" applyFill="1" applyBorder="1" applyAlignment="1">
      <alignment horizontal="center" vertical="center"/>
    </xf>
    <xf numFmtId="0" fontId="19" fillId="17" borderId="1" xfId="0" applyFont="1" applyFill="1" applyBorder="1" applyAlignment="1">
      <alignment horizontal="center" vertical="center" wrapText="1"/>
    </xf>
    <xf numFmtId="0" fontId="19" fillId="20" borderId="1" xfId="0" applyFont="1" applyFill="1" applyBorder="1" applyAlignment="1">
      <alignment horizontal="center" vertical="center" wrapText="1"/>
    </xf>
    <xf numFmtId="167" fontId="28" fillId="17" borderId="1" xfId="0" applyNumberFormat="1" applyFont="1" applyFill="1" applyBorder="1" applyAlignment="1">
      <alignment horizontal="center" vertical="center"/>
    </xf>
    <xf numFmtId="1" fontId="29" fillId="20" borderId="1" xfId="0" applyNumberFormat="1" applyFont="1" applyFill="1" applyBorder="1" applyAlignment="1">
      <alignment horizontal="center" vertical="center"/>
    </xf>
    <xf numFmtId="166" fontId="29" fillId="20" borderId="1" xfId="0" applyNumberFormat="1" applyFont="1" applyFill="1" applyBorder="1" applyAlignment="1">
      <alignment horizontal="center" vertical="center"/>
    </xf>
    <xf numFmtId="0" fontId="6" fillId="0" borderId="0" xfId="0" applyFont="1" applyAlignment="1">
      <alignment horizontal="left" vertical="center" wrapText="1" indent="1"/>
    </xf>
    <xf numFmtId="0" fontId="31" fillId="8" borderId="1" xfId="0" applyFont="1" applyFill="1" applyBorder="1" applyAlignment="1">
      <alignment horizontal="left" vertical="center" wrapText="1" indent="1"/>
    </xf>
    <xf numFmtId="0" fontId="31" fillId="9" borderId="1" xfId="0" applyFont="1" applyFill="1" applyBorder="1" applyAlignment="1">
      <alignment horizontal="left" vertical="center" wrapText="1" indent="1"/>
    </xf>
    <xf numFmtId="0" fontId="31" fillId="8" borderId="1" xfId="0" applyFont="1" applyFill="1" applyBorder="1" applyAlignment="1">
      <alignment horizontal="left" vertical="center" indent="1"/>
    </xf>
    <xf numFmtId="0" fontId="31" fillId="9" borderId="1" xfId="0" applyFont="1" applyFill="1" applyBorder="1" applyAlignment="1">
      <alignment horizontal="left" vertical="center" indent="1"/>
    </xf>
    <xf numFmtId="0" fontId="6" fillId="17" borderId="1" xfId="0" applyFont="1" applyFill="1" applyBorder="1" applyAlignment="1">
      <alignment horizontal="left" vertical="center" wrapText="1" indent="1"/>
    </xf>
    <xf numFmtId="167" fontId="32" fillId="17" borderId="1" xfId="0" applyNumberFormat="1" applyFont="1" applyFill="1" applyBorder="1" applyAlignment="1">
      <alignment horizontal="center" vertical="center"/>
    </xf>
    <xf numFmtId="0" fontId="6" fillId="22" borderId="1" xfId="0" applyFont="1" applyFill="1" applyBorder="1" applyAlignment="1">
      <alignment horizontal="left" vertical="center" wrapText="1" indent="1"/>
    </xf>
    <xf numFmtId="1" fontId="33" fillId="22" borderId="1" xfId="0" applyNumberFormat="1" applyFont="1" applyFill="1" applyBorder="1" applyAlignment="1">
      <alignment horizontal="center" vertical="center"/>
    </xf>
    <xf numFmtId="0" fontId="6" fillId="21" borderId="1" xfId="0" applyFont="1" applyFill="1" applyBorder="1" applyAlignment="1">
      <alignment horizontal="left" vertical="center" wrapText="1" indent="1"/>
    </xf>
    <xf numFmtId="1" fontId="34" fillId="21" borderId="1" xfId="0" applyNumberFormat="1" applyFont="1" applyFill="1" applyBorder="1" applyAlignment="1">
      <alignment horizontal="center" vertical="center"/>
    </xf>
    <xf numFmtId="0" fontId="1" fillId="10" borderId="0" xfId="0" applyFont="1" applyFill="1" applyAlignment="1">
      <alignment horizontal="left" vertical="center" indent="1"/>
    </xf>
    <xf numFmtId="0" fontId="1" fillId="11" borderId="0" xfId="0" applyFont="1" applyFill="1" applyAlignment="1">
      <alignment horizontal="left" vertical="center" indent="1"/>
    </xf>
    <xf numFmtId="0" fontId="1" fillId="12" borderId="0" xfId="0" applyFont="1" applyFill="1" applyAlignment="1">
      <alignment horizontal="left" vertical="center" indent="1"/>
    </xf>
    <xf numFmtId="0" fontId="1" fillId="13" borderId="0" xfId="0" applyFont="1" applyFill="1" applyAlignment="1">
      <alignment horizontal="left" vertical="center" indent="1"/>
    </xf>
    <xf numFmtId="0" fontId="1" fillId="14" borderId="0" xfId="0" applyFont="1" applyFill="1" applyAlignment="1">
      <alignment horizontal="left" vertical="center" indent="1"/>
    </xf>
    <xf numFmtId="0" fontId="1" fillId="15" borderId="0" xfId="0" applyFont="1" applyFill="1" applyAlignment="1">
      <alignment horizontal="left" vertical="center" indent="1"/>
    </xf>
    <xf numFmtId="164" fontId="21" fillId="25" borderId="1" xfId="0" applyNumberFormat="1" applyFont="1" applyFill="1" applyBorder="1" applyAlignment="1">
      <alignment horizontal="center" vertical="center"/>
    </xf>
    <xf numFmtId="168" fontId="21" fillId="25" borderId="1" xfId="0" applyNumberFormat="1" applyFont="1" applyFill="1" applyBorder="1" applyAlignment="1">
      <alignment horizontal="center" vertical="center"/>
    </xf>
    <xf numFmtId="169" fontId="21" fillId="25" borderId="1" xfId="0" applyNumberFormat="1" applyFont="1" applyFill="1" applyBorder="1" applyAlignment="1">
      <alignment horizontal="center" vertical="center"/>
    </xf>
    <xf numFmtId="166" fontId="21" fillId="25" borderId="1" xfId="0" applyNumberFormat="1" applyFont="1" applyFill="1" applyBorder="1" applyAlignment="1">
      <alignment horizontal="center" vertical="center"/>
    </xf>
    <xf numFmtId="0" fontId="1" fillId="16" borderId="0" xfId="0" applyFont="1" applyFill="1" applyAlignment="1">
      <alignment horizontal="left" vertical="center" indent="1"/>
    </xf>
    <xf numFmtId="0" fontId="10" fillId="17" borderId="1" xfId="0" applyFont="1" applyFill="1" applyBorder="1" applyAlignment="1">
      <alignment horizontal="left" vertical="center" indent="1"/>
    </xf>
    <xf numFmtId="0" fontId="6" fillId="0" borderId="1" xfId="0" applyFont="1" applyBorder="1" applyAlignment="1">
      <alignment horizontal="left" vertical="center" wrapText="1" indent="1"/>
    </xf>
    <xf numFmtId="0" fontId="11" fillId="18" borderId="1" xfId="0" applyFont="1" applyFill="1" applyBorder="1" applyAlignment="1">
      <alignment horizontal="left" vertical="center" indent="1"/>
    </xf>
    <xf numFmtId="0" fontId="12" fillId="20" borderId="1" xfId="0" applyFont="1" applyFill="1" applyBorder="1" applyAlignment="1">
      <alignment horizontal="left" vertical="center" indent="1"/>
    </xf>
    <xf numFmtId="0" fontId="14" fillId="21" borderId="1" xfId="0" applyFont="1" applyFill="1" applyBorder="1" applyAlignment="1">
      <alignment horizontal="left" vertical="center" indent="1"/>
    </xf>
    <xf numFmtId="0" fontId="15" fillId="22" borderId="1" xfId="0" applyFont="1" applyFill="1" applyBorder="1" applyAlignment="1">
      <alignment horizontal="left" vertical="center" indent="1"/>
    </xf>
    <xf numFmtId="0" fontId="16" fillId="24" borderId="1" xfId="0" applyFont="1" applyFill="1" applyBorder="1" applyAlignment="1">
      <alignment horizontal="left" vertical="center" indent="1"/>
    </xf>
    <xf numFmtId="0" fontId="6" fillId="22" borderId="1" xfId="0" applyFont="1" applyFill="1" applyBorder="1" applyAlignment="1">
      <alignment horizontal="left" vertical="top" wrapText="1" indent="1"/>
    </xf>
    <xf numFmtId="0" fontId="6" fillId="21" borderId="1" xfId="0" applyFont="1" applyFill="1" applyBorder="1" applyAlignment="1">
      <alignment horizontal="left" vertical="top" wrapText="1" indent="1"/>
    </xf>
    <xf numFmtId="0" fontId="7" fillId="8" borderId="1" xfId="0" applyFont="1" applyFill="1" applyBorder="1" applyAlignment="1">
      <alignment horizontal="left" vertical="top" wrapText="1" indent="1"/>
    </xf>
    <xf numFmtId="0" fontId="6" fillId="8" borderId="1" xfId="0" applyFont="1" applyFill="1" applyBorder="1" applyAlignment="1">
      <alignment horizontal="left" vertical="top" wrapText="1" indent="1"/>
    </xf>
    <xf numFmtId="0" fontId="7" fillId="9" borderId="1" xfId="0" applyFont="1" applyFill="1" applyBorder="1" applyAlignment="1">
      <alignment horizontal="left" vertical="top" wrapText="1" indent="1"/>
    </xf>
    <xf numFmtId="0" fontId="6" fillId="9" borderId="1" xfId="0" applyFont="1" applyFill="1" applyBorder="1" applyAlignment="1">
      <alignment horizontal="left" vertical="top" wrapText="1" indent="1"/>
    </xf>
    <xf numFmtId="0" fontId="6" fillId="0" borderId="0" xfId="0" applyFont="1" applyAlignment="1">
      <alignment horizontal="left" vertical="center" indent="1"/>
    </xf>
  </cellXfs>
  <cellStyles count="1">
    <cellStyle name="Normal" xfId="0" builtinId="0"/>
  </cellStyles>
  <dxfs count="52">
    <dxf>
      <font>
        <b/>
        <sz val="10"/>
        <color rgb="FFFFB547"/>
        <name val="Inter"/>
        <charset val="1"/>
      </font>
      <fill>
        <patternFill>
          <bgColor rgb="FFFFF4E0"/>
        </patternFill>
      </fill>
    </dxf>
    <dxf>
      <font>
        <b/>
        <sz val="10"/>
        <color rgb="FF4CAF50"/>
        <name val="Inter"/>
        <charset val="1"/>
      </font>
      <fill>
        <patternFill>
          <bgColor rgb="FFE8F5E9"/>
        </patternFill>
      </fill>
    </dxf>
    <dxf>
      <font>
        <b/>
        <sz val="10"/>
        <color rgb="FFE31B0C"/>
        <name val="Inter"/>
        <charset val="1"/>
      </font>
      <fill>
        <patternFill>
          <bgColor rgb="FFFDEBE9"/>
        </patternFill>
      </fill>
    </dxf>
    <dxf>
      <fill>
        <patternFill>
          <bgColor rgb="FFFFF4E0"/>
        </patternFill>
      </fill>
    </dxf>
    <dxf>
      <fill>
        <patternFill>
          <bgColor rgb="FFFDEBE0"/>
        </patternFill>
      </fill>
    </dxf>
    <dxf>
      <fill>
        <patternFill>
          <bgColor rgb="FFFDEBE9"/>
        </patternFill>
      </fill>
    </dxf>
    <dxf>
      <fill>
        <patternFill>
          <bgColor rgb="FFE8F5E9"/>
        </patternFill>
      </fill>
    </dxf>
    <dxf>
      <fill>
        <patternFill>
          <bgColor rgb="FFFFF4E0"/>
        </patternFill>
      </fill>
    </dxf>
    <dxf>
      <fill>
        <patternFill>
          <bgColor rgb="FFFFF4E0"/>
        </patternFill>
      </fill>
    </dxf>
    <dxf>
      <fill>
        <patternFill>
          <bgColor rgb="FFFDEBE0"/>
        </patternFill>
      </fill>
    </dxf>
    <dxf>
      <fill>
        <patternFill>
          <bgColor rgb="FFEEEEEE"/>
        </patternFill>
      </fill>
    </dxf>
    <dxf>
      <fill>
        <patternFill>
          <bgColor rgb="FFE8F5E9"/>
        </patternFill>
      </fill>
    </dxf>
    <dxf>
      <fill>
        <patternFill>
          <bgColor rgb="FFFDEBE9"/>
        </patternFill>
      </fill>
    </dxf>
    <dxf>
      <fill>
        <patternFill>
          <bgColor rgb="FFFFF4E0"/>
        </patternFill>
      </fill>
    </dxf>
    <dxf>
      <fill>
        <patternFill>
          <bgColor rgb="FFFFF4E0"/>
        </patternFill>
      </fill>
    </dxf>
    <dxf>
      <fill>
        <patternFill>
          <bgColor rgb="FFFDEBE0"/>
        </patternFill>
      </fill>
    </dxf>
    <dxf>
      <fill>
        <patternFill>
          <bgColor rgb="FFE3F0FA"/>
        </patternFill>
      </fill>
    </dxf>
    <dxf>
      <fill>
        <patternFill>
          <bgColor rgb="FFE8F5E9"/>
        </patternFill>
      </fill>
    </dxf>
    <dxf>
      <fill>
        <patternFill>
          <bgColor rgb="FFFDEBE9"/>
        </patternFill>
      </fill>
    </dxf>
    <dxf>
      <fill>
        <patternFill>
          <bgColor rgb="FFFFF4E0"/>
        </patternFill>
      </fill>
    </dxf>
    <dxf>
      <font>
        <b/>
        <sz val="9"/>
        <color rgb="FFE31B0C"/>
        <name val="Inter"/>
        <charset val="1"/>
      </font>
      <fill>
        <patternFill>
          <bgColor rgb="FFFDEBE9"/>
        </patternFill>
      </fill>
    </dxf>
    <dxf>
      <font>
        <b/>
        <sz val="9"/>
        <color rgb="FFE31B0C"/>
        <name val="Inter"/>
        <charset val="1"/>
      </font>
      <fill>
        <patternFill>
          <bgColor rgb="FFFDEBE9"/>
        </patternFill>
      </fill>
    </dxf>
    <dxf>
      <font>
        <b/>
        <sz val="9"/>
        <color rgb="FFFFB547"/>
        <name val="Inter"/>
        <charset val="1"/>
      </font>
      <fill>
        <patternFill>
          <bgColor rgb="FFFFF4E0"/>
        </patternFill>
      </fill>
    </dxf>
    <dxf>
      <font>
        <b/>
        <sz val="9"/>
        <color rgb="FFFFB547"/>
        <name val="Inter"/>
        <charset val="1"/>
      </font>
      <fill>
        <patternFill>
          <bgColor rgb="FFFFF4E0"/>
        </patternFill>
      </fill>
    </dxf>
    <dxf>
      <fill>
        <patternFill>
          <bgColor rgb="FFFFF4E0"/>
        </patternFill>
      </fill>
    </dxf>
    <dxf>
      <fill>
        <patternFill>
          <bgColor rgb="FFFDEBE0"/>
        </patternFill>
      </fill>
    </dxf>
    <dxf>
      <fill>
        <patternFill>
          <bgColor rgb="FFE8F5E9"/>
        </patternFill>
      </fill>
    </dxf>
    <dxf>
      <fill>
        <patternFill>
          <bgColor rgb="FFFDEBE9"/>
        </patternFill>
      </fill>
    </dxf>
    <dxf>
      <fill>
        <patternFill>
          <bgColor rgb="FFFDEBE9"/>
        </patternFill>
      </fill>
    </dxf>
    <dxf>
      <fill>
        <patternFill>
          <bgColor rgb="FFFFF4E0"/>
        </patternFill>
      </fill>
    </dxf>
    <dxf>
      <fill>
        <patternFill>
          <bgColor rgb="FFE8F5E9"/>
        </patternFill>
      </fill>
    </dxf>
    <dxf>
      <fill>
        <patternFill>
          <bgColor rgb="FFFDEBE0"/>
        </patternFill>
      </fill>
    </dxf>
    <dxf>
      <fill>
        <patternFill>
          <bgColor rgb="FFFDEBE9"/>
        </patternFill>
      </fill>
    </dxf>
    <dxf>
      <fill>
        <patternFill>
          <bgColor rgb="FFFDEBE9"/>
        </patternFill>
      </fill>
    </dxf>
    <dxf>
      <fill>
        <patternFill>
          <bgColor rgb="FFFFF4E0"/>
        </patternFill>
      </fill>
    </dxf>
    <dxf>
      <font>
        <b/>
        <sz val="9"/>
        <color rgb="FFE31B0C"/>
        <name val="Inter"/>
        <charset val="1"/>
      </font>
      <fill>
        <patternFill>
          <bgColor rgb="FFFDEBE9"/>
        </patternFill>
      </fill>
    </dxf>
    <dxf>
      <font>
        <b/>
        <sz val="9"/>
        <color rgb="FFE31B0C"/>
        <name val="Inter"/>
        <charset val="1"/>
      </font>
    </dxf>
    <dxf>
      <fill>
        <patternFill>
          <bgColor rgb="FFFFF4E0"/>
        </patternFill>
      </fill>
    </dxf>
    <dxf>
      <fill>
        <patternFill>
          <bgColor rgb="FFFDEBE0"/>
        </patternFill>
      </fill>
    </dxf>
    <dxf>
      <fill>
        <patternFill>
          <bgColor rgb="FFFDEBE9"/>
        </patternFill>
      </fill>
    </dxf>
    <dxf>
      <fill>
        <patternFill>
          <bgColor rgb="FFEEEEEE"/>
        </patternFill>
      </fill>
    </dxf>
    <dxf>
      <fill>
        <patternFill>
          <bgColor rgb="FFE8F5E9"/>
        </patternFill>
      </fill>
    </dxf>
    <dxf>
      <fill>
        <patternFill>
          <bgColor rgb="FFFFF4E0"/>
        </patternFill>
      </fill>
    </dxf>
    <dxf>
      <font>
        <b/>
        <sz val="9"/>
        <color rgb="FFE31B0C"/>
        <name val="Inter"/>
        <charset val="1"/>
      </font>
      <fill>
        <patternFill>
          <bgColor rgb="FFFDEBE9"/>
        </patternFill>
      </fill>
    </dxf>
    <dxf>
      <font>
        <b/>
        <sz val="9"/>
        <color rgb="FFE31B0C"/>
        <name val="Inter"/>
        <charset val="1"/>
      </font>
      <fill>
        <patternFill>
          <bgColor rgb="FFFDEBE9"/>
        </patternFill>
      </fill>
    </dxf>
    <dxf>
      <font>
        <b/>
        <sz val="12"/>
        <color rgb="FFEC6917"/>
        <name val="Inter"/>
        <charset val="1"/>
      </font>
      <fill>
        <patternFill>
          <bgColor rgb="FFFDEBE0"/>
        </patternFill>
      </fill>
    </dxf>
    <dxf>
      <font>
        <b/>
        <sz val="12"/>
        <color rgb="FFE31B0C"/>
        <name val="Inter"/>
        <charset val="1"/>
      </font>
      <fill>
        <patternFill>
          <bgColor rgb="FFFDEBE9"/>
        </patternFill>
      </fill>
    </dxf>
    <dxf>
      <fill>
        <patternFill>
          <bgColor rgb="FFE8F5E9"/>
        </patternFill>
      </fill>
    </dxf>
    <dxf>
      <fill>
        <patternFill>
          <bgColor rgb="FFFDEBE9"/>
        </patternFill>
      </fill>
    </dxf>
    <dxf>
      <fill>
        <patternFill>
          <bgColor rgb="FFFFF4E0"/>
        </patternFill>
      </fill>
    </dxf>
    <dxf>
      <font>
        <b/>
        <sz val="16"/>
        <color rgb="FFFFB547"/>
        <name val="Inter"/>
        <charset val="1"/>
      </font>
      <fill>
        <patternFill>
          <bgColor rgb="FFFFF4E0"/>
        </patternFill>
      </fill>
    </dxf>
    <dxf>
      <fill>
        <patternFill>
          <bgColor rgb="FFFFF4E0"/>
        </patternFill>
      </fill>
    </dxf>
  </dxfs>
  <tableStyles count="0" defaultTableStyle="TableStyleMedium2" defaultPivotStyle="PivotStyleLight16"/>
  <colors>
    <indexedColors>
      <rgbColor rgb="FF000000"/>
      <rgbColor rgb="FFFFFFFF"/>
      <rgbColor rgb="FFE31B0C"/>
      <rgbColor rgb="FF00FF00"/>
      <rgbColor rgb="FF0000FF"/>
      <rgbColor rgb="FFF6F9FC"/>
      <rgbColor rgb="FFFF00FF"/>
      <rgbColor rgb="FF00FFFF"/>
      <rgbColor rgb="FF800000"/>
      <rgbColor rgb="FF008000"/>
      <rgbColor rgb="FF000080"/>
      <rgbColor rgb="FF808000"/>
      <rgbColor rgb="FF800080"/>
      <rgbColor rgb="FF3480BC"/>
      <rgbColor rgb="FFE0E0E0"/>
      <rgbColor rgb="FF808080"/>
      <rgbColor rgb="FF9999FF"/>
      <rgbColor rgb="FF993366"/>
      <rgbColor rgb="FFFFF4E0"/>
      <rgbColor rgb="FFE3F0FA"/>
      <rgbColor rgb="FF660066"/>
      <rgbColor rgb="FFFF8080"/>
      <rgbColor rgb="FF0B79D0"/>
      <rgbColor rgb="FFD3DEE9"/>
      <rgbColor rgb="FF000080"/>
      <rgbColor rgb="FFFF00FF"/>
      <rgbColor rgb="FFFFFF00"/>
      <rgbColor rgb="FF00FFFF"/>
      <rgbColor rgb="FF800080"/>
      <rgbColor rgb="FF800000"/>
      <rgbColor rgb="FF008080"/>
      <rgbColor rgb="FF0000FF"/>
      <rgbColor rgb="FF039BE5"/>
      <rgbColor rgb="FFE8F5E9"/>
      <rgbColor rgb="FFDCE9F4"/>
      <rgbColor rgb="FFFDEBE0"/>
      <rgbColor rgb="FF64B6F7"/>
      <rgbColor rgb="FFEEEEEE"/>
      <rgbColor rgb="FFF5F5F5"/>
      <rgbColor rgb="FFFDEBE9"/>
      <rgbColor rgb="FF2F76BB"/>
      <rgbColor rgb="FF33CCCC"/>
      <rgbColor rgb="FF99CC00"/>
      <rgbColor rgb="FFFFB547"/>
      <rgbColor rgb="FFFF9900"/>
      <rgbColor rgb="FFEC6917"/>
      <rgbColor rgb="FF666699"/>
      <rgbColor rgb="FF8E98A2"/>
      <rgbColor rgb="FF0D3C61"/>
      <rgbColor rgb="FF4CAF50"/>
      <rgbColor rgb="FF003300"/>
      <rgbColor rgb="FF333300"/>
      <rgbColor rgb="FF993300"/>
      <rgbColor rgb="FF993366"/>
      <rgbColor rgb="FF215383"/>
      <rgbColor rgb="FF1D324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95400</xdr:colOff>
      <xdr:row>0</xdr:row>
      <xdr:rowOff>114480</xdr:rowOff>
    </xdr:from>
    <xdr:to>
      <xdr:col>2</xdr:col>
      <xdr:colOff>1413000</xdr:colOff>
      <xdr:row>0</xdr:row>
      <xdr:rowOff>590400</xdr:rowOff>
    </xdr:to>
    <xdr:pic>
      <xdr:nvPicPr>
        <xdr:cNvPr id="2" name="Image 1" descr="Picture">
          <a:hlinkClick xmlns:r="http://schemas.openxmlformats.org/officeDocument/2006/relationships" r:id="rId1" tooltip="mastt.com"/>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xdr:blipFill>
      <xdr:spPr>
        <a:xfrm>
          <a:off x="250200" y="114480"/>
          <a:ext cx="1599840" cy="47592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1</xdr:col>
      <xdr:colOff>952200</xdr:colOff>
      <xdr:row>0</xdr:row>
      <xdr:rowOff>313920</xdr:rowOff>
    </xdr:to>
    <xdr:pic>
      <xdr:nvPicPr>
        <xdr:cNvPr id="9" name="Image 1" descr="Picture">
          <a:hlinkClick xmlns:r="http://schemas.openxmlformats.org/officeDocument/2006/relationships" r:id="rId1" tooltip="mastt.com"/>
          <a:extLst>
            <a:ext uri="{FF2B5EF4-FFF2-40B4-BE49-F238E27FC236}">
              <a16:creationId xmlns:a16="http://schemas.microsoft.com/office/drawing/2014/main" id="{00000000-0008-0000-0900-000009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r="http://schemas.openxmlformats.org/officeDocument/2006/relationships" r:id="rId1" tooltip="mastt.com"/>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r="http://schemas.openxmlformats.org/officeDocument/2006/relationships" r:id="rId1" tooltip="mastt.com"/>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458640</xdr:colOff>
      <xdr:row>0</xdr:row>
      <xdr:rowOff>313920</xdr:rowOff>
    </xdr:to>
    <xdr:pic>
      <xdr:nvPicPr>
        <xdr:cNvPr id="3" name="Image 1" descr="Picture">
          <a:hlinkClick xmlns:r="http://schemas.openxmlformats.org/officeDocument/2006/relationships" r:id="rId1" tooltip="mastt.com"/>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458640</xdr:colOff>
      <xdr:row>0</xdr:row>
      <xdr:rowOff>313920</xdr:rowOff>
    </xdr:to>
    <xdr:pic>
      <xdr:nvPicPr>
        <xdr:cNvPr id="4" name="Image 1" descr="Picture">
          <a:hlinkClick xmlns:r="http://schemas.openxmlformats.org/officeDocument/2006/relationships" r:id="rId1" tooltip="mastt.com"/>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388080</xdr:colOff>
      <xdr:row>0</xdr:row>
      <xdr:rowOff>313920</xdr:rowOff>
    </xdr:to>
    <xdr:pic>
      <xdr:nvPicPr>
        <xdr:cNvPr id="5" name="Image 1" descr="Picture">
          <a:hlinkClick xmlns:r="http://schemas.openxmlformats.org/officeDocument/2006/relationships" r:id="rId1" tooltip="mastt.com"/>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388080</xdr:colOff>
      <xdr:row>0</xdr:row>
      <xdr:rowOff>313920</xdr:rowOff>
    </xdr:to>
    <xdr:pic>
      <xdr:nvPicPr>
        <xdr:cNvPr id="6" name="Image 1" descr="Picture">
          <a:hlinkClick xmlns:r="http://schemas.openxmlformats.org/officeDocument/2006/relationships" r:id="rId1" tooltip="mastt.com"/>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2</xdr:col>
      <xdr:colOff>458640</xdr:colOff>
      <xdr:row>0</xdr:row>
      <xdr:rowOff>313920</xdr:rowOff>
    </xdr:to>
    <xdr:pic>
      <xdr:nvPicPr>
        <xdr:cNvPr id="7" name="Image 1" descr="Picture">
          <a:hlinkClick xmlns:r="http://schemas.openxmlformats.org/officeDocument/2006/relationships" r:id="rId1" tooltip="mastt.com"/>
          <a:extLst>
            <a:ext uri="{FF2B5EF4-FFF2-40B4-BE49-F238E27FC236}">
              <a16:creationId xmlns:a16="http://schemas.microsoft.com/office/drawing/2014/main" id="{00000000-0008-0000-0700-000007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76320</xdr:colOff>
      <xdr:row>0</xdr:row>
      <xdr:rowOff>57240</xdr:rowOff>
    </xdr:from>
    <xdr:to>
      <xdr:col>1</xdr:col>
      <xdr:colOff>952200</xdr:colOff>
      <xdr:row>0</xdr:row>
      <xdr:rowOff>313920</xdr:rowOff>
    </xdr:to>
    <xdr:pic>
      <xdr:nvPicPr>
        <xdr:cNvPr id="8" name="Image 1" descr="Picture">
          <a:hlinkClick xmlns:r="http://schemas.openxmlformats.org/officeDocument/2006/relationships" r:id="rId1" tooltip="mastt.com"/>
          <a:extLst>
            <a:ext uri="{FF2B5EF4-FFF2-40B4-BE49-F238E27FC236}">
              <a16:creationId xmlns:a16="http://schemas.microsoft.com/office/drawing/2014/main" id="{00000000-0008-0000-0800-000008000000}"/>
            </a:ext>
          </a:extLst>
        </xdr:cNvPr>
        <xdr:cNvPicPr/>
      </xdr:nvPicPr>
      <xdr:blipFill>
        <a:blip xmlns:r="http://schemas.openxmlformats.org/officeDocument/2006/relationships" r:embed="rId2"/>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astt.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mastt.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mastt.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mastt.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mastt.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mastt.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mastt.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mastt.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mastt.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mast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D3245"/>
    <pageSetUpPr fitToPage="1"/>
  </sheetPr>
  <dimension ref="B1:G180"/>
  <sheetViews>
    <sheetView showGridLines="0" topLeftCell="A146" zoomScaleNormal="100" workbookViewId="0">
      <selection activeCell="L15" sqref="L15"/>
    </sheetView>
  </sheetViews>
  <sheetFormatPr defaultColWidth="8.7109375" defaultRowHeight="15"/>
  <cols>
    <col min="1" max="1" width="2.140625" customWidth="1"/>
    <col min="2" max="2" width="4" customWidth="1"/>
    <col min="3" max="3" width="30" customWidth="1"/>
    <col min="4" max="4" width="22" customWidth="1"/>
    <col min="5" max="5" width="20" customWidth="1"/>
    <col min="6" max="6" width="16" customWidth="1"/>
    <col min="7" max="7" width="12" customWidth="1"/>
    <col min="8" max="8" width="2.140625" customWidth="1"/>
  </cols>
  <sheetData>
    <row r="1" spans="2:7" ht="51.75" customHeight="1">
      <c r="B1" s="13"/>
      <c r="C1" s="13"/>
      <c r="D1" s="13"/>
      <c r="E1" s="13"/>
      <c r="F1" s="13"/>
      <c r="G1" s="13"/>
    </row>
    <row r="2" spans="2:7" ht="4.5" customHeight="1">
      <c r="B2" s="12"/>
      <c r="C2" s="12"/>
      <c r="D2" s="12"/>
      <c r="E2" s="12"/>
      <c r="F2" s="12"/>
      <c r="G2" s="12"/>
    </row>
    <row r="4" spans="2:7" ht="37.5" customHeight="1">
      <c r="B4" s="11" t="s">
        <v>0</v>
      </c>
      <c r="C4" s="11"/>
      <c r="D4" s="11"/>
      <c r="E4" s="11"/>
      <c r="F4" s="11"/>
      <c r="G4" s="11"/>
    </row>
    <row r="6" spans="2:7" ht="15" customHeight="1">
      <c r="B6" s="10" t="s">
        <v>1</v>
      </c>
      <c r="C6" s="10"/>
      <c r="D6" s="10"/>
      <c r="E6" s="10"/>
      <c r="F6" s="10"/>
      <c r="G6" s="10"/>
    </row>
    <row r="7" spans="2:7" ht="15" customHeight="1">
      <c r="B7" s="10"/>
      <c r="C7" s="10"/>
      <c r="D7" s="10"/>
      <c r="E7" s="10"/>
      <c r="F7" s="10"/>
      <c r="G7" s="10"/>
    </row>
    <row r="8" spans="2:7" ht="15" customHeight="1">
      <c r="B8" s="10"/>
      <c r="C8" s="10"/>
      <c r="D8" s="10"/>
      <c r="E8" s="10"/>
      <c r="F8" s="10"/>
      <c r="G8" s="10"/>
    </row>
    <row r="9" spans="2:7" ht="15" customHeight="1">
      <c r="B9" s="10"/>
      <c r="C9" s="10"/>
      <c r="D9" s="10"/>
      <c r="E9" s="10"/>
      <c r="F9" s="10"/>
      <c r="G9" s="10"/>
    </row>
    <row r="11" spans="2:7" ht="24" customHeight="1">
      <c r="B11" s="9" t="s">
        <v>2</v>
      </c>
      <c r="C11" s="9"/>
      <c r="D11" s="9"/>
      <c r="E11" s="9"/>
      <c r="F11" s="9"/>
      <c r="G11" s="9"/>
    </row>
    <row r="12" spans="2:7" ht="13.5" customHeight="1">
      <c r="B12" s="14" t="s">
        <v>3</v>
      </c>
      <c r="C12" s="8" t="s">
        <v>4</v>
      </c>
      <c r="D12" s="7" t="s">
        <v>5</v>
      </c>
      <c r="E12" s="7"/>
      <c r="F12" s="7"/>
      <c r="G12" s="7"/>
    </row>
    <row r="13" spans="2:7" ht="13.5" customHeight="1">
      <c r="C13" s="8"/>
      <c r="D13" s="8"/>
      <c r="E13" s="7"/>
      <c r="F13" s="7"/>
      <c r="G13" s="7"/>
    </row>
    <row r="14" spans="2:7" ht="13.5" customHeight="1">
      <c r="C14" s="8"/>
      <c r="D14" s="8"/>
      <c r="E14" s="7"/>
      <c r="F14" s="7"/>
      <c r="G14" s="7"/>
    </row>
    <row r="15" spans="2:7" ht="13.5" customHeight="1">
      <c r="C15" s="8"/>
      <c r="D15" s="8"/>
      <c r="E15" s="7"/>
      <c r="F15" s="7"/>
      <c r="G15" s="7"/>
    </row>
    <row r="17" spans="2:7" ht="13.5" customHeight="1">
      <c r="B17" s="14" t="s">
        <v>6</v>
      </c>
      <c r="C17" s="8" t="s">
        <v>7</v>
      </c>
      <c r="D17" s="7" t="s">
        <v>8</v>
      </c>
      <c r="E17" s="7"/>
      <c r="F17" s="7"/>
      <c r="G17" s="7"/>
    </row>
    <row r="18" spans="2:7" ht="13.5" customHeight="1">
      <c r="C18" s="8"/>
      <c r="D18" s="8"/>
      <c r="E18" s="7"/>
      <c r="F18" s="7"/>
      <c r="G18" s="7"/>
    </row>
    <row r="19" spans="2:7" ht="13.5" customHeight="1">
      <c r="C19" s="8"/>
      <c r="D19" s="8"/>
      <c r="E19" s="7"/>
      <c r="F19" s="7"/>
      <c r="G19" s="7"/>
    </row>
    <row r="20" spans="2:7" ht="13.5" customHeight="1">
      <c r="C20" s="8"/>
      <c r="D20" s="8"/>
      <c r="E20" s="7"/>
      <c r="F20" s="7"/>
      <c r="G20" s="7"/>
    </row>
    <row r="21" spans="2:7" ht="13.5" customHeight="1">
      <c r="C21" s="8"/>
      <c r="D21" s="8"/>
      <c r="E21" s="7"/>
      <c r="F21" s="7"/>
      <c r="G21" s="7"/>
    </row>
    <row r="23" spans="2:7" ht="13.5" customHeight="1">
      <c r="B23" s="14" t="s">
        <v>9</v>
      </c>
      <c r="C23" s="8" t="s">
        <v>10</v>
      </c>
      <c r="D23" s="7" t="s">
        <v>11</v>
      </c>
      <c r="E23" s="7"/>
      <c r="F23" s="7"/>
      <c r="G23" s="7"/>
    </row>
    <row r="24" spans="2:7" ht="13.5" customHeight="1">
      <c r="C24" s="8"/>
      <c r="D24" s="8"/>
      <c r="E24" s="7"/>
      <c r="F24" s="7"/>
      <c r="G24" s="7"/>
    </row>
    <row r="25" spans="2:7" ht="13.5" customHeight="1">
      <c r="C25" s="8"/>
      <c r="D25" s="8"/>
      <c r="E25" s="7"/>
      <c r="F25" s="7"/>
      <c r="G25" s="7"/>
    </row>
    <row r="26" spans="2:7" ht="13.5" customHeight="1">
      <c r="C26" s="8"/>
      <c r="D26" s="8"/>
      <c r="E26" s="7"/>
      <c r="F26" s="7"/>
      <c r="G26" s="7"/>
    </row>
    <row r="27" spans="2:7" ht="13.5" customHeight="1">
      <c r="C27" s="8"/>
      <c r="D27" s="8"/>
      <c r="E27" s="7"/>
      <c r="F27" s="7"/>
      <c r="G27" s="7"/>
    </row>
    <row r="29" spans="2:7" ht="13.5" customHeight="1">
      <c r="B29" s="14" t="s">
        <v>12</v>
      </c>
      <c r="C29" s="8" t="s">
        <v>13</v>
      </c>
      <c r="D29" s="7" t="s">
        <v>14</v>
      </c>
      <c r="E29" s="7"/>
      <c r="F29" s="7"/>
      <c r="G29" s="7"/>
    </row>
    <row r="30" spans="2:7" ht="13.5" customHeight="1">
      <c r="C30" s="8"/>
      <c r="D30" s="8"/>
      <c r="E30" s="7"/>
      <c r="F30" s="7"/>
      <c r="G30" s="7"/>
    </row>
    <row r="31" spans="2:7" ht="13.5" customHeight="1">
      <c r="C31" s="8"/>
      <c r="D31" s="8"/>
      <c r="E31" s="7"/>
      <c r="F31" s="7"/>
      <c r="G31" s="7"/>
    </row>
    <row r="32" spans="2:7" ht="13.5" customHeight="1">
      <c r="C32" s="8"/>
      <c r="D32" s="8"/>
      <c r="E32" s="7"/>
      <c r="F32" s="7"/>
      <c r="G32" s="7"/>
    </row>
    <row r="34" spans="2:7" ht="13.5" customHeight="1">
      <c r="B34" s="14" t="s">
        <v>15</v>
      </c>
      <c r="C34" s="8" t="s">
        <v>16</v>
      </c>
      <c r="D34" s="7" t="s">
        <v>17</v>
      </c>
      <c r="E34" s="7"/>
      <c r="F34" s="7"/>
      <c r="G34" s="7"/>
    </row>
    <row r="35" spans="2:7" ht="13.5" customHeight="1">
      <c r="C35" s="8"/>
      <c r="D35" s="8"/>
      <c r="E35" s="7"/>
      <c r="F35" s="7"/>
      <c r="G35" s="7"/>
    </row>
    <row r="36" spans="2:7" ht="13.5" customHeight="1">
      <c r="C36" s="8"/>
      <c r="D36" s="8"/>
      <c r="E36" s="7"/>
      <c r="F36" s="7"/>
      <c r="G36" s="7"/>
    </row>
    <row r="37" spans="2:7" ht="13.5" customHeight="1">
      <c r="C37" s="8"/>
      <c r="D37" s="8"/>
      <c r="E37" s="7"/>
      <c r="F37" s="7"/>
      <c r="G37" s="7"/>
    </row>
    <row r="38" spans="2:7" ht="13.5" customHeight="1">
      <c r="C38" s="8"/>
      <c r="D38" s="8"/>
      <c r="E38" s="7"/>
      <c r="F38" s="7"/>
      <c r="G38" s="7"/>
    </row>
    <row r="39" spans="2:7" ht="13.5" customHeight="1">
      <c r="C39" s="8"/>
      <c r="D39" s="8"/>
      <c r="E39" s="7"/>
      <c r="F39" s="7"/>
      <c r="G39" s="7"/>
    </row>
    <row r="41" spans="2:7" ht="13.5" customHeight="1">
      <c r="B41" s="14" t="s">
        <v>18</v>
      </c>
      <c r="C41" s="8" t="s">
        <v>19</v>
      </c>
      <c r="D41" s="7" t="s">
        <v>20</v>
      </c>
      <c r="E41" s="7"/>
      <c r="F41" s="7"/>
      <c r="G41" s="7"/>
    </row>
    <row r="42" spans="2:7" ht="13.5" customHeight="1">
      <c r="C42" s="8"/>
      <c r="D42" s="8"/>
      <c r="E42" s="7"/>
      <c r="F42" s="7"/>
      <c r="G42" s="7"/>
    </row>
    <row r="43" spans="2:7" ht="13.5" customHeight="1">
      <c r="C43" s="8"/>
      <c r="D43" s="8"/>
      <c r="E43" s="7"/>
      <c r="F43" s="7"/>
      <c r="G43" s="7"/>
    </row>
    <row r="44" spans="2:7" ht="13.5" customHeight="1">
      <c r="C44" s="8"/>
      <c r="D44" s="8"/>
      <c r="E44" s="7"/>
      <c r="F44" s="7"/>
      <c r="G44" s="7"/>
    </row>
    <row r="45" spans="2:7" ht="13.5" customHeight="1">
      <c r="C45" s="8"/>
      <c r="D45" s="8"/>
      <c r="E45" s="7"/>
      <c r="F45" s="7"/>
      <c r="G45" s="7"/>
    </row>
    <row r="47" spans="2:7" ht="13.5" customHeight="1">
      <c r="B47" s="14" t="s">
        <v>21</v>
      </c>
      <c r="C47" s="8" t="s">
        <v>22</v>
      </c>
      <c r="D47" s="7" t="s">
        <v>23</v>
      </c>
      <c r="E47" s="7"/>
      <c r="F47" s="7"/>
      <c r="G47" s="7"/>
    </row>
    <row r="48" spans="2:7" ht="13.5" customHeight="1">
      <c r="C48" s="8"/>
      <c r="D48" s="8"/>
      <c r="E48" s="7"/>
      <c r="F48" s="7"/>
      <c r="G48" s="7"/>
    </row>
    <row r="49" spans="2:7" ht="13.5" customHeight="1">
      <c r="C49" s="8"/>
      <c r="D49" s="8"/>
      <c r="E49" s="7"/>
      <c r="F49" s="7"/>
      <c r="G49" s="7"/>
    </row>
    <row r="50" spans="2:7" ht="13.5" customHeight="1">
      <c r="C50" s="8"/>
      <c r="D50" s="8"/>
      <c r="E50" s="7"/>
      <c r="F50" s="7"/>
      <c r="G50" s="7"/>
    </row>
    <row r="51" spans="2:7" ht="13.5" customHeight="1">
      <c r="C51" s="8"/>
      <c r="D51" s="8"/>
      <c r="E51" s="7"/>
      <c r="F51" s="7"/>
      <c r="G51" s="7"/>
    </row>
    <row r="54" spans="2:7" ht="24" customHeight="1">
      <c r="B54" s="9" t="s">
        <v>24</v>
      </c>
      <c r="C54" s="9"/>
      <c r="D54" s="9"/>
      <c r="E54" s="9"/>
      <c r="F54" s="9"/>
      <c r="G54" s="9"/>
    </row>
    <row r="55" spans="2:7" ht="18.75" customHeight="1">
      <c r="B55" s="15"/>
      <c r="C55" s="15" t="s">
        <v>25</v>
      </c>
      <c r="D55" s="6" t="s">
        <v>26</v>
      </c>
      <c r="E55" s="6"/>
      <c r="F55" s="6"/>
      <c r="G55" s="6"/>
    </row>
    <row r="56" spans="2:7" ht="33.75" customHeight="1">
      <c r="B56" s="16"/>
      <c r="C56" s="17" t="s">
        <v>27</v>
      </c>
      <c r="D56" s="5" t="s">
        <v>28</v>
      </c>
      <c r="E56" s="5"/>
      <c r="F56" s="5"/>
      <c r="G56" s="5"/>
    </row>
    <row r="57" spans="2:7" ht="46.5" customHeight="1">
      <c r="B57" s="19"/>
      <c r="C57" s="20" t="s">
        <v>29</v>
      </c>
      <c r="D57" s="4" t="s">
        <v>30</v>
      </c>
      <c r="E57" s="4"/>
      <c r="F57" s="4"/>
      <c r="G57" s="4"/>
    </row>
    <row r="58" spans="2:7" ht="33.75" customHeight="1">
      <c r="B58" s="22"/>
      <c r="C58" s="17" t="s">
        <v>31</v>
      </c>
      <c r="D58" s="5" t="s">
        <v>32</v>
      </c>
      <c r="E58" s="5"/>
      <c r="F58" s="5"/>
      <c r="G58" s="5"/>
    </row>
    <row r="59" spans="2:7" ht="33.75" customHeight="1">
      <c r="B59" s="23"/>
      <c r="C59" s="20" t="s">
        <v>33</v>
      </c>
      <c r="D59" s="4" t="s">
        <v>34</v>
      </c>
      <c r="E59" s="4"/>
      <c r="F59" s="4"/>
      <c r="G59" s="4"/>
    </row>
    <row r="60" spans="2:7" ht="33.75" customHeight="1">
      <c r="B60" s="24"/>
      <c r="C60" s="17" t="s">
        <v>35</v>
      </c>
      <c r="D60" s="5" t="s">
        <v>36</v>
      </c>
      <c r="E60" s="5"/>
      <c r="F60" s="5"/>
      <c r="G60" s="5"/>
    </row>
    <row r="61" spans="2:7" ht="33.75" customHeight="1">
      <c r="B61" s="25"/>
      <c r="C61" s="20" t="s">
        <v>37</v>
      </c>
      <c r="D61" s="4" t="s">
        <v>38</v>
      </c>
      <c r="E61" s="4"/>
      <c r="F61" s="4"/>
      <c r="G61" s="4"/>
    </row>
    <row r="62" spans="2:7" ht="46.5" customHeight="1">
      <c r="B62" s="26"/>
      <c r="C62" s="17" t="s">
        <v>39</v>
      </c>
      <c r="D62" s="5" t="s">
        <v>40</v>
      </c>
      <c r="E62" s="5"/>
      <c r="F62" s="5"/>
      <c r="G62" s="5"/>
    </row>
    <row r="63" spans="2:7" ht="33.75" customHeight="1">
      <c r="B63" s="27"/>
      <c r="C63" s="20" t="s">
        <v>41</v>
      </c>
      <c r="D63" s="4" t="s">
        <v>42</v>
      </c>
      <c r="E63" s="4"/>
      <c r="F63" s="4"/>
      <c r="G63" s="4"/>
    </row>
    <row r="64" spans="2:7" ht="33.75" customHeight="1">
      <c r="B64" s="28"/>
      <c r="C64" s="17" t="s">
        <v>43</v>
      </c>
      <c r="D64" s="5" t="s">
        <v>44</v>
      </c>
      <c r="E64" s="5"/>
      <c r="F64" s="5"/>
      <c r="G64" s="5"/>
    </row>
    <row r="66" spans="2:7" ht="24" customHeight="1">
      <c r="B66" s="9" t="s">
        <v>45</v>
      </c>
      <c r="C66" s="9"/>
      <c r="D66" s="9"/>
      <c r="E66" s="9"/>
      <c r="F66" s="9"/>
      <c r="G66" s="9"/>
    </row>
    <row r="67" spans="2:7" ht="13.5" customHeight="1">
      <c r="B67" s="29"/>
      <c r="C67" s="30" t="s">
        <v>46</v>
      </c>
      <c r="D67" s="7" t="s">
        <v>47</v>
      </c>
      <c r="E67" s="7"/>
      <c r="F67" s="7"/>
      <c r="G67" s="7"/>
    </row>
    <row r="68" spans="2:7" ht="13.5" customHeight="1">
      <c r="D68" s="7"/>
      <c r="E68" s="7"/>
      <c r="F68" s="7"/>
      <c r="G68" s="7"/>
    </row>
    <row r="69" spans="2:7" ht="13.5" customHeight="1">
      <c r="B69" s="31"/>
      <c r="C69" s="32" t="s">
        <v>48</v>
      </c>
      <c r="D69" s="7" t="s">
        <v>49</v>
      </c>
      <c r="E69" s="7"/>
      <c r="F69" s="7"/>
      <c r="G69" s="7"/>
    </row>
    <row r="70" spans="2:7" ht="13.5" customHeight="1">
      <c r="D70" s="7"/>
      <c r="E70" s="7"/>
      <c r="F70" s="7"/>
      <c r="G70" s="7"/>
    </row>
    <row r="71" spans="2:7" ht="13.5" customHeight="1">
      <c r="B71" s="33"/>
      <c r="C71" s="34" t="s">
        <v>50</v>
      </c>
      <c r="D71" s="7" t="s">
        <v>51</v>
      </c>
      <c r="E71" s="7"/>
      <c r="F71" s="7"/>
      <c r="G71" s="7"/>
    </row>
    <row r="72" spans="2:7" ht="13.5" customHeight="1">
      <c r="D72" s="7"/>
      <c r="E72" s="7"/>
      <c r="F72" s="7"/>
      <c r="G72" s="7"/>
    </row>
    <row r="73" spans="2:7" ht="13.5" customHeight="1">
      <c r="B73" s="35"/>
      <c r="C73" s="36" t="s">
        <v>52</v>
      </c>
      <c r="D73" s="7" t="s">
        <v>53</v>
      </c>
      <c r="E73" s="7"/>
      <c r="F73" s="7"/>
      <c r="G73" s="7"/>
    </row>
    <row r="74" spans="2:7" ht="13.5" customHeight="1">
      <c r="D74" s="7"/>
      <c r="E74" s="7"/>
      <c r="F74" s="7"/>
      <c r="G74" s="7"/>
    </row>
    <row r="75" spans="2:7" ht="13.5" customHeight="1">
      <c r="B75" s="37"/>
      <c r="C75" s="38" t="s">
        <v>54</v>
      </c>
      <c r="D75" s="7" t="s">
        <v>55</v>
      </c>
      <c r="E75" s="7"/>
      <c r="F75" s="7"/>
      <c r="G75" s="7"/>
    </row>
    <row r="76" spans="2:7" ht="13.5" customHeight="1">
      <c r="D76" s="7"/>
      <c r="E76" s="7"/>
      <c r="F76" s="7"/>
      <c r="G76" s="7"/>
    </row>
    <row r="77" spans="2:7" ht="13.5" customHeight="1">
      <c r="D77" s="7"/>
      <c r="E77" s="7"/>
      <c r="F77" s="7"/>
      <c r="G77" s="7"/>
    </row>
    <row r="78" spans="2:7" ht="13.5" customHeight="1">
      <c r="B78" s="39"/>
      <c r="C78" s="40" t="s">
        <v>56</v>
      </c>
      <c r="D78" s="7" t="s">
        <v>57</v>
      </c>
      <c r="E78" s="7"/>
      <c r="F78" s="7"/>
      <c r="G78" s="7"/>
    </row>
    <row r="79" spans="2:7" ht="13.5" customHeight="1">
      <c r="D79" s="7"/>
      <c r="E79" s="7"/>
      <c r="F79" s="7"/>
      <c r="G79" s="7"/>
    </row>
    <row r="81" spans="2:7" ht="24" customHeight="1">
      <c r="B81" s="9" t="s">
        <v>58</v>
      </c>
      <c r="C81" s="9"/>
      <c r="D81" s="9"/>
      <c r="E81" s="9"/>
      <c r="F81" s="9"/>
      <c r="G81" s="9"/>
    </row>
    <row r="82" spans="2:7" ht="13.5" customHeight="1">
      <c r="C82" s="8" t="s">
        <v>59</v>
      </c>
      <c r="D82" s="7" t="s">
        <v>60</v>
      </c>
      <c r="E82" s="7"/>
      <c r="F82" s="7"/>
      <c r="G82" s="7"/>
    </row>
    <row r="83" spans="2:7" ht="13.5" customHeight="1">
      <c r="C83" s="8"/>
      <c r="D83" s="8"/>
      <c r="E83" s="7"/>
      <c r="F83" s="7"/>
      <c r="G83" s="7"/>
    </row>
    <row r="84" spans="2:7" ht="13.5" customHeight="1">
      <c r="C84" s="8"/>
      <c r="D84" s="8"/>
      <c r="E84" s="7"/>
      <c r="F84" s="7"/>
      <c r="G84" s="7"/>
    </row>
    <row r="85" spans="2:7" ht="13.5" customHeight="1">
      <c r="C85" s="8"/>
      <c r="D85" s="8"/>
      <c r="E85" s="7"/>
      <c r="F85" s="7"/>
      <c r="G85" s="7"/>
    </row>
    <row r="86" spans="2:7" ht="13.5" customHeight="1">
      <c r="C86" s="8"/>
      <c r="D86" s="8"/>
      <c r="E86" s="7"/>
      <c r="F86" s="7"/>
      <c r="G86" s="7"/>
    </row>
    <row r="87" spans="2:7" ht="13.5" customHeight="1">
      <c r="C87" s="8"/>
      <c r="D87" s="8"/>
      <c r="E87" s="7"/>
      <c r="F87" s="7"/>
      <c r="G87" s="7"/>
    </row>
    <row r="88" spans="2:7" ht="13.5" customHeight="1">
      <c r="C88" s="8"/>
      <c r="D88" s="8"/>
      <c r="E88" s="7"/>
      <c r="F88" s="7"/>
      <c r="G88" s="7"/>
    </row>
    <row r="90" spans="2:7" ht="13.5" customHeight="1">
      <c r="C90" s="8" t="s">
        <v>61</v>
      </c>
      <c r="D90" s="7" t="s">
        <v>62</v>
      </c>
      <c r="E90" s="7"/>
      <c r="F90" s="7"/>
      <c r="G90" s="7"/>
    </row>
    <row r="91" spans="2:7" ht="13.5" customHeight="1">
      <c r="C91" s="8"/>
      <c r="D91" s="8"/>
      <c r="E91" s="7"/>
      <c r="F91" s="7"/>
      <c r="G91" s="7"/>
    </row>
    <row r="92" spans="2:7" ht="13.5" customHeight="1">
      <c r="C92" s="8"/>
      <c r="D92" s="8"/>
      <c r="E92" s="7"/>
      <c r="F92" s="7"/>
      <c r="G92" s="7"/>
    </row>
    <row r="93" spans="2:7" ht="13.5" customHeight="1">
      <c r="C93" s="8"/>
      <c r="D93" s="8"/>
      <c r="E93" s="7"/>
      <c r="F93" s="7"/>
      <c r="G93" s="7"/>
    </row>
    <row r="94" spans="2:7" ht="13.5" customHeight="1">
      <c r="C94" s="8"/>
      <c r="D94" s="8"/>
      <c r="E94" s="7"/>
      <c r="F94" s="7"/>
      <c r="G94" s="7"/>
    </row>
    <row r="95" spans="2:7" ht="13.5" customHeight="1">
      <c r="C95" s="8"/>
      <c r="D95" s="8"/>
      <c r="E95" s="7"/>
      <c r="F95" s="7"/>
      <c r="G95" s="7"/>
    </row>
    <row r="97" spans="3:7" ht="13.5" customHeight="1">
      <c r="C97" s="8" t="s">
        <v>63</v>
      </c>
      <c r="D97" s="7" t="s">
        <v>64</v>
      </c>
      <c r="E97" s="7"/>
      <c r="F97" s="7"/>
      <c r="G97" s="7"/>
    </row>
    <row r="98" spans="3:7" ht="13.5" customHeight="1">
      <c r="C98" s="8"/>
      <c r="D98" s="8"/>
      <c r="E98" s="7"/>
      <c r="F98" s="7"/>
      <c r="G98" s="7"/>
    </row>
    <row r="99" spans="3:7" ht="13.5" customHeight="1">
      <c r="C99" s="8"/>
      <c r="D99" s="8"/>
      <c r="E99" s="7"/>
      <c r="F99" s="7"/>
      <c r="G99" s="7"/>
    </row>
    <row r="100" spans="3:7" ht="13.5" customHeight="1">
      <c r="C100" s="8"/>
      <c r="D100" s="8"/>
      <c r="E100" s="7"/>
      <c r="F100" s="7"/>
      <c r="G100" s="7"/>
    </row>
    <row r="101" spans="3:7" ht="13.5" customHeight="1">
      <c r="C101" s="8"/>
      <c r="D101" s="8"/>
      <c r="E101" s="7"/>
      <c r="F101" s="7"/>
      <c r="G101" s="7"/>
    </row>
    <row r="102" spans="3:7" ht="13.5" customHeight="1">
      <c r="C102" s="8"/>
      <c r="D102" s="8"/>
      <c r="E102" s="7"/>
      <c r="F102" s="7"/>
      <c r="G102" s="7"/>
    </row>
    <row r="103" spans="3:7" ht="13.5" customHeight="1">
      <c r="C103" s="8"/>
      <c r="D103" s="8"/>
      <c r="E103" s="7"/>
      <c r="F103" s="7"/>
      <c r="G103" s="7"/>
    </row>
    <row r="104" spans="3:7" ht="13.5" customHeight="1">
      <c r="C104" s="8"/>
      <c r="D104" s="8"/>
      <c r="E104" s="7"/>
      <c r="F104" s="7"/>
      <c r="G104" s="7"/>
    </row>
    <row r="106" spans="3:7" ht="13.5" customHeight="1">
      <c r="C106" s="8" t="s">
        <v>65</v>
      </c>
      <c r="D106" s="7" t="s">
        <v>66</v>
      </c>
      <c r="E106" s="7"/>
      <c r="F106" s="7"/>
      <c r="G106" s="7"/>
    </row>
    <row r="107" spans="3:7" ht="13.5" customHeight="1">
      <c r="C107" s="8"/>
      <c r="D107" s="8"/>
      <c r="E107" s="7"/>
      <c r="F107" s="7"/>
      <c r="G107" s="7"/>
    </row>
    <row r="108" spans="3:7" ht="13.5" customHeight="1">
      <c r="C108" s="8"/>
      <c r="D108" s="8"/>
      <c r="E108" s="7"/>
      <c r="F108" s="7"/>
      <c r="G108" s="7"/>
    </row>
    <row r="109" spans="3:7" ht="13.5" customHeight="1">
      <c r="C109" s="8"/>
      <c r="D109" s="8"/>
      <c r="E109" s="7"/>
      <c r="F109" s="7"/>
      <c r="G109" s="7"/>
    </row>
    <row r="111" spans="3:7" ht="13.5" customHeight="1">
      <c r="C111" s="8" t="s">
        <v>67</v>
      </c>
      <c r="D111" s="7" t="s">
        <v>68</v>
      </c>
      <c r="E111" s="7"/>
      <c r="F111" s="7"/>
      <c r="G111" s="7"/>
    </row>
    <row r="112" spans="3:7" ht="13.5" customHeight="1">
      <c r="C112" s="8"/>
      <c r="D112" s="8"/>
      <c r="E112" s="7"/>
      <c r="F112" s="7"/>
      <c r="G112" s="7"/>
    </row>
    <row r="113" spans="3:7" ht="13.5" customHeight="1">
      <c r="C113" s="8"/>
      <c r="D113" s="8"/>
      <c r="E113" s="7"/>
      <c r="F113" s="7"/>
      <c r="G113" s="7"/>
    </row>
    <row r="114" spans="3:7" ht="13.5" customHeight="1">
      <c r="C114" s="8"/>
      <c r="D114" s="8"/>
      <c r="E114" s="7"/>
      <c r="F114" s="7"/>
      <c r="G114" s="7"/>
    </row>
    <row r="115" spans="3:7" ht="13.5" customHeight="1">
      <c r="C115" s="8"/>
      <c r="D115" s="8"/>
      <c r="E115" s="7"/>
      <c r="F115" s="7"/>
      <c r="G115" s="7"/>
    </row>
    <row r="117" spans="3:7" ht="13.5" customHeight="1">
      <c r="C117" s="8" t="s">
        <v>69</v>
      </c>
      <c r="D117" s="7" t="s">
        <v>70</v>
      </c>
      <c r="E117" s="7"/>
      <c r="F117" s="7"/>
      <c r="G117" s="7"/>
    </row>
    <row r="118" spans="3:7" ht="13.5" customHeight="1">
      <c r="C118" s="8"/>
      <c r="D118" s="8"/>
      <c r="E118" s="7"/>
      <c r="F118" s="7"/>
      <c r="G118" s="7"/>
    </row>
    <row r="119" spans="3:7" ht="13.5" customHeight="1">
      <c r="C119" s="8"/>
      <c r="D119" s="8"/>
      <c r="E119" s="7"/>
      <c r="F119" s="7"/>
      <c r="G119" s="7"/>
    </row>
    <row r="120" spans="3:7" ht="13.5" customHeight="1">
      <c r="C120" s="8"/>
      <c r="D120" s="8"/>
      <c r="E120" s="7"/>
      <c r="F120" s="7"/>
      <c r="G120" s="7"/>
    </row>
    <row r="122" spans="3:7" ht="13.5" customHeight="1">
      <c r="C122" s="8" t="s">
        <v>71</v>
      </c>
      <c r="D122" s="7" t="s">
        <v>72</v>
      </c>
      <c r="E122" s="7"/>
      <c r="F122" s="7"/>
      <c r="G122" s="7"/>
    </row>
    <row r="123" spans="3:7" ht="13.5" customHeight="1">
      <c r="C123" s="8"/>
      <c r="D123" s="8"/>
      <c r="E123" s="7"/>
      <c r="F123" s="7"/>
      <c r="G123" s="7"/>
    </row>
    <row r="124" spans="3:7" ht="13.5" customHeight="1">
      <c r="C124" s="8"/>
      <c r="D124" s="8"/>
      <c r="E124" s="7"/>
      <c r="F124" s="7"/>
      <c r="G124" s="7"/>
    </row>
    <row r="125" spans="3:7" ht="13.5" customHeight="1">
      <c r="C125" s="8"/>
      <c r="D125" s="8"/>
      <c r="E125" s="7"/>
      <c r="F125" s="7"/>
      <c r="G125" s="7"/>
    </row>
    <row r="126" spans="3:7" ht="13.5" customHeight="1">
      <c r="C126" s="8"/>
      <c r="D126" s="8"/>
      <c r="E126" s="7"/>
      <c r="F126" s="7"/>
      <c r="G126" s="7"/>
    </row>
    <row r="127" spans="3:7" ht="13.5" customHeight="1">
      <c r="C127" s="8"/>
      <c r="D127" s="8"/>
      <c r="E127" s="7"/>
      <c r="F127" s="7"/>
      <c r="G127" s="7"/>
    </row>
    <row r="128" spans="3:7" ht="13.5" customHeight="1">
      <c r="C128" s="8"/>
      <c r="D128" s="8"/>
      <c r="E128" s="7"/>
      <c r="F128" s="7"/>
      <c r="G128" s="7"/>
    </row>
    <row r="129" spans="2:7" ht="13.5" customHeight="1">
      <c r="C129" s="8"/>
      <c r="D129" s="8"/>
      <c r="E129" s="7"/>
      <c r="F129" s="7"/>
      <c r="G129" s="7"/>
    </row>
    <row r="130" spans="2:7" ht="13.5" customHeight="1">
      <c r="C130" s="8"/>
      <c r="D130" s="8"/>
      <c r="E130" s="7"/>
      <c r="F130" s="7"/>
      <c r="G130" s="7"/>
    </row>
    <row r="131" spans="2:7" ht="13.5" customHeight="1">
      <c r="C131" s="8"/>
      <c r="D131" s="8"/>
      <c r="E131" s="7"/>
      <c r="F131" s="7"/>
      <c r="G131" s="7"/>
    </row>
    <row r="132" spans="2:7" ht="13.5" customHeight="1">
      <c r="C132" s="8"/>
      <c r="D132" s="8"/>
      <c r="E132" s="7"/>
      <c r="F132" s="7"/>
      <c r="G132" s="7"/>
    </row>
    <row r="133" spans="2:7" ht="13.5" customHeight="1">
      <c r="C133" s="8"/>
      <c r="D133" s="8"/>
      <c r="E133" s="7"/>
      <c r="F133" s="7"/>
      <c r="G133" s="7"/>
    </row>
    <row r="135" spans="2:7" ht="24" customHeight="1">
      <c r="B135" s="9" t="s">
        <v>73</v>
      </c>
      <c r="C135" s="9"/>
      <c r="D135" s="9"/>
      <c r="E135" s="9"/>
      <c r="F135" s="9"/>
      <c r="G135" s="9"/>
    </row>
    <row r="136" spans="2:7" ht="13.5" customHeight="1">
      <c r="C136" s="8" t="s">
        <v>74</v>
      </c>
      <c r="D136" s="7" t="s">
        <v>75</v>
      </c>
      <c r="E136" s="7"/>
      <c r="F136" s="7"/>
      <c r="G136" s="7"/>
    </row>
    <row r="137" spans="2:7" ht="13.5" customHeight="1">
      <c r="C137" s="8"/>
      <c r="D137" s="8"/>
      <c r="E137" s="7"/>
      <c r="F137" s="7"/>
      <c r="G137" s="7"/>
    </row>
    <row r="138" spans="2:7" ht="13.5" customHeight="1">
      <c r="C138" s="8"/>
      <c r="D138" s="8"/>
      <c r="E138" s="7"/>
      <c r="F138" s="7"/>
      <c r="G138" s="7"/>
    </row>
    <row r="139" spans="2:7" ht="13.5" customHeight="1">
      <c r="C139" s="8"/>
      <c r="D139" s="8"/>
      <c r="E139" s="7"/>
      <c r="F139" s="7"/>
      <c r="G139" s="7"/>
    </row>
    <row r="140" spans="2:7" ht="13.5" customHeight="1">
      <c r="C140" s="8"/>
      <c r="D140" s="8"/>
      <c r="E140" s="7"/>
      <c r="F140" s="7"/>
      <c r="G140" s="7"/>
    </row>
    <row r="141" spans="2:7" ht="13.5" customHeight="1">
      <c r="C141" s="8"/>
      <c r="D141" s="8"/>
      <c r="E141" s="7"/>
      <c r="F141" s="7"/>
      <c r="G141" s="7"/>
    </row>
    <row r="143" spans="2:7" ht="13.5" customHeight="1">
      <c r="C143" s="8" t="s">
        <v>76</v>
      </c>
      <c r="D143" s="7" t="s">
        <v>77</v>
      </c>
      <c r="E143" s="7"/>
      <c r="F143" s="7"/>
      <c r="G143" s="7"/>
    </row>
    <row r="144" spans="2:7" ht="13.5" customHeight="1">
      <c r="C144" s="8"/>
      <c r="D144" s="8"/>
      <c r="E144" s="7"/>
      <c r="F144" s="7"/>
      <c r="G144" s="7"/>
    </row>
    <row r="145" spans="3:7" ht="13.5" customHeight="1">
      <c r="C145" s="8"/>
      <c r="D145" s="8"/>
      <c r="E145" s="7"/>
      <c r="F145" s="7"/>
      <c r="G145" s="7"/>
    </row>
    <row r="146" spans="3:7" ht="13.5" customHeight="1">
      <c r="C146" s="8"/>
      <c r="D146" s="8"/>
      <c r="E146" s="7"/>
      <c r="F146" s="7"/>
      <c r="G146" s="7"/>
    </row>
    <row r="148" spans="3:7" ht="13.5" customHeight="1">
      <c r="C148" s="8" t="s">
        <v>78</v>
      </c>
      <c r="D148" s="7" t="s">
        <v>79</v>
      </c>
      <c r="E148" s="7"/>
      <c r="F148" s="7"/>
      <c r="G148" s="7"/>
    </row>
    <row r="149" spans="3:7" ht="13.5" customHeight="1">
      <c r="C149" s="8"/>
      <c r="D149" s="8"/>
      <c r="E149" s="7"/>
      <c r="F149" s="7"/>
      <c r="G149" s="7"/>
    </row>
    <row r="150" spans="3:7" ht="13.5" customHeight="1">
      <c r="C150" s="8"/>
      <c r="D150" s="8"/>
      <c r="E150" s="7"/>
      <c r="F150" s="7"/>
      <c r="G150" s="7"/>
    </row>
    <row r="152" spans="3:7" ht="13.5" customHeight="1">
      <c r="C152" s="8" t="s">
        <v>80</v>
      </c>
      <c r="D152" s="7" t="s">
        <v>81</v>
      </c>
      <c r="E152" s="7"/>
      <c r="F152" s="7"/>
      <c r="G152" s="7"/>
    </row>
    <row r="153" spans="3:7" ht="13.5" customHeight="1">
      <c r="C153" s="8"/>
      <c r="D153" s="8"/>
      <c r="E153" s="7"/>
      <c r="F153" s="7"/>
      <c r="G153" s="7"/>
    </row>
    <row r="154" spans="3:7" ht="13.5" customHeight="1">
      <c r="C154" s="8"/>
      <c r="D154" s="8"/>
      <c r="E154" s="7"/>
      <c r="F154" s="7"/>
      <c r="G154" s="7"/>
    </row>
    <row r="155" spans="3:7" ht="13.5" customHeight="1">
      <c r="C155" s="8"/>
      <c r="D155" s="8"/>
      <c r="E155" s="7"/>
      <c r="F155" s="7"/>
      <c r="G155" s="7"/>
    </row>
    <row r="157" spans="3:7" ht="13.5" customHeight="1">
      <c r="C157" s="8" t="s">
        <v>82</v>
      </c>
      <c r="D157" s="7" t="s">
        <v>83</v>
      </c>
      <c r="E157" s="7"/>
      <c r="F157" s="7"/>
      <c r="G157" s="7"/>
    </row>
    <row r="158" spans="3:7" ht="13.5" customHeight="1">
      <c r="C158" s="8"/>
      <c r="D158" s="8"/>
      <c r="E158" s="7"/>
      <c r="F158" s="7"/>
      <c r="G158" s="7"/>
    </row>
    <row r="159" spans="3:7" ht="13.5" customHeight="1">
      <c r="C159" s="8"/>
      <c r="D159" s="8"/>
      <c r="E159" s="7"/>
      <c r="F159" s="7"/>
      <c r="G159" s="7"/>
    </row>
    <row r="160" spans="3:7" ht="13.5" customHeight="1">
      <c r="C160" s="8"/>
      <c r="D160" s="8"/>
      <c r="E160" s="7"/>
      <c r="F160" s="7"/>
      <c r="G160" s="7"/>
    </row>
    <row r="162" spans="2:7" ht="13.5" customHeight="1">
      <c r="C162" s="8" t="s">
        <v>84</v>
      </c>
      <c r="D162" s="7" t="s">
        <v>85</v>
      </c>
      <c r="E162" s="7"/>
      <c r="F162" s="7"/>
      <c r="G162" s="7"/>
    </row>
    <row r="163" spans="2:7" ht="13.5" customHeight="1">
      <c r="C163" s="8"/>
      <c r="D163" s="8"/>
      <c r="E163" s="7"/>
      <c r="F163" s="7"/>
      <c r="G163" s="7"/>
    </row>
    <row r="164" spans="2:7" ht="13.5" customHeight="1">
      <c r="C164" s="8"/>
      <c r="D164" s="8"/>
      <c r="E164" s="7"/>
      <c r="F164" s="7"/>
      <c r="G164" s="7"/>
    </row>
    <row r="166" spans="2:7" ht="13.5" customHeight="1">
      <c r="C166" s="8" t="s">
        <v>86</v>
      </c>
      <c r="D166" s="7" t="s">
        <v>87</v>
      </c>
      <c r="E166" s="7"/>
      <c r="F166" s="7"/>
      <c r="G166" s="7"/>
    </row>
    <row r="167" spans="2:7" ht="13.5" customHeight="1">
      <c r="C167" s="8"/>
      <c r="D167" s="8"/>
      <c r="E167" s="7"/>
      <c r="F167" s="7"/>
      <c r="G167" s="7"/>
    </row>
    <row r="168" spans="2:7" ht="13.5" customHeight="1">
      <c r="C168" s="8"/>
      <c r="D168" s="8"/>
      <c r="E168" s="7"/>
      <c r="F168" s="7"/>
      <c r="G168" s="7"/>
    </row>
    <row r="169" spans="2:7" ht="13.5" customHeight="1">
      <c r="C169" s="8"/>
      <c r="D169" s="8"/>
      <c r="E169" s="7"/>
      <c r="F169" s="7"/>
      <c r="G169" s="7"/>
    </row>
    <row r="171" spans="2:7">
      <c r="B171" s="3" t="s">
        <v>88</v>
      </c>
      <c r="C171" s="3"/>
      <c r="D171" s="3"/>
      <c r="E171" s="3"/>
      <c r="F171" s="3"/>
      <c r="G171" s="3"/>
    </row>
    <row r="172" spans="2:7" ht="13.5" customHeight="1">
      <c r="B172" s="2" t="s">
        <v>89</v>
      </c>
      <c r="C172" s="2"/>
      <c r="D172" s="2"/>
      <c r="E172" s="2"/>
      <c r="F172" s="2"/>
      <c r="G172" s="2"/>
    </row>
    <row r="173" spans="2:7" ht="13.5" customHeight="1">
      <c r="B173" s="2"/>
      <c r="C173" s="2"/>
      <c r="D173" s="2"/>
      <c r="E173" s="2"/>
      <c r="F173" s="2"/>
      <c r="G173" s="2"/>
    </row>
    <row r="174" spans="2:7" ht="13.5" customHeight="1">
      <c r="B174" s="2"/>
      <c r="C174" s="2"/>
      <c r="D174" s="2"/>
      <c r="E174" s="2"/>
      <c r="F174" s="2"/>
      <c r="G174" s="2"/>
    </row>
    <row r="175" spans="2:7" ht="13.5" customHeight="1">
      <c r="B175" s="2"/>
      <c r="C175" s="2"/>
      <c r="D175" s="2"/>
      <c r="E175" s="2"/>
      <c r="F175" s="2"/>
      <c r="G175" s="2"/>
    </row>
    <row r="176" spans="2:7" ht="13.5" customHeight="1">
      <c r="B176" s="2"/>
      <c r="C176" s="2"/>
      <c r="D176" s="2"/>
      <c r="E176" s="2"/>
      <c r="F176" s="2"/>
      <c r="G176" s="2"/>
    </row>
    <row r="177" spans="2:7" ht="13.5" customHeight="1">
      <c r="B177" s="2"/>
      <c r="C177" s="2"/>
      <c r="D177" s="2"/>
      <c r="E177" s="2"/>
      <c r="F177" s="2"/>
      <c r="G177" s="2"/>
    </row>
    <row r="178" spans="2:7" ht="13.5" customHeight="1">
      <c r="B178" s="2"/>
      <c r="C178" s="2"/>
      <c r="D178" s="2"/>
      <c r="E178" s="2"/>
      <c r="F178" s="2"/>
      <c r="G178" s="2"/>
    </row>
    <row r="180" spans="2:7" ht="19.5" customHeight="1">
      <c r="B180" s="1" t="s">
        <v>90</v>
      </c>
      <c r="C180" s="1"/>
      <c r="D180" s="1"/>
      <c r="E180" s="1"/>
      <c r="F180" s="1"/>
      <c r="G180" s="1"/>
    </row>
  </sheetData>
  <mergeCells count="70">
    <mergeCell ref="B172:G178"/>
    <mergeCell ref="B180:G180"/>
    <mergeCell ref="C162:C164"/>
    <mergeCell ref="D162:G164"/>
    <mergeCell ref="C166:C169"/>
    <mergeCell ref="D166:G169"/>
    <mergeCell ref="B171:G171"/>
    <mergeCell ref="C148:C150"/>
    <mergeCell ref="D148:G150"/>
    <mergeCell ref="C152:C155"/>
    <mergeCell ref="D152:G155"/>
    <mergeCell ref="C157:C160"/>
    <mergeCell ref="D157:G160"/>
    <mergeCell ref="B135:G135"/>
    <mergeCell ref="C136:C141"/>
    <mergeCell ref="D136:G141"/>
    <mergeCell ref="C143:C146"/>
    <mergeCell ref="D143:G146"/>
    <mergeCell ref="C111:C115"/>
    <mergeCell ref="D111:G115"/>
    <mergeCell ref="C117:C120"/>
    <mergeCell ref="D117:G120"/>
    <mergeCell ref="C122:C133"/>
    <mergeCell ref="D122:G133"/>
    <mergeCell ref="C90:C95"/>
    <mergeCell ref="D90:G95"/>
    <mergeCell ref="C97:C104"/>
    <mergeCell ref="D97:G104"/>
    <mergeCell ref="C106:C109"/>
    <mergeCell ref="D106:G109"/>
    <mergeCell ref="D75:G77"/>
    <mergeCell ref="D78:G79"/>
    <mergeCell ref="B81:G81"/>
    <mergeCell ref="C82:C88"/>
    <mergeCell ref="D82:G88"/>
    <mergeCell ref="B66:G66"/>
    <mergeCell ref="D67:G68"/>
    <mergeCell ref="D69:G70"/>
    <mergeCell ref="D71:G72"/>
    <mergeCell ref="D73:G74"/>
    <mergeCell ref="D60:G60"/>
    <mergeCell ref="D61:G61"/>
    <mergeCell ref="D62:G62"/>
    <mergeCell ref="D63:G63"/>
    <mergeCell ref="D64:G64"/>
    <mergeCell ref="D55:G55"/>
    <mergeCell ref="D56:G56"/>
    <mergeCell ref="D57:G57"/>
    <mergeCell ref="D58:G58"/>
    <mergeCell ref="D59:G59"/>
    <mergeCell ref="C41:C45"/>
    <mergeCell ref="D41:G45"/>
    <mergeCell ref="C47:C51"/>
    <mergeCell ref="D47:G51"/>
    <mergeCell ref="B54:G54"/>
    <mergeCell ref="C23:C27"/>
    <mergeCell ref="D23:G27"/>
    <mergeCell ref="C29:C32"/>
    <mergeCell ref="D29:G32"/>
    <mergeCell ref="C34:C39"/>
    <mergeCell ref="D34:G39"/>
    <mergeCell ref="B11:G11"/>
    <mergeCell ref="C12:C15"/>
    <mergeCell ref="D12:G15"/>
    <mergeCell ref="C17:C21"/>
    <mergeCell ref="D17:G21"/>
    <mergeCell ref="B1:G1"/>
    <mergeCell ref="B2:G2"/>
    <mergeCell ref="B4:G4"/>
    <mergeCell ref="B6:G9"/>
  </mergeCells>
  <hyperlinks>
    <hyperlink ref="C56" location="'Setup'!A1" display="Setup" xr:uid="{00000000-0004-0000-0000-000000000000}"/>
    <hyperlink ref="C57" location="'Migration Summary'!A1" display="Migration Summary" xr:uid="{00000000-0004-0000-0000-000001000000}"/>
    <hyperlink ref="C58" location="'Inventory &amp; Applications'!A1" display="Inventory &amp; Applications" xr:uid="{00000000-0004-0000-0000-000002000000}"/>
    <hyperlink ref="C59" location="'Dependencies'!A1" display="Dependencies" xr:uid="{00000000-0004-0000-0000-000003000000}"/>
    <hyperlink ref="C60" location="'Waves &amp; Move Groups'!A1" display="Waves &amp; Move Groups" xr:uid="{00000000-0004-0000-0000-000004000000}"/>
    <hyperlink ref="C61" location="'Cutover Runbook'!A1" display="Cutover Runbook" xr:uid="{00000000-0004-0000-0000-000005000000}"/>
    <hyperlink ref="C62" location="'Decommission'!A1" display="Decommission" xr:uid="{00000000-0004-0000-0000-000006000000}"/>
    <hyperlink ref="C63" location="'Exit &amp; Close-out'!A1" display="Exit &amp; Close-out" xr:uid="{00000000-0004-0000-0000-000007000000}"/>
    <hyperlink ref="C64" location="'Reference'!A1" display="Reference" xr:uid="{00000000-0004-0000-0000-000008000000}"/>
    <hyperlink ref="B180" r:id="rId1" xr:uid="{00000000-0004-0000-0000-000009000000}"/>
  </hyperlinks>
  <pageMargins left="0.3" right="0.3" top="0.5" bottom="0.5" header="0.511811023622047" footer="0.511811023622047"/>
  <pageSetup paperSize="9" fitToHeight="0" orientation="portrait" horizontalDpi="300" verticalDpi="300"/>
  <rowBreaks count="3" manualBreakCount="3">
    <brk id="53" max="16383" man="1"/>
    <brk id="80" max="16383" man="1"/>
    <brk id="13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E98A2"/>
    <pageSetUpPr fitToPage="1"/>
  </sheetPr>
  <dimension ref="B1:H106"/>
  <sheetViews>
    <sheetView showGridLines="0" tabSelected="1" topLeftCell="A68" zoomScaleNormal="100" workbookViewId="0"/>
  </sheetViews>
  <sheetFormatPr defaultColWidth="8.7109375" defaultRowHeight="15"/>
  <cols>
    <col min="1" max="1" width="2.140625" customWidth="1"/>
    <col min="2" max="2" width="32" customWidth="1"/>
    <col min="3" max="6" width="16" customWidth="1"/>
    <col min="7" max="7" width="40" customWidth="1"/>
    <col min="8" max="8" width="48" customWidth="1"/>
    <col min="9" max="9" width="2.140625" customWidth="1"/>
  </cols>
  <sheetData>
    <row r="1" spans="2:8" ht="33.75" customHeight="1">
      <c r="B1" s="86" t="s">
        <v>471</v>
      </c>
      <c r="C1" s="86"/>
      <c r="D1" s="86"/>
      <c r="E1" s="86"/>
      <c r="F1" s="86"/>
      <c r="G1" s="86"/>
      <c r="H1" s="86"/>
    </row>
    <row r="2" spans="2:8" ht="4.5" customHeight="1">
      <c r="B2" s="125"/>
      <c r="C2" s="125"/>
      <c r="D2" s="125"/>
      <c r="E2" s="125"/>
      <c r="F2" s="125"/>
      <c r="G2" s="125"/>
      <c r="H2" s="125"/>
    </row>
    <row r="4" spans="2:8" ht="25.5" customHeight="1">
      <c r="B4" s="89" t="s">
        <v>472</v>
      </c>
      <c r="C4" s="89"/>
      <c r="D4" s="89"/>
      <c r="E4" s="89"/>
      <c r="F4" s="89"/>
      <c r="G4" s="89"/>
      <c r="H4" s="89"/>
    </row>
    <row r="6" spans="2:8" ht="21.75" customHeight="1">
      <c r="B6" s="9" t="s">
        <v>473</v>
      </c>
      <c r="C6" s="9"/>
      <c r="D6" s="9"/>
      <c r="E6" s="9"/>
      <c r="F6" s="9"/>
      <c r="G6" s="9"/>
      <c r="H6" s="9"/>
    </row>
    <row r="7" spans="2:8" ht="19.5" customHeight="1">
      <c r="B7" s="15" t="s">
        <v>474</v>
      </c>
      <c r="C7" s="6" t="s">
        <v>475</v>
      </c>
      <c r="D7" s="6"/>
      <c r="E7" s="6"/>
      <c r="F7" s="6"/>
      <c r="G7" s="6" t="s">
        <v>476</v>
      </c>
      <c r="H7" s="6"/>
    </row>
    <row r="8" spans="2:8" ht="30" customHeight="1">
      <c r="B8" s="75" t="s">
        <v>477</v>
      </c>
      <c r="C8" s="126" t="s">
        <v>46</v>
      </c>
      <c r="D8" s="126"/>
      <c r="E8" s="126"/>
      <c r="F8" s="126"/>
      <c r="G8" s="127" t="s">
        <v>47</v>
      </c>
      <c r="H8" s="127"/>
    </row>
    <row r="9" spans="2:8" ht="30" customHeight="1">
      <c r="B9" s="76" t="s">
        <v>478</v>
      </c>
      <c r="C9" s="128" t="s">
        <v>48</v>
      </c>
      <c r="D9" s="128"/>
      <c r="E9" s="128"/>
      <c r="F9" s="128"/>
      <c r="G9" s="127" t="s">
        <v>49</v>
      </c>
      <c r="H9" s="127"/>
    </row>
    <row r="10" spans="2:8" ht="30" customHeight="1">
      <c r="B10" s="77" t="s">
        <v>479</v>
      </c>
      <c r="C10" s="129" t="s">
        <v>50</v>
      </c>
      <c r="D10" s="129"/>
      <c r="E10" s="129"/>
      <c r="F10" s="129"/>
      <c r="G10" s="127" t="s">
        <v>51</v>
      </c>
      <c r="H10" s="127"/>
    </row>
    <row r="11" spans="2:8" ht="30" customHeight="1">
      <c r="B11" s="78" t="s">
        <v>480</v>
      </c>
      <c r="C11" s="130" t="s">
        <v>52</v>
      </c>
      <c r="D11" s="130"/>
      <c r="E11" s="130"/>
      <c r="F11" s="130"/>
      <c r="G11" s="127" t="s">
        <v>53</v>
      </c>
      <c r="H11" s="127"/>
    </row>
    <row r="12" spans="2:8" ht="46.5" customHeight="1">
      <c r="B12" s="79" t="s">
        <v>481</v>
      </c>
      <c r="C12" s="131" t="s">
        <v>54</v>
      </c>
      <c r="D12" s="131"/>
      <c r="E12" s="131"/>
      <c r="F12" s="131"/>
      <c r="G12" s="127" t="s">
        <v>55</v>
      </c>
      <c r="H12" s="127"/>
    </row>
    <row r="13" spans="2:8" ht="30" customHeight="1">
      <c r="B13" s="80" t="s">
        <v>482</v>
      </c>
      <c r="C13" s="132" t="s">
        <v>56</v>
      </c>
      <c r="D13" s="132"/>
      <c r="E13" s="132"/>
      <c r="F13" s="132"/>
      <c r="G13" s="127" t="s">
        <v>57</v>
      </c>
      <c r="H13" s="127"/>
    </row>
    <row r="15" spans="2:8" ht="21.75" customHeight="1">
      <c r="B15" s="9" t="s">
        <v>483</v>
      </c>
      <c r="C15" s="9"/>
      <c r="D15" s="9"/>
      <c r="E15" s="9"/>
      <c r="F15" s="9"/>
      <c r="G15" s="9"/>
      <c r="H15" s="9"/>
    </row>
    <row r="16" spans="2:8" ht="13.5" customHeight="1">
      <c r="B16" s="2" t="s">
        <v>484</v>
      </c>
      <c r="C16" s="2"/>
      <c r="D16" s="2"/>
      <c r="E16" s="2"/>
      <c r="F16" s="2"/>
      <c r="G16" s="2"/>
      <c r="H16" s="2"/>
    </row>
    <row r="17" spans="2:8" ht="13.5" customHeight="1">
      <c r="B17" s="2"/>
      <c r="C17" s="2"/>
      <c r="D17" s="2"/>
      <c r="E17" s="2"/>
      <c r="F17" s="2"/>
      <c r="G17" s="2"/>
      <c r="H17" s="2"/>
    </row>
    <row r="18" spans="2:8" ht="13.5" customHeight="1">
      <c r="B18" s="2"/>
      <c r="C18" s="2"/>
      <c r="D18" s="2"/>
      <c r="E18" s="2"/>
      <c r="F18" s="2"/>
      <c r="G18" s="2"/>
      <c r="H18" s="2"/>
    </row>
    <row r="19" spans="2:8" ht="13.5" customHeight="1">
      <c r="B19" s="2"/>
      <c r="C19" s="2"/>
      <c r="D19" s="2"/>
      <c r="E19" s="2"/>
      <c r="F19" s="2"/>
      <c r="G19" s="2"/>
      <c r="H19" s="2"/>
    </row>
    <row r="21" spans="2:8" ht="21.75" customHeight="1">
      <c r="B21" s="9" t="s">
        <v>485</v>
      </c>
      <c r="C21" s="9"/>
      <c r="D21" s="9"/>
      <c r="E21" s="9"/>
      <c r="F21" s="9"/>
      <c r="G21" s="9"/>
      <c r="H21" s="9"/>
    </row>
    <row r="22" spans="2:8" ht="13.5" customHeight="1">
      <c r="B22" s="133" t="s">
        <v>486</v>
      </c>
      <c r="C22" s="133"/>
      <c r="D22" s="133"/>
      <c r="E22" s="133"/>
      <c r="F22" s="133"/>
      <c r="G22" s="133"/>
      <c r="H22" s="133"/>
    </row>
    <row r="23" spans="2:8" ht="13.5" customHeight="1">
      <c r="B23" s="133"/>
      <c r="C23" s="133"/>
      <c r="D23" s="133"/>
      <c r="E23" s="133"/>
      <c r="F23" s="133"/>
      <c r="G23" s="133"/>
      <c r="H23" s="133"/>
    </row>
    <row r="24" spans="2:8" ht="13.5" customHeight="1">
      <c r="B24" s="133"/>
      <c r="C24" s="133"/>
      <c r="D24" s="133"/>
      <c r="E24" s="133"/>
      <c r="F24" s="133"/>
      <c r="G24" s="133"/>
      <c r="H24" s="133"/>
    </row>
    <row r="25" spans="2:8" ht="13.5" customHeight="1">
      <c r="B25" s="133"/>
      <c r="C25" s="133"/>
      <c r="D25" s="133"/>
      <c r="E25" s="133"/>
      <c r="F25" s="133"/>
      <c r="G25" s="133"/>
      <c r="H25" s="133"/>
    </row>
    <row r="27" spans="2:8" ht="21.75" customHeight="1">
      <c r="B27" s="9" t="s">
        <v>487</v>
      </c>
      <c r="C27" s="9"/>
      <c r="D27" s="9"/>
      <c r="E27" s="9"/>
      <c r="F27" s="9"/>
      <c r="G27" s="9"/>
      <c r="H27" s="9"/>
    </row>
    <row r="28" spans="2:8" ht="13.5" customHeight="1">
      <c r="B28" s="134" t="s">
        <v>488</v>
      </c>
      <c r="C28" s="134"/>
      <c r="D28" s="134"/>
      <c r="E28" s="134"/>
      <c r="F28" s="134"/>
      <c r="G28" s="134"/>
      <c r="H28" s="134"/>
    </row>
    <row r="29" spans="2:8" ht="13.5" customHeight="1">
      <c r="B29" s="134"/>
      <c r="C29" s="134"/>
      <c r="D29" s="134"/>
      <c r="E29" s="134"/>
      <c r="F29" s="134"/>
      <c r="G29" s="134"/>
      <c r="H29" s="134"/>
    </row>
    <row r="30" spans="2:8" ht="13.5" customHeight="1">
      <c r="B30" s="134"/>
      <c r="C30" s="134"/>
      <c r="D30" s="134"/>
      <c r="E30" s="134"/>
      <c r="F30" s="134"/>
      <c r="G30" s="134"/>
      <c r="H30" s="134"/>
    </row>
    <row r="31" spans="2:8" ht="13.5" customHeight="1">
      <c r="B31" s="134"/>
      <c r="C31" s="134"/>
      <c r="D31" s="134"/>
      <c r="E31" s="134"/>
      <c r="F31" s="134"/>
      <c r="G31" s="134"/>
      <c r="H31" s="134"/>
    </row>
    <row r="33" spans="2:8" ht="21.75" customHeight="1">
      <c r="B33" s="9" t="s">
        <v>489</v>
      </c>
      <c r="C33" s="9"/>
      <c r="D33" s="9"/>
      <c r="E33" s="9"/>
      <c r="F33" s="9"/>
      <c r="G33" s="9"/>
      <c r="H33" s="9"/>
    </row>
    <row r="34" spans="2:8" ht="19.5" customHeight="1">
      <c r="B34" s="6" t="s">
        <v>165</v>
      </c>
      <c r="C34" s="6"/>
      <c r="D34" s="6" t="s">
        <v>490</v>
      </c>
      <c r="E34" s="6"/>
      <c r="F34" s="6"/>
      <c r="G34" s="6"/>
      <c r="H34" s="6"/>
    </row>
    <row r="35" spans="2:8" ht="33.75" customHeight="1">
      <c r="B35" s="135" t="s">
        <v>169</v>
      </c>
      <c r="C35" s="135"/>
      <c r="D35" s="136" t="s">
        <v>491</v>
      </c>
      <c r="E35" s="136"/>
      <c r="F35" s="136"/>
      <c r="G35" s="136"/>
      <c r="H35" s="136"/>
    </row>
    <row r="36" spans="2:8" ht="33.75" customHeight="1">
      <c r="B36" s="137" t="s">
        <v>170</v>
      </c>
      <c r="C36" s="137"/>
      <c r="D36" s="138" t="s">
        <v>492</v>
      </c>
      <c r="E36" s="138"/>
      <c r="F36" s="138"/>
      <c r="G36" s="138"/>
      <c r="H36" s="138"/>
    </row>
    <row r="37" spans="2:8" ht="33.75" customHeight="1">
      <c r="B37" s="135" t="s">
        <v>171</v>
      </c>
      <c r="C37" s="135"/>
      <c r="D37" s="136" t="s">
        <v>493</v>
      </c>
      <c r="E37" s="136"/>
      <c r="F37" s="136"/>
      <c r="G37" s="136"/>
      <c r="H37" s="136"/>
    </row>
    <row r="38" spans="2:8" ht="33.75" customHeight="1">
      <c r="B38" s="137" t="s">
        <v>172</v>
      </c>
      <c r="C38" s="137"/>
      <c r="D38" s="138" t="s">
        <v>494</v>
      </c>
      <c r="E38" s="138"/>
      <c r="F38" s="138"/>
      <c r="G38" s="138"/>
      <c r="H38" s="138"/>
    </row>
    <row r="39" spans="2:8" ht="33.75" customHeight="1">
      <c r="B39" s="135" t="s">
        <v>173</v>
      </c>
      <c r="C39" s="135"/>
      <c r="D39" s="136" t="s">
        <v>495</v>
      </c>
      <c r="E39" s="136"/>
      <c r="F39" s="136"/>
      <c r="G39" s="136"/>
      <c r="H39" s="136"/>
    </row>
    <row r="40" spans="2:8" ht="33.75" customHeight="1">
      <c r="B40" s="137" t="s">
        <v>174</v>
      </c>
      <c r="C40" s="137"/>
      <c r="D40" s="138" t="s">
        <v>496</v>
      </c>
      <c r="E40" s="138"/>
      <c r="F40" s="138"/>
      <c r="G40" s="138"/>
      <c r="H40" s="138"/>
    </row>
    <row r="41" spans="2:8" ht="33.75" customHeight="1">
      <c r="B41" s="135" t="s">
        <v>175</v>
      </c>
      <c r="C41" s="135"/>
      <c r="D41" s="136" t="s">
        <v>497</v>
      </c>
      <c r="E41" s="136"/>
      <c r="F41" s="136"/>
      <c r="G41" s="136"/>
      <c r="H41" s="136"/>
    </row>
    <row r="42" spans="2:8" ht="33.75" customHeight="1">
      <c r="B42" s="137" t="s">
        <v>176</v>
      </c>
      <c r="C42" s="137"/>
      <c r="D42" s="138" t="s">
        <v>498</v>
      </c>
      <c r="E42" s="138"/>
      <c r="F42" s="138"/>
      <c r="G42" s="138"/>
      <c r="H42" s="138"/>
    </row>
    <row r="43" spans="2:8" ht="33.75" customHeight="1">
      <c r="B43" s="135" t="s">
        <v>177</v>
      </c>
      <c r="C43" s="135"/>
      <c r="D43" s="136" t="s">
        <v>499</v>
      </c>
      <c r="E43" s="136"/>
      <c r="F43" s="136"/>
      <c r="G43" s="136"/>
      <c r="H43" s="136"/>
    </row>
    <row r="45" spans="2:8" ht="21.75" customHeight="1">
      <c r="B45" s="9" t="s">
        <v>500</v>
      </c>
      <c r="C45" s="9"/>
      <c r="D45" s="9"/>
      <c r="E45" s="9"/>
      <c r="F45" s="9"/>
      <c r="G45" s="9"/>
      <c r="H45" s="9"/>
    </row>
    <row r="46" spans="2:8" ht="30" customHeight="1">
      <c r="B46" s="135" t="s">
        <v>191</v>
      </c>
      <c r="C46" s="135"/>
      <c r="D46" s="136" t="s">
        <v>501</v>
      </c>
      <c r="E46" s="136"/>
      <c r="F46" s="136"/>
      <c r="G46" s="136"/>
      <c r="H46" s="136"/>
    </row>
    <row r="47" spans="2:8" ht="33.75" customHeight="1">
      <c r="B47" s="137" t="s">
        <v>158</v>
      </c>
      <c r="C47" s="137"/>
      <c r="D47" s="138" t="s">
        <v>502</v>
      </c>
      <c r="E47" s="138"/>
      <c r="F47" s="138"/>
      <c r="G47" s="138"/>
      <c r="H47" s="138"/>
    </row>
    <row r="48" spans="2:8" ht="30" customHeight="1">
      <c r="B48" s="135" t="s">
        <v>503</v>
      </c>
      <c r="C48" s="135"/>
      <c r="D48" s="136" t="s">
        <v>504</v>
      </c>
      <c r="E48" s="136"/>
      <c r="F48" s="136"/>
      <c r="G48" s="136"/>
      <c r="H48" s="136"/>
    </row>
    <row r="49" spans="2:8" ht="33.75" customHeight="1">
      <c r="B49" s="137" t="s">
        <v>505</v>
      </c>
      <c r="C49" s="137"/>
      <c r="D49" s="138" t="s">
        <v>506</v>
      </c>
      <c r="E49" s="138"/>
      <c r="F49" s="138"/>
      <c r="G49" s="138"/>
      <c r="H49" s="138"/>
    </row>
    <row r="50" spans="2:8" ht="30" customHeight="1">
      <c r="B50" s="135" t="s">
        <v>507</v>
      </c>
      <c r="C50" s="135"/>
      <c r="D50" s="136" t="s">
        <v>508</v>
      </c>
      <c r="E50" s="136"/>
      <c r="F50" s="136"/>
      <c r="G50" s="136"/>
      <c r="H50" s="136"/>
    </row>
    <row r="51" spans="2:8" ht="33.75" customHeight="1">
      <c r="B51" s="137" t="s">
        <v>509</v>
      </c>
      <c r="C51" s="137"/>
      <c r="D51" s="138" t="s">
        <v>510</v>
      </c>
      <c r="E51" s="138"/>
      <c r="F51" s="138"/>
      <c r="G51" s="138"/>
      <c r="H51" s="138"/>
    </row>
    <row r="52" spans="2:8" ht="33.75" customHeight="1">
      <c r="B52" s="135" t="s">
        <v>511</v>
      </c>
      <c r="C52" s="135"/>
      <c r="D52" s="136" t="s">
        <v>512</v>
      </c>
      <c r="E52" s="136"/>
      <c r="F52" s="136"/>
      <c r="G52" s="136"/>
      <c r="H52" s="136"/>
    </row>
    <row r="53" spans="2:8" ht="46.5" customHeight="1">
      <c r="B53" s="137" t="s">
        <v>513</v>
      </c>
      <c r="C53" s="137"/>
      <c r="D53" s="138" t="s">
        <v>514</v>
      </c>
      <c r="E53" s="138"/>
      <c r="F53" s="138"/>
      <c r="G53" s="138"/>
      <c r="H53" s="138"/>
    </row>
    <row r="54" spans="2:8" ht="30" customHeight="1">
      <c r="B54" s="135" t="s">
        <v>515</v>
      </c>
      <c r="C54" s="135"/>
      <c r="D54" s="136" t="s">
        <v>516</v>
      </c>
      <c r="E54" s="136"/>
      <c r="F54" s="136"/>
      <c r="G54" s="136"/>
      <c r="H54" s="136"/>
    </row>
    <row r="55" spans="2:8" ht="33.75" customHeight="1">
      <c r="B55" s="137" t="s">
        <v>517</v>
      </c>
      <c r="C55" s="137"/>
      <c r="D55" s="138" t="s">
        <v>518</v>
      </c>
      <c r="E55" s="138"/>
      <c r="F55" s="138"/>
      <c r="G55" s="138"/>
      <c r="H55" s="138"/>
    </row>
    <row r="56" spans="2:8" ht="30" customHeight="1">
      <c r="B56" s="135" t="s">
        <v>424</v>
      </c>
      <c r="C56" s="135"/>
      <c r="D56" s="136" t="s">
        <v>519</v>
      </c>
      <c r="E56" s="136"/>
      <c r="F56" s="136"/>
      <c r="G56" s="136"/>
      <c r="H56" s="136"/>
    </row>
    <row r="57" spans="2:8" ht="30" customHeight="1">
      <c r="B57" s="137" t="s">
        <v>401</v>
      </c>
      <c r="C57" s="137"/>
      <c r="D57" s="138" t="s">
        <v>520</v>
      </c>
      <c r="E57" s="138"/>
      <c r="F57" s="138"/>
      <c r="G57" s="138"/>
      <c r="H57" s="138"/>
    </row>
    <row r="58" spans="2:8" ht="30" customHeight="1">
      <c r="B58" s="135" t="s">
        <v>396</v>
      </c>
      <c r="C58" s="135"/>
      <c r="D58" s="136" t="s">
        <v>521</v>
      </c>
      <c r="E58" s="136"/>
      <c r="F58" s="136"/>
      <c r="G58" s="136"/>
      <c r="H58" s="136"/>
    </row>
    <row r="59" spans="2:8" ht="33.75" customHeight="1">
      <c r="B59" s="137" t="s">
        <v>522</v>
      </c>
      <c r="C59" s="137"/>
      <c r="D59" s="138" t="s">
        <v>523</v>
      </c>
      <c r="E59" s="138"/>
      <c r="F59" s="138"/>
      <c r="G59" s="138"/>
      <c r="H59" s="138"/>
    </row>
    <row r="60" spans="2:8" ht="30" customHeight="1">
      <c r="B60" s="135" t="s">
        <v>524</v>
      </c>
      <c r="C60" s="135"/>
      <c r="D60" s="136" t="s">
        <v>525</v>
      </c>
      <c r="E60" s="136"/>
      <c r="F60" s="136"/>
      <c r="G60" s="136"/>
      <c r="H60" s="136"/>
    </row>
    <row r="61" spans="2:8" ht="33.75" customHeight="1">
      <c r="B61" s="137" t="s">
        <v>526</v>
      </c>
      <c r="C61" s="137"/>
      <c r="D61" s="138" t="s">
        <v>527</v>
      </c>
      <c r="E61" s="138"/>
      <c r="F61" s="138"/>
      <c r="G61" s="138"/>
      <c r="H61" s="138"/>
    </row>
    <row r="62" spans="2:8" ht="33.75" customHeight="1">
      <c r="B62" s="135" t="s">
        <v>528</v>
      </c>
      <c r="C62" s="135"/>
      <c r="D62" s="136" t="s">
        <v>529</v>
      </c>
      <c r="E62" s="136"/>
      <c r="F62" s="136"/>
      <c r="G62" s="136"/>
      <c r="H62" s="136"/>
    </row>
    <row r="63" spans="2:8" ht="33.75" customHeight="1">
      <c r="B63" s="137" t="s">
        <v>530</v>
      </c>
      <c r="C63" s="137"/>
      <c r="D63" s="138" t="s">
        <v>531</v>
      </c>
      <c r="E63" s="138"/>
      <c r="F63" s="138"/>
      <c r="G63" s="138"/>
      <c r="H63" s="138"/>
    </row>
    <row r="65" spans="2:8" ht="21.75" customHeight="1">
      <c r="B65" s="9" t="s">
        <v>532</v>
      </c>
      <c r="C65" s="9"/>
      <c r="D65" s="9"/>
      <c r="E65" s="9"/>
      <c r="F65" s="9"/>
      <c r="G65" s="9"/>
      <c r="H65" s="9"/>
    </row>
    <row r="66" spans="2:8" ht="19.5" customHeight="1">
      <c r="B66" s="6" t="s">
        <v>533</v>
      </c>
      <c r="C66" s="6"/>
      <c r="D66" s="6" t="s">
        <v>534</v>
      </c>
      <c r="E66" s="6"/>
      <c r="F66" s="6"/>
      <c r="G66" s="6" t="s">
        <v>196</v>
      </c>
      <c r="H66" s="6"/>
    </row>
    <row r="67" spans="2:8" ht="33.75" customHeight="1">
      <c r="B67" s="135" t="s">
        <v>535</v>
      </c>
      <c r="C67" s="135"/>
      <c r="D67" s="136" t="s">
        <v>536</v>
      </c>
      <c r="E67" s="136"/>
      <c r="F67" s="136"/>
      <c r="G67" s="136" t="s">
        <v>537</v>
      </c>
      <c r="H67" s="136"/>
    </row>
    <row r="68" spans="2:8" ht="46.5" customHeight="1">
      <c r="B68" s="137" t="s">
        <v>538</v>
      </c>
      <c r="C68" s="137"/>
      <c r="D68" s="138" t="s">
        <v>539</v>
      </c>
      <c r="E68" s="138"/>
      <c r="F68" s="138"/>
      <c r="G68" s="138" t="s">
        <v>540</v>
      </c>
      <c r="H68" s="138"/>
    </row>
    <row r="69" spans="2:8" ht="33.75" customHeight="1">
      <c r="B69" s="135" t="s">
        <v>39</v>
      </c>
      <c r="C69" s="135"/>
      <c r="D69" s="136" t="s">
        <v>541</v>
      </c>
      <c r="E69" s="136"/>
      <c r="F69" s="136"/>
      <c r="G69" s="136" t="s">
        <v>542</v>
      </c>
      <c r="H69" s="136"/>
    </row>
    <row r="70" spans="2:8" ht="60" customHeight="1">
      <c r="B70" s="137" t="s">
        <v>392</v>
      </c>
      <c r="C70" s="137"/>
      <c r="D70" s="138" t="s">
        <v>543</v>
      </c>
      <c r="E70" s="138"/>
      <c r="F70" s="138"/>
      <c r="G70" s="138" t="s">
        <v>544</v>
      </c>
      <c r="H70" s="138"/>
    </row>
    <row r="71" spans="2:8" ht="33.75" customHeight="1">
      <c r="B71" s="135" t="s">
        <v>545</v>
      </c>
      <c r="C71" s="135"/>
      <c r="D71" s="136" t="s">
        <v>546</v>
      </c>
      <c r="E71" s="136"/>
      <c r="F71" s="136"/>
      <c r="G71" s="136" t="s">
        <v>547</v>
      </c>
      <c r="H71" s="136"/>
    </row>
    <row r="72" spans="2:8" ht="33.75" customHeight="1">
      <c r="B72" s="137" t="s">
        <v>548</v>
      </c>
      <c r="C72" s="137"/>
      <c r="D72" s="138" t="s">
        <v>549</v>
      </c>
      <c r="E72" s="138"/>
      <c r="F72" s="138"/>
      <c r="G72" s="138"/>
      <c r="H72" s="138"/>
    </row>
    <row r="73" spans="2:8" ht="30" customHeight="1">
      <c r="B73" s="135" t="s">
        <v>530</v>
      </c>
      <c r="C73" s="135"/>
      <c r="D73" s="136" t="s">
        <v>550</v>
      </c>
      <c r="E73" s="136"/>
      <c r="F73" s="136"/>
      <c r="G73" s="136" t="s">
        <v>551</v>
      </c>
      <c r="H73" s="136"/>
    </row>
    <row r="75" spans="2:8" ht="21.75" customHeight="1">
      <c r="B75" s="9" t="s">
        <v>552</v>
      </c>
      <c r="C75" s="9"/>
      <c r="D75" s="9"/>
      <c r="E75" s="9"/>
      <c r="F75" s="9"/>
      <c r="G75" s="9"/>
      <c r="H75" s="9"/>
    </row>
    <row r="76" spans="2:8" ht="18.75" customHeight="1">
      <c r="B76" s="81" t="s">
        <v>553</v>
      </c>
      <c r="C76" s="139" t="s">
        <v>554</v>
      </c>
      <c r="D76" s="139"/>
      <c r="E76" s="139"/>
      <c r="F76" s="139"/>
      <c r="G76" s="139"/>
      <c r="H76" s="139"/>
    </row>
    <row r="77" spans="2:8" ht="18.75" customHeight="1">
      <c r="B77" s="82" t="s">
        <v>555</v>
      </c>
      <c r="C77" s="139" t="s">
        <v>556</v>
      </c>
      <c r="D77" s="139"/>
      <c r="E77" s="139"/>
      <c r="F77" s="139"/>
      <c r="G77" s="139"/>
      <c r="H77" s="139"/>
    </row>
    <row r="78" spans="2:8" ht="18.75" customHeight="1">
      <c r="B78" s="83" t="s">
        <v>557</v>
      </c>
      <c r="C78" s="139" t="s">
        <v>558</v>
      </c>
      <c r="D78" s="139"/>
      <c r="E78" s="139"/>
      <c r="F78" s="139"/>
      <c r="G78" s="139"/>
      <c r="H78" s="139"/>
    </row>
    <row r="79" spans="2:8" ht="18.75" customHeight="1">
      <c r="B79" s="84" t="s">
        <v>559</v>
      </c>
      <c r="C79" s="139" t="s">
        <v>560</v>
      </c>
      <c r="D79" s="139"/>
      <c r="E79" s="139"/>
      <c r="F79" s="139"/>
      <c r="G79" s="139"/>
      <c r="H79" s="139"/>
    </row>
    <row r="81" spans="2:8" ht="21.75" customHeight="1">
      <c r="B81" s="9" t="s">
        <v>561</v>
      </c>
      <c r="C81" s="9"/>
      <c r="D81" s="9"/>
      <c r="E81" s="9"/>
      <c r="F81" s="9"/>
      <c r="G81" s="9"/>
      <c r="H81" s="9"/>
    </row>
    <row r="82" spans="2:8" ht="33" customHeight="1">
      <c r="B82" s="85" t="s">
        <v>562</v>
      </c>
      <c r="C82" s="85" t="s">
        <v>190</v>
      </c>
      <c r="D82" s="85" t="s">
        <v>165</v>
      </c>
      <c r="E82" s="85" t="s">
        <v>563</v>
      </c>
      <c r="F82" s="85" t="s">
        <v>270</v>
      </c>
      <c r="G82" s="85" t="s">
        <v>271</v>
      </c>
      <c r="H82" s="85" t="s">
        <v>158</v>
      </c>
    </row>
    <row r="83" spans="2:8" ht="46.5" customHeight="1">
      <c r="B83" s="18" t="s">
        <v>198</v>
      </c>
      <c r="C83" s="18" t="s">
        <v>200</v>
      </c>
      <c r="D83" s="18" t="s">
        <v>169</v>
      </c>
      <c r="E83" s="18" t="s">
        <v>98</v>
      </c>
      <c r="F83" s="18" t="s">
        <v>282</v>
      </c>
      <c r="G83" s="18" t="s">
        <v>281</v>
      </c>
      <c r="H83" s="18" t="s">
        <v>3</v>
      </c>
    </row>
    <row r="84" spans="2:8" ht="46.5" customHeight="1">
      <c r="B84" s="21" t="s">
        <v>232</v>
      </c>
      <c r="C84" s="21" t="s">
        <v>215</v>
      </c>
      <c r="D84" s="21" t="s">
        <v>170</v>
      </c>
      <c r="E84" s="21" t="s">
        <v>343</v>
      </c>
      <c r="F84" s="21" t="s">
        <v>280</v>
      </c>
      <c r="G84" s="21" t="s">
        <v>289</v>
      </c>
      <c r="H84" s="21" t="s">
        <v>6</v>
      </c>
    </row>
    <row r="85" spans="2:8" ht="46.5" customHeight="1">
      <c r="B85" s="18" t="s">
        <v>238</v>
      </c>
      <c r="C85" s="18" t="s">
        <v>219</v>
      </c>
      <c r="D85" s="18" t="s">
        <v>171</v>
      </c>
      <c r="E85" s="18" t="s">
        <v>352</v>
      </c>
      <c r="F85" s="18" t="s">
        <v>300</v>
      </c>
      <c r="G85" s="18" t="s">
        <v>286</v>
      </c>
      <c r="H85" s="18" t="s">
        <v>9</v>
      </c>
    </row>
    <row r="86" spans="2:8" ht="46.5" customHeight="1">
      <c r="B86" s="21" t="s">
        <v>246</v>
      </c>
      <c r="C86" s="21" t="s">
        <v>227</v>
      </c>
      <c r="D86" s="21" t="s">
        <v>172</v>
      </c>
      <c r="E86" s="21" t="s">
        <v>349</v>
      </c>
      <c r="F86" s="21" t="s">
        <v>283</v>
      </c>
      <c r="G86" s="21" t="s">
        <v>278</v>
      </c>
      <c r="H86" s="21" t="s">
        <v>12</v>
      </c>
    </row>
    <row r="87" spans="2:8" ht="46.5" customHeight="1">
      <c r="B87" s="18" t="s">
        <v>248</v>
      </c>
      <c r="D87" s="18" t="s">
        <v>173</v>
      </c>
      <c r="E87" s="18" t="s">
        <v>364</v>
      </c>
      <c r="F87" s="18" t="s">
        <v>277</v>
      </c>
      <c r="G87" s="18" t="s">
        <v>296</v>
      </c>
      <c r="H87" s="18" t="s">
        <v>15</v>
      </c>
    </row>
    <row r="88" spans="2:8" ht="46.5" customHeight="1">
      <c r="B88" s="21" t="s">
        <v>258</v>
      </c>
      <c r="D88" s="21" t="s">
        <v>174</v>
      </c>
      <c r="E88" s="21" t="s">
        <v>455</v>
      </c>
      <c r="F88" s="21" t="s">
        <v>292</v>
      </c>
      <c r="G88" s="21" t="s">
        <v>288</v>
      </c>
      <c r="H88" s="21" t="s">
        <v>18</v>
      </c>
    </row>
    <row r="89" spans="2:8" ht="46.5" customHeight="1">
      <c r="B89" s="18" t="s">
        <v>204</v>
      </c>
      <c r="D89" s="18" t="s">
        <v>175</v>
      </c>
      <c r="E89" s="18" t="s">
        <v>564</v>
      </c>
      <c r="F89" s="18" t="s">
        <v>565</v>
      </c>
      <c r="G89" s="18" t="s">
        <v>566</v>
      </c>
      <c r="H89" s="18" t="s">
        <v>21</v>
      </c>
    </row>
    <row r="90" spans="2:8" ht="46.5" customHeight="1">
      <c r="B90" s="21" t="s">
        <v>243</v>
      </c>
      <c r="D90" s="21" t="s">
        <v>176</v>
      </c>
      <c r="E90" s="21" t="s">
        <v>453</v>
      </c>
      <c r="F90" s="21" t="s">
        <v>285</v>
      </c>
      <c r="H90" s="21" t="s">
        <v>567</v>
      </c>
    </row>
    <row r="91" spans="2:8" ht="46.5" customHeight="1">
      <c r="B91" s="18" t="s">
        <v>235</v>
      </c>
      <c r="D91" s="18" t="s">
        <v>177</v>
      </c>
      <c r="E91" s="18" t="s">
        <v>392</v>
      </c>
      <c r="F91" s="18" t="s">
        <v>293</v>
      </c>
      <c r="H91" s="18" t="s">
        <v>568</v>
      </c>
    </row>
    <row r="92" spans="2:8" ht="46.5" customHeight="1">
      <c r="E92" s="21" t="s">
        <v>569</v>
      </c>
      <c r="F92" s="21" t="s">
        <v>295</v>
      </c>
      <c r="H92" s="21" t="s">
        <v>570</v>
      </c>
    </row>
    <row r="93" spans="2:8" ht="46.5" customHeight="1">
      <c r="E93" s="18" t="s">
        <v>371</v>
      </c>
      <c r="F93" s="18" t="s">
        <v>299</v>
      </c>
      <c r="H93" s="18" t="s">
        <v>571</v>
      </c>
    </row>
    <row r="94" spans="2:8" ht="46.5" customHeight="1">
      <c r="H94" s="21" t="s">
        <v>572</v>
      </c>
    </row>
    <row r="96" spans="2:8" ht="19.5" customHeight="1">
      <c r="B96" s="85" t="s">
        <v>386</v>
      </c>
      <c r="C96" s="85" t="s">
        <v>387</v>
      </c>
      <c r="D96" s="85" t="s">
        <v>573</v>
      </c>
      <c r="E96" s="85" t="s">
        <v>574</v>
      </c>
      <c r="F96" s="85" t="s">
        <v>385</v>
      </c>
      <c r="G96" s="85" t="s">
        <v>311</v>
      </c>
      <c r="H96" s="85" t="s">
        <v>575</v>
      </c>
    </row>
    <row r="97" spans="2:8" ht="33.75" customHeight="1">
      <c r="B97" s="18" t="s">
        <v>395</v>
      </c>
      <c r="C97" s="18" t="s">
        <v>424</v>
      </c>
      <c r="D97" s="18" t="s">
        <v>361</v>
      </c>
      <c r="E97" s="18" t="s">
        <v>398</v>
      </c>
      <c r="F97" s="18" t="s">
        <v>412</v>
      </c>
      <c r="G97" s="18" t="s">
        <v>314</v>
      </c>
      <c r="H97" s="18" t="s">
        <v>361</v>
      </c>
    </row>
    <row r="98" spans="2:8" ht="33.75" customHeight="1">
      <c r="B98" s="21" t="s">
        <v>406</v>
      </c>
      <c r="C98" s="21" t="s">
        <v>401</v>
      </c>
      <c r="D98" s="21" t="s">
        <v>345</v>
      </c>
      <c r="E98" s="21" t="s">
        <v>403</v>
      </c>
      <c r="F98" s="21" t="s">
        <v>415</v>
      </c>
      <c r="G98" s="21" t="s">
        <v>320</v>
      </c>
      <c r="H98" s="21" t="s">
        <v>345</v>
      </c>
    </row>
    <row r="99" spans="2:8" ht="33.75" customHeight="1">
      <c r="B99" s="18" t="s">
        <v>576</v>
      </c>
      <c r="C99" s="18" t="s">
        <v>396</v>
      </c>
      <c r="D99" s="18" t="s">
        <v>410</v>
      </c>
      <c r="E99" s="18" t="s">
        <v>410</v>
      </c>
      <c r="F99" s="18" t="s">
        <v>394</v>
      </c>
      <c r="G99" s="18" t="s">
        <v>577</v>
      </c>
    </row>
    <row r="100" spans="2:8" ht="33.75" customHeight="1">
      <c r="B100" s="21" t="s">
        <v>578</v>
      </c>
      <c r="C100" s="21" t="s">
        <v>522</v>
      </c>
      <c r="F100" s="21" t="s">
        <v>405</v>
      </c>
      <c r="G100" s="21" t="s">
        <v>324</v>
      </c>
    </row>
    <row r="101" spans="2:8" ht="33.75" customHeight="1">
      <c r="B101" s="18" t="s">
        <v>579</v>
      </c>
      <c r="C101" s="18" t="s">
        <v>580</v>
      </c>
      <c r="F101" s="18" t="s">
        <v>418</v>
      </c>
    </row>
    <row r="102" spans="2:8" ht="33.75" customHeight="1">
      <c r="B102" s="21" t="s">
        <v>581</v>
      </c>
      <c r="C102" s="21" t="s">
        <v>413</v>
      </c>
      <c r="F102" s="21" t="s">
        <v>177</v>
      </c>
    </row>
    <row r="103" spans="2:8" ht="33.75" customHeight="1">
      <c r="B103" s="18" t="s">
        <v>423</v>
      </c>
      <c r="F103" s="18" t="s">
        <v>582</v>
      </c>
    </row>
    <row r="104" spans="2:8" ht="33.75" customHeight="1">
      <c r="B104" s="21" t="s">
        <v>583</v>
      </c>
    </row>
    <row r="105" spans="2:8" ht="33.75" customHeight="1">
      <c r="B105" s="18" t="s">
        <v>584</v>
      </c>
    </row>
    <row r="106" spans="2:8" ht="18" customHeight="1">
      <c r="B106" s="92" t="s">
        <v>141</v>
      </c>
      <c r="C106" s="92"/>
      <c r="D106" s="92"/>
      <c r="E106" s="92"/>
      <c r="F106" s="92"/>
      <c r="G106" s="92"/>
      <c r="H106" s="92"/>
    </row>
  </sheetData>
  <mergeCells count="114">
    <mergeCell ref="B75:H75"/>
    <mergeCell ref="C76:H76"/>
    <mergeCell ref="C77:H77"/>
    <mergeCell ref="C78:H78"/>
    <mergeCell ref="C79:H79"/>
    <mergeCell ref="B81:H81"/>
    <mergeCell ref="B106:H106"/>
    <mergeCell ref="B71:C71"/>
    <mergeCell ref="D71:F71"/>
    <mergeCell ref="G71:H71"/>
    <mergeCell ref="B72:C72"/>
    <mergeCell ref="D72:F72"/>
    <mergeCell ref="G72:H72"/>
    <mergeCell ref="B73:C73"/>
    <mergeCell ref="D73:F73"/>
    <mergeCell ref="G73:H73"/>
    <mergeCell ref="B68:C68"/>
    <mergeCell ref="D68:F68"/>
    <mergeCell ref="G68:H68"/>
    <mergeCell ref="B69:C69"/>
    <mergeCell ref="D69:F69"/>
    <mergeCell ref="G69:H69"/>
    <mergeCell ref="B70:C70"/>
    <mergeCell ref="D70:F70"/>
    <mergeCell ref="G70:H70"/>
    <mergeCell ref="B62:C62"/>
    <mergeCell ref="D62:H62"/>
    <mergeCell ref="B63:C63"/>
    <mergeCell ref="D63:H63"/>
    <mergeCell ref="B65:H65"/>
    <mergeCell ref="B66:C66"/>
    <mergeCell ref="D66:F66"/>
    <mergeCell ref="G66:H66"/>
    <mergeCell ref="B67:C67"/>
    <mergeCell ref="D67:F67"/>
    <mergeCell ref="G67:H67"/>
    <mergeCell ref="B57:C57"/>
    <mergeCell ref="D57:H57"/>
    <mergeCell ref="B58:C58"/>
    <mergeCell ref="D58:H58"/>
    <mergeCell ref="B59:C59"/>
    <mergeCell ref="D59:H59"/>
    <mergeCell ref="B60:C60"/>
    <mergeCell ref="D60:H60"/>
    <mergeCell ref="B61:C61"/>
    <mergeCell ref="D61:H61"/>
    <mergeCell ref="B52:C52"/>
    <mergeCell ref="D52:H52"/>
    <mergeCell ref="B53:C53"/>
    <mergeCell ref="D53:H53"/>
    <mergeCell ref="B54:C54"/>
    <mergeCell ref="D54:H54"/>
    <mergeCell ref="B55:C55"/>
    <mergeCell ref="D55:H55"/>
    <mergeCell ref="B56:C56"/>
    <mergeCell ref="D56:H56"/>
    <mergeCell ref="B47:C47"/>
    <mergeCell ref="D47:H47"/>
    <mergeCell ref="B48:C48"/>
    <mergeCell ref="D48:H48"/>
    <mergeCell ref="B49:C49"/>
    <mergeCell ref="D49:H49"/>
    <mergeCell ref="B50:C50"/>
    <mergeCell ref="D50:H50"/>
    <mergeCell ref="B51:C51"/>
    <mergeCell ref="D51:H51"/>
    <mergeCell ref="B41:C41"/>
    <mergeCell ref="D41:H41"/>
    <mergeCell ref="B42:C42"/>
    <mergeCell ref="D42:H42"/>
    <mergeCell ref="B43:C43"/>
    <mergeCell ref="D43:H43"/>
    <mergeCell ref="B45:H45"/>
    <mergeCell ref="B46:C46"/>
    <mergeCell ref="D46:H46"/>
    <mergeCell ref="B36:C36"/>
    <mergeCell ref="D36:H36"/>
    <mergeCell ref="B37:C37"/>
    <mergeCell ref="D37:H37"/>
    <mergeCell ref="B38:C38"/>
    <mergeCell ref="D38:H38"/>
    <mergeCell ref="B39:C39"/>
    <mergeCell ref="D39:H39"/>
    <mergeCell ref="B40:C40"/>
    <mergeCell ref="D40:H40"/>
    <mergeCell ref="B16:H19"/>
    <mergeCell ref="B21:H21"/>
    <mergeCell ref="B22:H25"/>
    <mergeCell ref="B27:H27"/>
    <mergeCell ref="B28:H31"/>
    <mergeCell ref="B33:H33"/>
    <mergeCell ref="B34:C34"/>
    <mergeCell ref="D34:H34"/>
    <mergeCell ref="B35:C35"/>
    <mergeCell ref="D35:H35"/>
    <mergeCell ref="C10:F10"/>
    <mergeCell ref="G10:H10"/>
    <mergeCell ref="C11:F11"/>
    <mergeCell ref="G11:H11"/>
    <mergeCell ref="C12:F12"/>
    <mergeCell ref="G12:H12"/>
    <mergeCell ref="C13:F13"/>
    <mergeCell ref="G13:H13"/>
    <mergeCell ref="B15:H15"/>
    <mergeCell ref="B1:H1"/>
    <mergeCell ref="B2:H2"/>
    <mergeCell ref="B4:H4"/>
    <mergeCell ref="B6:H6"/>
    <mergeCell ref="C7:F7"/>
    <mergeCell ref="G7:H7"/>
    <mergeCell ref="C8:F8"/>
    <mergeCell ref="G8:H8"/>
    <mergeCell ref="C9:F9"/>
    <mergeCell ref="G9:H9"/>
  </mergeCells>
  <hyperlinks>
    <hyperlink ref="B106" r:id="rId1" xr:uid="{00000000-0004-0000-0900-000000000000}"/>
  </hyperlinks>
  <pageMargins left="0.3" right="0.3" top="0.5" bottom="0.5" header="0.511811023622047" footer="0.511811023622047"/>
  <pageSetup paperSize="8" fitToHeight="0" orientation="landscape" horizontalDpi="300" verticalDpi="300"/>
  <rowBreaks count="5" manualBreakCount="5">
    <brk id="14" max="16383" man="1"/>
    <brk id="32" max="16383" man="1"/>
    <brk id="44" max="16383" man="1"/>
    <brk id="81" max="16383" man="1"/>
    <brk id="9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15383"/>
    <pageSetUpPr fitToPage="1"/>
  </sheetPr>
  <dimension ref="B1:H42"/>
  <sheetViews>
    <sheetView showGridLines="0" topLeftCell="A21" zoomScaleNormal="100" workbookViewId="0"/>
  </sheetViews>
  <sheetFormatPr defaultColWidth="8.7109375" defaultRowHeight="15"/>
  <cols>
    <col min="1" max="1" width="2.140625" customWidth="1"/>
    <col min="2" max="2" width="40" customWidth="1"/>
    <col min="3" max="3" width="4" customWidth="1"/>
    <col min="4" max="5" width="26" customWidth="1"/>
    <col min="6" max="7" width="22" customWidth="1"/>
    <col min="8" max="8" width="40" customWidth="1"/>
    <col min="9" max="9" width="2.140625" customWidth="1"/>
  </cols>
  <sheetData>
    <row r="1" spans="2:8" ht="33.75" customHeight="1">
      <c r="B1" s="86" t="s">
        <v>91</v>
      </c>
      <c r="C1" s="86"/>
      <c r="D1" s="86"/>
      <c r="E1" s="86"/>
      <c r="F1" s="86"/>
      <c r="G1" s="86"/>
      <c r="H1" s="86"/>
    </row>
    <row r="2" spans="2:8" ht="4.5" customHeight="1">
      <c r="B2" s="87"/>
      <c r="C2" s="87"/>
      <c r="D2" s="87"/>
      <c r="E2" s="87"/>
      <c r="F2" s="87"/>
      <c r="G2" s="87"/>
      <c r="H2" s="87"/>
    </row>
    <row r="3" spans="2:8" ht="16.5" customHeight="1">
      <c r="B3" s="88" t="str">
        <f>IF(LEFT(Setup!$D$7,7)&lt;&gt;"EXAMPLE","","EXAMPLE DATA - type your own project name on Setup to clear this.")</f>
        <v>EXAMPLE DATA - type your own project name on Setup to clear this.</v>
      </c>
      <c r="C3" s="88"/>
      <c r="D3" s="88"/>
      <c r="E3" s="88"/>
      <c r="F3" s="88"/>
      <c r="G3" s="88"/>
      <c r="H3" s="88"/>
    </row>
    <row r="4" spans="2:8" ht="25.5" customHeight="1">
      <c r="B4" s="89" t="s">
        <v>92</v>
      </c>
      <c r="C4" s="89"/>
      <c r="D4" s="89"/>
      <c r="E4" s="89"/>
      <c r="F4" s="89"/>
      <c r="G4" s="89"/>
      <c r="H4" s="89"/>
    </row>
    <row r="6" spans="2:8" ht="21.75" customHeight="1">
      <c r="B6" s="9" t="s">
        <v>93</v>
      </c>
      <c r="C6" s="9"/>
      <c r="D6" s="9"/>
      <c r="E6" s="9"/>
      <c r="F6" s="9"/>
      <c r="G6" s="9"/>
      <c r="H6" s="9"/>
    </row>
    <row r="7" spans="2:8" ht="21.75" customHeight="1">
      <c r="B7" s="90" t="s">
        <v>94</v>
      </c>
      <c r="C7" s="90"/>
      <c r="D7" s="41" t="s">
        <v>95</v>
      </c>
    </row>
    <row r="8" spans="2:8" ht="21.75" customHeight="1">
      <c r="B8" s="90" t="s">
        <v>96</v>
      </c>
      <c r="C8" s="90"/>
      <c r="D8" s="41" t="s">
        <v>97</v>
      </c>
    </row>
    <row r="9" spans="2:8" ht="21.75" customHeight="1">
      <c r="B9" s="90" t="s">
        <v>98</v>
      </c>
      <c r="C9" s="90"/>
      <c r="D9" s="41" t="s">
        <v>99</v>
      </c>
    </row>
    <row r="10" spans="2:8" ht="21.75" customHeight="1">
      <c r="B10" s="90" t="s">
        <v>100</v>
      </c>
      <c r="C10" s="90"/>
      <c r="D10" s="41" t="s">
        <v>101</v>
      </c>
    </row>
    <row r="11" spans="2:8" ht="30" customHeight="1">
      <c r="B11" s="90" t="s">
        <v>102</v>
      </c>
      <c r="C11" s="90"/>
      <c r="D11" s="41" t="s">
        <v>103</v>
      </c>
      <c r="E11" s="89" t="s">
        <v>104</v>
      </c>
      <c r="F11" s="89"/>
      <c r="G11" s="89"/>
      <c r="H11" s="89"/>
    </row>
    <row r="12" spans="2:8" ht="21.75" customHeight="1">
      <c r="B12" s="90" t="s">
        <v>105</v>
      </c>
      <c r="C12" s="90"/>
      <c r="D12" s="41" t="s">
        <v>106</v>
      </c>
    </row>
    <row r="14" spans="2:8" ht="21.75" customHeight="1">
      <c r="B14" s="9" t="s">
        <v>107</v>
      </c>
      <c r="C14" s="9"/>
      <c r="D14" s="9"/>
      <c r="E14" s="9"/>
      <c r="F14" s="9"/>
      <c r="G14" s="9"/>
      <c r="H14" s="9"/>
    </row>
    <row r="15" spans="2:8" ht="30" customHeight="1">
      <c r="B15" s="90" t="s">
        <v>108</v>
      </c>
      <c r="C15" s="90"/>
      <c r="D15" s="42">
        <f ca="1">TODAY()+1</f>
        <v>46252</v>
      </c>
      <c r="E15" s="89" t="s">
        <v>109</v>
      </c>
      <c r="F15" s="89"/>
      <c r="G15" s="89"/>
      <c r="H15" s="89"/>
    </row>
    <row r="16" spans="2:8" ht="21.75" customHeight="1">
      <c r="B16" s="90" t="s">
        <v>110</v>
      </c>
      <c r="C16" s="90"/>
      <c r="D16" s="42">
        <f ca="1">TODAY()+56</f>
        <v>46307</v>
      </c>
      <c r="E16" s="89" t="s">
        <v>111</v>
      </c>
      <c r="F16" s="89"/>
      <c r="G16" s="89"/>
      <c r="H16" s="89"/>
    </row>
    <row r="17" spans="2:8" ht="21.75" customHeight="1">
      <c r="B17" s="90" t="s">
        <v>112</v>
      </c>
      <c r="C17" s="90"/>
      <c r="D17" s="42">
        <f ca="1">TODAY()+60</f>
        <v>46311</v>
      </c>
    </row>
    <row r="18" spans="2:8" ht="30" customHeight="1">
      <c r="B18" s="90" t="s">
        <v>113</v>
      </c>
      <c r="C18" s="90"/>
      <c r="D18" s="43">
        <f ca="1">TODAY()+38+22/24</f>
        <v>46289.916666666664</v>
      </c>
      <c r="E18" s="89" t="s">
        <v>114</v>
      </c>
      <c r="F18" s="89"/>
      <c r="G18" s="89"/>
      <c r="H18" s="89"/>
    </row>
    <row r="19" spans="2:8" ht="21.75" customHeight="1">
      <c r="B19" s="90" t="s">
        <v>115</v>
      </c>
      <c r="C19" s="90"/>
      <c r="D19" s="44">
        <f ca="1">TODAY()</f>
        <v>46251</v>
      </c>
      <c r="E19" s="89" t="s">
        <v>116</v>
      </c>
      <c r="F19" s="89"/>
      <c r="G19" s="89"/>
      <c r="H19" s="89"/>
    </row>
    <row r="20" spans="2:8" ht="21.75" customHeight="1">
      <c r="B20" s="90" t="s">
        <v>117</v>
      </c>
      <c r="C20" s="90"/>
      <c r="D20" s="45">
        <v>10</v>
      </c>
    </row>
    <row r="21" spans="2:8" ht="30" customHeight="1">
      <c r="B21" s="90" t="s">
        <v>118</v>
      </c>
      <c r="C21" s="90"/>
      <c r="D21" s="45">
        <v>14</v>
      </c>
      <c r="E21" s="89" t="s">
        <v>119</v>
      </c>
      <c r="F21" s="89"/>
      <c r="G21" s="89"/>
      <c r="H21" s="89"/>
    </row>
    <row r="23" spans="2:8" ht="21.75" customHeight="1">
      <c r="B23" s="9" t="s">
        <v>120</v>
      </c>
      <c r="C23" s="9"/>
      <c r="D23" s="9"/>
      <c r="E23" s="9"/>
      <c r="F23" s="9"/>
      <c r="G23" s="9"/>
      <c r="H23" s="9"/>
    </row>
    <row r="24" spans="2:8" ht="12.75" customHeight="1">
      <c r="B24" s="89" t="s">
        <v>121</v>
      </c>
      <c r="C24" s="89"/>
      <c r="D24" s="89"/>
      <c r="E24" s="89"/>
      <c r="F24" s="89"/>
      <c r="G24" s="89"/>
      <c r="H24" s="89"/>
    </row>
    <row r="25" spans="2:8" ht="12.75" customHeight="1">
      <c r="B25" s="89"/>
      <c r="C25" s="89"/>
      <c r="D25" s="89"/>
      <c r="E25" s="89"/>
      <c r="F25" s="89"/>
      <c r="G25" s="89"/>
      <c r="H25" s="89"/>
    </row>
    <row r="26" spans="2:8" ht="21.75" customHeight="1">
      <c r="B26" s="90" t="s">
        <v>122</v>
      </c>
      <c r="C26" s="90"/>
      <c r="D26" s="45">
        <v>50</v>
      </c>
    </row>
    <row r="27" spans="2:8" ht="30" customHeight="1">
      <c r="B27" s="90" t="s">
        <v>123</v>
      </c>
      <c r="C27" s="90"/>
      <c r="D27" s="45">
        <v>10</v>
      </c>
      <c r="E27" s="89" t="s">
        <v>124</v>
      </c>
      <c r="F27" s="89"/>
      <c r="G27" s="89"/>
      <c r="H27" s="89"/>
    </row>
    <row r="28" spans="2:8" ht="21.75" customHeight="1">
      <c r="B28" s="90" t="s">
        <v>125</v>
      </c>
      <c r="C28" s="90"/>
      <c r="D28" s="45">
        <v>2</v>
      </c>
    </row>
    <row r="30" spans="2:8" ht="21.75" customHeight="1">
      <c r="B30" s="9" t="s">
        <v>126</v>
      </c>
      <c r="C30" s="9"/>
      <c r="D30" s="9"/>
      <c r="E30" s="9"/>
      <c r="F30" s="9"/>
      <c r="G30" s="9"/>
      <c r="H30" s="9"/>
    </row>
    <row r="31" spans="2:8" ht="12.75" customHeight="1">
      <c r="B31" s="89" t="s">
        <v>127</v>
      </c>
      <c r="C31" s="89"/>
      <c r="D31" s="89"/>
      <c r="E31" s="89"/>
      <c r="F31" s="89"/>
      <c r="G31" s="89"/>
      <c r="H31" s="89"/>
    </row>
    <row r="32" spans="2:8" ht="12.75" customHeight="1">
      <c r="B32" s="89"/>
      <c r="C32" s="89"/>
      <c r="D32" s="89"/>
      <c r="E32" s="89"/>
      <c r="F32" s="89"/>
      <c r="G32" s="89"/>
      <c r="H32" s="89"/>
    </row>
    <row r="33" spans="2:8" ht="30" customHeight="1">
      <c r="B33" s="90" t="s">
        <v>128</v>
      </c>
      <c r="C33" s="90"/>
      <c r="D33" s="45">
        <v>8</v>
      </c>
      <c r="E33" s="89" t="s">
        <v>129</v>
      </c>
      <c r="F33" s="89"/>
      <c r="G33" s="89"/>
      <c r="H33" s="89"/>
    </row>
    <row r="34" spans="2:8" ht="21.75" customHeight="1">
      <c r="B34" s="90" t="s">
        <v>130</v>
      </c>
      <c r="C34" s="90"/>
      <c r="D34" s="45">
        <v>6</v>
      </c>
      <c r="E34" s="89" t="s">
        <v>131</v>
      </c>
      <c r="F34" s="89"/>
      <c r="G34" s="89"/>
      <c r="H34" s="89"/>
    </row>
    <row r="35" spans="2:8" ht="21.75" customHeight="1">
      <c r="B35" s="90" t="s">
        <v>132</v>
      </c>
      <c r="C35" s="90"/>
      <c r="D35" s="42">
        <f ca="1">TODAY()+273</f>
        <v>46524</v>
      </c>
      <c r="E35" s="89" t="s">
        <v>133</v>
      </c>
      <c r="F35" s="89"/>
      <c r="G35" s="89"/>
      <c r="H35" s="89"/>
    </row>
    <row r="36" spans="2:8" ht="30" customHeight="1">
      <c r="B36" s="90" t="s">
        <v>134</v>
      </c>
      <c r="C36" s="90"/>
      <c r="D36" s="46">
        <v>145000</v>
      </c>
      <c r="E36" s="89" t="s">
        <v>135</v>
      </c>
      <c r="F36" s="89"/>
      <c r="G36" s="89"/>
      <c r="H36" s="89"/>
    </row>
    <row r="37" spans="2:8" ht="21.75" customHeight="1">
      <c r="B37" s="90" t="s">
        <v>136</v>
      </c>
      <c r="C37" s="90"/>
      <c r="D37" s="46">
        <v>210000</v>
      </c>
      <c r="E37" s="89" t="s">
        <v>137</v>
      </c>
      <c r="F37" s="89"/>
      <c r="G37" s="89"/>
      <c r="H37" s="89"/>
    </row>
    <row r="39" spans="2:8" ht="21.75" customHeight="1">
      <c r="B39" s="9" t="s">
        <v>138</v>
      </c>
      <c r="C39" s="9"/>
      <c r="D39" s="9"/>
      <c r="E39" s="9"/>
      <c r="F39" s="9"/>
      <c r="G39" s="9"/>
      <c r="H39" s="9"/>
    </row>
    <row r="40" spans="2:8" ht="27.75" customHeight="1">
      <c r="B40" s="91" t="s">
        <v>139</v>
      </c>
      <c r="C40" s="91"/>
      <c r="D40" s="47">
        <f ca="1">(IF(Setup!$D$7="",0,1)+IF(Setup!$D$8="",0,1)+IF(Setup!$D$9="",0,1)+IF(Setup!$D$11="",0,1)+IF(Setup!$D$12="",0,1)+IF(Setup!$D$16="",0,1)+IF(Setup!$D$33="",0,1)+IF(Setup!$D$34="",0,1)+IF(Setup!$D$35="",0,1))/9</f>
        <v>1</v>
      </c>
      <c r="E40" s="89" t="s">
        <v>140</v>
      </c>
      <c r="F40" s="89"/>
      <c r="G40" s="89"/>
      <c r="H40" s="89"/>
    </row>
    <row r="42" spans="2:8" ht="18" customHeight="1">
      <c r="B42" s="92" t="s">
        <v>141</v>
      </c>
      <c r="C42" s="92"/>
      <c r="D42" s="92"/>
      <c r="E42" s="92"/>
      <c r="F42" s="92"/>
      <c r="G42" s="92"/>
      <c r="H42" s="92"/>
    </row>
  </sheetData>
  <mergeCells count="47">
    <mergeCell ref="B42:H42"/>
    <mergeCell ref="B37:C37"/>
    <mergeCell ref="E37:H37"/>
    <mergeCell ref="B39:H39"/>
    <mergeCell ref="B40:C40"/>
    <mergeCell ref="E40:H40"/>
    <mergeCell ref="B34:C34"/>
    <mergeCell ref="E34:H34"/>
    <mergeCell ref="B35:C35"/>
    <mergeCell ref="E35:H35"/>
    <mergeCell ref="B36:C36"/>
    <mergeCell ref="E36:H36"/>
    <mergeCell ref="B28:C28"/>
    <mergeCell ref="B30:H30"/>
    <mergeCell ref="B31:H32"/>
    <mergeCell ref="B33:C33"/>
    <mergeCell ref="E33:H33"/>
    <mergeCell ref="B23:H23"/>
    <mergeCell ref="B24:H25"/>
    <mergeCell ref="B26:C26"/>
    <mergeCell ref="B27:C27"/>
    <mergeCell ref="E27:H27"/>
    <mergeCell ref="B19:C19"/>
    <mergeCell ref="E19:H19"/>
    <mergeCell ref="B20:C20"/>
    <mergeCell ref="B21:C21"/>
    <mergeCell ref="E21:H21"/>
    <mergeCell ref="B16:C16"/>
    <mergeCell ref="E16:H16"/>
    <mergeCell ref="B17:C17"/>
    <mergeCell ref="B18:C18"/>
    <mergeCell ref="E18:H18"/>
    <mergeCell ref="E11:H11"/>
    <mergeCell ref="B12:C12"/>
    <mergeCell ref="B14:H14"/>
    <mergeCell ref="B15:C15"/>
    <mergeCell ref="E15:H15"/>
    <mergeCell ref="B7:C7"/>
    <mergeCell ref="B8:C8"/>
    <mergeCell ref="B9:C9"/>
    <mergeCell ref="B10:C10"/>
    <mergeCell ref="B11:C11"/>
    <mergeCell ref="B1:H1"/>
    <mergeCell ref="B2:H2"/>
    <mergeCell ref="B3:H3"/>
    <mergeCell ref="B4:H4"/>
    <mergeCell ref="B6:H6"/>
  </mergeCells>
  <conditionalFormatting sqref="B3:H3">
    <cfRule type="expression" dxfId="51" priority="2">
      <formula>LEN($B$3)&gt;0</formula>
    </cfRule>
  </conditionalFormatting>
  <conditionalFormatting sqref="D40">
    <cfRule type="expression" dxfId="50" priority="3">
      <formula>$D40&lt;1</formula>
    </cfRule>
  </conditionalFormatting>
  <hyperlinks>
    <hyperlink ref="B42" r:id="rId1" xr:uid="{00000000-0004-0000-0100-000000000000}"/>
  </hyperlinks>
  <pageMargins left="0.3" right="0.3" top="0.5" bottom="0.5" header="0.511811023622047" footer="0.511811023622047"/>
  <pageSetup paperSize="8" fitToHeight="0" orientation="landscape" horizontalDpi="300" verticalDpi="3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D3C61"/>
    <pageSetUpPr fitToPage="1"/>
  </sheetPr>
  <dimension ref="B1:I43"/>
  <sheetViews>
    <sheetView showGridLines="0" topLeftCell="A27" zoomScaleNormal="100" workbookViewId="0"/>
  </sheetViews>
  <sheetFormatPr defaultColWidth="8.7109375" defaultRowHeight="15"/>
  <cols>
    <col min="1" max="1" width="2.140625" customWidth="1"/>
    <col min="2" max="9" width="20" customWidth="1"/>
    <col min="10" max="10" width="2.140625" customWidth="1"/>
  </cols>
  <sheetData>
    <row r="1" spans="2:9" ht="33.75" customHeight="1">
      <c r="B1" s="86" t="s">
        <v>142</v>
      </c>
      <c r="C1" s="86"/>
      <c r="D1" s="86"/>
      <c r="E1" s="86"/>
      <c r="F1" s="86"/>
      <c r="G1" s="86"/>
      <c r="H1" s="86"/>
      <c r="I1" s="86"/>
    </row>
    <row r="2" spans="2:9" ht="4.5" customHeight="1">
      <c r="B2" s="9"/>
      <c r="C2" s="9"/>
      <c r="D2" s="9"/>
      <c r="E2" s="9"/>
      <c r="F2" s="9"/>
      <c r="G2" s="9"/>
      <c r="H2" s="9"/>
      <c r="I2" s="9"/>
    </row>
    <row r="3" spans="2:9" ht="16.5" customHeight="1">
      <c r="B3" s="88" t="str">
        <f>IF(LEFT(Setup!$D$7,7)&lt;&gt;"EXAMPLE","","EXAMPLE DATA - type your own project name on Setup to clear this.")</f>
        <v>EXAMPLE DATA - type your own project name on Setup to clear this.</v>
      </c>
      <c r="C3" s="88"/>
      <c r="D3" s="88"/>
      <c r="E3" s="88"/>
      <c r="F3" s="88"/>
      <c r="G3" s="88"/>
      <c r="H3" s="88"/>
      <c r="I3" s="88"/>
    </row>
    <row r="4" spans="2:9" ht="25.5" customHeight="1">
      <c r="B4" s="89" t="s">
        <v>143</v>
      </c>
      <c r="C4" s="89"/>
      <c r="D4" s="89"/>
      <c r="E4" s="89"/>
      <c r="F4" s="89"/>
      <c r="G4" s="89"/>
      <c r="H4" s="89"/>
      <c r="I4" s="89"/>
    </row>
    <row r="6" spans="2:9" ht="21.75" customHeight="1">
      <c r="B6" s="9" t="s">
        <v>144</v>
      </c>
      <c r="C6" s="9"/>
      <c r="D6" s="9"/>
      <c r="E6" s="9"/>
      <c r="F6" s="9"/>
      <c r="G6" s="9"/>
      <c r="H6" s="9"/>
      <c r="I6" s="9"/>
    </row>
    <row r="7" spans="2:9" ht="25.5" customHeight="1">
      <c r="B7" s="93" t="s">
        <v>145</v>
      </c>
      <c r="C7" s="93"/>
      <c r="D7" s="94" t="s">
        <v>146</v>
      </c>
      <c r="E7" s="94"/>
      <c r="F7" s="94" t="s">
        <v>147</v>
      </c>
      <c r="G7" s="94"/>
      <c r="H7" s="95" t="s">
        <v>148</v>
      </c>
      <c r="I7" s="95"/>
    </row>
    <row r="8" spans="2:9" ht="30" customHeight="1">
      <c r="B8" s="96">
        <f ca="1">IF(Setup!$D$16="","",Setup!$D$16-Setup!$D$19)</f>
        <v>56</v>
      </c>
      <c r="C8" s="96"/>
      <c r="D8" s="97">
        <f>COUNTIF(Dependencies!$K$7:$K$36,"MOVES BEFORE WHAT IT NEEDS")</f>
        <v>3</v>
      </c>
      <c r="E8" s="97"/>
      <c r="F8" s="97">
        <f>COUNTIF(Dependencies!$K$7:$K$36,"NOT VERIFIED")</f>
        <v>2</v>
      </c>
      <c r="G8" s="97"/>
      <c r="H8" s="98">
        <f ca="1">COUNTIF('Waves &amp; Move Groups'!$M$7:$M$18,"Blocked - see the counts")</f>
        <v>3</v>
      </c>
      <c r="I8" s="98"/>
    </row>
    <row r="10" spans="2:9" ht="25.5" customHeight="1">
      <c r="B10" s="99" t="s">
        <v>149</v>
      </c>
      <c r="C10" s="99"/>
      <c r="D10" s="94" t="s">
        <v>150</v>
      </c>
      <c r="E10" s="94"/>
      <c r="F10" s="100" t="s">
        <v>151</v>
      </c>
      <c r="G10" s="100"/>
      <c r="H10" s="100" t="s">
        <v>152</v>
      </c>
      <c r="I10" s="100"/>
    </row>
    <row r="11" spans="2:9" ht="30" customHeight="1">
      <c r="B11" s="101">
        <f ca="1">IF(COUNTA('Inventory &amp; Applications'!$C$7:$C$38)=0,"",(COUNTIF('Inventory &amp; Applications'!$N$7:$N$38,"Moved")+COUNTIF('Inventory &amp; Applications'!$N$7:$N$38,"Retired"))/COUNTA('Inventory &amp; Applications'!$C$7:$C$38))</f>
        <v>9.0909090909090912E-2</v>
      </c>
      <c r="C11" s="101"/>
      <c r="D11" s="97">
        <f ca="1">COUNTIF(Decommission!$M$7:$M$36,"REJECTED - re-sanitise")</f>
        <v>1</v>
      </c>
      <c r="E11" s="97"/>
      <c r="F11" s="102">
        <f ca="1">COUNTIF(Decommission!$M$7:$M$36,"No certificate")+COUNTIF(Decommission!$M$7:$M$36,"Awaiting validation")+COUNTIF(Decommission!$M$7:$M$36,"Scheduled")+COUNTIF(Decommission!$M$7:$M$36,"Overdue")</f>
        <v>4</v>
      </c>
      <c r="G11" s="102"/>
      <c r="H11" s="103">
        <f ca="1">'Exit &amp; Close-out'!D15</f>
        <v>529440.78947368427</v>
      </c>
      <c r="I11" s="103"/>
    </row>
    <row r="13" spans="2:9" ht="27.75" customHeight="1">
      <c r="B13" s="104" t="s">
        <v>153</v>
      </c>
      <c r="C13" s="104"/>
      <c r="D13" s="104"/>
      <c r="E13" s="48">
        <f ca="1">'Exit &amp; Close-out'!D13</f>
        <v>-20</v>
      </c>
      <c r="F13" s="89" t="s">
        <v>154</v>
      </c>
      <c r="G13" s="89"/>
      <c r="H13" s="89"/>
      <c r="I13" s="89"/>
    </row>
    <row r="14" spans="2:9" ht="27.75" customHeight="1">
      <c r="B14" s="104" t="s">
        <v>155</v>
      </c>
      <c r="C14" s="104"/>
      <c r="D14" s="104"/>
      <c r="E14" s="49">
        <f ca="1">COUNTIF('Inventory &amp; Applications'!$N$7:$N$38,"No strategy set")+COUNTIF('Inventory &amp; Applications'!$N$7:$N$38,"No wave set")+COUNTIF('Inventory &amp; Applications'!$N$7:$N$38,"No date set")</f>
        <v>1</v>
      </c>
      <c r="F14" s="89" t="s">
        <v>156</v>
      </c>
      <c r="G14" s="89"/>
      <c r="H14" s="89"/>
      <c r="I14" s="89"/>
    </row>
    <row r="16" spans="2:9" ht="21.75" customHeight="1">
      <c r="B16" s="9" t="s">
        <v>157</v>
      </c>
      <c r="C16" s="9"/>
      <c r="D16" s="9"/>
      <c r="E16" s="9"/>
      <c r="F16" s="9"/>
      <c r="G16" s="9"/>
      <c r="H16" s="9"/>
      <c r="I16" s="9"/>
    </row>
    <row r="17" spans="2:9" ht="21.75" customHeight="1">
      <c r="B17" s="6" t="s">
        <v>158</v>
      </c>
      <c r="C17" s="6"/>
      <c r="D17" s="6"/>
      <c r="E17" s="15" t="s">
        <v>159</v>
      </c>
      <c r="F17" s="15" t="s">
        <v>160</v>
      </c>
      <c r="G17" s="15" t="s">
        <v>161</v>
      </c>
      <c r="H17" s="15" t="s">
        <v>162</v>
      </c>
      <c r="I17" s="15" t="s">
        <v>163</v>
      </c>
    </row>
    <row r="18" spans="2:9" ht="25.5" customHeight="1">
      <c r="B18" s="105" t="str">
        <f>IFERROR("Wave 1  ·  "&amp;VLOOKUP("1",'Waves &amp; Move Groups'!$B$7:$M$18,2,FALSE()),"Wave 1")</f>
        <v>Wave 1  ·  Proving wave - development, test and the retirements</v>
      </c>
      <c r="C18" s="105"/>
      <c r="D18" s="105"/>
      <c r="E18" s="51">
        <f>IFERROR(VLOOKUP("1",'Waves &amp; Move Groups'!$B$7:$M$18,6,FALSE()),"")</f>
        <v>4</v>
      </c>
      <c r="F18" s="51">
        <f>IFERROR(VLOOKUP("1",'Waves &amp; Move Groups'!$B$7:$M$18,7,FALSE()),"")</f>
        <v>0</v>
      </c>
      <c r="G18" s="51">
        <f>IFERROR(VLOOKUP("1",'Waves &amp; Move Groups'!$B$7:$M$18,8,FALSE()),"")</f>
        <v>0</v>
      </c>
      <c r="H18" s="51">
        <f>IFERROR(VLOOKUP("1",'Waves &amp; Move Groups'!$B$7:$M$18,9,FALSE()),"")</f>
        <v>0</v>
      </c>
      <c r="I18" s="52" t="str">
        <f ca="1">IFERROR(VLOOKUP("1",'Waves &amp; Move Groups'!$B$7:$M$18,12,FALSE()),"")</f>
        <v>Cleared to run</v>
      </c>
    </row>
    <row r="19" spans="2:9" ht="25.5" customHeight="1">
      <c r="B19" s="106" t="str">
        <f>IFERROR("Wave 2  ·  "&amp;VLOOKUP("2",'Waves &amp; Move Groups'!$B$7:$M$18,2,FALSE()),"Wave 2")</f>
        <v>Wave 2  ·  Shared services - identity, directory, monitoring</v>
      </c>
      <c r="C19" s="106"/>
      <c r="D19" s="106"/>
      <c r="E19" s="51">
        <f>IFERROR(VLOOKUP("2",'Waves &amp; Move Groups'!$B$7:$M$18,6,FALSE()),"")</f>
        <v>3</v>
      </c>
      <c r="F19" s="51">
        <f>IFERROR(VLOOKUP("2",'Waves &amp; Move Groups'!$B$7:$M$18,7,FALSE()),"")</f>
        <v>2</v>
      </c>
      <c r="G19" s="51">
        <f>IFERROR(VLOOKUP("2",'Waves &amp; Move Groups'!$B$7:$M$18,8,FALSE()),"")</f>
        <v>0</v>
      </c>
      <c r="H19" s="51">
        <f>IFERROR(VLOOKUP("2",'Waves &amp; Move Groups'!$B$7:$M$18,9,FALSE()),"")</f>
        <v>0</v>
      </c>
      <c r="I19" s="52" t="str">
        <f ca="1">IFERROR(VLOOKUP("2",'Waves &amp; Move Groups'!$B$7:$M$18,12,FALSE()),"")</f>
        <v>Cleared to run</v>
      </c>
    </row>
    <row r="20" spans="2:9" ht="25.5" customHeight="1">
      <c r="B20" s="105" t="str">
        <f>IFERROR("Wave 3  ·  "&amp;VLOOKUP("3",'Waves &amp; Move Groups'!$B$7:$M$18,2,FALSE()),"Wave 3")</f>
        <v>Wave 3  ·  Business applications, first tranche</v>
      </c>
      <c r="C20" s="105"/>
      <c r="D20" s="105"/>
      <c r="E20" s="51">
        <f>IFERROR(VLOOKUP("3",'Waves &amp; Move Groups'!$B$7:$M$18,6,FALSE()),"")</f>
        <v>3</v>
      </c>
      <c r="F20" s="51">
        <f>IFERROR(VLOOKUP("3",'Waves &amp; Move Groups'!$B$7:$M$18,7,FALSE()),"")</f>
        <v>1</v>
      </c>
      <c r="G20" s="51">
        <f>IFERROR(VLOOKUP("3",'Waves &amp; Move Groups'!$B$7:$M$18,8,FALSE()),"")</f>
        <v>1</v>
      </c>
      <c r="H20" s="51">
        <f>IFERROR(VLOOKUP("3",'Waves &amp; Move Groups'!$B$7:$M$18,9,FALSE()),"")</f>
        <v>1</v>
      </c>
      <c r="I20" s="52" t="str">
        <f>IFERROR(VLOOKUP("3",'Waves &amp; Move Groups'!$B$7:$M$18,12,FALSE()),"")</f>
        <v>Blocked - see the counts</v>
      </c>
    </row>
    <row r="21" spans="2:9" ht="25.5" customHeight="1">
      <c r="B21" s="106" t="str">
        <f>IFERROR("Wave 4  ·  "&amp;VLOOKUP("4",'Waves &amp; Move Groups'!$B$7:$M$18,2,FALSE()),"Wave 4")</f>
        <v>Wave 4  ·  Data platform and backup</v>
      </c>
      <c r="C21" s="106"/>
      <c r="D21" s="106"/>
      <c r="E21" s="51">
        <f>IFERROR(VLOOKUP("4",'Waves &amp; Move Groups'!$B$7:$M$18,6,FALSE()),"")</f>
        <v>3</v>
      </c>
      <c r="F21" s="51">
        <f>IFERROR(VLOOKUP("4",'Waves &amp; Move Groups'!$B$7:$M$18,7,FALSE()),"")</f>
        <v>0</v>
      </c>
      <c r="G21" s="51">
        <f>IFERROR(VLOOKUP("4",'Waves &amp; Move Groups'!$B$7:$M$18,8,FALSE()),"")</f>
        <v>2</v>
      </c>
      <c r="H21" s="51">
        <f>IFERROR(VLOOKUP("4",'Waves &amp; Move Groups'!$B$7:$M$18,9,FALSE()),"")</f>
        <v>0</v>
      </c>
      <c r="I21" s="52" t="str">
        <f>IFERROR(VLOOKUP("4",'Waves &amp; Move Groups'!$B$7:$M$18,12,FALSE()),"")</f>
        <v>Blocked - see the counts</v>
      </c>
    </row>
    <row r="22" spans="2:9" ht="25.5" customHeight="1">
      <c r="B22" s="105" t="str">
        <f>IFERROR("Wave 5  ·  "&amp;VLOOKUP("5",'Waves &amp; Move Groups'!$B$7:$M$18,2,FALSE()),"Wave 5")</f>
        <v>Wave 5  ·  Core transaction platform</v>
      </c>
      <c r="C22" s="105"/>
      <c r="D22" s="105"/>
      <c r="E22" s="51">
        <f>IFERROR(VLOOKUP("5",'Waves &amp; Move Groups'!$B$7:$M$18,6,FALSE()),"")</f>
        <v>4</v>
      </c>
      <c r="F22" s="51">
        <f>IFERROR(VLOOKUP("5",'Waves &amp; Move Groups'!$B$7:$M$18,7,FALSE()),"")</f>
        <v>4</v>
      </c>
      <c r="G22" s="51">
        <f>IFERROR(VLOOKUP("5",'Waves &amp; Move Groups'!$B$7:$M$18,8,FALSE()),"")</f>
        <v>0</v>
      </c>
      <c r="H22" s="51">
        <f>IFERROR(VLOOKUP("5",'Waves &amp; Move Groups'!$B$7:$M$18,9,FALSE()),"")</f>
        <v>0</v>
      </c>
      <c r="I22" s="52" t="str">
        <f ca="1">IFERROR(VLOOKUP("5",'Waves &amp; Move Groups'!$B$7:$M$18,12,FALSE()),"")</f>
        <v>Awaiting decision</v>
      </c>
    </row>
    <row r="23" spans="2:9" ht="25.5" customHeight="1">
      <c r="B23" s="106" t="str">
        <f>IFERROR("Wave 6  ·  "&amp;VLOOKUP("6",'Waves &amp; Move Groups'!$B$7:$M$18,2,FALSE()),"Wave 6")</f>
        <v>Wave 6  ·  Network core and final sweep</v>
      </c>
      <c r="C23" s="106"/>
      <c r="D23" s="106"/>
      <c r="E23" s="51">
        <f>IFERROR(VLOOKUP("6",'Waves &amp; Move Groups'!$B$7:$M$18,6,FALSE()),"")</f>
        <v>4</v>
      </c>
      <c r="F23" s="51">
        <f>IFERROR(VLOOKUP("6",'Waves &amp; Move Groups'!$B$7:$M$18,7,FALSE()),"")</f>
        <v>2</v>
      </c>
      <c r="G23" s="51">
        <f>IFERROR(VLOOKUP("6",'Waves &amp; Move Groups'!$B$7:$M$18,8,FALSE()),"")</f>
        <v>0</v>
      </c>
      <c r="H23" s="51">
        <f>IFERROR(VLOOKUP("6",'Waves &amp; Move Groups'!$B$7:$M$18,9,FALSE()),"")</f>
        <v>1</v>
      </c>
      <c r="I23" s="52" t="str">
        <f>IFERROR(VLOOKUP("6",'Waves &amp; Move Groups'!$B$7:$M$18,12,FALSE()),"")</f>
        <v>Blocked - see the counts</v>
      </c>
    </row>
    <row r="25" spans="2:9" ht="21.75" customHeight="1">
      <c r="B25" s="9" t="s">
        <v>164</v>
      </c>
      <c r="C25" s="9"/>
      <c r="D25" s="9"/>
      <c r="E25" s="9"/>
      <c r="F25" s="9"/>
      <c r="G25" s="9"/>
      <c r="H25" s="9"/>
      <c r="I25" s="9"/>
    </row>
    <row r="26" spans="2:9" ht="21.75" customHeight="1">
      <c r="B26" s="6" t="s">
        <v>165</v>
      </c>
      <c r="C26" s="6"/>
      <c r="D26" s="6"/>
      <c r="E26" s="15" t="s">
        <v>159</v>
      </c>
      <c r="F26" s="15" t="s">
        <v>160</v>
      </c>
      <c r="G26" s="15" t="s">
        <v>166</v>
      </c>
      <c r="H26" s="15" t="s">
        <v>167</v>
      </c>
      <c r="I26" s="15" t="s">
        <v>168</v>
      </c>
    </row>
    <row r="27" spans="2:9" ht="19.5" customHeight="1">
      <c r="B27" s="107" t="s">
        <v>169</v>
      </c>
      <c r="C27" s="107"/>
      <c r="D27" s="107"/>
      <c r="E27" s="51">
        <f>COUNTIF('Inventory &amp; Applications'!$G$7:$G$38,$B27)</f>
        <v>10</v>
      </c>
      <c r="F27" s="51">
        <f>COUNTIFS('Inventory &amp; Applications'!$G$7:$G$38,$B27,'Inventory &amp; Applications'!$F$7:$F$38,"1 - Critical")</f>
        <v>9</v>
      </c>
      <c r="G27" s="51">
        <f ca="1">COUNTIFS('Inventory &amp; Applications'!$G$7:$G$38,$B27,'Inventory &amp; Applications'!$N$7:$N$38,"Moved")+COUNTIFS('Inventory &amp; Applications'!$G$7:$G$38,$B27,'Inventory &amp; Applications'!$N$7:$N$38,"Retired")</f>
        <v>0</v>
      </c>
      <c r="H27" s="51">
        <f ca="1">COUNTIF('Inventory &amp; Applications'!$G$7:$G$38,$B27)-COUNTIFS('Inventory &amp; Applications'!$G$7:$G$38,$B27,'Inventory &amp; Applications'!$N$7:$N$38,"Moved")-COUNTIFS('Inventory &amp; Applications'!$G$7:$G$38,$B27,'Inventory &amp; Applications'!$N$7:$N$38,"Retired")-COUNTIFS('Inventory &amp; Applications'!$G$7:$G$38,$B27,'Inventory &amp; Applications'!$N$7:$N$38,"Staying put")</f>
        <v>10</v>
      </c>
      <c r="I27" s="54">
        <f>IF(COUNTA('Inventory &amp; Applications'!$C$7:$C$38)=0,"",$E27/COUNTA('Inventory &amp; Applications'!$C$7:$C$38))</f>
        <v>0.45454545454545453</v>
      </c>
    </row>
    <row r="28" spans="2:9" ht="19.5" customHeight="1">
      <c r="B28" s="108" t="s">
        <v>170</v>
      </c>
      <c r="C28" s="108"/>
      <c r="D28" s="108"/>
      <c r="E28" s="51">
        <f>COUNTIF('Inventory &amp; Applications'!$G$7:$G$38,$B28)</f>
        <v>2</v>
      </c>
      <c r="F28" s="51">
        <f>COUNTIFS('Inventory &amp; Applications'!$G$7:$G$38,$B28,'Inventory &amp; Applications'!$F$7:$F$38,"1 - Critical")</f>
        <v>0</v>
      </c>
      <c r="G28" s="51">
        <f ca="1">COUNTIFS('Inventory &amp; Applications'!$G$7:$G$38,$B28,'Inventory &amp; Applications'!$N$7:$N$38,"Moved")+COUNTIFS('Inventory &amp; Applications'!$G$7:$G$38,$B28,'Inventory &amp; Applications'!$N$7:$N$38,"Retired")</f>
        <v>0</v>
      </c>
      <c r="H28" s="51">
        <f ca="1">COUNTIF('Inventory &amp; Applications'!$G$7:$G$38,$B28)-COUNTIFS('Inventory &amp; Applications'!$G$7:$G$38,$B28,'Inventory &amp; Applications'!$N$7:$N$38,"Moved")-COUNTIFS('Inventory &amp; Applications'!$G$7:$G$38,$B28,'Inventory &amp; Applications'!$N$7:$N$38,"Retired")-COUNTIFS('Inventory &amp; Applications'!$G$7:$G$38,$B28,'Inventory &amp; Applications'!$N$7:$N$38,"Staying put")</f>
        <v>2</v>
      </c>
      <c r="I28" s="54">
        <f>IF(COUNTA('Inventory &amp; Applications'!$C$7:$C$38)=0,"",$E28/COUNTA('Inventory &amp; Applications'!$C$7:$C$38))</f>
        <v>9.0909090909090912E-2</v>
      </c>
    </row>
    <row r="29" spans="2:9" ht="19.5" customHeight="1">
      <c r="B29" s="107" t="s">
        <v>171</v>
      </c>
      <c r="C29" s="107"/>
      <c r="D29" s="107"/>
      <c r="E29" s="51">
        <f>COUNTIF('Inventory &amp; Applications'!$G$7:$G$38,$B29)</f>
        <v>3</v>
      </c>
      <c r="F29" s="51">
        <f>COUNTIFS('Inventory &amp; Applications'!$G$7:$G$38,$B29,'Inventory &amp; Applications'!$F$7:$F$38,"1 - Critical")</f>
        <v>0</v>
      </c>
      <c r="G29" s="51">
        <f ca="1">COUNTIFS('Inventory &amp; Applications'!$G$7:$G$38,$B29,'Inventory &amp; Applications'!$N$7:$N$38,"Moved")+COUNTIFS('Inventory &amp; Applications'!$G$7:$G$38,$B29,'Inventory &amp; Applications'!$N$7:$N$38,"Retired")</f>
        <v>1</v>
      </c>
      <c r="H29" s="51">
        <f ca="1">COUNTIF('Inventory &amp; Applications'!$G$7:$G$38,$B29)-COUNTIFS('Inventory &amp; Applications'!$G$7:$G$38,$B29,'Inventory &amp; Applications'!$N$7:$N$38,"Moved")-COUNTIFS('Inventory &amp; Applications'!$G$7:$G$38,$B29,'Inventory &amp; Applications'!$N$7:$N$38,"Retired")-COUNTIFS('Inventory &amp; Applications'!$G$7:$G$38,$B29,'Inventory &amp; Applications'!$N$7:$N$38,"Staying put")</f>
        <v>2</v>
      </c>
      <c r="I29" s="54">
        <f>IF(COUNTA('Inventory &amp; Applications'!$C$7:$C$38)=0,"",$E29/COUNTA('Inventory &amp; Applications'!$C$7:$C$38))</f>
        <v>0.13636363636363635</v>
      </c>
    </row>
    <row r="30" spans="2:9" ht="19.5" customHeight="1">
      <c r="B30" s="108" t="s">
        <v>172</v>
      </c>
      <c r="C30" s="108"/>
      <c r="D30" s="108"/>
      <c r="E30" s="51">
        <f>COUNTIF('Inventory &amp; Applications'!$G$7:$G$38,$B30)</f>
        <v>0</v>
      </c>
      <c r="F30" s="51">
        <f>COUNTIFS('Inventory &amp; Applications'!$G$7:$G$38,$B30,'Inventory &amp; Applications'!$F$7:$F$38,"1 - Critical")</f>
        <v>0</v>
      </c>
      <c r="G30" s="51">
        <f>COUNTIFS('Inventory &amp; Applications'!$G$7:$G$38,$B30,'Inventory &amp; Applications'!$N$7:$N$38,"Moved")+COUNTIFS('Inventory &amp; Applications'!$G$7:$G$38,$B30,'Inventory &amp; Applications'!$N$7:$N$38,"Retired")</f>
        <v>0</v>
      </c>
      <c r="H30" s="51">
        <f>COUNTIF('Inventory &amp; Applications'!$G$7:$G$38,$B30)-COUNTIFS('Inventory &amp; Applications'!$G$7:$G$38,$B30,'Inventory &amp; Applications'!$N$7:$N$38,"Moved")-COUNTIFS('Inventory &amp; Applications'!$G$7:$G$38,$B30,'Inventory &amp; Applications'!$N$7:$N$38,"Retired")-COUNTIFS('Inventory &amp; Applications'!$G$7:$G$38,$B30,'Inventory &amp; Applications'!$N$7:$N$38,"Staying put")</f>
        <v>0</v>
      </c>
      <c r="I30" s="54">
        <f>IF(COUNTA('Inventory &amp; Applications'!$C$7:$C$38)=0,"",$E30/COUNTA('Inventory &amp; Applications'!$C$7:$C$38))</f>
        <v>0</v>
      </c>
    </row>
    <row r="31" spans="2:9" ht="19.5" customHeight="1">
      <c r="B31" s="107" t="s">
        <v>173</v>
      </c>
      <c r="C31" s="107"/>
      <c r="D31" s="107"/>
      <c r="E31" s="51">
        <f>COUNTIF('Inventory &amp; Applications'!$G$7:$G$38,$B31)</f>
        <v>1</v>
      </c>
      <c r="F31" s="51">
        <f>COUNTIFS('Inventory &amp; Applications'!$G$7:$G$38,$B31,'Inventory &amp; Applications'!$F$7:$F$38,"1 - Critical")</f>
        <v>0</v>
      </c>
      <c r="G31" s="51">
        <f ca="1">COUNTIFS('Inventory &amp; Applications'!$G$7:$G$38,$B31,'Inventory &amp; Applications'!$N$7:$N$38,"Moved")+COUNTIFS('Inventory &amp; Applications'!$G$7:$G$38,$B31,'Inventory &amp; Applications'!$N$7:$N$38,"Retired")</f>
        <v>0</v>
      </c>
      <c r="H31" s="51">
        <f ca="1">COUNTIF('Inventory &amp; Applications'!$G$7:$G$38,$B31)-COUNTIFS('Inventory &amp; Applications'!$G$7:$G$38,$B31,'Inventory &amp; Applications'!$N$7:$N$38,"Moved")-COUNTIFS('Inventory &amp; Applications'!$G$7:$G$38,$B31,'Inventory &amp; Applications'!$N$7:$N$38,"Retired")-COUNTIFS('Inventory &amp; Applications'!$G$7:$G$38,$B31,'Inventory &amp; Applications'!$N$7:$N$38,"Staying put")</f>
        <v>1</v>
      </c>
      <c r="I31" s="54">
        <f>IF(COUNTA('Inventory &amp; Applications'!$C$7:$C$38)=0,"",$E31/COUNTA('Inventory &amp; Applications'!$C$7:$C$38))</f>
        <v>4.5454545454545456E-2</v>
      </c>
    </row>
    <row r="32" spans="2:9" ht="19.5" customHeight="1">
      <c r="B32" s="108" t="s">
        <v>174</v>
      </c>
      <c r="C32" s="108"/>
      <c r="D32" s="108"/>
      <c r="E32" s="51">
        <f>COUNTIF('Inventory &amp; Applications'!$G$7:$G$38,$B32)</f>
        <v>0</v>
      </c>
      <c r="F32" s="51">
        <f>COUNTIFS('Inventory &amp; Applications'!$G$7:$G$38,$B32,'Inventory &amp; Applications'!$F$7:$F$38,"1 - Critical")</f>
        <v>0</v>
      </c>
      <c r="G32" s="51">
        <f>COUNTIFS('Inventory &amp; Applications'!$G$7:$G$38,$B32,'Inventory &amp; Applications'!$N$7:$N$38,"Moved")+COUNTIFS('Inventory &amp; Applications'!$G$7:$G$38,$B32,'Inventory &amp; Applications'!$N$7:$N$38,"Retired")</f>
        <v>0</v>
      </c>
      <c r="H32" s="51">
        <f>COUNTIF('Inventory &amp; Applications'!$G$7:$G$38,$B32)-COUNTIFS('Inventory &amp; Applications'!$G$7:$G$38,$B32,'Inventory &amp; Applications'!$N$7:$N$38,"Moved")-COUNTIFS('Inventory &amp; Applications'!$G$7:$G$38,$B32,'Inventory &amp; Applications'!$N$7:$N$38,"Retired")-COUNTIFS('Inventory &amp; Applications'!$G$7:$G$38,$B32,'Inventory &amp; Applications'!$N$7:$N$38,"Staying put")</f>
        <v>0</v>
      </c>
      <c r="I32" s="54">
        <f>IF(COUNTA('Inventory &amp; Applications'!$C$7:$C$38)=0,"",$E32/COUNTA('Inventory &amp; Applications'!$C$7:$C$38))</f>
        <v>0</v>
      </c>
    </row>
    <row r="33" spans="2:9" ht="19.5" customHeight="1">
      <c r="B33" s="107" t="s">
        <v>175</v>
      </c>
      <c r="C33" s="107"/>
      <c r="D33" s="107"/>
      <c r="E33" s="51">
        <f>COUNTIF('Inventory &amp; Applications'!$G$7:$G$38,$B33)</f>
        <v>0</v>
      </c>
      <c r="F33" s="51">
        <f>COUNTIFS('Inventory &amp; Applications'!$G$7:$G$38,$B33,'Inventory &amp; Applications'!$F$7:$F$38,"1 - Critical")</f>
        <v>0</v>
      </c>
      <c r="G33" s="51">
        <f>COUNTIFS('Inventory &amp; Applications'!$G$7:$G$38,$B33,'Inventory &amp; Applications'!$N$7:$N$38,"Moved")+COUNTIFS('Inventory &amp; Applications'!$G$7:$G$38,$B33,'Inventory &amp; Applications'!$N$7:$N$38,"Retired")</f>
        <v>0</v>
      </c>
      <c r="H33" s="51">
        <f>COUNTIF('Inventory &amp; Applications'!$G$7:$G$38,$B33)-COUNTIFS('Inventory &amp; Applications'!$G$7:$G$38,$B33,'Inventory &amp; Applications'!$N$7:$N$38,"Moved")-COUNTIFS('Inventory &amp; Applications'!$G$7:$G$38,$B33,'Inventory &amp; Applications'!$N$7:$N$38,"Retired")-COUNTIFS('Inventory &amp; Applications'!$G$7:$G$38,$B33,'Inventory &amp; Applications'!$N$7:$N$38,"Staying put")</f>
        <v>0</v>
      </c>
      <c r="I33" s="54">
        <f>IF(COUNTA('Inventory &amp; Applications'!$C$7:$C$38)=0,"",$E33/COUNTA('Inventory &amp; Applications'!$C$7:$C$38))</f>
        <v>0</v>
      </c>
    </row>
    <row r="34" spans="2:9" ht="19.5" customHeight="1">
      <c r="B34" s="108" t="s">
        <v>176</v>
      </c>
      <c r="C34" s="108"/>
      <c r="D34" s="108"/>
      <c r="E34" s="51">
        <f>COUNTIF('Inventory &amp; Applications'!$G$7:$G$38,$B34)</f>
        <v>3</v>
      </c>
      <c r="F34" s="51">
        <f>COUNTIFS('Inventory &amp; Applications'!$G$7:$G$38,$B34,'Inventory &amp; Applications'!$F$7:$F$38,"1 - Critical")</f>
        <v>0</v>
      </c>
      <c r="G34" s="51">
        <f ca="1">COUNTIFS('Inventory &amp; Applications'!$G$7:$G$38,$B34,'Inventory &amp; Applications'!$N$7:$N$38,"Moved")+COUNTIFS('Inventory &amp; Applications'!$G$7:$G$38,$B34,'Inventory &amp; Applications'!$N$7:$N$38,"Retired")</f>
        <v>1</v>
      </c>
      <c r="H34" s="51">
        <f ca="1">COUNTIF('Inventory &amp; Applications'!$G$7:$G$38,$B34)-COUNTIFS('Inventory &amp; Applications'!$G$7:$G$38,$B34,'Inventory &amp; Applications'!$N$7:$N$38,"Moved")-COUNTIFS('Inventory &amp; Applications'!$G$7:$G$38,$B34,'Inventory &amp; Applications'!$N$7:$N$38,"Retired")-COUNTIFS('Inventory &amp; Applications'!$G$7:$G$38,$B34,'Inventory &amp; Applications'!$N$7:$N$38,"Staying put")</f>
        <v>2</v>
      </c>
      <c r="I34" s="54">
        <f>IF(COUNTA('Inventory &amp; Applications'!$C$7:$C$38)=0,"",$E34/COUNTA('Inventory &amp; Applications'!$C$7:$C$38))</f>
        <v>0.13636363636363635</v>
      </c>
    </row>
    <row r="35" spans="2:9" ht="19.5" customHeight="1">
      <c r="B35" s="107" t="s">
        <v>177</v>
      </c>
      <c r="C35" s="107"/>
      <c r="D35" s="107"/>
      <c r="E35" s="51">
        <f>COUNTIF('Inventory &amp; Applications'!$G$7:$G$38,$B35)</f>
        <v>2</v>
      </c>
      <c r="F35" s="51">
        <f>COUNTIFS('Inventory &amp; Applications'!$G$7:$G$38,$B35,'Inventory &amp; Applications'!$F$7:$F$38,"1 - Critical")</f>
        <v>0</v>
      </c>
      <c r="G35" s="51">
        <f>COUNTIFS('Inventory &amp; Applications'!$G$7:$G$38,$B35,'Inventory &amp; Applications'!$N$7:$N$38,"Moved")+COUNTIFS('Inventory &amp; Applications'!$G$7:$G$38,$B35,'Inventory &amp; Applications'!$N$7:$N$38,"Retired")</f>
        <v>0</v>
      </c>
      <c r="H35" s="51">
        <f>COUNTIF('Inventory &amp; Applications'!$G$7:$G$38,$B35)-COUNTIFS('Inventory &amp; Applications'!$G$7:$G$38,$B35,'Inventory &amp; Applications'!$N$7:$N$38,"Moved")-COUNTIFS('Inventory &amp; Applications'!$G$7:$G$38,$B35,'Inventory &amp; Applications'!$N$7:$N$38,"Retired")-COUNTIFS('Inventory &amp; Applications'!$G$7:$G$38,$B35,'Inventory &amp; Applications'!$N$7:$N$38,"Staying put")</f>
        <v>0</v>
      </c>
      <c r="I35" s="54">
        <f>IF(COUNTA('Inventory &amp; Applications'!$C$7:$C$38)=0,"",$E35/COUNTA('Inventory &amp; Applications'!$C$7:$C$38))</f>
        <v>9.0909090909090912E-2</v>
      </c>
    </row>
    <row r="37" spans="2:9" ht="21.75" customHeight="1">
      <c r="B37" s="9" t="s">
        <v>178</v>
      </c>
      <c r="C37" s="9"/>
      <c r="D37" s="9"/>
      <c r="E37" s="9"/>
      <c r="F37" s="9"/>
      <c r="G37" s="9"/>
      <c r="H37" s="9"/>
      <c r="I37" s="9"/>
    </row>
    <row r="38" spans="2:9" ht="21.75" customHeight="1">
      <c r="B38" s="109" t="s">
        <v>179</v>
      </c>
      <c r="C38" s="109"/>
      <c r="D38" s="109"/>
      <c r="E38" s="109"/>
      <c r="F38" s="109"/>
      <c r="G38" s="110">
        <f ca="1">IF(COUNTA('Exit &amp; Close-out'!$B$19:$B$40)=0,"",COUNTIF('Exit &amp; Close-out'!$I$19:$I$40,"Done")/COUNTA('Exit &amp; Close-out'!$B$19:$B$40))</f>
        <v>6.25E-2</v>
      </c>
      <c r="H38" s="110"/>
      <c r="I38" s="110"/>
    </row>
    <row r="39" spans="2:9" ht="21.75" customHeight="1">
      <c r="B39" s="111" t="s">
        <v>180</v>
      </c>
      <c r="C39" s="111"/>
      <c r="D39" s="111"/>
      <c r="E39" s="111"/>
      <c r="F39" s="111"/>
      <c r="G39" s="112">
        <f ca="1">COUNTIF('Exit &amp; Close-out'!$I$19:$I$40,"Overdue")</f>
        <v>0</v>
      </c>
      <c r="H39" s="112"/>
      <c r="I39" s="112"/>
    </row>
    <row r="40" spans="2:9" ht="21.75" customHeight="1">
      <c r="B40" s="113" t="s">
        <v>181</v>
      </c>
      <c r="C40" s="113"/>
      <c r="D40" s="113"/>
      <c r="E40" s="113"/>
      <c r="F40" s="113"/>
      <c r="G40" s="114">
        <f ca="1">COUNTIF(Decommission!$M$7:$M$36,"Scheduled")+COUNTIF(Decommission!$M$7:$M$36,"Overdue")+COUNTIF(Decommission!$M$7:$M$36,"No method set")</f>
        <v>3</v>
      </c>
      <c r="H40" s="114"/>
      <c r="I40" s="114"/>
    </row>
    <row r="41" spans="2:9" ht="21.75" customHeight="1">
      <c r="B41" s="113" t="s">
        <v>182</v>
      </c>
      <c r="C41" s="113"/>
      <c r="D41" s="113"/>
      <c r="E41" s="113"/>
      <c r="F41" s="113"/>
      <c r="G41" s="114">
        <f>COUNTIF('Cutover Runbook'!$M$7:$M$34,"No success criterion")</f>
        <v>1</v>
      </c>
      <c r="H41" s="114"/>
      <c r="I41" s="114"/>
    </row>
    <row r="42" spans="2:9" ht="21.75" customHeight="1">
      <c r="B42" s="111" t="s">
        <v>183</v>
      </c>
      <c r="C42" s="111"/>
      <c r="D42" s="111"/>
      <c r="E42" s="111"/>
      <c r="F42" s="111"/>
      <c r="G42" s="112">
        <f>COUNTIF('Cutover Runbook'!$K$7:$K$34,"Yes")</f>
        <v>1</v>
      </c>
      <c r="H42" s="112"/>
      <c r="I42" s="112"/>
    </row>
    <row r="43" spans="2:9" ht="18" customHeight="1">
      <c r="B43" s="92" t="s">
        <v>141</v>
      </c>
      <c r="C43" s="92"/>
      <c r="D43" s="92"/>
      <c r="E43" s="92"/>
      <c r="F43" s="92"/>
      <c r="G43" s="92"/>
      <c r="H43" s="92"/>
      <c r="I43" s="92"/>
    </row>
  </sheetData>
  <mergeCells count="56">
    <mergeCell ref="B42:F42"/>
    <mergeCell ref="G42:I42"/>
    <mergeCell ref="B43:I43"/>
    <mergeCell ref="B39:F39"/>
    <mergeCell ref="G39:I39"/>
    <mergeCell ref="B40:F40"/>
    <mergeCell ref="G40:I40"/>
    <mergeCell ref="B41:F41"/>
    <mergeCell ref="G41:I41"/>
    <mergeCell ref="B33:D33"/>
    <mergeCell ref="B34:D34"/>
    <mergeCell ref="B35:D35"/>
    <mergeCell ref="B37:I37"/>
    <mergeCell ref="B38:F38"/>
    <mergeCell ref="G38:I38"/>
    <mergeCell ref="B28:D28"/>
    <mergeCell ref="B29:D29"/>
    <mergeCell ref="B30:D30"/>
    <mergeCell ref="B31:D31"/>
    <mergeCell ref="B32:D32"/>
    <mergeCell ref="B22:D22"/>
    <mergeCell ref="B23:D23"/>
    <mergeCell ref="B25:I25"/>
    <mergeCell ref="B26:D26"/>
    <mergeCell ref="B27:D27"/>
    <mergeCell ref="B17:D17"/>
    <mergeCell ref="B18:D18"/>
    <mergeCell ref="B19:D19"/>
    <mergeCell ref="B20:D20"/>
    <mergeCell ref="B21:D21"/>
    <mergeCell ref="B13:D13"/>
    <mergeCell ref="F13:I13"/>
    <mergeCell ref="B14:D14"/>
    <mergeCell ref="F14:I14"/>
    <mergeCell ref="B16:I16"/>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1:I1"/>
    <mergeCell ref="B2:I2"/>
    <mergeCell ref="B3:I3"/>
    <mergeCell ref="B4:I4"/>
    <mergeCell ref="B6:I6"/>
  </mergeCells>
  <conditionalFormatting sqref="B3:I3">
    <cfRule type="expression" dxfId="49" priority="2">
      <formula>LEN($B$3)&gt;0</formula>
    </cfRule>
  </conditionalFormatting>
  <conditionalFormatting sqref="B18:I23">
    <cfRule type="expression" dxfId="48" priority="8">
      <formula>$I18="Blocked - see the counts"</formula>
    </cfRule>
  </conditionalFormatting>
  <conditionalFormatting sqref="B27:I35">
    <cfRule type="expression" dxfId="47" priority="10">
      <formula>AND($E27&gt;0,LEFT($B27,6)="Retire")</formula>
    </cfRule>
  </conditionalFormatting>
  <conditionalFormatting sqref="E13">
    <cfRule type="expression" dxfId="46" priority="3">
      <formula>AND($E13&lt;&gt;"",$E13&lt;0)</formula>
    </cfRule>
  </conditionalFormatting>
  <conditionalFormatting sqref="E14">
    <cfRule type="expression" dxfId="45" priority="4">
      <formula>$E14&gt;0</formula>
    </cfRule>
  </conditionalFormatting>
  <conditionalFormatting sqref="E18:E23">
    <cfRule type="dataBar" priority="5">
      <dataBar>
        <cfvo type="num" val="0"/>
        <cfvo type="max"/>
        <color rgb="FF64B6F7"/>
      </dataBar>
      <extLst>
        <ext xmlns:x14="http://schemas.microsoft.com/office/spreadsheetml/2009/9/main" uri="{B025F937-C7B1-47D3-B67F-A62EFF666E3E}">
          <x14:id>{62602C6A-8565-47E1-A24E-79B02871D04D}</x14:id>
        </ext>
      </extLst>
    </cfRule>
  </conditionalFormatting>
  <conditionalFormatting sqref="E27:E35">
    <cfRule type="dataBar" priority="9">
      <dataBar>
        <cfvo type="num" val="0"/>
        <cfvo type="max"/>
        <color rgb="FF64B6F7"/>
      </dataBar>
      <extLst>
        <ext xmlns:x14="http://schemas.microsoft.com/office/spreadsheetml/2009/9/main" uri="{B025F937-C7B1-47D3-B67F-A62EFF666E3E}">
          <x14:id>{D680B030-296B-4EEC-B886-1AFAB3191019}</x14:id>
        </ext>
      </extLst>
    </cfRule>
  </conditionalFormatting>
  <conditionalFormatting sqref="G18:G23">
    <cfRule type="expression" dxfId="44" priority="6">
      <formula>$G18&gt;0</formula>
    </cfRule>
  </conditionalFormatting>
  <conditionalFormatting sqref="H18:H23">
    <cfRule type="expression" dxfId="43" priority="7">
      <formula>$H18&gt;0</formula>
    </cfRule>
  </conditionalFormatting>
  <hyperlinks>
    <hyperlink ref="B43" r:id="rId1" xr:uid="{00000000-0004-0000-0200-000000000000}"/>
  </hyperlinks>
  <pageMargins left="0.3" right="0.3" top="0.5" bottom="0.5" header="0.511811023622047" footer="0.511811023622047"/>
  <pageSetup paperSize="8" fitToHeight="0" orientation="landscape" horizontalDpi="300" verticalDpi="300"/>
  <rowBreaks count="1" manualBreakCount="1">
    <brk id="15" max="16383" man="1"/>
  </rowBreaks>
  <drawing r:id="rId2"/>
  <extLst>
    <ext xmlns:x14="http://schemas.microsoft.com/office/spreadsheetml/2009/9/main" uri="{78C0D931-6437-407d-A8EE-F0AAD7539E65}">
      <x14:conditionalFormattings>
        <x14:conditionalFormatting xmlns:xm="http://schemas.microsoft.com/office/excel/2006/main">
          <x14:cfRule type="dataBar" id="{62602C6A-8565-47E1-A24E-79B02871D04D}">
            <x14:dataBar axisPosition="none">
              <x14:cfvo type="num">
                <xm:f>0</xm:f>
              </x14:cfvo>
              <x14:cfvo type="max"/>
              <x14:negativeFillColor rgb="FF64B6F7"/>
            </x14:dataBar>
          </x14:cfRule>
          <xm:sqref>E18:E23</xm:sqref>
        </x14:conditionalFormatting>
        <x14:conditionalFormatting xmlns:xm="http://schemas.microsoft.com/office/excel/2006/main">
          <x14:cfRule type="dataBar" id="{D680B030-296B-4EEC-B886-1AFAB3191019}">
            <x14:dataBar axisPosition="none">
              <x14:cfvo type="num">
                <xm:f>0</xm:f>
              </x14:cfvo>
              <x14:cfvo type="max"/>
              <x14:negativeFillColor rgb="FF64B6F7"/>
            </x14:dataBar>
          </x14:cfRule>
          <xm:sqref>E27:E35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B79D0"/>
    <pageSetUpPr fitToPage="1"/>
  </sheetPr>
  <dimension ref="B1:O42"/>
  <sheetViews>
    <sheetView showGridLines="0" zoomScaleNormal="100" workbookViewId="0">
      <pane xSplit="5" ySplit="6" topLeftCell="I31" activePane="bottomRight" state="frozen"/>
      <selection pane="topRight" activeCell="F1" sqref="F1"/>
      <selection pane="bottomLeft" activeCell="A7" sqref="A7"/>
      <selection pane="bottomRight"/>
    </sheetView>
  </sheetViews>
  <sheetFormatPr defaultColWidth="8.7109375" defaultRowHeight="15"/>
  <cols>
    <col min="1" max="1" width="2.140625" customWidth="1"/>
    <col min="2" max="2" width="7" customWidth="1"/>
    <col min="3" max="3" width="30" customWidth="1"/>
    <col min="4" max="4" width="15" customWidth="1"/>
    <col min="5" max="5" width="14" customWidth="1"/>
    <col min="6" max="6" width="12" customWidth="1"/>
    <col min="7" max="7" width="18" customWidth="1"/>
    <col min="8" max="8" width="12" customWidth="1"/>
    <col min="9" max="9" width="8" customWidth="1"/>
    <col min="10" max="10" width="11" customWidth="1"/>
    <col min="11" max="11" width="10" customWidth="1"/>
    <col min="12" max="13" width="12" customWidth="1"/>
    <col min="14" max="14" width="16" customWidth="1"/>
    <col min="15" max="15" width="32" customWidth="1"/>
    <col min="16" max="16" width="2.140625" customWidth="1"/>
  </cols>
  <sheetData>
    <row r="1" spans="2:15" ht="33.75" customHeight="1">
      <c r="B1" s="86" t="s">
        <v>184</v>
      </c>
      <c r="C1" s="86"/>
      <c r="D1" s="86"/>
      <c r="E1" s="86"/>
      <c r="F1" s="86"/>
      <c r="G1" s="86"/>
      <c r="H1" s="86"/>
      <c r="I1" s="86"/>
      <c r="J1" s="86"/>
      <c r="K1" s="86"/>
      <c r="L1" s="86"/>
      <c r="M1" s="86"/>
      <c r="N1" s="86"/>
      <c r="O1" s="86"/>
    </row>
    <row r="2" spans="2:15" ht="4.5" customHeight="1">
      <c r="B2" s="115"/>
      <c r="C2" s="115"/>
      <c r="D2" s="115"/>
      <c r="E2" s="115"/>
      <c r="F2" s="115"/>
      <c r="G2" s="115"/>
      <c r="H2" s="115"/>
      <c r="I2" s="115"/>
      <c r="J2" s="115"/>
      <c r="K2" s="115"/>
      <c r="L2" s="115"/>
      <c r="M2" s="115"/>
      <c r="N2" s="115"/>
      <c r="O2" s="115"/>
    </row>
    <row r="3" spans="2:15" ht="16.5" customHeight="1">
      <c r="B3" s="88" t="str">
        <f>IF(LEFT(Setup!$D$7,7)&lt;&gt;"EXAMPLE","","EXAMPLE DATA - type your own project name on Setup to clear this.")</f>
        <v>EXAMPLE DATA - type your own project name on Setup to clear this.</v>
      </c>
      <c r="C3" s="88"/>
      <c r="D3" s="88"/>
      <c r="E3" s="88"/>
      <c r="F3" s="88"/>
      <c r="G3" s="88"/>
      <c r="H3" s="88"/>
      <c r="I3" s="88"/>
      <c r="J3" s="88"/>
      <c r="K3" s="88"/>
      <c r="L3" s="88"/>
      <c r="M3" s="88"/>
      <c r="N3" s="88"/>
      <c r="O3" s="88"/>
    </row>
    <row r="4" spans="2:15" ht="25.5" customHeight="1">
      <c r="B4" s="89" t="s">
        <v>185</v>
      </c>
      <c r="C4" s="89"/>
      <c r="D4" s="89"/>
      <c r="E4" s="89"/>
      <c r="F4" s="89"/>
      <c r="G4" s="89"/>
      <c r="H4" s="89"/>
      <c r="I4" s="89"/>
      <c r="J4" s="89"/>
      <c r="K4" s="89"/>
      <c r="L4" s="89"/>
      <c r="M4" s="89"/>
      <c r="N4" s="89"/>
      <c r="O4" s="89"/>
    </row>
    <row r="6" spans="2:15" ht="36" customHeight="1">
      <c r="B6" s="55" t="s">
        <v>186</v>
      </c>
      <c r="C6" s="15" t="s">
        <v>187</v>
      </c>
      <c r="D6" s="15" t="s">
        <v>188</v>
      </c>
      <c r="E6" s="15" t="s">
        <v>189</v>
      </c>
      <c r="F6" s="15" t="s">
        <v>190</v>
      </c>
      <c r="G6" s="15" t="s">
        <v>165</v>
      </c>
      <c r="H6" s="15" t="s">
        <v>191</v>
      </c>
      <c r="I6" s="15" t="s">
        <v>158</v>
      </c>
      <c r="J6" s="15" t="s">
        <v>192</v>
      </c>
      <c r="K6" s="15" t="s">
        <v>193</v>
      </c>
      <c r="L6" s="15" t="s">
        <v>194</v>
      </c>
      <c r="M6" s="15" t="s">
        <v>195</v>
      </c>
      <c r="N6" s="55" t="s">
        <v>163</v>
      </c>
      <c r="O6" s="15" t="s">
        <v>196</v>
      </c>
    </row>
    <row r="7" spans="2:15" ht="46.5" customHeight="1">
      <c r="B7" s="56" t="str">
        <f t="shared" ref="B7:B32" si="0">IF($C7="","","A"&amp;TEXT(ROW()-6,"000"))</f>
        <v>A001</v>
      </c>
      <c r="C7" s="50" t="s">
        <v>197</v>
      </c>
      <c r="D7" s="50" t="s">
        <v>198</v>
      </c>
      <c r="E7" s="50" t="s">
        <v>199</v>
      </c>
      <c r="F7" s="57" t="s">
        <v>200</v>
      </c>
      <c r="G7" s="50" t="s">
        <v>169</v>
      </c>
      <c r="H7" s="50" t="s">
        <v>201</v>
      </c>
      <c r="I7" s="58">
        <v>5</v>
      </c>
      <c r="J7" s="59">
        <v>6</v>
      </c>
      <c r="K7" s="59">
        <v>0</v>
      </c>
      <c r="L7" s="60">
        <f ca="1">TODAY()+40</f>
        <v>46291</v>
      </c>
      <c r="M7" s="60"/>
      <c r="N7" s="61" t="str">
        <f ca="1">IF($C7="","",IF($G7="Retain in place","Staying put",IF($M7&lt;&gt;"",IF($G7="Retire - switch it off","Retired","Moved"),IF($G7="","No strategy set",IF($I7="","No wave set",IF($L7="","No date set",IF(Setup!$D$19&gt;$L7,"Late",IF($L7-Setup!$D$19&lt;=Setup!$D$20,"Due soon","Planned"))))))))</f>
        <v>Planned</v>
      </c>
      <c r="O7" s="50" t="s">
        <v>202</v>
      </c>
    </row>
    <row r="8" spans="2:15" ht="46.5" customHeight="1">
      <c r="B8" s="56" t="str">
        <f t="shared" si="0"/>
        <v>A002</v>
      </c>
      <c r="C8" s="53" t="s">
        <v>203</v>
      </c>
      <c r="D8" s="53" t="s">
        <v>204</v>
      </c>
      <c r="E8" s="53" t="s">
        <v>199</v>
      </c>
      <c r="F8" s="62" t="s">
        <v>200</v>
      </c>
      <c r="G8" s="53" t="s">
        <v>169</v>
      </c>
      <c r="H8" s="53" t="s">
        <v>201</v>
      </c>
      <c r="I8" s="63">
        <v>5</v>
      </c>
      <c r="J8" s="64">
        <v>6</v>
      </c>
      <c r="K8" s="64">
        <v>0</v>
      </c>
      <c r="L8" s="65">
        <f ca="1">TODAY()+40</f>
        <v>46291</v>
      </c>
      <c r="M8" s="65"/>
      <c r="N8" s="61" t="str">
        <f ca="1">IF($C8="","",IF($G8="Retain in place","Staying put",IF($M8&lt;&gt;"",IF($G8="Retire - switch it off","Retired","Moved"),IF($G8="","No strategy set",IF($I8="","No wave set",IF($L8="","No date set",IF(Setup!$D$19&gt;$L8,"Late",IF($L8-Setup!$D$19&lt;=Setup!$D$20,"Due soon","Planned"))))))))</f>
        <v>Planned</v>
      </c>
      <c r="O8" s="53"/>
    </row>
    <row r="9" spans="2:15" ht="46.5" customHeight="1">
      <c r="B9" s="56" t="str">
        <f t="shared" si="0"/>
        <v>A003</v>
      </c>
      <c r="C9" s="50" t="s">
        <v>205</v>
      </c>
      <c r="D9" s="50" t="s">
        <v>198</v>
      </c>
      <c r="E9" s="50" t="s">
        <v>206</v>
      </c>
      <c r="F9" s="57" t="s">
        <v>200</v>
      </c>
      <c r="G9" s="50" t="s">
        <v>169</v>
      </c>
      <c r="H9" s="50" t="s">
        <v>201</v>
      </c>
      <c r="I9" s="58">
        <v>5</v>
      </c>
      <c r="J9" s="59">
        <v>4</v>
      </c>
      <c r="K9" s="59">
        <v>0</v>
      </c>
      <c r="L9" s="60">
        <f ca="1">TODAY()+40</f>
        <v>46291</v>
      </c>
      <c r="M9" s="60"/>
      <c r="N9" s="61" t="str">
        <f ca="1">IF($C9="","",IF($G9="Retain in place","Staying put",IF($M9&lt;&gt;"",IF($G9="Retire - switch it off","Retired","Moved"),IF($G9="","No strategy set",IF($I9="","No wave set",IF($L9="","No date set",IF(Setup!$D$19&gt;$L9,"Late",IF($L9-Setup!$D$19&lt;=Setup!$D$20,"Due soon","Planned"))))))))</f>
        <v>Planned</v>
      </c>
      <c r="O9" s="50"/>
    </row>
    <row r="10" spans="2:15" ht="46.5" customHeight="1">
      <c r="B10" s="56" t="str">
        <f t="shared" si="0"/>
        <v>A004</v>
      </c>
      <c r="C10" s="53" t="s">
        <v>207</v>
      </c>
      <c r="D10" s="53" t="s">
        <v>198</v>
      </c>
      <c r="E10" s="53" t="s">
        <v>208</v>
      </c>
      <c r="F10" s="62" t="s">
        <v>200</v>
      </c>
      <c r="G10" s="53" t="s">
        <v>169</v>
      </c>
      <c r="H10" s="53" t="s">
        <v>209</v>
      </c>
      <c r="I10" s="63">
        <v>2</v>
      </c>
      <c r="J10" s="64">
        <v>4</v>
      </c>
      <c r="K10" s="64">
        <v>5</v>
      </c>
      <c r="L10" s="65">
        <f ca="1">TODAY()+12</f>
        <v>46263</v>
      </c>
      <c r="M10" s="65"/>
      <c r="N10" s="61" t="str">
        <f ca="1">IF($C10="","",IF($G10="Retain in place","Staying put",IF($M10&lt;&gt;"",IF($G10="Retire - switch it off","Retired","Moved"),IF($G10="","No strategy set",IF($I10="","No wave set",IF($L10="","No date set",IF(Setup!$D$19&gt;$L10,"Late",IF($L10-Setup!$D$19&lt;=Setup!$D$20,"Due soon","Planned"))))))))</f>
        <v>Planned</v>
      </c>
      <c r="O10" s="53" t="s">
        <v>210</v>
      </c>
    </row>
    <row r="11" spans="2:15" ht="46.5" customHeight="1">
      <c r="B11" s="56" t="str">
        <f t="shared" si="0"/>
        <v>A005</v>
      </c>
      <c r="C11" s="50" t="s">
        <v>211</v>
      </c>
      <c r="D11" s="50" t="s">
        <v>198</v>
      </c>
      <c r="E11" s="50" t="s">
        <v>212</v>
      </c>
      <c r="F11" s="57" t="s">
        <v>200</v>
      </c>
      <c r="G11" s="50" t="s">
        <v>169</v>
      </c>
      <c r="H11" s="50" t="s">
        <v>209</v>
      </c>
      <c r="I11" s="58">
        <v>2</v>
      </c>
      <c r="J11" s="59">
        <v>4</v>
      </c>
      <c r="K11" s="59">
        <v>5</v>
      </c>
      <c r="L11" s="60">
        <f ca="1">TODAY()+12</f>
        <v>46263</v>
      </c>
      <c r="M11" s="60"/>
      <c r="N11" s="61" t="str">
        <f ca="1">IF($C11="","",IF($G11="Retain in place","Staying put",IF($M11&lt;&gt;"",IF($G11="Retire - switch it off","Retired","Moved"),IF($G11="","No strategy set",IF($I11="","No wave set",IF($L11="","No date set",IF(Setup!$D$19&gt;$L11,"Late",IF($L11-Setup!$D$19&lt;=Setup!$D$20,"Due soon","Planned"))))))))</f>
        <v>Planned</v>
      </c>
      <c r="O11" s="50"/>
    </row>
    <row r="12" spans="2:15" ht="46.5" customHeight="1">
      <c r="B12" s="56" t="str">
        <f t="shared" si="0"/>
        <v>A006</v>
      </c>
      <c r="C12" s="53" t="s">
        <v>213</v>
      </c>
      <c r="D12" s="53" t="s">
        <v>204</v>
      </c>
      <c r="E12" s="53" t="s">
        <v>214</v>
      </c>
      <c r="F12" s="62" t="s">
        <v>215</v>
      </c>
      <c r="G12" s="53" t="s">
        <v>170</v>
      </c>
      <c r="H12" s="53" t="s">
        <v>216</v>
      </c>
      <c r="I12" s="63">
        <v>4</v>
      </c>
      <c r="J12" s="64">
        <v>48</v>
      </c>
      <c r="K12" s="64">
        <v>240</v>
      </c>
      <c r="L12" s="65">
        <f ca="1">TODAY()+33</f>
        <v>46284</v>
      </c>
      <c r="M12" s="65"/>
      <c r="N12" s="61" t="str">
        <f ca="1">IF($C12="","",IF($G12="Retain in place","Staying put",IF($M12&lt;&gt;"",IF($G12="Retire - switch it off","Retired","Moved"),IF($G12="","No strategy set",IF($I12="","No wave set",IF($L12="","No date set",IF(Setup!$D$19&gt;$L12,"Late",IF($L12-Setup!$D$19&lt;=Setup!$D$20,"Due soon","Planned"))))))))</f>
        <v>Planned</v>
      </c>
      <c r="O12" s="53" t="s">
        <v>217</v>
      </c>
    </row>
    <row r="13" spans="2:15" ht="46.5" customHeight="1">
      <c r="B13" s="56" t="str">
        <f t="shared" si="0"/>
        <v>A007</v>
      </c>
      <c r="C13" s="50" t="s">
        <v>218</v>
      </c>
      <c r="D13" s="50" t="s">
        <v>198</v>
      </c>
      <c r="E13" s="50" t="s">
        <v>214</v>
      </c>
      <c r="F13" s="57" t="s">
        <v>219</v>
      </c>
      <c r="G13" s="50" t="s">
        <v>170</v>
      </c>
      <c r="H13" s="50" t="s">
        <v>216</v>
      </c>
      <c r="I13" s="58">
        <v>4</v>
      </c>
      <c r="J13" s="59">
        <v>48</v>
      </c>
      <c r="K13" s="59">
        <v>240</v>
      </c>
      <c r="L13" s="60">
        <f ca="1">TODAY()+33</f>
        <v>46284</v>
      </c>
      <c r="M13" s="60"/>
      <c r="N13" s="61" t="str">
        <f ca="1">IF($C13="","",IF($G13="Retain in place","Staying put",IF($M13&lt;&gt;"",IF($G13="Retire - switch it off","Retired","Moved"),IF($G13="","No strategy set",IF($I13="","No wave set",IF($L13="","No date set",IF(Setup!$D$19&gt;$L13,"Late",IF($L13-Setup!$D$19&lt;=Setup!$D$20,"Due soon","Planned"))))))))</f>
        <v>Planned</v>
      </c>
      <c r="O13" s="50"/>
    </row>
    <row r="14" spans="2:15" ht="46.5" customHeight="1">
      <c r="B14" s="56" t="str">
        <f t="shared" si="0"/>
        <v>A008</v>
      </c>
      <c r="C14" s="53" t="s">
        <v>220</v>
      </c>
      <c r="D14" s="53" t="s">
        <v>198</v>
      </c>
      <c r="E14" s="53" t="s">
        <v>221</v>
      </c>
      <c r="F14" s="62" t="s">
        <v>215</v>
      </c>
      <c r="G14" s="53" t="s">
        <v>173</v>
      </c>
      <c r="H14" s="53" t="s">
        <v>222</v>
      </c>
      <c r="I14" s="63">
        <v>3</v>
      </c>
      <c r="J14" s="64">
        <v>12</v>
      </c>
      <c r="K14" s="64">
        <v>60</v>
      </c>
      <c r="L14" s="65">
        <f ca="1">TODAY()+22</f>
        <v>46273</v>
      </c>
      <c r="M14" s="65"/>
      <c r="N14" s="61" t="str">
        <f ca="1">IF($C14="","",IF($G14="Retain in place","Staying put",IF($M14&lt;&gt;"",IF($G14="Retire - switch it off","Retired","Moved"),IF($G14="","No strategy set",IF($I14="","No wave set",IF($L14="","No date set",IF(Setup!$D$19&gt;$L14,"Late",IF($L14-Setup!$D$19&lt;=Setup!$D$20,"Due soon","Planned"))))))))</f>
        <v>Planned</v>
      </c>
      <c r="O14" s="53" t="s">
        <v>223</v>
      </c>
    </row>
    <row r="15" spans="2:15" ht="46.5" customHeight="1">
      <c r="B15" s="56" t="str">
        <f t="shared" si="0"/>
        <v>A009</v>
      </c>
      <c r="C15" s="50" t="s">
        <v>224</v>
      </c>
      <c r="D15" s="50" t="s">
        <v>198</v>
      </c>
      <c r="E15" s="50" t="s">
        <v>225</v>
      </c>
      <c r="F15" s="57" t="s">
        <v>219</v>
      </c>
      <c r="G15" s="50" t="s">
        <v>171</v>
      </c>
      <c r="H15" s="50" t="s">
        <v>222</v>
      </c>
      <c r="I15" s="58">
        <v>3</v>
      </c>
      <c r="J15" s="59">
        <v>24</v>
      </c>
      <c r="K15" s="59">
        <v>60</v>
      </c>
      <c r="L15" s="60">
        <f ca="1">TODAY()+22</f>
        <v>46273</v>
      </c>
      <c r="M15" s="60"/>
      <c r="N15" s="61" t="str">
        <f ca="1">IF($C15="","",IF($G15="Retain in place","Staying put",IF($M15&lt;&gt;"",IF($G15="Retire - switch it off","Retired","Moved"),IF($G15="","No strategy set",IF($I15="","No wave set",IF($L15="","No date set",IF(Setup!$D$19&gt;$L15,"Late",IF($L15-Setup!$D$19&lt;=Setup!$D$20,"Due soon","Planned"))))))))</f>
        <v>Planned</v>
      </c>
      <c r="O15" s="50"/>
    </row>
    <row r="16" spans="2:15" ht="46.5" customHeight="1">
      <c r="B16" s="56" t="str">
        <f t="shared" si="0"/>
        <v>A010</v>
      </c>
      <c r="C16" s="53" t="s">
        <v>226</v>
      </c>
      <c r="D16" s="53" t="s">
        <v>198</v>
      </c>
      <c r="E16" s="53" t="s">
        <v>225</v>
      </c>
      <c r="F16" s="62" t="s">
        <v>227</v>
      </c>
      <c r="G16" s="53" t="s">
        <v>176</v>
      </c>
      <c r="H16" s="53" t="s">
        <v>228</v>
      </c>
      <c r="I16" s="63">
        <v>1</v>
      </c>
      <c r="J16" s="64">
        <v>0</v>
      </c>
      <c r="K16" s="64">
        <v>0</v>
      </c>
      <c r="L16" s="65">
        <f ca="1">TODAY()+3</f>
        <v>46254</v>
      </c>
      <c r="M16" s="65">
        <f ca="1">TODAY()-2</f>
        <v>46249</v>
      </c>
      <c r="N16" s="61" t="str">
        <f ca="1">IF($C16="","",IF($G16="Retain in place","Staying put",IF($M16&lt;&gt;"",IF($G16="Retire - switch it off","Retired","Moved"),IF($G16="","No strategy set",IF($I16="","No wave set",IF($L16="","No date set",IF(Setup!$D$19&gt;$L16,"Late",IF($L16-Setup!$D$19&lt;=Setup!$D$20,"Due soon","Planned"))))))))</f>
        <v>Retired</v>
      </c>
      <c r="O16" s="53" t="s">
        <v>229</v>
      </c>
    </row>
    <row r="17" spans="2:15" ht="46.5" customHeight="1">
      <c r="B17" s="56" t="str">
        <f t="shared" si="0"/>
        <v>A011</v>
      </c>
      <c r="C17" s="50" t="s">
        <v>230</v>
      </c>
      <c r="D17" s="50" t="s">
        <v>198</v>
      </c>
      <c r="E17" s="50" t="s">
        <v>225</v>
      </c>
      <c r="F17" s="57" t="s">
        <v>227</v>
      </c>
      <c r="G17" s="50" t="s">
        <v>176</v>
      </c>
      <c r="H17" s="50" t="s">
        <v>228</v>
      </c>
      <c r="I17" s="58">
        <v>1</v>
      </c>
      <c r="J17" s="59">
        <v>0</v>
      </c>
      <c r="K17" s="59">
        <v>0</v>
      </c>
      <c r="L17" s="60">
        <f ca="1">TODAY()+3</f>
        <v>46254</v>
      </c>
      <c r="M17" s="60"/>
      <c r="N17" s="61" t="str">
        <f ca="1">IF($C17="","",IF($G17="Retain in place","Staying put",IF($M17&lt;&gt;"",IF($G17="Retire - switch it off","Retired","Moved"),IF($G17="","No strategy set",IF($I17="","No wave set",IF($L17="","No date set",IF(Setup!$D$19&gt;$L17,"Late",IF($L17-Setup!$D$19&lt;=Setup!$D$20,"Due soon","Planned"))))))))</f>
        <v>Due soon</v>
      </c>
      <c r="O17" s="50"/>
    </row>
    <row r="18" spans="2:15" ht="46.5" customHeight="1">
      <c r="B18" s="56" t="str">
        <f t="shared" si="0"/>
        <v>A012</v>
      </c>
      <c r="C18" s="53" t="s">
        <v>231</v>
      </c>
      <c r="D18" s="53" t="s">
        <v>232</v>
      </c>
      <c r="E18" s="53" t="s">
        <v>225</v>
      </c>
      <c r="F18" s="62" t="s">
        <v>227</v>
      </c>
      <c r="G18" s="53" t="s">
        <v>176</v>
      </c>
      <c r="H18" s="53" t="s">
        <v>228</v>
      </c>
      <c r="I18" s="63">
        <v>1</v>
      </c>
      <c r="J18" s="64">
        <v>0</v>
      </c>
      <c r="K18" s="64">
        <v>0</v>
      </c>
      <c r="L18" s="65">
        <f ca="1">TODAY()-4</f>
        <v>46247</v>
      </c>
      <c r="M18" s="65"/>
      <c r="N18" s="61" t="str">
        <f ca="1">IF($C18="","",IF($G18="Retain in place","Staying put",IF($M18&lt;&gt;"",IF($G18="Retire - switch it off","Retired","Moved"),IF($G18="","No strategy set",IF($I18="","No wave set",IF($L18="","No date set",IF(Setup!$D$19&gt;$L18,"Late",IF($L18-Setup!$D$19&lt;=Setup!$D$20,"Due soon","Planned"))))))))</f>
        <v>Late</v>
      </c>
      <c r="O18" s="53" t="s">
        <v>233</v>
      </c>
    </row>
    <row r="19" spans="2:15" ht="46.5" customHeight="1">
      <c r="B19" s="56" t="str">
        <f t="shared" si="0"/>
        <v>A013</v>
      </c>
      <c r="C19" s="50" t="s">
        <v>234</v>
      </c>
      <c r="D19" s="50" t="s">
        <v>235</v>
      </c>
      <c r="E19" s="50"/>
      <c r="F19" s="57"/>
      <c r="G19" s="50"/>
      <c r="H19" s="50"/>
      <c r="I19" s="58"/>
      <c r="J19" s="59"/>
      <c r="K19" s="59"/>
      <c r="L19" s="60">
        <f ca="1">TODAY()+3</f>
        <v>46254</v>
      </c>
      <c r="M19" s="60"/>
      <c r="N19" s="61" t="str">
        <f>IF($C19="","",IF($G19="Retain in place","Staying put",IF($M19&lt;&gt;"",IF($G19="Retire - switch it off","Retired","Moved"),IF($G19="","No strategy set",IF($I19="","No wave set",IF($L19="","No date set",IF(Setup!$D$19&gt;$L19,"Late",IF($L19-Setup!$D$19&lt;=Setup!$D$20,"Due soon","Planned"))))))))</f>
        <v>No strategy set</v>
      </c>
      <c r="O19" s="50" t="s">
        <v>236</v>
      </c>
    </row>
    <row r="20" spans="2:15" ht="46.5" customHeight="1">
      <c r="B20" s="56" t="str">
        <f t="shared" si="0"/>
        <v>A014</v>
      </c>
      <c r="C20" s="53" t="s">
        <v>237</v>
      </c>
      <c r="D20" s="53" t="s">
        <v>238</v>
      </c>
      <c r="E20" s="53" t="s">
        <v>239</v>
      </c>
      <c r="F20" s="62" t="s">
        <v>227</v>
      </c>
      <c r="G20" s="53" t="s">
        <v>171</v>
      </c>
      <c r="H20" s="53" t="s">
        <v>240</v>
      </c>
      <c r="I20" s="63">
        <v>1</v>
      </c>
      <c r="J20" s="64">
        <v>72</v>
      </c>
      <c r="K20" s="64">
        <v>1440</v>
      </c>
      <c r="L20" s="65">
        <f ca="1">TODAY()+3</f>
        <v>46254</v>
      </c>
      <c r="M20" s="65">
        <f ca="1">TODAY()-2</f>
        <v>46249</v>
      </c>
      <c r="N20" s="61" t="str">
        <f ca="1">IF($C20="","",IF($G20="Retain in place","Staying put",IF($M20&lt;&gt;"",IF($G20="Retire - switch it off","Retired","Moved"),IF($G20="","No strategy set",IF($I20="","No wave set",IF($L20="","No date set",IF(Setup!$D$19&gt;$L20,"Late",IF($L20-Setup!$D$19&lt;=Setup!$D$20,"Due soon","Planned"))))))))</f>
        <v>Moved</v>
      </c>
      <c r="O20" s="53" t="s">
        <v>241</v>
      </c>
    </row>
    <row r="21" spans="2:15" ht="46.5" customHeight="1">
      <c r="B21" s="56" t="str">
        <f t="shared" si="0"/>
        <v>A015</v>
      </c>
      <c r="C21" s="50" t="s">
        <v>242</v>
      </c>
      <c r="D21" s="50" t="s">
        <v>243</v>
      </c>
      <c r="E21" s="50" t="s">
        <v>212</v>
      </c>
      <c r="F21" s="57" t="s">
        <v>215</v>
      </c>
      <c r="G21" s="50" t="s">
        <v>169</v>
      </c>
      <c r="H21" s="50" t="s">
        <v>244</v>
      </c>
      <c r="I21" s="58">
        <v>4</v>
      </c>
      <c r="J21" s="59">
        <v>24</v>
      </c>
      <c r="K21" s="59">
        <v>60</v>
      </c>
      <c r="L21" s="60">
        <f ca="1">TODAY()+33</f>
        <v>46284</v>
      </c>
      <c r="M21" s="60"/>
      <c r="N21" s="61" t="str">
        <f ca="1">IF($C21="","",IF($G21="Retain in place","Staying put",IF($M21&lt;&gt;"",IF($G21="Retire - switch it off","Retired","Moved"),IF($G21="","No strategy set",IF($I21="","No wave set",IF($L21="","No date set",IF(Setup!$D$19&gt;$L21,"Late",IF($L21-Setup!$D$19&lt;=Setup!$D$20,"Due soon","Planned"))))))))</f>
        <v>Planned</v>
      </c>
      <c r="O21" s="50"/>
    </row>
    <row r="22" spans="2:15" ht="46.5" customHeight="1">
      <c r="B22" s="56" t="str">
        <f t="shared" si="0"/>
        <v>A016</v>
      </c>
      <c r="C22" s="53" t="s">
        <v>245</v>
      </c>
      <c r="D22" s="53" t="s">
        <v>246</v>
      </c>
      <c r="E22" s="53" t="s">
        <v>212</v>
      </c>
      <c r="F22" s="62" t="s">
        <v>200</v>
      </c>
      <c r="G22" s="53" t="s">
        <v>169</v>
      </c>
      <c r="H22" s="53" t="s">
        <v>201</v>
      </c>
      <c r="I22" s="63">
        <v>5</v>
      </c>
      <c r="J22" s="64">
        <v>6</v>
      </c>
      <c r="K22" s="64">
        <v>0</v>
      </c>
      <c r="L22" s="65">
        <f ca="1">TODAY()+40</f>
        <v>46291</v>
      </c>
      <c r="M22" s="65"/>
      <c r="N22" s="61" t="str">
        <f ca="1">IF($C22="","",IF($G22="Retain in place","Staying put",IF($M22&lt;&gt;"",IF($G22="Retire - switch it off","Retired","Moved"),IF($G22="","No strategy set",IF($I22="","No wave set",IF($L22="","No date set",IF(Setup!$D$19&gt;$L22,"Late",IF($L22-Setup!$D$19&lt;=Setup!$D$20,"Due soon","Planned"))))))))</f>
        <v>Planned</v>
      </c>
      <c r="O22" s="53"/>
    </row>
    <row r="23" spans="2:15" ht="46.5" customHeight="1">
      <c r="B23" s="56" t="str">
        <f t="shared" si="0"/>
        <v>A017</v>
      </c>
      <c r="C23" s="50" t="s">
        <v>247</v>
      </c>
      <c r="D23" s="50" t="s">
        <v>248</v>
      </c>
      <c r="E23" s="50" t="s">
        <v>249</v>
      </c>
      <c r="F23" s="57" t="s">
        <v>200</v>
      </c>
      <c r="G23" s="50" t="s">
        <v>169</v>
      </c>
      <c r="H23" s="50" t="s">
        <v>250</v>
      </c>
      <c r="I23" s="58">
        <v>6</v>
      </c>
      <c r="J23" s="59">
        <v>8</v>
      </c>
      <c r="K23" s="59">
        <v>0</v>
      </c>
      <c r="L23" s="60">
        <f ca="1">TODAY()+54</f>
        <v>46305</v>
      </c>
      <c r="M23" s="60"/>
      <c r="N23" s="61" t="str">
        <f ca="1">IF($C23="","",IF($G23="Retain in place","Staying put",IF($M23&lt;&gt;"",IF($G23="Retire - switch it off","Retired","Moved"),IF($G23="","No strategy set",IF($I23="","No wave set",IF($L23="","No date set",IF(Setup!$D$19&gt;$L23,"Late",IF($L23-Setup!$D$19&lt;=Setup!$D$20,"Due soon","Planned"))))))))</f>
        <v>Planned</v>
      </c>
      <c r="O23" s="50" t="s">
        <v>251</v>
      </c>
    </row>
    <row r="24" spans="2:15" ht="46.5" customHeight="1">
      <c r="B24" s="56" t="str">
        <f t="shared" si="0"/>
        <v>A018</v>
      </c>
      <c r="C24" s="53" t="s">
        <v>252</v>
      </c>
      <c r="D24" s="53" t="s">
        <v>248</v>
      </c>
      <c r="E24" s="53" t="s">
        <v>249</v>
      </c>
      <c r="F24" s="62" t="s">
        <v>200</v>
      </c>
      <c r="G24" s="53" t="s">
        <v>169</v>
      </c>
      <c r="H24" s="53" t="s">
        <v>250</v>
      </c>
      <c r="I24" s="63">
        <v>6</v>
      </c>
      <c r="J24" s="64">
        <v>8</v>
      </c>
      <c r="K24" s="64">
        <v>0</v>
      </c>
      <c r="L24" s="65">
        <f ca="1">TODAY()+54</f>
        <v>46305</v>
      </c>
      <c r="M24" s="65"/>
      <c r="N24" s="61" t="str">
        <f ca="1">IF($C24="","",IF($G24="Retain in place","Staying put",IF($M24&lt;&gt;"",IF($G24="Retire - switch it off","Retired","Moved"),IF($G24="","No strategy set",IF($I24="","No wave set",IF($L24="","No date set",IF(Setup!$D$19&gt;$L24,"Late",IF($L24-Setup!$D$19&lt;=Setup!$D$20,"Due soon","Planned"))))))))</f>
        <v>Planned</v>
      </c>
      <c r="O24" s="53"/>
    </row>
    <row r="25" spans="2:15" ht="46.5" customHeight="1">
      <c r="B25" s="56" t="str">
        <f t="shared" si="0"/>
        <v>A019</v>
      </c>
      <c r="C25" s="50" t="s">
        <v>253</v>
      </c>
      <c r="D25" s="50" t="s">
        <v>246</v>
      </c>
      <c r="E25" s="50" t="s">
        <v>254</v>
      </c>
      <c r="F25" s="57" t="s">
        <v>215</v>
      </c>
      <c r="G25" s="50" t="s">
        <v>177</v>
      </c>
      <c r="H25" s="50" t="s">
        <v>255</v>
      </c>
      <c r="I25" s="58">
        <v>6</v>
      </c>
      <c r="J25" s="59">
        <v>0</v>
      </c>
      <c r="K25" s="59">
        <v>0</v>
      </c>
      <c r="L25" s="60">
        <f ca="1">TODAY()+54</f>
        <v>46305</v>
      </c>
      <c r="M25" s="60"/>
      <c r="N25" s="61" t="str">
        <f>IF($C25="","",IF($G25="Retain in place","Staying put",IF($M25&lt;&gt;"",IF($G25="Retire - switch it off","Retired","Moved"),IF($G25="","No strategy set",IF($I25="","No wave set",IF($L25="","No date set",IF(Setup!$D$19&gt;$L25,"Late",IF($L25-Setup!$D$19&lt;=Setup!$D$20,"Due soon","Planned"))))))))</f>
        <v>Staying put</v>
      </c>
      <c r="O25" s="50" t="s">
        <v>256</v>
      </c>
    </row>
    <row r="26" spans="2:15" ht="46.5" customHeight="1">
      <c r="B26" s="56" t="str">
        <f t="shared" si="0"/>
        <v>A020</v>
      </c>
      <c r="C26" s="53" t="s">
        <v>257</v>
      </c>
      <c r="D26" s="53" t="s">
        <v>258</v>
      </c>
      <c r="E26" s="53" t="s">
        <v>259</v>
      </c>
      <c r="F26" s="62" t="s">
        <v>219</v>
      </c>
      <c r="G26" s="53" t="s">
        <v>177</v>
      </c>
      <c r="H26" s="53" t="s">
        <v>255</v>
      </c>
      <c r="I26" s="63">
        <v>6</v>
      </c>
      <c r="J26" s="64">
        <v>0</v>
      </c>
      <c r="K26" s="64">
        <v>0</v>
      </c>
      <c r="L26" s="65">
        <f ca="1">TODAY()+54</f>
        <v>46305</v>
      </c>
      <c r="M26" s="65"/>
      <c r="N26" s="61" t="str">
        <f>IF($C26="","",IF($G26="Retain in place","Staying put",IF($M26&lt;&gt;"",IF($G26="Retire - switch it off","Retired","Moved"),IF($G26="","No strategy set",IF($I26="","No wave set",IF($L26="","No date set",IF(Setup!$D$19&gt;$L26,"Late",IF($L26-Setup!$D$19&lt;=Setup!$D$20,"Due soon","Planned"))))))))</f>
        <v>Staying put</v>
      </c>
      <c r="O26" s="53" t="s">
        <v>260</v>
      </c>
    </row>
    <row r="27" spans="2:15" ht="46.5" customHeight="1">
      <c r="B27" s="56" t="str">
        <f t="shared" si="0"/>
        <v>A021</v>
      </c>
      <c r="C27" s="50" t="s">
        <v>261</v>
      </c>
      <c r="D27" s="50" t="s">
        <v>198</v>
      </c>
      <c r="E27" s="50" t="s">
        <v>212</v>
      </c>
      <c r="F27" s="57" t="s">
        <v>215</v>
      </c>
      <c r="G27" s="50" t="s">
        <v>171</v>
      </c>
      <c r="H27" s="50" t="s">
        <v>209</v>
      </c>
      <c r="I27" s="58">
        <v>2</v>
      </c>
      <c r="J27" s="59">
        <v>8</v>
      </c>
      <c r="K27" s="59">
        <v>30</v>
      </c>
      <c r="L27" s="60">
        <f ca="1">TODAY()+12</f>
        <v>46263</v>
      </c>
      <c r="M27" s="60"/>
      <c r="N27" s="61" t="str">
        <f ca="1">IF($C27="","",IF($G27="Retain in place","Staying put",IF($M27&lt;&gt;"",IF($G27="Retire - switch it off","Retired","Moved"),IF($G27="","No strategy set",IF($I27="","No wave set",IF($L27="","No date set",IF(Setup!$D$19&gt;$L27,"Late",IF($L27-Setup!$D$19&lt;=Setup!$D$20,"Due soon","Planned"))))))))</f>
        <v>Planned</v>
      </c>
      <c r="O27" s="50"/>
    </row>
    <row r="28" spans="2:15" ht="46.5" customHeight="1">
      <c r="B28" s="56" t="str">
        <f t="shared" si="0"/>
        <v>A022</v>
      </c>
      <c r="C28" s="53" t="s">
        <v>262</v>
      </c>
      <c r="D28" s="53" t="s">
        <v>198</v>
      </c>
      <c r="E28" s="53" t="s">
        <v>239</v>
      </c>
      <c r="F28" s="62" t="s">
        <v>200</v>
      </c>
      <c r="G28" s="53" t="s">
        <v>169</v>
      </c>
      <c r="H28" s="53" t="s">
        <v>263</v>
      </c>
      <c r="I28" s="63">
        <v>3</v>
      </c>
      <c r="J28" s="64">
        <v>6</v>
      </c>
      <c r="K28" s="64">
        <v>0</v>
      </c>
      <c r="L28" s="65">
        <f ca="1">TODAY()+22</f>
        <v>46273</v>
      </c>
      <c r="M28" s="65"/>
      <c r="N28" s="61" t="str">
        <f ca="1">IF($C28="","",IF($G28="Retain in place","Staying put",IF($M28&lt;&gt;"",IF($G28="Retire - switch it off","Retired","Moved"),IF($G28="","No strategy set",IF($I28="","No wave set",IF($L28="","No date set",IF(Setup!$D$19&gt;$L28,"Late",IF($L28-Setup!$D$19&lt;=Setup!$D$20,"Due soon","Planned"))))))))</f>
        <v>Planned</v>
      </c>
      <c r="O28" s="53" t="s">
        <v>264</v>
      </c>
    </row>
    <row r="29" spans="2:15" ht="46.5" customHeight="1">
      <c r="B29" s="56" t="str">
        <f t="shared" si="0"/>
        <v/>
      </c>
      <c r="C29" s="50"/>
      <c r="D29" s="50"/>
      <c r="E29" s="50"/>
      <c r="F29" s="57"/>
      <c r="G29" s="50"/>
      <c r="H29" s="50"/>
      <c r="I29" s="58"/>
      <c r="J29" s="59"/>
      <c r="K29" s="59"/>
      <c r="L29" s="60"/>
      <c r="M29" s="60"/>
      <c r="N29" s="61" t="str">
        <f>IF($C29="","",IF($G29="Retain in place","Staying put",IF($M29&lt;&gt;"",IF($G29="Retire - switch it off","Retired","Moved"),IF($G29="","No strategy set",IF($I29="","No wave set",IF($L29="","No date set",IF(Setup!$D$19&gt;$L29,"Late",IF($L29-Setup!$D$19&lt;=Setup!$D$20,"Due soon","Planned"))))))))</f>
        <v/>
      </c>
      <c r="O29" s="50"/>
    </row>
    <row r="30" spans="2:15" ht="46.5" customHeight="1">
      <c r="B30" s="56" t="str">
        <f t="shared" si="0"/>
        <v/>
      </c>
      <c r="C30" s="53"/>
      <c r="D30" s="53"/>
      <c r="E30" s="53"/>
      <c r="F30" s="62"/>
      <c r="G30" s="53"/>
      <c r="H30" s="53"/>
      <c r="I30" s="63"/>
      <c r="J30" s="64"/>
      <c r="K30" s="64"/>
      <c r="L30" s="65"/>
      <c r="M30" s="65"/>
      <c r="N30" s="61" t="str">
        <f>IF($C30="","",IF($G30="Retain in place","Staying put",IF($M30&lt;&gt;"",IF($G30="Retire - switch it off","Retired","Moved"),IF($G30="","No strategy set",IF($I30="","No wave set",IF($L30="","No date set",IF(Setup!$D$19&gt;$L30,"Late",IF($L30-Setup!$D$19&lt;=Setup!$D$20,"Due soon","Planned"))))))))</f>
        <v/>
      </c>
      <c r="O30" s="53"/>
    </row>
    <row r="31" spans="2:15" ht="46.5" customHeight="1">
      <c r="B31" s="56" t="str">
        <f t="shared" si="0"/>
        <v/>
      </c>
      <c r="C31" s="50"/>
      <c r="D31" s="50"/>
      <c r="E31" s="50"/>
      <c r="F31" s="57"/>
      <c r="G31" s="50"/>
      <c r="H31" s="50"/>
      <c r="I31" s="58"/>
      <c r="J31" s="59"/>
      <c r="K31" s="59"/>
      <c r="L31" s="60"/>
      <c r="M31" s="60"/>
      <c r="N31" s="61" t="str">
        <f>IF($C31="","",IF($G31="Retain in place","Staying put",IF($M31&lt;&gt;"",IF($G31="Retire - switch it off","Retired","Moved"),IF($G31="","No strategy set",IF($I31="","No wave set",IF($L31="","No date set",IF(Setup!$D$19&gt;$L31,"Late",IF($L31-Setup!$D$19&lt;=Setup!$D$20,"Due soon","Planned"))))))))</f>
        <v/>
      </c>
      <c r="O31" s="50"/>
    </row>
    <row r="32" spans="2:15" ht="46.5" customHeight="1">
      <c r="B32" s="56" t="str">
        <f t="shared" si="0"/>
        <v/>
      </c>
      <c r="C32" s="53"/>
      <c r="D32" s="53"/>
      <c r="E32" s="53"/>
      <c r="F32" s="62"/>
      <c r="G32" s="53"/>
      <c r="H32" s="53"/>
      <c r="I32" s="63"/>
      <c r="J32" s="64"/>
      <c r="K32" s="64"/>
      <c r="L32" s="65"/>
      <c r="M32" s="65"/>
      <c r="N32" s="61" t="str">
        <f>IF($C32="","",IF($G32="Retain in place","Staying put",IF($M32&lt;&gt;"",IF($G32="Retire - switch it off","Retired","Moved"),IF($G32="","No strategy set",IF($I32="","No wave set",IF($L32="","No date set",IF(Setup!$D$19&gt;$L32,"Late",IF($L32-Setup!$D$19&lt;=Setup!$D$20,"Due soon","Planned"))))))))</f>
        <v/>
      </c>
      <c r="O32" s="53"/>
    </row>
    <row r="40" spans="2:15" ht="15" customHeight="1">
      <c r="B40" s="89" t="s">
        <v>265</v>
      </c>
      <c r="C40" s="89"/>
      <c r="D40" s="89"/>
      <c r="E40" s="89"/>
      <c r="F40" s="89"/>
      <c r="G40" s="89"/>
      <c r="H40" s="89"/>
      <c r="I40" s="89"/>
      <c r="J40" s="89"/>
      <c r="K40" s="89"/>
    </row>
    <row r="41" spans="2:15" ht="15" customHeight="1">
      <c r="B41" s="89"/>
      <c r="C41" s="89"/>
      <c r="D41" s="89"/>
      <c r="E41" s="89"/>
      <c r="F41" s="89"/>
      <c r="G41" s="89"/>
      <c r="H41" s="89"/>
      <c r="I41" s="89"/>
      <c r="J41" s="89"/>
      <c r="K41" s="89"/>
    </row>
    <row r="42" spans="2:15" ht="18" customHeight="1">
      <c r="B42" s="92" t="s">
        <v>141</v>
      </c>
      <c r="C42" s="92"/>
      <c r="D42" s="92"/>
      <c r="E42" s="92"/>
      <c r="F42" s="92"/>
      <c r="G42" s="92"/>
      <c r="H42" s="92"/>
      <c r="I42" s="92"/>
      <c r="J42" s="92"/>
      <c r="K42" s="92"/>
      <c r="L42" s="92"/>
      <c r="M42" s="92"/>
      <c r="N42" s="92"/>
      <c r="O42" s="92"/>
    </row>
  </sheetData>
  <autoFilter ref="B6:O38" xr:uid="{00000000-0009-0000-0000-000003000000}"/>
  <mergeCells count="6">
    <mergeCell ref="B42:O42"/>
    <mergeCell ref="B1:O1"/>
    <mergeCell ref="B2:O2"/>
    <mergeCell ref="B3:O3"/>
    <mergeCell ref="B4:O4"/>
    <mergeCell ref="B40:K41"/>
  </mergeCells>
  <conditionalFormatting sqref="B3:O3">
    <cfRule type="expression" dxfId="42" priority="2">
      <formula>LEN($B$3)&gt;0</formula>
    </cfRule>
  </conditionalFormatting>
  <conditionalFormatting sqref="B7:O38">
    <cfRule type="expression" dxfId="41" priority="3">
      <formula>OR($N7="Moved",$N7="Retired")</formula>
    </cfRule>
    <cfRule type="expression" dxfId="40" priority="4">
      <formula>$N7="Staying put"</formula>
    </cfRule>
    <cfRule type="expression" dxfId="39" priority="5">
      <formula>AND($N7&lt;&gt;"Staying put",$N7="Late")</formula>
    </cfRule>
    <cfRule type="expression" dxfId="38" priority="6">
      <formula>AND($N7&lt;&gt;"Staying put",OR($N7="No strategy set",$N7="No wave set",$N7="No date set"))</formula>
    </cfRule>
    <cfRule type="expression" dxfId="37" priority="7">
      <formula>AND($N7&lt;&gt;"Staying put",$N7="Due soon")</formula>
    </cfRule>
  </conditionalFormatting>
  <conditionalFormatting sqref="F7:F38">
    <cfRule type="expression" dxfId="36" priority="8">
      <formula>LEFT($F7,1)="1"</formula>
    </cfRule>
  </conditionalFormatting>
  <conditionalFormatting sqref="K7:K38">
    <cfRule type="expression" dxfId="35" priority="9">
      <formula>AND($C7&lt;&gt;"",$K7=0)</formula>
    </cfRule>
  </conditionalFormatting>
  <dataValidations count="3">
    <dataValidation showInputMessage="1" promptTitle="Outage window" prompt="How many hours this can be unavailable. A scheduling constraint." sqref="J7:J32" xr:uid="{00000000-0002-0000-0300-000004000000}">
      <formula1>0</formula1>
      <formula2>0</formula2>
    </dataValidation>
    <dataValidation showInputMessage="1" promptTitle="Data loss" prompt="How many minutes of recent data you could afford to lose if you had to go back. Zero means replication and a final sync, not a backup and a restore." sqref="K7:K32" xr:uid="{00000000-0002-0000-0300-000005000000}">
      <formula1>0</formula1>
      <formula2>0</formula2>
    </dataValidation>
    <dataValidation showInputMessage="1" promptTitle="Move group" prompt="Things that must move together because of what connects them. Decided by dependencies, not by convenience." sqref="H7:H32" xr:uid="{00000000-0002-0000-0300-000006000000}">
      <formula1>0</formula1>
      <formula2>0</formula2>
    </dataValidation>
  </dataValidations>
  <hyperlinks>
    <hyperlink ref="B42" r:id="rId1" xr:uid="{00000000-0004-0000-0300-000000000000}"/>
  </hyperlinks>
  <pageMargins left="0.3" right="0.3" top="0.5" bottom="0.5" header="0.511811023622047" footer="0.511811023622047"/>
  <pageSetup paperSize="8" fitToHeight="0" orientation="landscape" horizontalDpi="300" verticalDpi="300"/>
  <drawing r:id="rId2"/>
  <extLst>
    <ext xmlns:x14="http://schemas.microsoft.com/office/spreadsheetml/2009/9/main" uri="{CCE6A557-97BC-4b89-ADB6-D9C93CAAB3DF}">
      <x14:dataValidations xmlns:xm="http://schemas.microsoft.com/office/excel/2006/main" count="4">
        <x14:dataValidation type="list" allowBlank="1" xr:uid="{00000000-0002-0000-0300-000000000000}">
          <x14:formula1>
            <xm:f>Reference!$B$83:$B$91</xm:f>
          </x14:formula1>
          <x14:formula2>
            <xm:f>0</xm:f>
          </x14:formula2>
          <xm:sqref>D7:D32</xm:sqref>
        </x14:dataValidation>
        <x14:dataValidation type="list" allowBlank="1" xr:uid="{00000000-0002-0000-0300-000001000000}">
          <x14:formula1>
            <xm:f>Reference!$C$83:$C$86</xm:f>
          </x14:formula1>
          <x14:formula2>
            <xm:f>0</xm:f>
          </x14:formula2>
          <xm:sqref>F7:F32</xm:sqref>
        </x14:dataValidation>
        <x14:dataValidation type="list" allowBlank="1" xr:uid="{00000000-0002-0000-0300-000002000000}">
          <x14:formula1>
            <xm:f>Reference!$D$83:$D$91</xm:f>
          </x14:formula1>
          <x14:formula2>
            <xm:f>0</xm:f>
          </x14:formula2>
          <xm:sqref>G7:G32</xm:sqref>
        </x14:dataValidation>
        <x14:dataValidation type="list" allowBlank="1" xr:uid="{00000000-0002-0000-0300-000003000000}">
          <x14:formula1>
            <xm:f>Reference!$H$83:$H$94</xm:f>
          </x14:formula1>
          <x14:formula2>
            <xm:f>0</xm:f>
          </x14:formula2>
          <xm:sqref>I7:I32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1B0C"/>
    <pageSetUpPr fitToPage="1"/>
  </sheetPr>
  <dimension ref="B1:L40"/>
  <sheetViews>
    <sheetView showGridLines="0" zoomScaleNormal="100" workbookViewId="0">
      <pane xSplit="4" ySplit="6" topLeftCell="E16" activePane="bottomRight" state="frozen"/>
      <selection pane="topRight" activeCell="E1" sqref="E1"/>
      <selection pane="bottomLeft" activeCell="A7" sqref="A7"/>
      <selection pane="bottomRight"/>
    </sheetView>
  </sheetViews>
  <sheetFormatPr defaultColWidth="8.7109375" defaultRowHeight="15"/>
  <cols>
    <col min="1" max="1" width="2.140625" customWidth="1"/>
    <col min="2" max="2" width="7" customWidth="1"/>
    <col min="3" max="4" width="30" customWidth="1"/>
    <col min="5" max="5" width="18" customWidth="1"/>
    <col min="6" max="6" width="19" customWidth="1"/>
    <col min="7" max="7" width="15" customWidth="1"/>
    <col min="8" max="8" width="12" customWidth="1"/>
    <col min="9" max="9" width="9" customWidth="1"/>
    <col min="10" max="10" width="10" customWidth="1"/>
    <col min="11" max="11" width="24" customWidth="1"/>
    <col min="12" max="12" width="32" customWidth="1"/>
    <col min="13" max="13" width="2.140625" customWidth="1"/>
  </cols>
  <sheetData>
    <row r="1" spans="2:12" ht="33.75" customHeight="1">
      <c r="B1" s="86" t="s">
        <v>266</v>
      </c>
      <c r="C1" s="86"/>
      <c r="D1" s="86"/>
      <c r="E1" s="86"/>
      <c r="F1" s="86"/>
      <c r="G1" s="86"/>
      <c r="H1" s="86"/>
      <c r="I1" s="86"/>
      <c r="J1" s="86"/>
      <c r="K1" s="86"/>
      <c r="L1" s="86"/>
    </row>
    <row r="2" spans="2:12" ht="4.5" customHeight="1">
      <c r="B2" s="116"/>
      <c r="C2" s="116"/>
      <c r="D2" s="116"/>
      <c r="E2" s="116"/>
      <c r="F2" s="116"/>
      <c r="G2" s="116"/>
      <c r="H2" s="116"/>
      <c r="I2" s="116"/>
      <c r="J2" s="116"/>
      <c r="K2" s="116"/>
      <c r="L2" s="116"/>
    </row>
    <row r="3" spans="2:12" ht="16.5" customHeight="1">
      <c r="B3" s="88" t="str">
        <f>IF(LEFT(Setup!$D$7,7)&lt;&gt;"EXAMPLE","","EXAMPLE DATA - type your own project name on Setup to clear this.")</f>
        <v>EXAMPLE DATA - type your own project name on Setup to clear this.</v>
      </c>
      <c r="C3" s="88"/>
      <c r="D3" s="88"/>
      <c r="E3" s="88"/>
      <c r="F3" s="88"/>
      <c r="G3" s="88"/>
      <c r="H3" s="88"/>
      <c r="I3" s="88"/>
      <c r="J3" s="88"/>
      <c r="K3" s="88"/>
      <c r="L3" s="88"/>
    </row>
    <row r="4" spans="2:12" ht="25.5" customHeight="1">
      <c r="B4" s="89" t="s">
        <v>267</v>
      </c>
      <c r="C4" s="89"/>
      <c r="D4" s="89"/>
      <c r="E4" s="89"/>
      <c r="F4" s="89"/>
      <c r="G4" s="89"/>
      <c r="H4" s="89"/>
      <c r="I4" s="89"/>
      <c r="J4" s="89"/>
      <c r="K4" s="89"/>
      <c r="L4" s="89"/>
    </row>
    <row r="6" spans="2:12" ht="31.5" customHeight="1">
      <c r="B6" s="55" t="s">
        <v>186</v>
      </c>
      <c r="C6" s="15" t="s">
        <v>268</v>
      </c>
      <c r="D6" s="15" t="s">
        <v>269</v>
      </c>
      <c r="E6" s="15" t="s">
        <v>270</v>
      </c>
      <c r="F6" s="15" t="s">
        <v>271</v>
      </c>
      <c r="G6" s="15" t="s">
        <v>272</v>
      </c>
      <c r="H6" s="15" t="s">
        <v>273</v>
      </c>
      <c r="I6" s="55" t="s">
        <v>274</v>
      </c>
      <c r="J6" s="55" t="s">
        <v>275</v>
      </c>
      <c r="K6" s="55" t="s">
        <v>276</v>
      </c>
      <c r="L6" s="15" t="s">
        <v>196</v>
      </c>
    </row>
    <row r="7" spans="2:12" ht="46.5" customHeight="1">
      <c r="B7" s="56" t="str">
        <f t="shared" ref="B7:B28" si="0">IF($C7="","","D"&amp;TEXT(ROW()-6,"000"))</f>
        <v>D001</v>
      </c>
      <c r="C7" s="50" t="s">
        <v>197</v>
      </c>
      <c r="D7" s="50" t="s">
        <v>207</v>
      </c>
      <c r="E7" s="50" t="s">
        <v>277</v>
      </c>
      <c r="F7" s="50" t="s">
        <v>278</v>
      </c>
      <c r="G7" s="50" t="s">
        <v>279</v>
      </c>
      <c r="H7" s="60">
        <f ca="1">TODAY()-60</f>
        <v>46191</v>
      </c>
      <c r="I7" s="51">
        <f>IF($C7="","",IFERROR(VLOOKUP($C7,'Inventory &amp; Applications'!$C$7:$I$38,7,FALSE()),""))</f>
        <v>5</v>
      </c>
      <c r="J7" s="51">
        <f>IF($D7="","",IFERROR(VLOOKUP($D7,'Inventory &amp; Applications'!$C$7:$I$38,7,FALSE()),""))</f>
        <v>2</v>
      </c>
      <c r="K7" s="61" t="str">
        <f t="shared" ref="K7:K28" si="1">IF(OR($C7="",$D7=""),"",IF($G7="","NOT VERIFIED",IF(OR($I7="",$J7=""),"Not in the inventory",IF($I7&lt;$J7,"MOVES BEFORE WHAT IT NEEDS",IF($I7=$J7,"Same wave","Dependency moves first")))))</f>
        <v>Dependency moves first</v>
      </c>
      <c r="L7" s="50"/>
    </row>
    <row r="8" spans="2:12" ht="46.5" customHeight="1">
      <c r="B8" s="56" t="str">
        <f t="shared" si="0"/>
        <v>D002</v>
      </c>
      <c r="C8" s="53" t="s">
        <v>197</v>
      </c>
      <c r="D8" s="53" t="s">
        <v>203</v>
      </c>
      <c r="E8" s="53" t="s">
        <v>280</v>
      </c>
      <c r="F8" s="53" t="s">
        <v>281</v>
      </c>
      <c r="G8" s="53" t="s">
        <v>279</v>
      </c>
      <c r="H8" s="65">
        <f ca="1">TODAY()-60</f>
        <v>46191</v>
      </c>
      <c r="I8" s="51">
        <f>IF($C8="","",IFERROR(VLOOKUP($C8,'Inventory &amp; Applications'!$C$7:$I$38,7,FALSE()),""))</f>
        <v>5</v>
      </c>
      <c r="J8" s="51">
        <f>IF($D8="","",IFERROR(VLOOKUP($D8,'Inventory &amp; Applications'!$C$7:$I$38,7,FALSE()),""))</f>
        <v>5</v>
      </c>
      <c r="K8" s="61" t="str">
        <f t="shared" si="1"/>
        <v>Same wave</v>
      </c>
      <c r="L8" s="53"/>
    </row>
    <row r="9" spans="2:12" ht="46.5" customHeight="1">
      <c r="B9" s="56" t="str">
        <f t="shared" si="0"/>
        <v>D003</v>
      </c>
      <c r="C9" s="50" t="s">
        <v>197</v>
      </c>
      <c r="D9" s="50" t="s">
        <v>245</v>
      </c>
      <c r="E9" s="50" t="s">
        <v>282</v>
      </c>
      <c r="F9" s="50" t="s">
        <v>281</v>
      </c>
      <c r="G9" s="50" t="s">
        <v>279</v>
      </c>
      <c r="H9" s="60">
        <f ca="1">TODAY()-58</f>
        <v>46193</v>
      </c>
      <c r="I9" s="51">
        <f>IF($C9="","",IFERROR(VLOOKUP($C9,'Inventory &amp; Applications'!$C$7:$I$38,7,FALSE()),""))</f>
        <v>5</v>
      </c>
      <c r="J9" s="51">
        <f>IF($D9="","",IFERROR(VLOOKUP($D9,'Inventory &amp; Applications'!$C$7:$I$38,7,FALSE()),""))</f>
        <v>5</v>
      </c>
      <c r="K9" s="61" t="str">
        <f t="shared" si="1"/>
        <v>Same wave</v>
      </c>
      <c r="L9" s="50"/>
    </row>
    <row r="10" spans="2:12" ht="46.5" customHeight="1">
      <c r="B10" s="56" t="str">
        <f t="shared" si="0"/>
        <v>D004</v>
      </c>
      <c r="C10" s="53" t="s">
        <v>205</v>
      </c>
      <c r="D10" s="53" t="s">
        <v>197</v>
      </c>
      <c r="E10" s="53" t="s">
        <v>283</v>
      </c>
      <c r="F10" s="53" t="s">
        <v>278</v>
      </c>
      <c r="G10" s="53" t="s">
        <v>284</v>
      </c>
      <c r="H10" s="65">
        <f ca="1">TODAY()-55</f>
        <v>46196</v>
      </c>
      <c r="I10" s="51">
        <f>IF($C10="","",IFERROR(VLOOKUP($C10,'Inventory &amp; Applications'!$C$7:$I$38,7,FALSE()),""))</f>
        <v>5</v>
      </c>
      <c r="J10" s="51">
        <f>IF($D10="","",IFERROR(VLOOKUP($D10,'Inventory &amp; Applications'!$C$7:$I$38,7,FALSE()),""))</f>
        <v>5</v>
      </c>
      <c r="K10" s="61" t="str">
        <f t="shared" si="1"/>
        <v>Same wave</v>
      </c>
      <c r="L10" s="53"/>
    </row>
    <row r="11" spans="2:12" ht="46.5" customHeight="1">
      <c r="B11" s="56" t="str">
        <f t="shared" si="0"/>
        <v>D005</v>
      </c>
      <c r="C11" s="50" t="s">
        <v>205</v>
      </c>
      <c r="D11" s="50" t="s">
        <v>207</v>
      </c>
      <c r="E11" s="50" t="s">
        <v>277</v>
      </c>
      <c r="F11" s="50" t="s">
        <v>281</v>
      </c>
      <c r="G11" s="50" t="s">
        <v>284</v>
      </c>
      <c r="H11" s="60">
        <f ca="1">TODAY()-55</f>
        <v>46196</v>
      </c>
      <c r="I11" s="51">
        <f>IF($C11="","",IFERROR(VLOOKUP($C11,'Inventory &amp; Applications'!$C$7:$I$38,7,FALSE()),""))</f>
        <v>5</v>
      </c>
      <c r="J11" s="51">
        <f>IF($D11="","",IFERROR(VLOOKUP($D11,'Inventory &amp; Applications'!$C$7:$I$38,7,FALSE()),""))</f>
        <v>2</v>
      </c>
      <c r="K11" s="61" t="str">
        <f t="shared" si="1"/>
        <v>Dependency moves first</v>
      </c>
      <c r="L11" s="50"/>
    </row>
    <row r="12" spans="2:12" ht="46.5" customHeight="1">
      <c r="B12" s="56" t="str">
        <f t="shared" si="0"/>
        <v>D006</v>
      </c>
      <c r="C12" s="53" t="s">
        <v>213</v>
      </c>
      <c r="D12" s="53" t="s">
        <v>203</v>
      </c>
      <c r="E12" s="53" t="s">
        <v>285</v>
      </c>
      <c r="F12" s="53" t="s">
        <v>286</v>
      </c>
      <c r="G12" s="53" t="s">
        <v>287</v>
      </c>
      <c r="H12" s="65">
        <f ca="1">TODAY()-50</f>
        <v>46201</v>
      </c>
      <c r="I12" s="51">
        <f>IF($C12="","",IFERROR(VLOOKUP($C12,'Inventory &amp; Applications'!$C$7:$I$38,7,FALSE()),""))</f>
        <v>4</v>
      </c>
      <c r="J12" s="51">
        <f>IF($D12="","",IFERROR(VLOOKUP($D12,'Inventory &amp; Applications'!$C$7:$I$38,7,FALSE()),""))</f>
        <v>5</v>
      </c>
      <c r="K12" s="61" t="str">
        <f t="shared" si="1"/>
        <v>MOVES BEFORE WHAT IT NEEDS</v>
      </c>
      <c r="L12" s="53"/>
    </row>
    <row r="13" spans="2:12" ht="46.5" customHeight="1">
      <c r="B13" s="56" t="str">
        <f t="shared" si="0"/>
        <v>D007</v>
      </c>
      <c r="C13" s="50" t="s">
        <v>218</v>
      </c>
      <c r="D13" s="50" t="s">
        <v>213</v>
      </c>
      <c r="E13" s="50" t="s">
        <v>282</v>
      </c>
      <c r="F13" s="50" t="s">
        <v>288</v>
      </c>
      <c r="G13" s="50" t="s">
        <v>287</v>
      </c>
      <c r="H13" s="60">
        <f ca="1">TODAY()-50</f>
        <v>46201</v>
      </c>
      <c r="I13" s="51">
        <f>IF($C13="","",IFERROR(VLOOKUP($C13,'Inventory &amp; Applications'!$C$7:$I$38,7,FALSE()),""))</f>
        <v>4</v>
      </c>
      <c r="J13" s="51">
        <f>IF($D13="","",IFERROR(VLOOKUP($D13,'Inventory &amp; Applications'!$C$7:$I$38,7,FALSE()),""))</f>
        <v>4</v>
      </c>
      <c r="K13" s="61" t="str">
        <f t="shared" si="1"/>
        <v>Same wave</v>
      </c>
      <c r="L13" s="50"/>
    </row>
    <row r="14" spans="2:12" ht="46.5" customHeight="1">
      <c r="B14" s="56" t="str">
        <f t="shared" si="0"/>
        <v>D008</v>
      </c>
      <c r="C14" s="53" t="s">
        <v>220</v>
      </c>
      <c r="D14" s="53" t="s">
        <v>207</v>
      </c>
      <c r="E14" s="53" t="s">
        <v>277</v>
      </c>
      <c r="F14" s="53" t="s">
        <v>289</v>
      </c>
      <c r="G14" s="53"/>
      <c r="H14" s="65"/>
      <c r="I14" s="51">
        <f>IF($C14="","",IFERROR(VLOOKUP($C14,'Inventory &amp; Applications'!$C$7:$I$38,7,FALSE()),""))</f>
        <v>3</v>
      </c>
      <c r="J14" s="51">
        <f>IF($D14="","",IFERROR(VLOOKUP($D14,'Inventory &amp; Applications'!$C$7:$I$38,7,FALSE()),""))</f>
        <v>2</v>
      </c>
      <c r="K14" s="61" t="str">
        <f t="shared" si="1"/>
        <v>NOT VERIFIED</v>
      </c>
      <c r="L14" s="53" t="s">
        <v>290</v>
      </c>
    </row>
    <row r="15" spans="2:12" ht="46.5" customHeight="1">
      <c r="B15" s="56" t="str">
        <f t="shared" si="0"/>
        <v>D009</v>
      </c>
      <c r="C15" s="50" t="s">
        <v>224</v>
      </c>
      <c r="D15" s="50" t="s">
        <v>207</v>
      </c>
      <c r="E15" s="50" t="s">
        <v>277</v>
      </c>
      <c r="F15" s="50" t="s">
        <v>281</v>
      </c>
      <c r="G15" s="50" t="s">
        <v>291</v>
      </c>
      <c r="H15" s="60">
        <f ca="1">TODAY()-44</f>
        <v>46207</v>
      </c>
      <c r="I15" s="51">
        <f>IF($C15="","",IFERROR(VLOOKUP($C15,'Inventory &amp; Applications'!$C$7:$I$38,7,FALSE()),""))</f>
        <v>3</v>
      </c>
      <c r="J15" s="51">
        <f>IF($D15="","",IFERROR(VLOOKUP($D15,'Inventory &amp; Applications'!$C$7:$I$38,7,FALSE()),""))</f>
        <v>2</v>
      </c>
      <c r="K15" s="61" t="str">
        <f t="shared" si="1"/>
        <v>Dependency moves first</v>
      </c>
      <c r="L15" s="50"/>
    </row>
    <row r="16" spans="2:12" ht="46.5" customHeight="1">
      <c r="B16" s="56" t="str">
        <f t="shared" si="0"/>
        <v>D010</v>
      </c>
      <c r="C16" s="53" t="s">
        <v>224</v>
      </c>
      <c r="D16" s="53" t="s">
        <v>211</v>
      </c>
      <c r="E16" s="53" t="s">
        <v>292</v>
      </c>
      <c r="F16" s="53" t="s">
        <v>281</v>
      </c>
      <c r="G16" s="53" t="s">
        <v>291</v>
      </c>
      <c r="H16" s="65">
        <f ca="1">TODAY()-44</f>
        <v>46207</v>
      </c>
      <c r="I16" s="51">
        <f>IF($C16="","",IFERROR(VLOOKUP($C16,'Inventory &amp; Applications'!$C$7:$I$38,7,FALSE()),""))</f>
        <v>3</v>
      </c>
      <c r="J16" s="51">
        <f>IF($D16="","",IFERROR(VLOOKUP($D16,'Inventory &amp; Applications'!$C$7:$I$38,7,FALSE()),""))</f>
        <v>2</v>
      </c>
      <c r="K16" s="61" t="str">
        <f t="shared" si="1"/>
        <v>Dependency moves first</v>
      </c>
      <c r="L16" s="53"/>
    </row>
    <row r="17" spans="2:12" ht="46.5" customHeight="1">
      <c r="B17" s="56" t="str">
        <f t="shared" si="0"/>
        <v>D011</v>
      </c>
      <c r="C17" s="50" t="s">
        <v>242</v>
      </c>
      <c r="D17" s="50" t="s">
        <v>245</v>
      </c>
      <c r="E17" s="50" t="s">
        <v>293</v>
      </c>
      <c r="F17" s="50" t="s">
        <v>281</v>
      </c>
      <c r="G17" s="50" t="s">
        <v>294</v>
      </c>
      <c r="H17" s="60">
        <f ca="1">TODAY()-40</f>
        <v>46211</v>
      </c>
      <c r="I17" s="51">
        <f>IF($C17="","",IFERROR(VLOOKUP($C17,'Inventory &amp; Applications'!$C$7:$I$38,7,FALSE()),""))</f>
        <v>4</v>
      </c>
      <c r="J17" s="51">
        <f>IF($D17="","",IFERROR(VLOOKUP($D17,'Inventory &amp; Applications'!$C$7:$I$38,7,FALSE()),""))</f>
        <v>5</v>
      </c>
      <c r="K17" s="61" t="str">
        <f t="shared" si="1"/>
        <v>MOVES BEFORE WHAT IT NEEDS</v>
      </c>
      <c r="L17" s="50"/>
    </row>
    <row r="18" spans="2:12" ht="46.5" customHeight="1">
      <c r="B18" s="56" t="str">
        <f t="shared" si="0"/>
        <v>D012</v>
      </c>
      <c r="C18" s="53" t="s">
        <v>261</v>
      </c>
      <c r="D18" s="53" t="s">
        <v>211</v>
      </c>
      <c r="E18" s="53" t="s">
        <v>295</v>
      </c>
      <c r="F18" s="53" t="s">
        <v>296</v>
      </c>
      <c r="G18" s="53" t="s">
        <v>294</v>
      </c>
      <c r="H18" s="65">
        <f ca="1">TODAY()-38</f>
        <v>46213</v>
      </c>
      <c r="I18" s="51">
        <f>IF($C18="","",IFERROR(VLOOKUP($C18,'Inventory &amp; Applications'!$C$7:$I$38,7,FALSE()),""))</f>
        <v>2</v>
      </c>
      <c r="J18" s="51">
        <f>IF($D18="","",IFERROR(VLOOKUP($D18,'Inventory &amp; Applications'!$C$7:$I$38,7,FALSE()),""))</f>
        <v>2</v>
      </c>
      <c r="K18" s="61" t="str">
        <f t="shared" si="1"/>
        <v>Same wave</v>
      </c>
      <c r="L18" s="53"/>
    </row>
    <row r="19" spans="2:12" ht="46.5" customHeight="1">
      <c r="B19" s="56" t="str">
        <f t="shared" si="0"/>
        <v>D013</v>
      </c>
      <c r="C19" s="50" t="s">
        <v>262</v>
      </c>
      <c r="D19" s="50" t="s">
        <v>213</v>
      </c>
      <c r="E19" s="50" t="s">
        <v>282</v>
      </c>
      <c r="F19" s="50" t="s">
        <v>278</v>
      </c>
      <c r="G19" s="50" t="s">
        <v>297</v>
      </c>
      <c r="H19" s="60">
        <f ca="1">TODAY()-35</f>
        <v>46216</v>
      </c>
      <c r="I19" s="51">
        <f>IF($C19="","",IFERROR(VLOOKUP($C19,'Inventory &amp; Applications'!$C$7:$I$38,7,FALSE()),""))</f>
        <v>3</v>
      </c>
      <c r="J19" s="51">
        <f>IF($D19="","",IFERROR(VLOOKUP($D19,'Inventory &amp; Applications'!$C$7:$I$38,7,FALSE()),""))</f>
        <v>4</v>
      </c>
      <c r="K19" s="61" t="str">
        <f t="shared" si="1"/>
        <v>MOVES BEFORE WHAT IT NEEDS</v>
      </c>
      <c r="L19" s="50" t="s">
        <v>298</v>
      </c>
    </row>
    <row r="20" spans="2:12" ht="46.5" customHeight="1">
      <c r="B20" s="56" t="str">
        <f t="shared" si="0"/>
        <v>D014</v>
      </c>
      <c r="C20" s="53" t="s">
        <v>262</v>
      </c>
      <c r="D20" s="53" t="s">
        <v>207</v>
      </c>
      <c r="E20" s="53" t="s">
        <v>277</v>
      </c>
      <c r="F20" s="53" t="s">
        <v>281</v>
      </c>
      <c r="G20" s="53" t="s">
        <v>297</v>
      </c>
      <c r="H20" s="65">
        <f ca="1">TODAY()-35</f>
        <v>46216</v>
      </c>
      <c r="I20" s="51">
        <f>IF($C20="","",IFERROR(VLOOKUP($C20,'Inventory &amp; Applications'!$C$7:$I$38,7,FALSE()),""))</f>
        <v>3</v>
      </c>
      <c r="J20" s="51">
        <f>IF($D20="","",IFERROR(VLOOKUP($D20,'Inventory &amp; Applications'!$C$7:$I$38,7,FALSE()),""))</f>
        <v>2</v>
      </c>
      <c r="K20" s="61" t="str">
        <f t="shared" si="1"/>
        <v>Dependency moves first</v>
      </c>
      <c r="L20" s="53"/>
    </row>
    <row r="21" spans="2:12" ht="46.5" customHeight="1">
      <c r="B21" s="56" t="str">
        <f t="shared" si="0"/>
        <v>D015</v>
      </c>
      <c r="C21" s="50" t="s">
        <v>203</v>
      </c>
      <c r="D21" s="50" t="s">
        <v>245</v>
      </c>
      <c r="E21" s="50" t="s">
        <v>299</v>
      </c>
      <c r="F21" s="50" t="s">
        <v>296</v>
      </c>
      <c r="G21" s="50" t="s">
        <v>294</v>
      </c>
      <c r="H21" s="60">
        <f ca="1">TODAY()-30</f>
        <v>46221</v>
      </c>
      <c r="I21" s="51">
        <f>IF($C21="","",IFERROR(VLOOKUP($C21,'Inventory &amp; Applications'!$C$7:$I$38,7,FALSE()),""))</f>
        <v>5</v>
      </c>
      <c r="J21" s="51">
        <f>IF($D21="","",IFERROR(VLOOKUP($D21,'Inventory &amp; Applications'!$C$7:$I$38,7,FALSE()),""))</f>
        <v>5</v>
      </c>
      <c r="K21" s="61" t="str">
        <f t="shared" si="1"/>
        <v>Same wave</v>
      </c>
      <c r="L21" s="50"/>
    </row>
    <row r="22" spans="2:12" ht="46.5" customHeight="1">
      <c r="B22" s="56" t="str">
        <f t="shared" si="0"/>
        <v>D016</v>
      </c>
      <c r="C22" s="53" t="s">
        <v>247</v>
      </c>
      <c r="D22" s="53" t="s">
        <v>197</v>
      </c>
      <c r="E22" s="53" t="s">
        <v>300</v>
      </c>
      <c r="F22" s="53" t="s">
        <v>289</v>
      </c>
      <c r="G22" s="53"/>
      <c r="H22" s="65"/>
      <c r="I22" s="51">
        <f>IF($C22="","",IFERROR(VLOOKUP($C22,'Inventory &amp; Applications'!$C$7:$I$38,7,FALSE()),""))</f>
        <v>6</v>
      </c>
      <c r="J22" s="51">
        <f>IF($D22="","",IFERROR(VLOOKUP($D22,'Inventory &amp; Applications'!$C$7:$I$38,7,FALSE()),""))</f>
        <v>5</v>
      </c>
      <c r="K22" s="61" t="str">
        <f t="shared" si="1"/>
        <v>NOT VERIFIED</v>
      </c>
      <c r="L22" s="53" t="s">
        <v>301</v>
      </c>
    </row>
    <row r="23" spans="2:12" ht="46.5" customHeight="1">
      <c r="B23" s="56" t="str">
        <f t="shared" si="0"/>
        <v/>
      </c>
      <c r="C23" s="50"/>
      <c r="D23" s="50"/>
      <c r="E23" s="50"/>
      <c r="F23" s="50"/>
      <c r="G23" s="50"/>
      <c r="H23" s="60"/>
      <c r="I23" s="51" t="str">
        <f>IF($C23="","",IFERROR(VLOOKUP($C23,'Inventory &amp; Applications'!$C$7:$I$38,7,FALSE()),""))</f>
        <v/>
      </c>
      <c r="J23" s="51" t="str">
        <f>IF($D23="","",IFERROR(VLOOKUP($D23,'Inventory &amp; Applications'!$C$7:$I$38,7,FALSE()),""))</f>
        <v/>
      </c>
      <c r="K23" s="61" t="str">
        <f t="shared" si="1"/>
        <v/>
      </c>
      <c r="L23" s="50"/>
    </row>
    <row r="24" spans="2:12" ht="46.5" customHeight="1">
      <c r="B24" s="56" t="str">
        <f t="shared" si="0"/>
        <v/>
      </c>
      <c r="C24" s="53"/>
      <c r="D24" s="53"/>
      <c r="E24" s="53"/>
      <c r="F24" s="53"/>
      <c r="G24" s="53"/>
      <c r="H24" s="65"/>
      <c r="I24" s="51" t="str">
        <f>IF($C24="","",IFERROR(VLOOKUP($C24,'Inventory &amp; Applications'!$C$7:$I$38,7,FALSE()),""))</f>
        <v/>
      </c>
      <c r="J24" s="51" t="str">
        <f>IF($D24="","",IFERROR(VLOOKUP($D24,'Inventory &amp; Applications'!$C$7:$I$38,7,FALSE()),""))</f>
        <v/>
      </c>
      <c r="K24" s="61" t="str">
        <f t="shared" si="1"/>
        <v/>
      </c>
      <c r="L24" s="53"/>
    </row>
    <row r="25" spans="2:12" ht="46.5" customHeight="1">
      <c r="B25" s="56" t="str">
        <f t="shared" si="0"/>
        <v/>
      </c>
      <c r="C25" s="50"/>
      <c r="D25" s="50"/>
      <c r="E25" s="50"/>
      <c r="F25" s="50"/>
      <c r="G25" s="50"/>
      <c r="H25" s="60"/>
      <c r="I25" s="51" t="str">
        <f>IF($C25="","",IFERROR(VLOOKUP($C25,'Inventory &amp; Applications'!$C$7:$I$38,7,FALSE()),""))</f>
        <v/>
      </c>
      <c r="J25" s="51" t="str">
        <f>IF($D25="","",IFERROR(VLOOKUP($D25,'Inventory &amp; Applications'!$C$7:$I$38,7,FALSE()),""))</f>
        <v/>
      </c>
      <c r="K25" s="61" t="str">
        <f t="shared" si="1"/>
        <v/>
      </c>
      <c r="L25" s="50"/>
    </row>
    <row r="26" spans="2:12" ht="46.5" customHeight="1">
      <c r="B26" s="56" t="str">
        <f t="shared" si="0"/>
        <v/>
      </c>
      <c r="C26" s="53"/>
      <c r="D26" s="53"/>
      <c r="E26" s="53"/>
      <c r="F26" s="53"/>
      <c r="G26" s="53"/>
      <c r="H26" s="65"/>
      <c r="I26" s="51" t="str">
        <f>IF($C26="","",IFERROR(VLOOKUP($C26,'Inventory &amp; Applications'!$C$7:$I$38,7,FALSE()),""))</f>
        <v/>
      </c>
      <c r="J26" s="51" t="str">
        <f>IF($D26="","",IFERROR(VLOOKUP($D26,'Inventory &amp; Applications'!$C$7:$I$38,7,FALSE()),""))</f>
        <v/>
      </c>
      <c r="K26" s="61" t="str">
        <f t="shared" si="1"/>
        <v/>
      </c>
      <c r="L26" s="53"/>
    </row>
    <row r="27" spans="2:12" ht="46.5" customHeight="1">
      <c r="B27" s="56" t="str">
        <f t="shared" si="0"/>
        <v/>
      </c>
      <c r="C27" s="50"/>
      <c r="D27" s="50"/>
      <c r="E27" s="50"/>
      <c r="F27" s="50"/>
      <c r="G27" s="50"/>
      <c r="H27" s="60"/>
      <c r="I27" s="51" t="str">
        <f>IF($C27="","",IFERROR(VLOOKUP($C27,'Inventory &amp; Applications'!$C$7:$I$38,7,FALSE()),""))</f>
        <v/>
      </c>
      <c r="J27" s="51" t="str">
        <f>IF($D27="","",IFERROR(VLOOKUP($D27,'Inventory &amp; Applications'!$C$7:$I$38,7,FALSE()),""))</f>
        <v/>
      </c>
      <c r="K27" s="61" t="str">
        <f t="shared" si="1"/>
        <v/>
      </c>
      <c r="L27" s="50"/>
    </row>
    <row r="28" spans="2:12" ht="46.5" customHeight="1">
      <c r="B28" s="56" t="str">
        <f t="shared" si="0"/>
        <v/>
      </c>
      <c r="C28" s="53"/>
      <c r="D28" s="53"/>
      <c r="E28" s="53"/>
      <c r="F28" s="53"/>
      <c r="G28" s="53"/>
      <c r="H28" s="65"/>
      <c r="I28" s="51" t="str">
        <f>IF($C28="","",IFERROR(VLOOKUP($C28,'Inventory &amp; Applications'!$C$7:$I$38,7,FALSE()),""))</f>
        <v/>
      </c>
      <c r="J28" s="51" t="str">
        <f>IF($D28="","",IFERROR(VLOOKUP($D28,'Inventory &amp; Applications'!$C$7:$I$38,7,FALSE()),""))</f>
        <v/>
      </c>
      <c r="K28" s="61" t="str">
        <f t="shared" si="1"/>
        <v/>
      </c>
      <c r="L28" s="53"/>
    </row>
    <row r="38" spans="2:12" ht="15" customHeight="1">
      <c r="B38" s="89" t="s">
        <v>302</v>
      </c>
      <c r="C38" s="89"/>
      <c r="D38" s="89"/>
      <c r="E38" s="89"/>
      <c r="F38" s="89"/>
      <c r="G38" s="89"/>
      <c r="H38" s="89"/>
      <c r="I38" s="89"/>
      <c r="J38" s="89"/>
    </row>
    <row r="39" spans="2:12" ht="15" customHeight="1">
      <c r="B39" s="89"/>
      <c r="C39" s="89"/>
      <c r="D39" s="89"/>
      <c r="E39" s="89"/>
      <c r="F39" s="89"/>
      <c r="G39" s="89"/>
      <c r="H39" s="89"/>
      <c r="I39" s="89"/>
      <c r="J39" s="89"/>
    </row>
    <row r="40" spans="2:12" ht="18" customHeight="1">
      <c r="B40" s="92" t="s">
        <v>141</v>
      </c>
      <c r="C40" s="92"/>
      <c r="D40" s="92"/>
      <c r="E40" s="92"/>
      <c r="F40" s="92"/>
      <c r="G40" s="92"/>
      <c r="H40" s="92"/>
      <c r="I40" s="92"/>
      <c r="J40" s="92"/>
      <c r="K40" s="92"/>
      <c r="L40" s="92"/>
    </row>
  </sheetData>
  <autoFilter ref="B6:L36" xr:uid="{00000000-0009-0000-0000-000004000000}"/>
  <mergeCells count="6">
    <mergeCell ref="B40:L40"/>
    <mergeCell ref="B1:L1"/>
    <mergeCell ref="B2:L2"/>
    <mergeCell ref="B3:L3"/>
    <mergeCell ref="B4:L4"/>
    <mergeCell ref="B38:J39"/>
  </mergeCells>
  <conditionalFormatting sqref="B3:L3">
    <cfRule type="expression" dxfId="34" priority="2">
      <formula>LEN($B$3)&gt;0</formula>
    </cfRule>
  </conditionalFormatting>
  <conditionalFormatting sqref="B7:L36">
    <cfRule type="expression" dxfId="33" priority="3">
      <formula>$K7="MOVES BEFORE WHAT IT NEEDS"</formula>
    </cfRule>
    <cfRule type="expression" dxfId="32" priority="4">
      <formula>AND($K7&lt;&gt;"MOVES BEFORE WHAT IT NEEDS",$K7="NOT VERIFIED")</formula>
    </cfRule>
    <cfRule type="expression" dxfId="31" priority="5">
      <formula>AND($K7&lt;&gt;"MOVES BEFORE WHAT IT NEEDS",$K7="Not in the inventory")</formula>
    </cfRule>
    <cfRule type="expression" dxfId="30" priority="6">
      <formula>AND($K7&lt;&gt;"MOVES BEFORE WHAT IT NEEDS",$K7="Dependency moves first")</formula>
    </cfRule>
  </conditionalFormatting>
  <dataValidations count="2">
    <dataValidation showInputMessage="1" promptTitle="This..." prompt="Type the asset name exactly as it appears on Inventory &amp; Applications - the wave number is looked up from there." sqref="C7:C28" xr:uid="{00000000-0002-0000-0400-000002000000}">
      <formula1>0</formula1>
      <formula2>0</formula2>
    </dataValidation>
    <dataValidation showInputMessage="1" promptTitle="Verified by" prompt="The person who owns the application and confirmed this is real. Automated discovery is a starting point, not an answer." sqref="G7:G28" xr:uid="{00000000-0002-0000-0400-000003000000}">
      <formula1>0</formula1>
      <formula2>0</formula2>
    </dataValidation>
  </dataValidations>
  <hyperlinks>
    <hyperlink ref="B40" r:id="rId1" xr:uid="{00000000-0004-0000-0400-000000000000}"/>
  </hyperlinks>
  <pageMargins left="0.3" right="0.3" top="0.5" bottom="0.5" header="0.511811023622047" footer="0.511811023622047"/>
  <pageSetup paperSize="8" fitToHeight="0" orientation="landscape" horizontalDpi="300" verticalDpi="300"/>
  <drawing r:id="rId2"/>
  <extLst>
    <ext xmlns:x14="http://schemas.microsoft.com/office/spreadsheetml/2009/9/main" uri="{CCE6A557-97BC-4b89-ADB6-D9C93CAAB3DF}">
      <x14:dataValidations xmlns:xm="http://schemas.microsoft.com/office/excel/2006/main" count="2">
        <x14:dataValidation type="list" allowBlank="1" xr:uid="{00000000-0002-0000-0400-000000000000}">
          <x14:formula1>
            <xm:f>Reference!$F$83:$F$93</xm:f>
          </x14:formula1>
          <x14:formula2>
            <xm:f>0</xm:f>
          </x14:formula2>
          <xm:sqref>E7:E28</xm:sqref>
        </x14:dataValidation>
        <x14:dataValidation type="list" allowBlank="1" xr:uid="{00000000-0002-0000-0400-000001000000}">
          <x14:formula1>
            <xm:f>Reference!$G$83:$G$89</xm:f>
          </x14:formula1>
          <x14:formula2>
            <xm:f>0</xm:f>
          </x14:formula2>
          <xm:sqref>F7:F28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39BE5"/>
    <pageSetUpPr fitToPage="1"/>
  </sheetPr>
  <dimension ref="B1:N22"/>
  <sheetViews>
    <sheetView showGridLines="0" zoomScaleNormal="100" workbookViewId="0"/>
  </sheetViews>
  <sheetFormatPr defaultColWidth="8.7109375" defaultRowHeight="15"/>
  <cols>
    <col min="1" max="1" width="2.140625" customWidth="1"/>
    <col min="2" max="2" width="8" customWidth="1"/>
    <col min="3" max="3" width="34" customWidth="1"/>
    <col min="4" max="4" width="22" customWidth="1"/>
    <col min="5" max="6" width="12" customWidth="1"/>
    <col min="7" max="8" width="9" customWidth="1"/>
    <col min="9" max="10" width="11" customWidth="1"/>
    <col min="11" max="11" width="12" customWidth="1"/>
    <col min="12" max="12" width="18" customWidth="1"/>
    <col min="13" max="13" width="17" customWidth="1"/>
    <col min="14" max="14" width="32" customWidth="1"/>
    <col min="15" max="15" width="2.140625" customWidth="1"/>
  </cols>
  <sheetData>
    <row r="1" spans="2:14" ht="33.75" customHeight="1">
      <c r="B1" s="86" t="s">
        <v>303</v>
      </c>
      <c r="C1" s="86"/>
      <c r="D1" s="86"/>
      <c r="E1" s="86"/>
      <c r="F1" s="86"/>
      <c r="G1" s="86"/>
      <c r="H1" s="86"/>
      <c r="I1" s="86"/>
      <c r="J1" s="86"/>
      <c r="K1" s="86"/>
      <c r="L1" s="86"/>
      <c r="M1" s="86"/>
      <c r="N1" s="86"/>
    </row>
    <row r="2" spans="2:14" ht="4.5" customHeight="1">
      <c r="B2" s="117"/>
      <c r="C2" s="117"/>
      <c r="D2" s="117"/>
      <c r="E2" s="117"/>
      <c r="F2" s="117"/>
      <c r="G2" s="117"/>
      <c r="H2" s="117"/>
      <c r="I2" s="117"/>
      <c r="J2" s="117"/>
      <c r="K2" s="117"/>
      <c r="L2" s="117"/>
      <c r="M2" s="117"/>
      <c r="N2" s="117"/>
    </row>
    <row r="3" spans="2:14" ht="16.5" customHeight="1">
      <c r="B3" s="88" t="str">
        <f>IF(LEFT(Setup!$D$7,7)&lt;&gt;"EXAMPLE","","EXAMPLE DATA - type your own project name on Setup to clear this.")</f>
        <v>EXAMPLE DATA - type your own project name on Setup to clear this.</v>
      </c>
      <c r="C3" s="88"/>
      <c r="D3" s="88"/>
      <c r="E3" s="88"/>
      <c r="F3" s="88"/>
      <c r="G3" s="88"/>
      <c r="H3" s="88"/>
      <c r="I3" s="88"/>
      <c r="J3" s="88"/>
      <c r="K3" s="88"/>
      <c r="L3" s="88"/>
      <c r="M3" s="88"/>
      <c r="N3" s="88"/>
    </row>
    <row r="4" spans="2:14" ht="25.5" customHeight="1">
      <c r="B4" s="89" t="s">
        <v>304</v>
      </c>
      <c r="C4" s="89"/>
      <c r="D4" s="89"/>
      <c r="E4" s="89"/>
      <c r="F4" s="89"/>
      <c r="G4" s="89"/>
      <c r="H4" s="89"/>
      <c r="I4" s="89"/>
      <c r="J4" s="89"/>
      <c r="K4" s="89"/>
      <c r="L4" s="89"/>
      <c r="M4" s="89"/>
      <c r="N4" s="89"/>
    </row>
    <row r="6" spans="2:14" ht="31.5" customHeight="1">
      <c r="B6" s="15" t="s">
        <v>158</v>
      </c>
      <c r="C6" s="15" t="s">
        <v>305</v>
      </c>
      <c r="D6" s="15" t="s">
        <v>306</v>
      </c>
      <c r="E6" s="15" t="s">
        <v>307</v>
      </c>
      <c r="F6" s="15" t="s">
        <v>308</v>
      </c>
      <c r="G6" s="55" t="s">
        <v>159</v>
      </c>
      <c r="H6" s="55" t="s">
        <v>160</v>
      </c>
      <c r="I6" s="55" t="s">
        <v>309</v>
      </c>
      <c r="J6" s="55" t="s">
        <v>162</v>
      </c>
      <c r="K6" s="15" t="s">
        <v>310</v>
      </c>
      <c r="L6" s="15" t="s">
        <v>311</v>
      </c>
      <c r="M6" s="55" t="s">
        <v>163</v>
      </c>
      <c r="N6" s="15" t="s">
        <v>196</v>
      </c>
    </row>
    <row r="7" spans="2:14" ht="46.5" customHeight="1">
      <c r="B7" s="66" t="s">
        <v>3</v>
      </c>
      <c r="C7" s="50" t="s">
        <v>312</v>
      </c>
      <c r="D7" s="50" t="s">
        <v>313</v>
      </c>
      <c r="E7" s="60">
        <f ca="1">TODAY()+1</f>
        <v>46252</v>
      </c>
      <c r="F7" s="60">
        <f ca="1">TODAY()+4</f>
        <v>46255</v>
      </c>
      <c r="G7" s="51">
        <f>IF($B7="","",COUNTIF('Inventory &amp; Applications'!$I$7:$I$38,$B7))</f>
        <v>4</v>
      </c>
      <c r="H7" s="51">
        <f>IF($B7="","",COUNTIFS('Inventory &amp; Applications'!$I$7:$I$38,$B7,'Inventory &amp; Applications'!$F$7:$F$38,"1 - Critical"))</f>
        <v>0</v>
      </c>
      <c r="I7" s="51">
        <f>IF($B7="","",COUNTIFS(Dependencies!$I$7:$I$36,$B7,Dependencies!$K$7:$K$36,"MOVES BEFORE WHAT IT NEEDS"))</f>
        <v>0</v>
      </c>
      <c r="J7" s="51">
        <f>IF($B7="","",COUNTIFS(Dependencies!$I$7:$I$36,$B7,Dependencies!$K$7:$K$36,"NOT VERIFIED"))</f>
        <v>0</v>
      </c>
      <c r="K7" s="60">
        <f ca="1">TODAY()-3</f>
        <v>46248</v>
      </c>
      <c r="L7" s="50" t="s">
        <v>314</v>
      </c>
      <c r="M7" s="61" t="str">
        <f ca="1">IF($B7="","",IF(N($I7)+N($J7)&gt;0,"Blocked - see the counts",IF($L7="No go - reschedule","No go",IF(AND($L7="Go",$F7&lt;&gt;"",Setup!$D$19&gt;$F7),"Complete",IF($L7="Go","Cleared to run",IF($L7="Go with conditions","Conditional",IF(AND($K7&lt;&gt;"",Setup!$D$19&gt;$K7),"Decision overdue","Awaiting decision")))))))</f>
        <v>Cleared to run</v>
      </c>
      <c r="N7" s="50" t="s">
        <v>315</v>
      </c>
    </row>
    <row r="8" spans="2:14" ht="46.5" customHeight="1">
      <c r="B8" s="67" t="s">
        <v>6</v>
      </c>
      <c r="C8" s="53" t="s">
        <v>316</v>
      </c>
      <c r="D8" s="53" t="s">
        <v>209</v>
      </c>
      <c r="E8" s="65">
        <f ca="1">TODAY()+10</f>
        <v>46261</v>
      </c>
      <c r="F8" s="65">
        <f ca="1">TODAY()+14</f>
        <v>46265</v>
      </c>
      <c r="G8" s="51">
        <f>IF($B8="","",COUNTIF('Inventory &amp; Applications'!$I$7:$I$38,$B8))</f>
        <v>3</v>
      </c>
      <c r="H8" s="51">
        <f>IF($B8="","",COUNTIFS('Inventory &amp; Applications'!$I$7:$I$38,$B8,'Inventory &amp; Applications'!$F$7:$F$38,"1 - Critical"))</f>
        <v>2</v>
      </c>
      <c r="I8" s="51">
        <f>IF($B8="","",COUNTIFS(Dependencies!$I$7:$I$36,$B8,Dependencies!$K$7:$K$36,"MOVES BEFORE WHAT IT NEEDS"))</f>
        <v>0</v>
      </c>
      <c r="J8" s="51">
        <f>IF($B8="","",COUNTIFS(Dependencies!$I$7:$I$36,$B8,Dependencies!$K$7:$K$36,"NOT VERIFIED"))</f>
        <v>0</v>
      </c>
      <c r="K8" s="65">
        <f ca="1">TODAY()+6</f>
        <v>46257</v>
      </c>
      <c r="L8" s="53" t="s">
        <v>314</v>
      </c>
      <c r="M8" s="61" t="str">
        <f ca="1">IF($B8="","",IF(N($I8)+N($J8)&gt;0,"Blocked - see the counts",IF($L8="No go - reschedule","No go",IF(AND($L8="Go",$F8&lt;&gt;"",Setup!$D$19&gt;$F8),"Complete",IF($L8="Go","Cleared to run",IF($L8="Go with conditions","Conditional",IF(AND($K8&lt;&gt;"",Setup!$D$19&gt;$K8),"Decision overdue","Awaiting decision")))))))</f>
        <v>Cleared to run</v>
      </c>
      <c r="N8" s="53" t="s">
        <v>317</v>
      </c>
    </row>
    <row r="9" spans="2:14" ht="46.5" customHeight="1">
      <c r="B9" s="66" t="s">
        <v>9</v>
      </c>
      <c r="C9" s="50" t="s">
        <v>318</v>
      </c>
      <c r="D9" s="50" t="s">
        <v>319</v>
      </c>
      <c r="E9" s="60">
        <f ca="1">TODAY()+20</f>
        <v>46271</v>
      </c>
      <c r="F9" s="60">
        <f ca="1">TODAY()+25</f>
        <v>46276</v>
      </c>
      <c r="G9" s="51">
        <f>IF($B9="","",COUNTIF('Inventory &amp; Applications'!$I$7:$I$38,$B9))</f>
        <v>3</v>
      </c>
      <c r="H9" s="51">
        <f>IF($B9="","",COUNTIFS('Inventory &amp; Applications'!$I$7:$I$38,$B9,'Inventory &amp; Applications'!$F$7:$F$38,"1 - Critical"))</f>
        <v>1</v>
      </c>
      <c r="I9" s="51">
        <f>IF($B9="","",COUNTIFS(Dependencies!$I$7:$I$36,$B9,Dependencies!$K$7:$K$36,"MOVES BEFORE WHAT IT NEEDS"))</f>
        <v>1</v>
      </c>
      <c r="J9" s="51">
        <f>IF($B9="","",COUNTIFS(Dependencies!$I$7:$I$36,$B9,Dependencies!$K$7:$K$36,"NOT VERIFIED"))</f>
        <v>1</v>
      </c>
      <c r="K9" s="60">
        <f ca="1">TODAY()+15</f>
        <v>46266</v>
      </c>
      <c r="L9" s="50" t="s">
        <v>320</v>
      </c>
      <c r="M9" s="61" t="str">
        <f>IF($B9="","",IF(N($I9)+N($J9)&gt;0,"Blocked - see the counts",IF($L9="No go - reschedule","No go",IF(AND($L9="Go",$F9&lt;&gt;"",Setup!$D$19&gt;$F9),"Complete",IF($L9="Go","Cleared to run",IF($L9="Go with conditions","Conditional",IF(AND($K9&lt;&gt;"",Setup!$D$19&gt;$K9),"Decision overdue","Awaiting decision")))))))</f>
        <v>Blocked - see the counts</v>
      </c>
      <c r="N9" s="50" t="s">
        <v>321</v>
      </c>
    </row>
    <row r="10" spans="2:14" ht="46.5" customHeight="1">
      <c r="B10" s="67" t="s">
        <v>12</v>
      </c>
      <c r="C10" s="53" t="s">
        <v>322</v>
      </c>
      <c r="D10" s="53" t="s">
        <v>323</v>
      </c>
      <c r="E10" s="65">
        <f ca="1">TODAY()+31</f>
        <v>46282</v>
      </c>
      <c r="F10" s="65">
        <f ca="1">TODAY()+36</f>
        <v>46287</v>
      </c>
      <c r="G10" s="51">
        <f>IF($B10="","",COUNTIF('Inventory &amp; Applications'!$I$7:$I$38,$B10))</f>
        <v>3</v>
      </c>
      <c r="H10" s="51">
        <f>IF($B10="","",COUNTIFS('Inventory &amp; Applications'!$I$7:$I$38,$B10,'Inventory &amp; Applications'!$F$7:$F$38,"1 - Critical"))</f>
        <v>0</v>
      </c>
      <c r="I10" s="51">
        <f>IF($B10="","",COUNTIFS(Dependencies!$I$7:$I$36,$B10,Dependencies!$K$7:$K$36,"MOVES BEFORE WHAT IT NEEDS"))</f>
        <v>2</v>
      </c>
      <c r="J10" s="51">
        <f>IF($B10="","",COUNTIFS(Dependencies!$I$7:$I$36,$B10,Dependencies!$K$7:$K$36,"NOT VERIFIED"))</f>
        <v>0</v>
      </c>
      <c r="K10" s="65">
        <f ca="1">TODAY()+26</f>
        <v>46277</v>
      </c>
      <c r="L10" s="53" t="s">
        <v>324</v>
      </c>
      <c r="M10" s="61" t="str">
        <f>IF($B10="","",IF(N($I10)+N($J10)&gt;0,"Blocked - see the counts",IF($L10="No go - reschedule","No go",IF(AND($L10="Go",$F10&lt;&gt;"",Setup!$D$19&gt;$F10),"Complete",IF($L10="Go","Cleared to run",IF($L10="Go with conditions","Conditional",IF(AND($K10&lt;&gt;"",Setup!$D$19&gt;$K10),"Decision overdue","Awaiting decision")))))))</f>
        <v>Blocked - see the counts</v>
      </c>
      <c r="N10" s="53"/>
    </row>
    <row r="11" spans="2:14" ht="46.5" customHeight="1">
      <c r="B11" s="66" t="s">
        <v>15</v>
      </c>
      <c r="C11" s="50" t="s">
        <v>325</v>
      </c>
      <c r="D11" s="50" t="s">
        <v>201</v>
      </c>
      <c r="E11" s="60">
        <f ca="1">TODAY()+38</f>
        <v>46289</v>
      </c>
      <c r="F11" s="60">
        <f ca="1">TODAY()+43</f>
        <v>46294</v>
      </c>
      <c r="G11" s="51">
        <f>IF($B11="","",COUNTIF('Inventory &amp; Applications'!$I$7:$I$38,$B11))</f>
        <v>4</v>
      </c>
      <c r="H11" s="51">
        <f>IF($B11="","",COUNTIFS('Inventory &amp; Applications'!$I$7:$I$38,$B11,'Inventory &amp; Applications'!$F$7:$F$38,"1 - Critical"))</f>
        <v>4</v>
      </c>
      <c r="I11" s="51">
        <f>IF($B11="","",COUNTIFS(Dependencies!$I$7:$I$36,$B11,Dependencies!$K$7:$K$36,"MOVES BEFORE WHAT IT NEEDS"))</f>
        <v>0</v>
      </c>
      <c r="J11" s="51">
        <f>IF($B11="","",COUNTIFS(Dependencies!$I$7:$I$36,$B11,Dependencies!$K$7:$K$36,"NOT VERIFIED"))</f>
        <v>0</v>
      </c>
      <c r="K11" s="60">
        <f ca="1">TODAY()+33</f>
        <v>46284</v>
      </c>
      <c r="L11" s="50" t="s">
        <v>324</v>
      </c>
      <c r="M11" s="61" t="str">
        <f ca="1">IF($B11="","",IF(N($I11)+N($J11)&gt;0,"Blocked - see the counts",IF($L11="No go - reschedule","No go",IF(AND($L11="Go",$F11&lt;&gt;"",Setup!$D$19&gt;$F11),"Complete",IF($L11="Go","Cleared to run",IF($L11="Go with conditions","Conditional",IF(AND($K11&lt;&gt;"",Setup!$D$19&gt;$K11),"Decision overdue","Awaiting decision")))))))</f>
        <v>Awaiting decision</v>
      </c>
      <c r="N11" s="50" t="s">
        <v>326</v>
      </c>
    </row>
    <row r="12" spans="2:14" ht="46.5" customHeight="1">
      <c r="B12" s="67" t="s">
        <v>18</v>
      </c>
      <c r="C12" s="53" t="s">
        <v>327</v>
      </c>
      <c r="D12" s="53" t="s">
        <v>328</v>
      </c>
      <c r="E12" s="65">
        <f ca="1">TODAY()+52</f>
        <v>46303</v>
      </c>
      <c r="F12" s="65">
        <f ca="1">TODAY()+56</f>
        <v>46307</v>
      </c>
      <c r="G12" s="51">
        <f>IF($B12="","",COUNTIF('Inventory &amp; Applications'!$I$7:$I$38,$B12))</f>
        <v>4</v>
      </c>
      <c r="H12" s="51">
        <f>IF($B12="","",COUNTIFS('Inventory &amp; Applications'!$I$7:$I$38,$B12,'Inventory &amp; Applications'!$F$7:$F$38,"1 - Critical"))</f>
        <v>2</v>
      </c>
      <c r="I12" s="51">
        <f>IF($B12="","",COUNTIFS(Dependencies!$I$7:$I$36,$B12,Dependencies!$K$7:$K$36,"MOVES BEFORE WHAT IT NEEDS"))</f>
        <v>0</v>
      </c>
      <c r="J12" s="51">
        <f>IF($B12="","",COUNTIFS(Dependencies!$I$7:$I$36,$B12,Dependencies!$K$7:$K$36,"NOT VERIFIED"))</f>
        <v>1</v>
      </c>
      <c r="K12" s="65">
        <f ca="1">TODAY()+47</f>
        <v>46298</v>
      </c>
      <c r="L12" s="53" t="s">
        <v>324</v>
      </c>
      <c r="M12" s="61" t="str">
        <f>IF($B12="","",IF(N($I12)+N($J12)&gt;0,"Blocked - see the counts",IF($L12="No go - reschedule","No go",IF(AND($L12="Go",$F12&lt;&gt;"",Setup!$D$19&gt;$F12),"Complete",IF($L12="Go","Cleared to run",IF($L12="Go with conditions","Conditional",IF(AND($K12&lt;&gt;"",Setup!$D$19&gt;$K12),"Decision overdue","Awaiting decision")))))))</f>
        <v>Blocked - see the counts</v>
      </c>
      <c r="N12" s="53"/>
    </row>
    <row r="13" spans="2:14" ht="46.5" customHeight="1">
      <c r="B13" s="66"/>
      <c r="C13" s="50"/>
      <c r="D13" s="50"/>
      <c r="E13" s="60"/>
      <c r="F13" s="60"/>
      <c r="G13" s="51" t="str">
        <f>IF($B13="","",COUNTIF('Inventory &amp; Applications'!$I$7:$I$38,$B13))</f>
        <v/>
      </c>
      <c r="H13" s="51" t="str">
        <f>IF($B13="","",COUNTIFS('Inventory &amp; Applications'!$I$7:$I$38,$B13,'Inventory &amp; Applications'!$F$7:$F$38,"1 - Critical"))</f>
        <v/>
      </c>
      <c r="I13" s="51" t="str">
        <f>IF($B13="","",COUNTIFS(Dependencies!$I$7:$I$36,$B13,Dependencies!$K$7:$K$36,"MOVES BEFORE WHAT IT NEEDS"))</f>
        <v/>
      </c>
      <c r="J13" s="51" t="str">
        <f>IF($B13="","",COUNTIFS(Dependencies!$I$7:$I$36,$B13,Dependencies!$K$7:$K$36,"NOT VERIFIED"))</f>
        <v/>
      </c>
      <c r="K13" s="60"/>
      <c r="L13" s="50"/>
      <c r="M13" s="61" t="str">
        <f>IF($B13="","",IF(N($I13)+N($J13)&gt;0,"Blocked - see the counts",IF($L13="No go - reschedule","No go",IF(AND($L13="Go",$F13&lt;&gt;"",Setup!$D$19&gt;$F13),"Complete",IF($L13="Go","Cleared to run",IF($L13="Go with conditions","Conditional",IF(AND($K13&lt;&gt;"",Setup!$D$19&gt;$K13),"Decision overdue","Awaiting decision")))))))</f>
        <v/>
      </c>
      <c r="N13" s="50"/>
    </row>
    <row r="14" spans="2:14" ht="46.5" customHeight="1">
      <c r="B14" s="67"/>
      <c r="C14" s="53"/>
      <c r="D14" s="53"/>
      <c r="E14" s="65"/>
      <c r="F14" s="65"/>
      <c r="G14" s="51" t="str">
        <f>IF($B14="","",COUNTIF('Inventory &amp; Applications'!$I$7:$I$38,$B14))</f>
        <v/>
      </c>
      <c r="H14" s="51" t="str">
        <f>IF($B14="","",COUNTIFS('Inventory &amp; Applications'!$I$7:$I$38,$B14,'Inventory &amp; Applications'!$F$7:$F$38,"1 - Critical"))</f>
        <v/>
      </c>
      <c r="I14" s="51" t="str">
        <f>IF($B14="","",COUNTIFS(Dependencies!$I$7:$I$36,$B14,Dependencies!$K$7:$K$36,"MOVES BEFORE WHAT IT NEEDS"))</f>
        <v/>
      </c>
      <c r="J14" s="51" t="str">
        <f>IF($B14="","",COUNTIFS(Dependencies!$I$7:$I$36,$B14,Dependencies!$K$7:$K$36,"NOT VERIFIED"))</f>
        <v/>
      </c>
      <c r="K14" s="65"/>
      <c r="L14" s="53"/>
      <c r="M14" s="61" t="str">
        <f>IF($B14="","",IF(N($I14)+N($J14)&gt;0,"Blocked - see the counts",IF($L14="No go - reschedule","No go",IF(AND($L14="Go",$F14&lt;&gt;"",Setup!$D$19&gt;$F14),"Complete",IF($L14="Go","Cleared to run",IF($L14="Go with conditions","Conditional",IF(AND($K14&lt;&gt;"",Setup!$D$19&gt;$K14),"Decision overdue","Awaiting decision")))))))</f>
        <v/>
      </c>
      <c r="N14" s="53"/>
    </row>
    <row r="15" spans="2:14" ht="46.5" customHeight="1">
      <c r="B15" s="66"/>
      <c r="C15" s="50"/>
      <c r="D15" s="50"/>
      <c r="E15" s="60"/>
      <c r="F15" s="60"/>
      <c r="G15" s="51" t="str">
        <f>IF($B15="","",COUNTIF('Inventory &amp; Applications'!$I$7:$I$38,$B15))</f>
        <v/>
      </c>
      <c r="H15" s="51" t="str">
        <f>IF($B15="","",COUNTIFS('Inventory &amp; Applications'!$I$7:$I$38,$B15,'Inventory &amp; Applications'!$F$7:$F$38,"1 - Critical"))</f>
        <v/>
      </c>
      <c r="I15" s="51" t="str">
        <f>IF($B15="","",COUNTIFS(Dependencies!$I$7:$I$36,$B15,Dependencies!$K$7:$K$36,"MOVES BEFORE WHAT IT NEEDS"))</f>
        <v/>
      </c>
      <c r="J15" s="51" t="str">
        <f>IF($B15="","",COUNTIFS(Dependencies!$I$7:$I$36,$B15,Dependencies!$K$7:$K$36,"NOT VERIFIED"))</f>
        <v/>
      </c>
      <c r="K15" s="60"/>
      <c r="L15" s="50"/>
      <c r="M15" s="61" t="str">
        <f>IF($B15="","",IF(N($I15)+N($J15)&gt;0,"Blocked - see the counts",IF($L15="No go - reschedule","No go",IF(AND($L15="Go",$F15&lt;&gt;"",Setup!$D$19&gt;$F15),"Complete",IF($L15="Go","Cleared to run",IF($L15="Go with conditions","Conditional",IF(AND($K15&lt;&gt;"",Setup!$D$19&gt;$K15),"Decision overdue","Awaiting decision")))))))</f>
        <v/>
      </c>
      <c r="N15" s="50"/>
    </row>
    <row r="16" spans="2:14" ht="46.5" customHeight="1">
      <c r="B16" s="67"/>
      <c r="C16" s="53"/>
      <c r="D16" s="53"/>
      <c r="E16" s="65"/>
      <c r="F16" s="65"/>
      <c r="G16" s="51" t="str">
        <f>IF($B16="","",COUNTIF('Inventory &amp; Applications'!$I$7:$I$38,$B16))</f>
        <v/>
      </c>
      <c r="H16" s="51" t="str">
        <f>IF($B16="","",COUNTIFS('Inventory &amp; Applications'!$I$7:$I$38,$B16,'Inventory &amp; Applications'!$F$7:$F$38,"1 - Critical"))</f>
        <v/>
      </c>
      <c r="I16" s="51" t="str">
        <f>IF($B16="","",COUNTIFS(Dependencies!$I$7:$I$36,$B16,Dependencies!$K$7:$K$36,"MOVES BEFORE WHAT IT NEEDS"))</f>
        <v/>
      </c>
      <c r="J16" s="51" t="str">
        <f>IF($B16="","",COUNTIFS(Dependencies!$I$7:$I$36,$B16,Dependencies!$K$7:$K$36,"NOT VERIFIED"))</f>
        <v/>
      </c>
      <c r="K16" s="65"/>
      <c r="L16" s="53"/>
      <c r="M16" s="61" t="str">
        <f>IF($B16="","",IF(N($I16)+N($J16)&gt;0,"Blocked - see the counts",IF($L16="No go - reschedule","No go",IF(AND($L16="Go",$F16&lt;&gt;"",Setup!$D$19&gt;$F16),"Complete",IF($L16="Go","Cleared to run",IF($L16="Go with conditions","Conditional",IF(AND($K16&lt;&gt;"",Setup!$D$19&gt;$K16),"Decision overdue","Awaiting decision")))))))</f>
        <v/>
      </c>
      <c r="N16" s="53"/>
    </row>
    <row r="17" spans="2:14" ht="46.5" customHeight="1">
      <c r="B17" s="66"/>
      <c r="C17" s="50"/>
      <c r="D17" s="50"/>
      <c r="E17" s="60"/>
      <c r="F17" s="60"/>
      <c r="G17" s="51" t="str">
        <f>IF($B17="","",COUNTIF('Inventory &amp; Applications'!$I$7:$I$38,$B17))</f>
        <v/>
      </c>
      <c r="H17" s="51" t="str">
        <f>IF($B17="","",COUNTIFS('Inventory &amp; Applications'!$I$7:$I$38,$B17,'Inventory &amp; Applications'!$F$7:$F$38,"1 - Critical"))</f>
        <v/>
      </c>
      <c r="I17" s="51" t="str">
        <f>IF($B17="","",COUNTIFS(Dependencies!$I$7:$I$36,$B17,Dependencies!$K$7:$K$36,"MOVES BEFORE WHAT IT NEEDS"))</f>
        <v/>
      </c>
      <c r="J17" s="51" t="str">
        <f>IF($B17="","",COUNTIFS(Dependencies!$I$7:$I$36,$B17,Dependencies!$K$7:$K$36,"NOT VERIFIED"))</f>
        <v/>
      </c>
      <c r="K17" s="60"/>
      <c r="L17" s="50"/>
      <c r="M17" s="61" t="str">
        <f>IF($B17="","",IF(N($I17)+N($J17)&gt;0,"Blocked - see the counts",IF($L17="No go - reschedule","No go",IF(AND($L17="Go",$F17&lt;&gt;"",Setup!$D$19&gt;$F17),"Complete",IF($L17="Go","Cleared to run",IF($L17="Go with conditions","Conditional",IF(AND($K17&lt;&gt;"",Setup!$D$19&gt;$K17),"Decision overdue","Awaiting decision")))))))</f>
        <v/>
      </c>
      <c r="N17" s="50"/>
    </row>
    <row r="18" spans="2:14" ht="46.5" customHeight="1">
      <c r="B18" s="67"/>
      <c r="C18" s="53"/>
      <c r="D18" s="53"/>
      <c r="E18" s="65"/>
      <c r="F18" s="65"/>
      <c r="G18" s="51" t="str">
        <f>IF($B18="","",COUNTIF('Inventory &amp; Applications'!$I$7:$I$38,$B18))</f>
        <v/>
      </c>
      <c r="H18" s="51" t="str">
        <f>IF($B18="","",COUNTIFS('Inventory &amp; Applications'!$I$7:$I$38,$B18,'Inventory &amp; Applications'!$F$7:$F$38,"1 - Critical"))</f>
        <v/>
      </c>
      <c r="I18" s="51" t="str">
        <f>IF($B18="","",COUNTIFS(Dependencies!$I$7:$I$36,$B18,Dependencies!$K$7:$K$36,"MOVES BEFORE WHAT IT NEEDS"))</f>
        <v/>
      </c>
      <c r="J18" s="51" t="str">
        <f>IF($B18="","",COUNTIFS(Dependencies!$I$7:$I$36,$B18,Dependencies!$K$7:$K$36,"NOT VERIFIED"))</f>
        <v/>
      </c>
      <c r="K18" s="65"/>
      <c r="L18" s="53"/>
      <c r="M18" s="61" t="str">
        <f>IF($B18="","",IF(N($I18)+N($J18)&gt;0,"Blocked - see the counts",IF($L18="No go - reschedule","No go",IF(AND($L18="Go",$F18&lt;&gt;"",Setup!$D$19&gt;$F18),"Complete",IF($L18="Go","Cleared to run",IF($L18="Go with conditions","Conditional",IF(AND($K18&lt;&gt;"",Setup!$D$19&gt;$K18),"Decision overdue","Awaiting decision")))))))</f>
        <v/>
      </c>
      <c r="N18" s="53"/>
    </row>
    <row r="20" spans="2:14" ht="15" customHeight="1">
      <c r="B20" s="89" t="s">
        <v>329</v>
      </c>
      <c r="C20" s="89"/>
      <c r="D20" s="89"/>
      <c r="E20" s="89"/>
      <c r="F20" s="89"/>
      <c r="G20" s="89"/>
      <c r="H20" s="89"/>
      <c r="I20" s="89"/>
      <c r="J20" s="89"/>
      <c r="K20" s="89"/>
    </row>
    <row r="21" spans="2:14" ht="15" customHeight="1">
      <c r="B21" s="89"/>
      <c r="C21" s="89"/>
      <c r="D21" s="89"/>
      <c r="E21" s="89"/>
      <c r="F21" s="89"/>
      <c r="G21" s="89"/>
      <c r="H21" s="89"/>
      <c r="I21" s="89"/>
      <c r="J21" s="89"/>
      <c r="K21" s="89"/>
    </row>
    <row r="22" spans="2:14" ht="18" customHeight="1">
      <c r="B22" s="92" t="s">
        <v>141</v>
      </c>
      <c r="C22" s="92"/>
      <c r="D22" s="92"/>
      <c r="E22" s="92"/>
      <c r="F22" s="92"/>
      <c r="G22" s="92"/>
      <c r="H22" s="92"/>
      <c r="I22" s="92"/>
      <c r="J22" s="92"/>
      <c r="K22" s="92"/>
      <c r="L22" s="92"/>
      <c r="M22" s="92"/>
      <c r="N22" s="92"/>
    </row>
  </sheetData>
  <mergeCells count="6">
    <mergeCell ref="B22:N22"/>
    <mergeCell ref="B1:N1"/>
    <mergeCell ref="B2:N2"/>
    <mergeCell ref="B3:N3"/>
    <mergeCell ref="B4:N4"/>
    <mergeCell ref="B20:K21"/>
  </mergeCells>
  <conditionalFormatting sqref="B3:N3">
    <cfRule type="expression" dxfId="29" priority="2">
      <formula>LEN($B$3)&gt;0</formula>
    </cfRule>
  </conditionalFormatting>
  <conditionalFormatting sqref="B7:N18">
    <cfRule type="expression" dxfId="28" priority="3">
      <formula>$M7="Blocked - see the counts"</formula>
    </cfRule>
    <cfRule type="expression" dxfId="27" priority="4">
      <formula>AND($M7&lt;&gt;"Blocked - see the counts",$M7="No go")</formula>
    </cfRule>
    <cfRule type="expression" dxfId="26" priority="5">
      <formula>AND($M7&lt;&gt;"Blocked - see the counts",$M7="Complete")</formula>
    </cfRule>
    <cfRule type="expression" dxfId="25" priority="6">
      <formula>AND($M7&lt;&gt;"Blocked - see the counts",$M7="Decision overdue")</formula>
    </cfRule>
    <cfRule type="expression" dxfId="24" priority="7">
      <formula>AND($M7&lt;&gt;"Blocked - see the counts",$M7="Conditional")</formula>
    </cfRule>
  </conditionalFormatting>
  <conditionalFormatting sqref="G7:G18">
    <cfRule type="dataBar" priority="10">
      <dataBar>
        <cfvo type="num" val="0"/>
        <cfvo type="max"/>
        <color rgb="FF64B6F7"/>
      </dataBar>
      <extLst>
        <ext xmlns:x14="http://schemas.microsoft.com/office/spreadsheetml/2009/9/main" uri="{B025F937-C7B1-47D3-B67F-A62EFF666E3E}">
          <x14:id>{25ADEA30-D7AC-44C0-BF39-B6199EE19089}</x14:id>
        </ext>
      </extLst>
    </cfRule>
  </conditionalFormatting>
  <conditionalFormatting sqref="I7:I18">
    <cfRule type="expression" dxfId="21" priority="11">
      <formula>$I7&gt;0</formula>
    </cfRule>
  </conditionalFormatting>
  <conditionalFormatting sqref="J7:J18">
    <cfRule type="expression" dxfId="20" priority="12">
      <formula>$J7&gt;0</formula>
    </cfRule>
  </conditionalFormatting>
  <hyperlinks>
    <hyperlink ref="B22" r:id="rId1" xr:uid="{00000000-0004-0000-0500-000000000000}"/>
  </hyperlinks>
  <pageMargins left="0.3" right="0.3" top="0.5" bottom="0.5" header="0.511811023622047" footer="0.511811023622047"/>
  <pageSetup paperSize="8" fitToHeight="0" orientation="landscape" horizontalDpi="300" verticalDpi="300"/>
  <drawing r:id="rId2"/>
  <extLst>
    <ext xmlns:x14="http://schemas.microsoft.com/office/spreadsheetml/2009/9/main" uri="{78C0D931-6437-407d-A8EE-F0AAD7539E65}">
      <x14:conditionalFormattings>
        <x14:conditionalFormatting xmlns:xm="http://schemas.microsoft.com/office/excel/2006/main">
          <x14:cfRule type="expression" priority="8" id="{00000000-000E-0000-0500-000008000000}">
            <xm:f>AND($B7&lt;&gt;"",$G7&gt;Setup!$D$26)</xm:f>
            <x14:dxf>
              <font>
                <b/>
                <sz val="9"/>
                <color rgb="FFFFB547"/>
                <name val="Inter"/>
                <charset val="1"/>
              </font>
              <fill>
                <patternFill>
                  <bgColor rgb="FFFFF4E0"/>
                </patternFill>
              </fill>
            </x14:dxf>
          </x14:cfRule>
          <x14:cfRule type="expression" priority="9" id="{00000000-000E-0000-0500-000009000000}">
            <xm:f>AND($B7&lt;&gt;"",N($B7)&lt;=Setup!$D$28,$G7&gt;Setup!$D$27)</xm:f>
            <x14:dxf>
              <font>
                <b/>
                <sz val="9"/>
                <color rgb="FFFFB547"/>
                <name val="Inter"/>
                <charset val="1"/>
              </font>
              <fill>
                <patternFill>
                  <bgColor rgb="FFFFF4E0"/>
                </patternFill>
              </fill>
            </x14:dxf>
          </x14:cfRule>
          <x14:cfRule type="dataBar" id="{25ADEA30-D7AC-44C0-BF39-B6199EE19089}">
            <x14:dataBar axisPosition="none">
              <x14:cfvo type="num">
                <xm:f>0</xm:f>
              </x14:cfvo>
              <x14:cfvo type="max"/>
              <x14:negativeFillColor rgb="FF64B6F7"/>
            </x14:dataBar>
          </x14:cfRule>
          <xm:sqref>G7:G18</xm:sqref>
        </x14:conditionalFormatting>
      </x14:conditionalFormattings>
    </ext>
    <ext xmlns:x14="http://schemas.microsoft.com/office/spreadsheetml/2009/9/main" uri="{CCE6A557-97BC-4b89-ADB6-D9C93CAAB3DF}">
      <x14:dataValidations xmlns:xm="http://schemas.microsoft.com/office/excel/2006/main" count="2">
        <x14:dataValidation type="list" allowBlank="1" xr:uid="{00000000-0002-0000-0500-000000000000}">
          <x14:formula1>
            <xm:f>Reference!$H$83:$H$94</xm:f>
          </x14:formula1>
          <x14:formula2>
            <xm:f>0</xm:f>
          </x14:formula2>
          <xm:sqref>B7:B18</xm:sqref>
        </x14:dataValidation>
        <x14:dataValidation type="list" allowBlank="1" xr:uid="{00000000-0002-0000-0500-000001000000}">
          <x14:formula1>
            <xm:f>Reference!$G$97:$G$100</xm:f>
          </x14:formula1>
          <x14:formula2>
            <xm:f>0</xm:f>
          </x14:formula2>
          <xm:sqref>L7:L18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C6917"/>
    <pageSetUpPr fitToPage="1"/>
  </sheetPr>
  <dimension ref="B1:N38"/>
  <sheetViews>
    <sheetView showGridLines="0" topLeftCell="A18" zoomScaleNormal="100" workbookViewId="0"/>
  </sheetViews>
  <sheetFormatPr defaultColWidth="8.7109375" defaultRowHeight="15"/>
  <cols>
    <col min="1" max="1" width="2.140625" customWidth="1"/>
    <col min="2" max="2" width="8" customWidth="1"/>
    <col min="3" max="3" width="34" customWidth="1"/>
    <col min="4" max="4" width="15" customWidth="1"/>
    <col min="5" max="5" width="13" customWidth="1"/>
    <col min="6" max="6" width="10" customWidth="1"/>
    <col min="7" max="7" width="13" customWidth="1"/>
    <col min="8" max="9" width="12" customWidth="1"/>
    <col min="10" max="10" width="30" customWidth="1"/>
    <col min="11" max="12" width="10" customWidth="1"/>
    <col min="13" max="13" width="14" customWidth="1"/>
    <col min="14" max="14" width="30" customWidth="1"/>
    <col min="15" max="15" width="2.140625" customWidth="1"/>
  </cols>
  <sheetData>
    <row r="1" spans="2:14" ht="33.75" customHeight="1">
      <c r="B1" s="86" t="s">
        <v>330</v>
      </c>
      <c r="C1" s="86"/>
      <c r="D1" s="86"/>
      <c r="E1" s="86"/>
      <c r="F1" s="86"/>
      <c r="G1" s="86"/>
      <c r="H1" s="86"/>
      <c r="I1" s="86"/>
      <c r="J1" s="86"/>
      <c r="K1" s="86"/>
      <c r="L1" s="86"/>
      <c r="M1" s="86"/>
      <c r="N1" s="86"/>
    </row>
    <row r="2" spans="2:14" ht="4.5" customHeight="1">
      <c r="B2" s="118"/>
      <c r="C2" s="118"/>
      <c r="D2" s="118"/>
      <c r="E2" s="118"/>
      <c r="F2" s="118"/>
      <c r="G2" s="118"/>
      <c r="H2" s="118"/>
      <c r="I2" s="118"/>
      <c r="J2" s="118"/>
      <c r="K2" s="118"/>
      <c r="L2" s="118"/>
      <c r="M2" s="118"/>
      <c r="N2" s="118"/>
    </row>
    <row r="3" spans="2:14" ht="16.5" customHeight="1">
      <c r="B3" s="88" t="str">
        <f>IF(LEFT(Setup!$D$7,7)&lt;&gt;"EXAMPLE","","EXAMPLE DATA - type your own project name on Setup to clear this.")</f>
        <v>EXAMPLE DATA - type your own project name on Setup to clear this.</v>
      </c>
      <c r="C3" s="88"/>
      <c r="D3" s="88"/>
      <c r="E3" s="88"/>
      <c r="F3" s="88"/>
      <c r="G3" s="88"/>
      <c r="H3" s="88"/>
      <c r="I3" s="88"/>
      <c r="J3" s="88"/>
      <c r="K3" s="88"/>
      <c r="L3" s="88"/>
      <c r="M3" s="88"/>
      <c r="N3" s="88"/>
    </row>
    <row r="4" spans="2:14" ht="25.5" customHeight="1">
      <c r="B4" s="89" t="s">
        <v>331</v>
      </c>
      <c r="C4" s="89"/>
      <c r="D4" s="89"/>
      <c r="E4" s="89"/>
      <c r="F4" s="89"/>
      <c r="G4" s="89"/>
      <c r="H4" s="89"/>
      <c r="I4" s="89"/>
      <c r="J4" s="89"/>
      <c r="K4" s="89"/>
      <c r="L4" s="89"/>
      <c r="M4" s="89"/>
      <c r="N4" s="89"/>
    </row>
    <row r="6" spans="2:14" ht="36" customHeight="1">
      <c r="B6" s="15" t="s">
        <v>332</v>
      </c>
      <c r="C6" s="15" t="s">
        <v>333</v>
      </c>
      <c r="D6" s="15" t="s">
        <v>98</v>
      </c>
      <c r="E6" s="55" t="s">
        <v>334</v>
      </c>
      <c r="F6" s="15" t="s">
        <v>335</v>
      </c>
      <c r="G6" s="55" t="s">
        <v>336</v>
      </c>
      <c r="H6" s="15" t="s">
        <v>337</v>
      </c>
      <c r="I6" s="15" t="s">
        <v>338</v>
      </c>
      <c r="J6" s="15" t="s">
        <v>339</v>
      </c>
      <c r="K6" s="15" t="s">
        <v>340</v>
      </c>
      <c r="L6" s="55" t="s">
        <v>341</v>
      </c>
      <c r="M6" s="55" t="s">
        <v>163</v>
      </c>
      <c r="N6" s="15" t="s">
        <v>196</v>
      </c>
    </row>
    <row r="7" spans="2:14" ht="46.5" customHeight="1">
      <c r="B7" s="66">
        <v>10</v>
      </c>
      <c r="C7" s="50" t="s">
        <v>342</v>
      </c>
      <c r="D7" s="50" t="s">
        <v>343</v>
      </c>
      <c r="E7" s="68">
        <f ca="1">IF($C7="","",Setup!$D$18)</f>
        <v>46289.916666666664</v>
      </c>
      <c r="F7" s="58">
        <v>15</v>
      </c>
      <c r="G7" s="68">
        <f t="shared" ref="G7:G26" ca="1" si="0">IF(OR($C7="",$E7="",$F7=""),"",$E7+$F7/1440)</f>
        <v>46289.927083333328</v>
      </c>
      <c r="H7" s="69"/>
      <c r="I7" s="69"/>
      <c r="J7" s="50" t="s">
        <v>344</v>
      </c>
      <c r="K7" s="57" t="s">
        <v>345</v>
      </c>
      <c r="L7" s="70" t="str">
        <f t="shared" ref="L7:L26" si="1">IF(OR($C7="",$H7="",$I7="",$F7=""),"",ROUND(($I7-$H7)*1440,0)-$F7)</f>
        <v/>
      </c>
      <c r="M7" s="61" t="str">
        <f t="shared" ref="M7:M26" si="2">IF($C7="","",IF($I7&lt;&gt;"","Done",IF($H7&lt;&gt;"","In progress",IF($F7="","No duration set",IF($J7="","No success criterion","Ready")))))</f>
        <v>Ready</v>
      </c>
      <c r="N7" s="50"/>
    </row>
    <row r="8" spans="2:14" ht="46.5" customHeight="1">
      <c r="B8" s="67">
        <v>20</v>
      </c>
      <c r="C8" s="53" t="s">
        <v>346</v>
      </c>
      <c r="D8" s="53" t="s">
        <v>98</v>
      </c>
      <c r="E8" s="68">
        <f ca="1">IF($C8="","",IF($G7="",Setup!$D$18,$G7))</f>
        <v>46289.927083333328</v>
      </c>
      <c r="F8" s="63">
        <v>30</v>
      </c>
      <c r="G8" s="68">
        <f t="shared" ca="1" si="0"/>
        <v>46289.947916666664</v>
      </c>
      <c r="H8" s="71"/>
      <c r="I8" s="71"/>
      <c r="J8" s="53" t="s">
        <v>347</v>
      </c>
      <c r="K8" s="62" t="s">
        <v>345</v>
      </c>
      <c r="L8" s="70" t="str">
        <f t="shared" si="1"/>
        <v/>
      </c>
      <c r="M8" s="61" t="str">
        <f t="shared" si="2"/>
        <v>Ready</v>
      </c>
      <c r="N8" s="53"/>
    </row>
    <row r="9" spans="2:14" ht="46.5" customHeight="1">
      <c r="B9" s="66">
        <v>30</v>
      </c>
      <c r="C9" s="50" t="s">
        <v>348</v>
      </c>
      <c r="D9" s="50" t="s">
        <v>349</v>
      </c>
      <c r="E9" s="68">
        <f ca="1">IF($C9="","",IF($G8="",Setup!$D$18,$G8))</f>
        <v>46289.947916666664</v>
      </c>
      <c r="F9" s="58">
        <v>15</v>
      </c>
      <c r="G9" s="68">
        <f t="shared" ca="1" si="0"/>
        <v>46289.958333333328</v>
      </c>
      <c r="H9" s="69"/>
      <c r="I9" s="69"/>
      <c r="J9" s="50" t="s">
        <v>350</v>
      </c>
      <c r="K9" s="57" t="s">
        <v>345</v>
      </c>
      <c r="L9" s="70" t="str">
        <f t="shared" si="1"/>
        <v/>
      </c>
      <c r="M9" s="61" t="str">
        <f t="shared" si="2"/>
        <v>Ready</v>
      </c>
      <c r="N9" s="50"/>
    </row>
    <row r="10" spans="2:14" ht="46.5" customHeight="1">
      <c r="B10" s="67">
        <v>40</v>
      </c>
      <c r="C10" s="53" t="s">
        <v>351</v>
      </c>
      <c r="D10" s="53" t="s">
        <v>352</v>
      </c>
      <c r="E10" s="68">
        <f ca="1">IF($C10="","",IF($G9="",Setup!$D$18,$G9))</f>
        <v>46289.958333333328</v>
      </c>
      <c r="F10" s="63">
        <v>20</v>
      </c>
      <c r="G10" s="68">
        <f t="shared" ca="1" si="0"/>
        <v>46289.972222222219</v>
      </c>
      <c r="H10" s="71"/>
      <c r="I10" s="71"/>
      <c r="J10" s="53" t="s">
        <v>353</v>
      </c>
      <c r="K10" s="62" t="s">
        <v>345</v>
      </c>
      <c r="L10" s="70" t="str">
        <f t="shared" si="1"/>
        <v/>
      </c>
      <c r="M10" s="61" t="str">
        <f t="shared" si="2"/>
        <v>Ready</v>
      </c>
      <c r="N10" s="53"/>
    </row>
    <row r="11" spans="2:14" ht="46.5" customHeight="1">
      <c r="B11" s="66">
        <v>50</v>
      </c>
      <c r="C11" s="50" t="s">
        <v>354</v>
      </c>
      <c r="D11" s="50" t="s">
        <v>349</v>
      </c>
      <c r="E11" s="68">
        <f ca="1">IF($C11="","",IF($G10="",Setup!$D$18,$G10))</f>
        <v>46289.972222222219</v>
      </c>
      <c r="F11" s="58">
        <v>90</v>
      </c>
      <c r="G11" s="68">
        <f t="shared" ca="1" si="0"/>
        <v>46290.034722222219</v>
      </c>
      <c r="H11" s="69"/>
      <c r="I11" s="69"/>
      <c r="J11" s="50" t="s">
        <v>355</v>
      </c>
      <c r="K11" s="57" t="s">
        <v>345</v>
      </c>
      <c r="L11" s="70" t="str">
        <f t="shared" si="1"/>
        <v/>
      </c>
      <c r="M11" s="61" t="str">
        <f t="shared" si="2"/>
        <v>Ready</v>
      </c>
      <c r="N11" s="50" t="s">
        <v>356</v>
      </c>
    </row>
    <row r="12" spans="2:14" ht="46.5" customHeight="1">
      <c r="B12" s="67">
        <v>60</v>
      </c>
      <c r="C12" s="53" t="s">
        <v>357</v>
      </c>
      <c r="D12" s="53" t="s">
        <v>349</v>
      </c>
      <c r="E12" s="68">
        <f ca="1">IF($C12="","",IF($G11="",Setup!$D$18,$G11))</f>
        <v>46290.034722222219</v>
      </c>
      <c r="F12" s="63">
        <v>60</v>
      </c>
      <c r="G12" s="68">
        <f t="shared" ca="1" si="0"/>
        <v>46290.076388888883</v>
      </c>
      <c r="H12" s="71"/>
      <c r="I12" s="71"/>
      <c r="J12" s="53" t="s">
        <v>358</v>
      </c>
      <c r="K12" s="62" t="s">
        <v>345</v>
      </c>
      <c r="L12" s="70" t="str">
        <f t="shared" si="1"/>
        <v/>
      </c>
      <c r="M12" s="61" t="str">
        <f t="shared" si="2"/>
        <v>Ready</v>
      </c>
      <c r="N12" s="53"/>
    </row>
    <row r="13" spans="2:14" ht="46.5" customHeight="1">
      <c r="B13" s="66">
        <v>70</v>
      </c>
      <c r="C13" s="50" t="s">
        <v>359</v>
      </c>
      <c r="D13" s="50" t="s">
        <v>349</v>
      </c>
      <c r="E13" s="68">
        <f ca="1">IF($C13="","",IF($G12="",Setup!$D$18,$G12))</f>
        <v>46290.076388888883</v>
      </c>
      <c r="F13" s="58">
        <v>10</v>
      </c>
      <c r="G13" s="68">
        <f t="shared" ca="1" si="0"/>
        <v>46290.083333333328</v>
      </c>
      <c r="H13" s="69"/>
      <c r="I13" s="69"/>
      <c r="J13" s="50" t="s">
        <v>360</v>
      </c>
      <c r="K13" s="57" t="s">
        <v>361</v>
      </c>
      <c r="L13" s="70" t="str">
        <f t="shared" si="1"/>
        <v/>
      </c>
      <c r="M13" s="61" t="str">
        <f t="shared" si="2"/>
        <v>Ready</v>
      </c>
      <c r="N13" s="50" t="s">
        <v>362</v>
      </c>
    </row>
    <row r="14" spans="2:14" ht="46.5" customHeight="1">
      <c r="B14" s="67">
        <v>80</v>
      </c>
      <c r="C14" s="53" t="s">
        <v>363</v>
      </c>
      <c r="D14" s="53" t="s">
        <v>364</v>
      </c>
      <c r="E14" s="68">
        <f ca="1">IF($C14="","",IF($G13="",Setup!$D$18,$G13))</f>
        <v>46290.083333333328</v>
      </c>
      <c r="F14" s="63">
        <v>20</v>
      </c>
      <c r="G14" s="68">
        <f t="shared" ca="1" si="0"/>
        <v>46290.097222222219</v>
      </c>
      <c r="H14" s="71"/>
      <c r="I14" s="71"/>
      <c r="J14" s="53" t="s">
        <v>365</v>
      </c>
      <c r="K14" s="62" t="s">
        <v>345</v>
      </c>
      <c r="L14" s="70" t="str">
        <f t="shared" si="1"/>
        <v/>
      </c>
      <c r="M14" s="61" t="str">
        <f t="shared" si="2"/>
        <v>Ready</v>
      </c>
      <c r="N14" s="53"/>
    </row>
    <row r="15" spans="2:14" ht="46.5" customHeight="1">
      <c r="B15" s="66">
        <v>90</v>
      </c>
      <c r="C15" s="50" t="s">
        <v>366</v>
      </c>
      <c r="D15" s="50" t="s">
        <v>352</v>
      </c>
      <c r="E15" s="68">
        <f ca="1">IF($C15="","",IF($G14="",Setup!$D$18,$G14))</f>
        <v>46290.097222222219</v>
      </c>
      <c r="F15" s="58">
        <v>30</v>
      </c>
      <c r="G15" s="68">
        <f t="shared" ca="1" si="0"/>
        <v>46290.118055555555</v>
      </c>
      <c r="H15" s="69"/>
      <c r="I15" s="69"/>
      <c r="J15" s="50" t="s">
        <v>367</v>
      </c>
      <c r="K15" s="57" t="s">
        <v>345</v>
      </c>
      <c r="L15" s="70" t="str">
        <f t="shared" si="1"/>
        <v/>
      </c>
      <c r="M15" s="61" t="str">
        <f t="shared" si="2"/>
        <v>Ready</v>
      </c>
      <c r="N15" s="50"/>
    </row>
    <row r="16" spans="2:14" ht="46.5" customHeight="1">
      <c r="B16" s="67">
        <v>100</v>
      </c>
      <c r="C16" s="53" t="s">
        <v>368</v>
      </c>
      <c r="D16" s="53" t="s">
        <v>349</v>
      </c>
      <c r="E16" s="68">
        <f ca="1">IF($C16="","",IF($G15="",Setup!$D$18,$G15))</f>
        <v>46290.118055555555</v>
      </c>
      <c r="F16" s="63">
        <v>45</v>
      </c>
      <c r="G16" s="68">
        <f t="shared" ca="1" si="0"/>
        <v>46290.149305555555</v>
      </c>
      <c r="H16" s="71"/>
      <c r="I16" s="71"/>
      <c r="J16" s="53" t="s">
        <v>369</v>
      </c>
      <c r="K16" s="62" t="s">
        <v>345</v>
      </c>
      <c r="L16" s="70" t="str">
        <f t="shared" si="1"/>
        <v/>
      </c>
      <c r="M16" s="61" t="str">
        <f t="shared" si="2"/>
        <v>Ready</v>
      </c>
      <c r="N16" s="53"/>
    </row>
    <row r="17" spans="2:14" ht="46.5" customHeight="1">
      <c r="B17" s="66">
        <v>110</v>
      </c>
      <c r="C17" s="50" t="s">
        <v>370</v>
      </c>
      <c r="D17" s="50" t="s">
        <v>371</v>
      </c>
      <c r="E17" s="68">
        <f ca="1">IF($C17="","",IF($G16="",Setup!$D$18,$G16))</f>
        <v>46290.149305555555</v>
      </c>
      <c r="F17" s="58">
        <v>90</v>
      </c>
      <c r="G17" s="68">
        <f t="shared" ca="1" si="0"/>
        <v>46290.211805555555</v>
      </c>
      <c r="H17" s="69"/>
      <c r="I17" s="69"/>
      <c r="J17" s="50" t="s">
        <v>372</v>
      </c>
      <c r="K17" s="57" t="s">
        <v>345</v>
      </c>
      <c r="L17" s="70" t="str">
        <f t="shared" si="1"/>
        <v/>
      </c>
      <c r="M17" s="61" t="str">
        <f t="shared" si="2"/>
        <v>Ready</v>
      </c>
      <c r="N17" s="50" t="s">
        <v>373</v>
      </c>
    </row>
    <row r="18" spans="2:14" ht="46.5" customHeight="1">
      <c r="B18" s="67">
        <v>120</v>
      </c>
      <c r="C18" s="53" t="s">
        <v>374</v>
      </c>
      <c r="D18" s="53" t="s">
        <v>98</v>
      </c>
      <c r="E18" s="68">
        <f ca="1">IF($C18="","",IF($G17="",Setup!$D$18,$G17))</f>
        <v>46290.211805555555</v>
      </c>
      <c r="F18" s="63">
        <v>15</v>
      </c>
      <c r="G18" s="68">
        <f t="shared" ca="1" si="0"/>
        <v>46290.222222222219</v>
      </c>
      <c r="H18" s="71"/>
      <c r="I18" s="71"/>
      <c r="J18" s="53" t="s">
        <v>375</v>
      </c>
      <c r="K18" s="62" t="s">
        <v>345</v>
      </c>
      <c r="L18" s="70" t="str">
        <f t="shared" si="1"/>
        <v/>
      </c>
      <c r="M18" s="61" t="str">
        <f t="shared" si="2"/>
        <v>Ready</v>
      </c>
      <c r="N18" s="53"/>
    </row>
    <row r="19" spans="2:14" ht="46.5" customHeight="1">
      <c r="B19" s="66">
        <v>130</v>
      </c>
      <c r="C19" s="50" t="s">
        <v>376</v>
      </c>
      <c r="D19" s="50" t="s">
        <v>343</v>
      </c>
      <c r="E19" s="68">
        <f ca="1">IF($C19="","",IF($G18="",Setup!$D$18,$G18))</f>
        <v>46290.222222222219</v>
      </c>
      <c r="F19" s="58">
        <v>30</v>
      </c>
      <c r="G19" s="68">
        <f t="shared" ca="1" si="0"/>
        <v>46290.243055555555</v>
      </c>
      <c r="H19" s="69"/>
      <c r="I19" s="69"/>
      <c r="J19" s="50"/>
      <c r="K19" s="57" t="s">
        <v>345</v>
      </c>
      <c r="L19" s="70" t="str">
        <f t="shared" si="1"/>
        <v/>
      </c>
      <c r="M19" s="61" t="str">
        <f t="shared" si="2"/>
        <v>No success criterion</v>
      </c>
      <c r="N19" s="50" t="s">
        <v>377</v>
      </c>
    </row>
    <row r="20" spans="2:14" ht="46.5" customHeight="1">
      <c r="B20" s="67">
        <v>140</v>
      </c>
      <c r="C20" s="53" t="s">
        <v>378</v>
      </c>
      <c r="D20" s="53" t="s">
        <v>349</v>
      </c>
      <c r="E20" s="68">
        <f ca="1">IF($C20="","",IF($G19="",Setup!$D$18,$G19))</f>
        <v>46290.243055555555</v>
      </c>
      <c r="F20" s="63">
        <v>15</v>
      </c>
      <c r="G20" s="68">
        <f t="shared" ca="1" si="0"/>
        <v>46290.253472222219</v>
      </c>
      <c r="H20" s="71"/>
      <c r="I20" s="71"/>
      <c r="J20" s="53" t="s">
        <v>379</v>
      </c>
      <c r="K20" s="62" t="s">
        <v>345</v>
      </c>
      <c r="L20" s="70" t="str">
        <f t="shared" si="1"/>
        <v/>
      </c>
      <c r="M20" s="61" t="str">
        <f t="shared" si="2"/>
        <v>Ready</v>
      </c>
      <c r="N20" s="53" t="s">
        <v>380</v>
      </c>
    </row>
    <row r="21" spans="2:14" ht="46.5" customHeight="1">
      <c r="B21" s="66"/>
      <c r="C21" s="50"/>
      <c r="D21" s="50"/>
      <c r="E21" s="68" t="str">
        <f>IF($C21="","",IF($G20="",Setup!$D$18,$G20))</f>
        <v/>
      </c>
      <c r="F21" s="58"/>
      <c r="G21" s="68" t="str">
        <f t="shared" si="0"/>
        <v/>
      </c>
      <c r="H21" s="69"/>
      <c r="I21" s="69"/>
      <c r="J21" s="50"/>
      <c r="K21" s="57"/>
      <c r="L21" s="70" t="str">
        <f t="shared" si="1"/>
        <v/>
      </c>
      <c r="M21" s="61" t="str">
        <f t="shared" si="2"/>
        <v/>
      </c>
      <c r="N21" s="50"/>
    </row>
    <row r="22" spans="2:14" ht="46.5" customHeight="1">
      <c r="B22" s="67"/>
      <c r="C22" s="53"/>
      <c r="D22" s="53"/>
      <c r="E22" s="68" t="str">
        <f>IF($C22="","",IF($G21="",Setup!$D$18,$G21))</f>
        <v/>
      </c>
      <c r="F22" s="63"/>
      <c r="G22" s="68" t="str">
        <f t="shared" si="0"/>
        <v/>
      </c>
      <c r="H22" s="71"/>
      <c r="I22" s="71"/>
      <c r="J22" s="53"/>
      <c r="K22" s="62"/>
      <c r="L22" s="70" t="str">
        <f t="shared" si="1"/>
        <v/>
      </c>
      <c r="M22" s="61" t="str">
        <f t="shared" si="2"/>
        <v/>
      </c>
      <c r="N22" s="53"/>
    </row>
    <row r="23" spans="2:14" ht="46.5" customHeight="1">
      <c r="B23" s="66"/>
      <c r="C23" s="50"/>
      <c r="D23" s="50"/>
      <c r="E23" s="68" t="str">
        <f>IF($C23="","",IF($G22="",Setup!$D$18,$G22))</f>
        <v/>
      </c>
      <c r="F23" s="58"/>
      <c r="G23" s="68" t="str">
        <f t="shared" si="0"/>
        <v/>
      </c>
      <c r="H23" s="69"/>
      <c r="I23" s="69"/>
      <c r="J23" s="50"/>
      <c r="K23" s="57"/>
      <c r="L23" s="70" t="str">
        <f t="shared" si="1"/>
        <v/>
      </c>
      <c r="M23" s="61" t="str">
        <f t="shared" si="2"/>
        <v/>
      </c>
      <c r="N23" s="50"/>
    </row>
    <row r="24" spans="2:14" ht="46.5" customHeight="1">
      <c r="B24" s="67"/>
      <c r="C24" s="53"/>
      <c r="D24" s="53"/>
      <c r="E24" s="68" t="str">
        <f>IF($C24="","",IF($G23="",Setup!$D$18,$G23))</f>
        <v/>
      </c>
      <c r="F24" s="63"/>
      <c r="G24" s="68" t="str">
        <f t="shared" si="0"/>
        <v/>
      </c>
      <c r="H24" s="71"/>
      <c r="I24" s="71"/>
      <c r="J24" s="53"/>
      <c r="K24" s="62"/>
      <c r="L24" s="70" t="str">
        <f t="shared" si="1"/>
        <v/>
      </c>
      <c r="M24" s="61" t="str">
        <f t="shared" si="2"/>
        <v/>
      </c>
      <c r="N24" s="53"/>
    </row>
    <row r="25" spans="2:14" ht="46.5" customHeight="1">
      <c r="B25" s="66"/>
      <c r="C25" s="50"/>
      <c r="D25" s="50"/>
      <c r="E25" s="68" t="str">
        <f>IF($C25="","",IF($G24="",Setup!$D$18,$G24))</f>
        <v/>
      </c>
      <c r="F25" s="58"/>
      <c r="G25" s="68" t="str">
        <f t="shared" si="0"/>
        <v/>
      </c>
      <c r="H25" s="69"/>
      <c r="I25" s="69"/>
      <c r="J25" s="50"/>
      <c r="K25" s="57"/>
      <c r="L25" s="70" t="str">
        <f t="shared" si="1"/>
        <v/>
      </c>
      <c r="M25" s="61" t="str">
        <f t="shared" si="2"/>
        <v/>
      </c>
      <c r="N25" s="50"/>
    </row>
    <row r="26" spans="2:14" ht="46.5" customHeight="1">
      <c r="B26" s="67"/>
      <c r="C26" s="53"/>
      <c r="D26" s="53"/>
      <c r="E26" s="68" t="str">
        <f>IF($C26="","",IF($G25="",Setup!$D$18,$G25))</f>
        <v/>
      </c>
      <c r="F26" s="63"/>
      <c r="G26" s="68" t="str">
        <f t="shared" si="0"/>
        <v/>
      </c>
      <c r="H26" s="71"/>
      <c r="I26" s="71"/>
      <c r="J26" s="53"/>
      <c r="K26" s="62"/>
      <c r="L26" s="70" t="str">
        <f t="shared" si="1"/>
        <v/>
      </c>
      <c r="M26" s="61" t="str">
        <f t="shared" si="2"/>
        <v/>
      </c>
      <c r="N26" s="53"/>
    </row>
    <row r="36" spans="2:14" ht="15" customHeight="1">
      <c r="B36" s="89" t="s">
        <v>381</v>
      </c>
      <c r="C36" s="89"/>
      <c r="D36" s="89"/>
      <c r="E36" s="89"/>
      <c r="F36" s="89"/>
      <c r="G36" s="89"/>
      <c r="H36" s="89"/>
      <c r="I36" s="89"/>
      <c r="J36" s="89"/>
      <c r="K36" s="89"/>
      <c r="L36" s="89"/>
    </row>
    <row r="37" spans="2:14" ht="15" customHeight="1">
      <c r="B37" s="89"/>
      <c r="C37" s="89"/>
      <c r="D37" s="89"/>
      <c r="E37" s="89"/>
      <c r="F37" s="89"/>
      <c r="G37" s="89"/>
      <c r="H37" s="89"/>
      <c r="I37" s="89"/>
      <c r="J37" s="89"/>
      <c r="K37" s="89"/>
      <c r="L37" s="89"/>
    </row>
    <row r="38" spans="2:14" ht="18" customHeight="1">
      <c r="B38" s="92" t="s">
        <v>141</v>
      </c>
      <c r="C38" s="92"/>
      <c r="D38" s="92"/>
      <c r="E38" s="92"/>
      <c r="F38" s="92"/>
      <c r="G38" s="92"/>
      <c r="H38" s="92"/>
      <c r="I38" s="92"/>
      <c r="J38" s="92"/>
      <c r="K38" s="92"/>
      <c r="L38" s="92"/>
      <c r="M38" s="92"/>
      <c r="N38" s="92"/>
    </row>
  </sheetData>
  <mergeCells count="6">
    <mergeCell ref="B38:N38"/>
    <mergeCell ref="B1:N1"/>
    <mergeCell ref="B2:N2"/>
    <mergeCell ref="B3:N3"/>
    <mergeCell ref="B4:N4"/>
    <mergeCell ref="B36:L37"/>
  </mergeCells>
  <conditionalFormatting sqref="B3:N3">
    <cfRule type="expression" dxfId="19" priority="2">
      <formula>LEN($B$3)&gt;0</formula>
    </cfRule>
  </conditionalFormatting>
  <conditionalFormatting sqref="B7:N34">
    <cfRule type="expression" dxfId="18" priority="3">
      <formula>$K7="Yes"</formula>
    </cfRule>
    <cfRule type="expression" dxfId="17" priority="4">
      <formula>AND($K7&lt;&gt;"Yes",$M7="Done")</formula>
    </cfRule>
    <cfRule type="expression" dxfId="16" priority="5">
      <formula>AND($K7&lt;&gt;"Yes",$M7="In progress")</formula>
    </cfRule>
    <cfRule type="expression" dxfId="15" priority="6">
      <formula>AND($K7&lt;&gt;"Yes",OR($M7="No duration set",$M7="No success criterion"))</formula>
    </cfRule>
  </conditionalFormatting>
  <conditionalFormatting sqref="L7:L34">
    <cfRule type="expression" dxfId="14" priority="7">
      <formula>AND($L7&lt;&gt;"",$L7&gt;0)</formula>
    </cfRule>
  </conditionalFormatting>
  <dataValidations count="1">
    <dataValidation showInputMessage="1" promptTitle="Success criterion" prompt="How you will know this step worked, in words somebody can check at three in the morning. One per step, not one per phase." sqref="J7:J26" xr:uid="{00000000-0002-0000-0600-000002000000}">
      <formula1>0</formula1>
      <formula2>0</formula2>
    </dataValidation>
  </dataValidations>
  <hyperlinks>
    <hyperlink ref="B38" r:id="rId1" xr:uid="{00000000-0004-0000-0600-000000000000}"/>
  </hyperlinks>
  <pageMargins left="0.3" right="0.3" top="0.5" bottom="0.5" header="0.511811023622047" footer="0.511811023622047"/>
  <pageSetup paperSize="8" fitToHeight="0" orientation="landscape" horizontalDpi="300" verticalDpi="300"/>
  <drawing r:id="rId2"/>
  <extLst>
    <ext xmlns:x14="http://schemas.microsoft.com/office/spreadsheetml/2009/9/main" uri="{CCE6A557-97BC-4b89-ADB6-D9C93CAAB3DF}">
      <x14:dataValidations xmlns:xm="http://schemas.microsoft.com/office/excel/2006/main" count="2">
        <x14:dataValidation type="list" allowBlank="1" xr:uid="{00000000-0002-0000-0600-000000000000}">
          <x14:formula1>
            <xm:f>Reference!$E$83:$E$93</xm:f>
          </x14:formula1>
          <x14:formula2>
            <xm:f>0</xm:f>
          </x14:formula2>
          <xm:sqref>D7:D26</xm:sqref>
        </x14:dataValidation>
        <x14:dataValidation type="list" allowBlank="1" xr:uid="{00000000-0002-0000-0600-000001000000}">
          <x14:formula1>
            <xm:f>Reference!$H$97:$H$98</xm:f>
          </x14:formula1>
          <x14:formula2>
            <xm:f>0</xm:f>
          </x14:formula2>
          <xm:sqref>K7:K26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CAF50"/>
    <pageSetUpPr fitToPage="1"/>
  </sheetPr>
  <dimension ref="B1:N40"/>
  <sheetViews>
    <sheetView showGridLines="0" zoomScaleNormal="100" workbookViewId="0">
      <pane xSplit="4" ySplit="6" topLeftCell="E10" activePane="bottomRight" state="frozen"/>
      <selection pane="topRight" activeCell="E1" sqref="E1"/>
      <selection pane="bottomLeft" activeCell="A7" sqref="A7"/>
      <selection pane="bottomRight"/>
    </sheetView>
  </sheetViews>
  <sheetFormatPr defaultColWidth="8.7109375" defaultRowHeight="15"/>
  <cols>
    <col min="1" max="1" width="2.140625" customWidth="1"/>
    <col min="2" max="2" width="7" customWidth="1"/>
    <col min="3" max="3" width="28" customWidth="1"/>
    <col min="4" max="4" width="15" customWidth="1"/>
    <col min="5" max="5" width="14" customWidth="1"/>
    <col min="6" max="6" width="15" customWidth="1"/>
    <col min="7" max="7" width="19" customWidth="1"/>
    <col min="8" max="9" width="12" customWidth="1"/>
    <col min="10" max="10" width="14" customWidth="1"/>
    <col min="11" max="11" width="15" customWidth="1"/>
    <col min="12" max="12" width="12" customWidth="1"/>
    <col min="13" max="13" width="16" customWidth="1"/>
    <col min="14" max="14" width="32" customWidth="1"/>
    <col min="15" max="15" width="2.140625" customWidth="1"/>
  </cols>
  <sheetData>
    <row r="1" spans="2:14" ht="33.75" customHeight="1">
      <c r="B1" s="86" t="s">
        <v>382</v>
      </c>
      <c r="C1" s="86"/>
      <c r="D1" s="86"/>
      <c r="E1" s="86"/>
      <c r="F1" s="86"/>
      <c r="G1" s="86"/>
      <c r="H1" s="86"/>
      <c r="I1" s="86"/>
      <c r="J1" s="86"/>
      <c r="K1" s="86"/>
      <c r="L1" s="86"/>
      <c r="M1" s="86"/>
      <c r="N1" s="86"/>
    </row>
    <row r="2" spans="2:14" ht="4.5" customHeight="1">
      <c r="B2" s="119"/>
      <c r="C2" s="119"/>
      <c r="D2" s="119"/>
      <c r="E2" s="119"/>
      <c r="F2" s="119"/>
      <c r="G2" s="119"/>
      <c r="H2" s="119"/>
      <c r="I2" s="119"/>
      <c r="J2" s="119"/>
      <c r="K2" s="119"/>
      <c r="L2" s="119"/>
      <c r="M2" s="119"/>
      <c r="N2" s="119"/>
    </row>
    <row r="3" spans="2:14" ht="16.5" customHeight="1">
      <c r="B3" s="88" t="str">
        <f>IF(LEFT(Setup!$D$7,7)&lt;&gt;"EXAMPLE","","EXAMPLE DATA - type your own project name on Setup to clear this.")</f>
        <v>EXAMPLE DATA - type your own project name on Setup to clear this.</v>
      </c>
      <c r="C3" s="88"/>
      <c r="D3" s="88"/>
      <c r="E3" s="88"/>
      <c r="F3" s="88"/>
      <c r="G3" s="88"/>
      <c r="H3" s="88"/>
      <c r="I3" s="88"/>
      <c r="J3" s="88"/>
      <c r="K3" s="88"/>
      <c r="L3" s="88"/>
      <c r="M3" s="88"/>
      <c r="N3" s="88"/>
    </row>
    <row r="4" spans="2:14" ht="25.5" customHeight="1">
      <c r="B4" s="89" t="s">
        <v>383</v>
      </c>
      <c r="C4" s="89"/>
      <c r="D4" s="89"/>
      <c r="E4" s="89"/>
      <c r="F4" s="89"/>
      <c r="G4" s="89"/>
      <c r="H4" s="89"/>
      <c r="I4" s="89"/>
      <c r="J4" s="89"/>
      <c r="K4" s="89"/>
      <c r="L4" s="89"/>
      <c r="M4" s="89"/>
      <c r="N4" s="89"/>
    </row>
    <row r="6" spans="2:14" ht="36" customHeight="1">
      <c r="B6" s="55" t="s">
        <v>186</v>
      </c>
      <c r="C6" s="15" t="s">
        <v>384</v>
      </c>
      <c r="D6" s="15" t="s">
        <v>385</v>
      </c>
      <c r="E6" s="15" t="s">
        <v>386</v>
      </c>
      <c r="F6" s="15" t="s">
        <v>387</v>
      </c>
      <c r="G6" s="15" t="s">
        <v>388</v>
      </c>
      <c r="H6" s="15" t="s">
        <v>389</v>
      </c>
      <c r="I6" s="15" t="s">
        <v>390</v>
      </c>
      <c r="J6" s="15" t="s">
        <v>391</v>
      </c>
      <c r="K6" s="15" t="s">
        <v>392</v>
      </c>
      <c r="L6" s="15" t="s">
        <v>393</v>
      </c>
      <c r="M6" s="55" t="s">
        <v>163</v>
      </c>
      <c r="N6" s="15" t="s">
        <v>196</v>
      </c>
    </row>
    <row r="7" spans="2:14" ht="46.5" customHeight="1">
      <c r="B7" s="56" t="str">
        <f t="shared" ref="B7:B24" si="0">IF($C7="","","S"&amp;TEXT(ROW()-6,"000"))</f>
        <v>S001</v>
      </c>
      <c r="C7" s="50" t="s">
        <v>226</v>
      </c>
      <c r="D7" s="50" t="s">
        <v>394</v>
      </c>
      <c r="E7" s="50" t="s">
        <v>395</v>
      </c>
      <c r="F7" s="50" t="s">
        <v>396</v>
      </c>
      <c r="G7" s="50" t="s">
        <v>397</v>
      </c>
      <c r="H7" s="50" t="s">
        <v>361</v>
      </c>
      <c r="I7" s="50" t="s">
        <v>398</v>
      </c>
      <c r="J7" s="50" t="s">
        <v>399</v>
      </c>
      <c r="K7" s="50" t="s">
        <v>400</v>
      </c>
      <c r="L7" s="60">
        <f ca="1">TODAY()-1</f>
        <v>46250</v>
      </c>
      <c r="M7" s="61" t="str">
        <f>IF($C7="","",IF($I7="Rejected","REJECTED - re-sanitise",IF(LEFT($F7,12)="Not required","Nothing to sanitise",IF(AND($H7="Yes",$I7="Approved",$J7=""),"No certificate",IF(AND($H7="Yes",$I7="Approved"),"Complete",IF($H7="Yes","Awaiting validation",IF($F7="","No method set",IF(AND($L7&lt;&gt;"",Setup!$D$19&gt;$L7),"Overdue","Scheduled"))))))))</f>
        <v>Complete</v>
      </c>
      <c r="N7" s="50"/>
    </row>
    <row r="8" spans="2:14" ht="46.5" customHeight="1">
      <c r="B8" s="56" t="str">
        <f t="shared" si="0"/>
        <v>S002</v>
      </c>
      <c r="C8" s="53" t="s">
        <v>230</v>
      </c>
      <c r="D8" s="53" t="s">
        <v>394</v>
      </c>
      <c r="E8" s="53" t="s">
        <v>395</v>
      </c>
      <c r="F8" s="53" t="s">
        <v>401</v>
      </c>
      <c r="G8" s="53" t="s">
        <v>402</v>
      </c>
      <c r="H8" s="53" t="s">
        <v>361</v>
      </c>
      <c r="I8" s="53" t="s">
        <v>403</v>
      </c>
      <c r="J8" s="53"/>
      <c r="K8" s="53" t="s">
        <v>400</v>
      </c>
      <c r="L8" s="65">
        <f ca="1">TODAY()-1</f>
        <v>46250</v>
      </c>
      <c r="M8" s="61" t="str">
        <f>IF($C8="","",IF($I8="Rejected","REJECTED - re-sanitise",IF(LEFT($F8,12)="Not required","Nothing to sanitise",IF(AND($H8="Yes",$I8="Approved",$J8=""),"No certificate",IF(AND($H8="Yes",$I8="Approved"),"Complete",IF($H8="Yes","Awaiting validation",IF($F8="","No method set",IF(AND($L8&lt;&gt;"",Setup!$D$19&gt;$L8),"Overdue","Scheduled"))))))))</f>
        <v>REJECTED - re-sanitise</v>
      </c>
      <c r="N8" s="53" t="s">
        <v>404</v>
      </c>
    </row>
    <row r="9" spans="2:14" ht="46.5" customHeight="1">
      <c r="B9" s="56" t="str">
        <f t="shared" si="0"/>
        <v>S003</v>
      </c>
      <c r="C9" s="50" t="s">
        <v>237</v>
      </c>
      <c r="D9" s="50" t="s">
        <v>405</v>
      </c>
      <c r="E9" s="50" t="s">
        <v>406</v>
      </c>
      <c r="F9" s="50" t="s">
        <v>401</v>
      </c>
      <c r="G9" s="50" t="s">
        <v>407</v>
      </c>
      <c r="H9" s="50" t="s">
        <v>361</v>
      </c>
      <c r="I9" s="50" t="s">
        <v>398</v>
      </c>
      <c r="J9" s="50" t="s">
        <v>408</v>
      </c>
      <c r="K9" s="50" t="s">
        <v>409</v>
      </c>
      <c r="L9" s="60">
        <f ca="1">TODAY()-1</f>
        <v>46250</v>
      </c>
      <c r="M9" s="61" t="str">
        <f>IF($C9="","",IF($I9="Rejected","REJECTED - re-sanitise",IF(LEFT($F9,12)="Not required","Nothing to sanitise",IF(AND($H9="Yes",$I9="Approved",$J9=""),"No certificate",IF(AND($H9="Yes",$I9="Approved"),"Complete",IF($H9="Yes","Awaiting validation",IF($F9="","No method set",IF(AND($L9&lt;&gt;"",Setup!$D$19&gt;$L9),"Overdue","Scheduled"))))))))</f>
        <v>Complete</v>
      </c>
      <c r="N9" s="50"/>
    </row>
    <row r="10" spans="2:14" ht="46.5" customHeight="1">
      <c r="B10" s="56" t="str">
        <f t="shared" si="0"/>
        <v>S004</v>
      </c>
      <c r="C10" s="53" t="s">
        <v>226</v>
      </c>
      <c r="D10" s="53" t="s">
        <v>394</v>
      </c>
      <c r="E10" s="53" t="s">
        <v>406</v>
      </c>
      <c r="F10" s="53" t="s">
        <v>401</v>
      </c>
      <c r="G10" s="53" t="s">
        <v>407</v>
      </c>
      <c r="H10" s="53" t="s">
        <v>361</v>
      </c>
      <c r="I10" s="53" t="s">
        <v>410</v>
      </c>
      <c r="J10" s="53"/>
      <c r="K10" s="53" t="s">
        <v>400</v>
      </c>
      <c r="L10" s="65">
        <f ca="1">TODAY()-1</f>
        <v>46250</v>
      </c>
      <c r="M10" s="61" t="str">
        <f>IF($C10="","",IF($I10="Rejected","REJECTED - re-sanitise",IF(LEFT($F10,12)="Not required","Nothing to sanitise",IF(AND($H10="Yes",$I10="Approved",$J10=""),"No certificate",IF(AND($H10="Yes",$I10="Approved"),"Complete",IF($H10="Yes","Awaiting validation",IF($F10="","No method set",IF(AND($L10&lt;&gt;"",Setup!$D$19&gt;$L10),"Overdue","Scheduled"))))))))</f>
        <v>Awaiting validation</v>
      </c>
      <c r="N10" s="53" t="s">
        <v>411</v>
      </c>
    </row>
    <row r="11" spans="2:14" ht="46.5" customHeight="1">
      <c r="B11" s="56" t="str">
        <f t="shared" si="0"/>
        <v>S005</v>
      </c>
      <c r="C11" s="50" t="s">
        <v>197</v>
      </c>
      <c r="D11" s="50" t="s">
        <v>412</v>
      </c>
      <c r="E11" s="50" t="s">
        <v>395</v>
      </c>
      <c r="F11" s="50" t="s">
        <v>413</v>
      </c>
      <c r="G11" s="50"/>
      <c r="H11" s="50" t="s">
        <v>410</v>
      </c>
      <c r="I11" s="50" t="s">
        <v>410</v>
      </c>
      <c r="J11" s="50"/>
      <c r="K11" s="50"/>
      <c r="L11" s="60"/>
      <c r="M11" s="61" t="str">
        <f>IF($C11="","",IF($I11="Rejected","REJECTED - re-sanitise",IF(LEFT($F11,12)="Not required","Nothing to sanitise",IF(AND($H11="Yes",$I11="Approved",$J11=""),"No certificate",IF(AND($H11="Yes",$I11="Approved"),"Complete",IF($H11="Yes","Awaiting validation",IF($F11="","No method set",IF(AND($L11&lt;&gt;"",Setup!$D$19&gt;$L11),"Overdue","Scheduled"))))))))</f>
        <v>Nothing to sanitise</v>
      </c>
      <c r="N11" s="50" t="s">
        <v>414</v>
      </c>
    </row>
    <row r="12" spans="2:14" ht="46.5" customHeight="1">
      <c r="B12" s="56" t="str">
        <f t="shared" si="0"/>
        <v>S006</v>
      </c>
      <c r="C12" s="53" t="s">
        <v>213</v>
      </c>
      <c r="D12" s="53" t="s">
        <v>415</v>
      </c>
      <c r="E12" s="53" t="s">
        <v>395</v>
      </c>
      <c r="F12" s="53" t="s">
        <v>401</v>
      </c>
      <c r="G12" s="53" t="s">
        <v>416</v>
      </c>
      <c r="H12" s="53" t="s">
        <v>345</v>
      </c>
      <c r="I12" s="53" t="s">
        <v>410</v>
      </c>
      <c r="J12" s="53"/>
      <c r="K12" s="53" t="s">
        <v>400</v>
      </c>
      <c r="L12" s="65">
        <f ca="1">TODAY()+45</f>
        <v>46296</v>
      </c>
      <c r="M12" s="61" t="str">
        <f ca="1">IF($C12="","",IF($I12="Rejected","REJECTED - re-sanitise",IF(LEFT($F12,12)="Not required","Nothing to sanitise",IF(AND($H12="Yes",$I12="Approved",$J12=""),"No certificate",IF(AND($H12="Yes",$I12="Approved"),"Complete",IF($H12="Yes","Awaiting validation",IF($F12="","No method set",IF(AND($L12&lt;&gt;"",Setup!$D$19&gt;$L12),"Overdue","Scheduled"))))))))</f>
        <v>Scheduled</v>
      </c>
      <c r="N12" s="53" t="s">
        <v>417</v>
      </c>
    </row>
    <row r="13" spans="2:14" ht="46.5" customHeight="1">
      <c r="B13" s="56" t="str">
        <f t="shared" si="0"/>
        <v>S007</v>
      </c>
      <c r="C13" s="50" t="s">
        <v>220</v>
      </c>
      <c r="D13" s="50" t="s">
        <v>418</v>
      </c>
      <c r="E13" s="50" t="s">
        <v>406</v>
      </c>
      <c r="F13" s="50" t="s">
        <v>401</v>
      </c>
      <c r="G13" s="50" t="s">
        <v>407</v>
      </c>
      <c r="H13" s="50" t="s">
        <v>345</v>
      </c>
      <c r="I13" s="50" t="s">
        <v>410</v>
      </c>
      <c r="J13" s="50"/>
      <c r="K13" s="50" t="s">
        <v>419</v>
      </c>
      <c r="L13" s="60">
        <f ca="1">TODAY()+30</f>
        <v>46281</v>
      </c>
      <c r="M13" s="61" t="str">
        <f ca="1">IF($C13="","",IF($I13="Rejected","REJECTED - re-sanitise",IF(LEFT($F13,12)="Not required","Nothing to sanitise",IF(AND($H13="Yes",$I13="Approved",$J13=""),"No certificate",IF(AND($H13="Yes",$I13="Approved"),"Complete",IF($H13="Yes","Awaiting validation",IF($F13="","No method set",IF(AND($L13&lt;&gt;"",Setup!$D$19&gt;$L13),"Overdue","Scheduled"))))))))</f>
        <v>Scheduled</v>
      </c>
      <c r="N13" s="50" t="s">
        <v>420</v>
      </c>
    </row>
    <row r="14" spans="2:14" ht="46.5" customHeight="1">
      <c r="B14" s="56" t="str">
        <f t="shared" si="0"/>
        <v>S008</v>
      </c>
      <c r="C14" s="53" t="s">
        <v>245</v>
      </c>
      <c r="D14" s="53" t="s">
        <v>412</v>
      </c>
      <c r="E14" s="53" t="s">
        <v>395</v>
      </c>
      <c r="F14" s="53" t="s">
        <v>413</v>
      </c>
      <c r="G14" s="53"/>
      <c r="H14" s="53" t="s">
        <v>410</v>
      </c>
      <c r="I14" s="53" t="s">
        <v>410</v>
      </c>
      <c r="J14" s="53"/>
      <c r="K14" s="53"/>
      <c r="L14" s="65"/>
      <c r="M14" s="61" t="str">
        <f>IF($C14="","",IF($I14="Rejected","REJECTED - re-sanitise",IF(LEFT($F14,12)="Not required","Nothing to sanitise",IF(AND($H14="Yes",$I14="Approved",$J14=""),"No certificate",IF(AND($H14="Yes",$I14="Approved"),"Complete",IF($H14="Yes","Awaiting validation",IF($F14="","No method set",IF(AND($L14&lt;&gt;"",Setup!$D$19&gt;$L14),"Overdue","Scheduled"))))))))</f>
        <v>Nothing to sanitise</v>
      </c>
      <c r="N14" s="53"/>
    </row>
    <row r="15" spans="2:14" ht="46.5" customHeight="1">
      <c r="B15" s="56" t="str">
        <f t="shared" si="0"/>
        <v>S009</v>
      </c>
      <c r="C15" s="50" t="s">
        <v>253</v>
      </c>
      <c r="D15" s="50" t="s">
        <v>177</v>
      </c>
      <c r="E15" s="50" t="s">
        <v>395</v>
      </c>
      <c r="F15" s="50" t="s">
        <v>413</v>
      </c>
      <c r="G15" s="50"/>
      <c r="H15" s="50" t="s">
        <v>410</v>
      </c>
      <c r="I15" s="50" t="s">
        <v>410</v>
      </c>
      <c r="J15" s="50"/>
      <c r="K15" s="50"/>
      <c r="L15" s="60"/>
      <c r="M15" s="61" t="str">
        <f>IF($C15="","",IF($I15="Rejected","REJECTED - re-sanitise",IF(LEFT($F15,12)="Not required","Nothing to sanitise",IF(AND($H15="Yes",$I15="Approved",$J15=""),"No certificate",IF(AND($H15="Yes",$I15="Approved"),"Complete",IF($H15="Yes","Awaiting validation",IF($F15="","No method set",IF(AND($L15&lt;&gt;"",Setup!$D$19&gt;$L15),"Overdue","Scheduled"))))))))</f>
        <v>Nothing to sanitise</v>
      </c>
      <c r="N15" s="50" t="s">
        <v>421</v>
      </c>
    </row>
    <row r="16" spans="2:14" ht="46.5" customHeight="1">
      <c r="B16" s="56" t="str">
        <f t="shared" si="0"/>
        <v>S010</v>
      </c>
      <c r="C16" s="53" t="s">
        <v>242</v>
      </c>
      <c r="D16" s="53" t="s">
        <v>412</v>
      </c>
      <c r="E16" s="53" t="s">
        <v>243</v>
      </c>
      <c r="F16" s="53" t="s">
        <v>413</v>
      </c>
      <c r="G16" s="53"/>
      <c r="H16" s="53" t="s">
        <v>410</v>
      </c>
      <c r="I16" s="53" t="s">
        <v>410</v>
      </c>
      <c r="J16" s="53"/>
      <c r="K16" s="53"/>
      <c r="L16" s="65"/>
      <c r="M16" s="61" t="str">
        <f>IF($C16="","",IF($I16="Rejected","REJECTED - re-sanitise",IF(LEFT($F16,12)="Not required","Nothing to sanitise",IF(AND($H16="Yes",$I16="Approved",$J16=""),"No certificate",IF(AND($H16="Yes",$I16="Approved"),"Complete",IF($H16="Yes","Awaiting validation",IF($F16="","No method set",IF(AND($L16&lt;&gt;"",Setup!$D$19&gt;$L16),"Overdue","Scheduled"))))))))</f>
        <v>Nothing to sanitise</v>
      </c>
      <c r="N16" s="53" t="s">
        <v>422</v>
      </c>
    </row>
    <row r="17" spans="2:14" ht="46.5" customHeight="1">
      <c r="B17" s="56" t="str">
        <f t="shared" si="0"/>
        <v>S011</v>
      </c>
      <c r="C17" s="50" t="s">
        <v>247</v>
      </c>
      <c r="D17" s="50" t="s">
        <v>394</v>
      </c>
      <c r="E17" s="50" t="s">
        <v>423</v>
      </c>
      <c r="F17" s="50" t="s">
        <v>424</v>
      </c>
      <c r="G17" s="50" t="s">
        <v>425</v>
      </c>
      <c r="H17" s="50" t="s">
        <v>345</v>
      </c>
      <c r="I17" s="50" t="s">
        <v>410</v>
      </c>
      <c r="J17" s="50"/>
      <c r="K17" s="50" t="s">
        <v>400</v>
      </c>
      <c r="L17" s="60">
        <f ca="1">TODAY()+58</f>
        <v>46309</v>
      </c>
      <c r="M17" s="61" t="str">
        <f ca="1">IF($C17="","",IF($I17="Rejected","REJECTED - re-sanitise",IF(LEFT($F17,12)="Not required","Nothing to sanitise",IF(AND($H17="Yes",$I17="Approved",$J17=""),"No certificate",IF(AND($H17="Yes",$I17="Approved"),"Complete",IF($H17="Yes","Awaiting validation",IF($F17="","No method set",IF(AND($L17&lt;&gt;"",Setup!$D$19&gt;$L17),"Overdue","Scheduled"))))))))</f>
        <v>Scheduled</v>
      </c>
      <c r="N17" s="50" t="s">
        <v>426</v>
      </c>
    </row>
    <row r="18" spans="2:14" ht="46.5" customHeight="1">
      <c r="B18" s="56" t="str">
        <f t="shared" si="0"/>
        <v/>
      </c>
      <c r="C18" s="53"/>
      <c r="D18" s="53"/>
      <c r="E18" s="53"/>
      <c r="F18" s="53"/>
      <c r="G18" s="53"/>
      <c r="H18" s="53"/>
      <c r="I18" s="53"/>
      <c r="J18" s="53"/>
      <c r="K18" s="53"/>
      <c r="L18" s="65"/>
      <c r="M18" s="61" t="str">
        <f>IF($C18="","",IF($I18="Rejected","REJECTED - re-sanitise",IF(LEFT($F18,12)="Not required","Nothing to sanitise",IF(AND($H18="Yes",$I18="Approved",$J18=""),"No certificate",IF(AND($H18="Yes",$I18="Approved"),"Complete",IF($H18="Yes","Awaiting validation",IF($F18="","No method set",IF(AND($L18&lt;&gt;"",Setup!$D$19&gt;$L18),"Overdue","Scheduled"))))))))</f>
        <v/>
      </c>
      <c r="N18" s="53"/>
    </row>
    <row r="19" spans="2:14" ht="46.5" customHeight="1">
      <c r="B19" s="56" t="str">
        <f t="shared" si="0"/>
        <v/>
      </c>
      <c r="C19" s="50"/>
      <c r="D19" s="50"/>
      <c r="E19" s="50"/>
      <c r="F19" s="50"/>
      <c r="G19" s="50"/>
      <c r="H19" s="50"/>
      <c r="I19" s="50"/>
      <c r="J19" s="50"/>
      <c r="K19" s="50"/>
      <c r="L19" s="60"/>
      <c r="M19" s="61" t="str">
        <f>IF($C19="","",IF($I19="Rejected","REJECTED - re-sanitise",IF(LEFT($F19,12)="Not required","Nothing to sanitise",IF(AND($H19="Yes",$I19="Approved",$J19=""),"No certificate",IF(AND($H19="Yes",$I19="Approved"),"Complete",IF($H19="Yes","Awaiting validation",IF($F19="","No method set",IF(AND($L19&lt;&gt;"",Setup!$D$19&gt;$L19),"Overdue","Scheduled"))))))))</f>
        <v/>
      </c>
      <c r="N19" s="50"/>
    </row>
    <row r="20" spans="2:14" ht="46.5" customHeight="1">
      <c r="B20" s="56" t="str">
        <f t="shared" si="0"/>
        <v/>
      </c>
      <c r="C20" s="53"/>
      <c r="D20" s="53"/>
      <c r="E20" s="53"/>
      <c r="F20" s="53"/>
      <c r="G20" s="53"/>
      <c r="H20" s="53"/>
      <c r="I20" s="53"/>
      <c r="J20" s="53"/>
      <c r="K20" s="53"/>
      <c r="L20" s="65"/>
      <c r="M20" s="61" t="str">
        <f>IF($C20="","",IF($I20="Rejected","REJECTED - re-sanitise",IF(LEFT($F20,12)="Not required","Nothing to sanitise",IF(AND($H20="Yes",$I20="Approved",$J20=""),"No certificate",IF(AND($H20="Yes",$I20="Approved"),"Complete",IF($H20="Yes","Awaiting validation",IF($F20="","No method set",IF(AND($L20&lt;&gt;"",Setup!$D$19&gt;$L20),"Overdue","Scheduled"))))))))</f>
        <v/>
      </c>
      <c r="N20" s="53"/>
    </row>
    <row r="21" spans="2:14" ht="46.5" customHeight="1">
      <c r="B21" s="56" t="str">
        <f t="shared" si="0"/>
        <v/>
      </c>
      <c r="C21" s="50"/>
      <c r="D21" s="50"/>
      <c r="E21" s="50"/>
      <c r="F21" s="50"/>
      <c r="G21" s="50"/>
      <c r="H21" s="50"/>
      <c r="I21" s="50"/>
      <c r="J21" s="50"/>
      <c r="K21" s="50"/>
      <c r="L21" s="60"/>
      <c r="M21" s="61" t="str">
        <f>IF($C21="","",IF($I21="Rejected","REJECTED - re-sanitise",IF(LEFT($F21,12)="Not required","Nothing to sanitise",IF(AND($H21="Yes",$I21="Approved",$J21=""),"No certificate",IF(AND($H21="Yes",$I21="Approved"),"Complete",IF($H21="Yes","Awaiting validation",IF($F21="","No method set",IF(AND($L21&lt;&gt;"",Setup!$D$19&gt;$L21),"Overdue","Scheduled"))))))))</f>
        <v/>
      </c>
      <c r="N21" s="50"/>
    </row>
    <row r="22" spans="2:14" ht="46.5" customHeight="1">
      <c r="B22" s="56" t="str">
        <f t="shared" si="0"/>
        <v/>
      </c>
      <c r="C22" s="53"/>
      <c r="D22" s="53"/>
      <c r="E22" s="53"/>
      <c r="F22" s="53"/>
      <c r="G22" s="53"/>
      <c r="H22" s="53"/>
      <c r="I22" s="53"/>
      <c r="J22" s="53"/>
      <c r="K22" s="53"/>
      <c r="L22" s="65"/>
      <c r="M22" s="61" t="str">
        <f>IF($C22="","",IF($I22="Rejected","REJECTED - re-sanitise",IF(LEFT($F22,12)="Not required","Nothing to sanitise",IF(AND($H22="Yes",$I22="Approved",$J22=""),"No certificate",IF(AND($H22="Yes",$I22="Approved"),"Complete",IF($H22="Yes","Awaiting validation",IF($F22="","No method set",IF(AND($L22&lt;&gt;"",Setup!$D$19&gt;$L22),"Overdue","Scheduled"))))))))</f>
        <v/>
      </c>
      <c r="N22" s="53"/>
    </row>
    <row r="23" spans="2:14" ht="46.5" customHeight="1">
      <c r="B23" s="56" t="str">
        <f t="shared" si="0"/>
        <v/>
      </c>
      <c r="C23" s="50"/>
      <c r="D23" s="50"/>
      <c r="E23" s="50"/>
      <c r="F23" s="50"/>
      <c r="G23" s="50"/>
      <c r="H23" s="50"/>
      <c r="I23" s="50"/>
      <c r="J23" s="50"/>
      <c r="K23" s="50"/>
      <c r="L23" s="60"/>
      <c r="M23" s="61" t="str">
        <f>IF($C23="","",IF($I23="Rejected","REJECTED - re-sanitise",IF(LEFT($F23,12)="Not required","Nothing to sanitise",IF(AND($H23="Yes",$I23="Approved",$J23=""),"No certificate",IF(AND($H23="Yes",$I23="Approved"),"Complete",IF($H23="Yes","Awaiting validation",IF($F23="","No method set",IF(AND($L23&lt;&gt;"",Setup!$D$19&gt;$L23),"Overdue","Scheduled"))))))))</f>
        <v/>
      </c>
      <c r="N23" s="50"/>
    </row>
    <row r="24" spans="2:14" ht="46.5" customHeight="1">
      <c r="B24" s="56" t="str">
        <f t="shared" si="0"/>
        <v/>
      </c>
      <c r="C24" s="53"/>
      <c r="D24" s="53"/>
      <c r="E24" s="53"/>
      <c r="F24" s="53"/>
      <c r="G24" s="53"/>
      <c r="H24" s="53"/>
      <c r="I24" s="53"/>
      <c r="J24" s="53"/>
      <c r="K24" s="53"/>
      <c r="L24" s="65"/>
      <c r="M24" s="61" t="str">
        <f>IF($C24="","",IF($I24="Rejected","REJECTED - re-sanitise",IF(LEFT($F24,12)="Not required","Nothing to sanitise",IF(AND($H24="Yes",$I24="Approved",$J24=""),"No certificate",IF(AND($H24="Yes",$I24="Approved"),"Complete",IF($H24="Yes","Awaiting validation",IF($F24="","No method set",IF(AND($L24&lt;&gt;"",Setup!$D$19&gt;$L24),"Overdue","Scheduled"))))))))</f>
        <v/>
      </c>
      <c r="N24" s="53"/>
    </row>
    <row r="38" spans="2:14" ht="15" customHeight="1">
      <c r="B38" s="89" t="s">
        <v>427</v>
      </c>
      <c r="C38" s="89"/>
      <c r="D38" s="89"/>
      <c r="E38" s="89"/>
      <c r="F38" s="89"/>
      <c r="G38" s="89"/>
      <c r="H38" s="89"/>
      <c r="I38" s="89"/>
      <c r="J38" s="89"/>
      <c r="K38" s="89"/>
      <c r="L38" s="89"/>
    </row>
    <row r="39" spans="2:14" ht="15" customHeight="1">
      <c r="B39" s="89"/>
      <c r="C39" s="89"/>
      <c r="D39" s="89"/>
      <c r="E39" s="89"/>
      <c r="F39" s="89"/>
      <c r="G39" s="89"/>
      <c r="H39" s="89"/>
      <c r="I39" s="89"/>
      <c r="J39" s="89"/>
      <c r="K39" s="89"/>
      <c r="L39" s="89"/>
    </row>
    <row r="40" spans="2:14" ht="18" customHeight="1">
      <c r="B40" s="92" t="s">
        <v>141</v>
      </c>
      <c r="C40" s="92"/>
      <c r="D40" s="92"/>
      <c r="E40" s="92"/>
      <c r="F40" s="92"/>
      <c r="G40" s="92"/>
      <c r="H40" s="92"/>
      <c r="I40" s="92"/>
      <c r="J40" s="92"/>
      <c r="K40" s="92"/>
      <c r="L40" s="92"/>
      <c r="M40" s="92"/>
      <c r="N40" s="92"/>
    </row>
  </sheetData>
  <autoFilter ref="B6:N36" xr:uid="{00000000-0009-0000-0000-000007000000}"/>
  <mergeCells count="6">
    <mergeCell ref="B40:N40"/>
    <mergeCell ref="B1:N1"/>
    <mergeCell ref="B2:N2"/>
    <mergeCell ref="B3:N3"/>
    <mergeCell ref="B4:N4"/>
    <mergeCell ref="B38:L39"/>
  </mergeCells>
  <conditionalFormatting sqref="B3:N3">
    <cfRule type="expression" dxfId="13" priority="2">
      <formula>LEN($B$3)&gt;0</formula>
    </cfRule>
  </conditionalFormatting>
  <conditionalFormatting sqref="B7:N36">
    <cfRule type="expression" dxfId="12" priority="3">
      <formula>$M7="REJECTED - re-sanitise"</formula>
    </cfRule>
    <cfRule type="expression" dxfId="11" priority="4">
      <formula>AND($M7&lt;&gt;"REJECTED - re-sanitise",$M7="Complete")</formula>
    </cfRule>
    <cfRule type="expression" dxfId="10" priority="5">
      <formula>AND($M7&lt;&gt;"REJECTED - re-sanitise",$M7="Nothing to sanitise")</formula>
    </cfRule>
    <cfRule type="expression" dxfId="9" priority="6">
      <formula>AND($M7&lt;&gt;"REJECTED - re-sanitise",OR($M7="Overdue",$M7="No certificate"))</formula>
    </cfRule>
    <cfRule type="expression" dxfId="8" priority="7">
      <formula>AND($M7&lt;&gt;"REJECTED - re-sanitise",$M7="Awaiting validation")</formula>
    </cfRule>
  </conditionalFormatting>
  <dataValidations count="2">
    <dataValidation showInputMessage="1" promptTitle="Process completed" prompt="Did the sanitisation run as intended? A process question." sqref="H7:H24" xr:uid="{00000000-0002-0000-0700-000004000000}">
      <formula1>0</formula1>
      <formula2>0</formula2>
    </dataValidation>
    <dataValidation showInputMessage="1" promptTitle="Certificate" prompt="Per asset, carrying make, model, serial, media type, method and technique, how it was checked, and who did it with their name, role, date and signature." sqref="J7:J24" xr:uid="{00000000-0002-0000-0700-000005000000}">
      <formula1>0</formula1>
      <formula2>0</formula2>
    </dataValidation>
  </dataValidations>
  <hyperlinks>
    <hyperlink ref="B40" r:id="rId1" xr:uid="{00000000-0004-0000-0700-000000000000}"/>
  </hyperlinks>
  <pageMargins left="0.3" right="0.3" top="0.5" bottom="0.5" header="0.511811023622047" footer="0.511811023622047"/>
  <pageSetup paperSize="8" fitToHeight="0" orientation="landscape" horizontalDpi="300" verticalDpi="300"/>
  <drawing r:id="rId2"/>
  <extLst>
    <ext xmlns:x14="http://schemas.microsoft.com/office/spreadsheetml/2009/9/main" uri="{CCE6A557-97BC-4b89-ADB6-D9C93CAAB3DF}">
      <x14:dataValidations xmlns:xm="http://schemas.microsoft.com/office/excel/2006/main" count="4">
        <x14:dataValidation type="list" allowBlank="1" xr:uid="{00000000-0002-0000-0700-000000000000}">
          <x14:formula1>
            <xm:f>Reference!$F$97:$F$103</xm:f>
          </x14:formula1>
          <x14:formula2>
            <xm:f>0</xm:f>
          </x14:formula2>
          <xm:sqref>D7:D24</xm:sqref>
        </x14:dataValidation>
        <x14:dataValidation type="list" allowBlank="1" xr:uid="{00000000-0002-0000-0700-000001000000}">
          <x14:formula1>
            <xm:f>Reference!$B$97:$B$105</xm:f>
          </x14:formula1>
          <x14:formula2>
            <xm:f>0</xm:f>
          </x14:formula2>
          <xm:sqref>E7:E24</xm:sqref>
        </x14:dataValidation>
        <x14:dataValidation type="list" allowBlank="1" xr:uid="{00000000-0002-0000-0700-000002000000}">
          <x14:formula1>
            <xm:f>Reference!$C$97:$C$102</xm:f>
          </x14:formula1>
          <x14:formula2>
            <xm:f>0</xm:f>
          </x14:formula2>
          <xm:sqref>F7:F24</xm:sqref>
        </x14:dataValidation>
        <x14:dataValidation type="list" allowBlank="1" xr:uid="{00000000-0002-0000-0700-000003000000}">
          <x14:formula1>
            <xm:f>Reference!$E$97:$E$99</xm:f>
          </x14:formula1>
          <x14:formula2>
            <xm:f>0</xm:f>
          </x14:formula2>
          <xm:sqref>I7:I24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F76BB"/>
    <pageSetUpPr fitToPage="1"/>
  </sheetPr>
  <dimension ref="B1:J45"/>
  <sheetViews>
    <sheetView showGridLines="0" topLeftCell="A18" zoomScaleNormal="100" workbookViewId="0"/>
  </sheetViews>
  <sheetFormatPr defaultColWidth="8.7109375" defaultRowHeight="15"/>
  <cols>
    <col min="1" max="1" width="2.140625" customWidth="1"/>
    <col min="2" max="2" width="44" customWidth="1"/>
    <col min="3" max="3" width="4" customWidth="1"/>
    <col min="4" max="5" width="22" customWidth="1"/>
    <col min="6" max="7" width="12" customWidth="1"/>
    <col min="8" max="9" width="18" customWidth="1"/>
    <col min="10" max="10" width="34" customWidth="1"/>
    <col min="11" max="11" width="2.140625" customWidth="1"/>
  </cols>
  <sheetData>
    <row r="1" spans="2:10" ht="33.75" customHeight="1">
      <c r="B1" s="86" t="s">
        <v>428</v>
      </c>
      <c r="C1" s="86"/>
      <c r="D1" s="86"/>
      <c r="E1" s="86"/>
      <c r="F1" s="86"/>
      <c r="G1" s="86"/>
      <c r="H1" s="86"/>
      <c r="I1" s="86"/>
      <c r="J1" s="86"/>
    </row>
    <row r="2" spans="2:10" ht="4.5" customHeight="1">
      <c r="B2" s="120"/>
      <c r="C2" s="120"/>
      <c r="D2" s="120"/>
      <c r="E2" s="120"/>
      <c r="F2" s="120"/>
      <c r="G2" s="120"/>
      <c r="H2" s="120"/>
      <c r="I2" s="120"/>
      <c r="J2" s="120"/>
    </row>
    <row r="3" spans="2:10" ht="16.5" customHeight="1">
      <c r="B3" s="88" t="str">
        <f>IF(LEFT(Setup!$D$7,7)&lt;&gt;"EXAMPLE","","EXAMPLE DATA - type your own project name on Setup to clear this.")</f>
        <v>EXAMPLE DATA - type your own project name on Setup to clear this.</v>
      </c>
      <c r="C3" s="88"/>
      <c r="D3" s="88"/>
      <c r="E3" s="88"/>
      <c r="F3" s="88"/>
      <c r="G3" s="88"/>
      <c r="H3" s="88"/>
      <c r="I3" s="88"/>
      <c r="J3" s="88"/>
    </row>
    <row r="4" spans="2:10" ht="25.5" customHeight="1">
      <c r="B4" s="89" t="s">
        <v>429</v>
      </c>
      <c r="C4" s="89"/>
      <c r="D4" s="89"/>
      <c r="E4" s="89"/>
      <c r="F4" s="89"/>
      <c r="G4" s="89"/>
      <c r="H4" s="89"/>
      <c r="I4" s="89"/>
      <c r="J4" s="89"/>
    </row>
    <row r="6" spans="2:10" ht="21.75" customHeight="1">
      <c r="B6" s="9" t="s">
        <v>430</v>
      </c>
      <c r="C6" s="9"/>
      <c r="D6" s="9"/>
      <c r="E6" s="9"/>
      <c r="F6" s="9"/>
      <c r="G6" s="9"/>
      <c r="H6" s="9"/>
      <c r="I6" s="9"/>
      <c r="J6" s="9"/>
    </row>
    <row r="7" spans="2:10" ht="12.75" customHeight="1">
      <c r="B7" s="89" t="s">
        <v>431</v>
      </c>
      <c r="C7" s="89"/>
      <c r="D7" s="89"/>
      <c r="E7" s="89"/>
      <c r="F7" s="89"/>
      <c r="G7" s="89"/>
      <c r="H7" s="89"/>
      <c r="I7" s="89"/>
      <c r="J7" s="89"/>
    </row>
    <row r="8" spans="2:10" ht="12.75" customHeight="1">
      <c r="B8" s="89"/>
      <c r="C8" s="89"/>
      <c r="D8" s="89"/>
      <c r="E8" s="89"/>
      <c r="F8" s="89"/>
      <c r="G8" s="89"/>
      <c r="H8" s="89"/>
      <c r="I8" s="89"/>
      <c r="J8" s="89"/>
    </row>
    <row r="9" spans="2:10" ht="12.75" customHeight="1">
      <c r="B9" s="89"/>
      <c r="C9" s="89"/>
      <c r="D9" s="89"/>
      <c r="E9" s="89"/>
      <c r="F9" s="89"/>
      <c r="G9" s="89"/>
      <c r="H9" s="89"/>
      <c r="I9" s="89"/>
      <c r="J9" s="89"/>
    </row>
    <row r="10" spans="2:10" ht="30" customHeight="1">
      <c r="B10" s="90" t="s">
        <v>110</v>
      </c>
      <c r="C10" s="90"/>
      <c r="D10" s="121">
        <f ca="1">Setup!$D$16</f>
        <v>46307</v>
      </c>
      <c r="E10" s="121"/>
      <c r="F10" s="89" t="s">
        <v>432</v>
      </c>
      <c r="G10" s="89"/>
      <c r="H10" s="89"/>
      <c r="I10" s="89"/>
      <c r="J10" s="89"/>
    </row>
    <row r="11" spans="2:10" ht="30" customHeight="1">
      <c r="B11" s="90" t="s">
        <v>433</v>
      </c>
      <c r="C11" s="90"/>
      <c r="D11" s="121">
        <f ca="1">IF(Setup!$D$16="","",Setup!$D$16+Setup!$D$33*7)</f>
        <v>46363</v>
      </c>
      <c r="E11" s="121"/>
      <c r="F11" s="89" t="s">
        <v>434</v>
      </c>
      <c r="G11" s="89"/>
      <c r="H11" s="89"/>
      <c r="I11" s="89"/>
      <c r="J11" s="89"/>
    </row>
    <row r="12" spans="2:10" ht="30" customHeight="1">
      <c r="B12" s="90" t="s">
        <v>435</v>
      </c>
      <c r="C12" s="90"/>
      <c r="D12" s="121">
        <f ca="1">IF(OR(Setup!$D$35="",Setup!$D$34=""),"",EDATE(Setup!$D$35,-Setup!$D$34))</f>
        <v>46343</v>
      </c>
      <c r="E12" s="121"/>
      <c r="F12" s="89" t="s">
        <v>436</v>
      </c>
      <c r="G12" s="89"/>
      <c r="H12" s="89"/>
      <c r="I12" s="89"/>
      <c r="J12" s="89"/>
    </row>
    <row r="13" spans="2:10" ht="30" customHeight="1">
      <c r="B13" s="90" t="s">
        <v>437</v>
      </c>
      <c r="C13" s="90"/>
      <c r="D13" s="122">
        <f ca="1">IF(OR($D$11="",$D$12=""),"",$D$12-$D$11)</f>
        <v>-20</v>
      </c>
      <c r="E13" s="122"/>
      <c r="F13" s="89" t="s">
        <v>438</v>
      </c>
      <c r="G13" s="89"/>
      <c r="H13" s="89"/>
      <c r="I13" s="89"/>
      <c r="J13" s="89"/>
    </row>
    <row r="14" spans="2:10" ht="30" customHeight="1">
      <c r="B14" s="90" t="s">
        <v>439</v>
      </c>
      <c r="C14" s="90"/>
      <c r="D14" s="123">
        <f ca="1">IF(OR(Setup!$D$15="",$D$11="",$D$12=""),"",(MAX($D$11,$D$12)-Setup!$D$15)/30.4)</f>
        <v>3.6513157894736845</v>
      </c>
      <c r="E14" s="123"/>
      <c r="F14" s="89" t="s">
        <v>440</v>
      </c>
      <c r="G14" s="89"/>
      <c r="H14" s="89"/>
      <c r="I14" s="89"/>
      <c r="J14" s="89"/>
    </row>
    <row r="15" spans="2:10" ht="30" customHeight="1">
      <c r="B15" s="90" t="s">
        <v>441</v>
      </c>
      <c r="C15" s="90"/>
      <c r="D15" s="124">
        <f ca="1">IF(OR($D$14="",Setup!$D$36=""),"",$D$14*Setup!$D$36)</f>
        <v>529440.78947368427</v>
      </c>
      <c r="E15" s="124"/>
      <c r="F15" s="89" t="s">
        <v>442</v>
      </c>
      <c r="G15" s="89"/>
      <c r="H15" s="89"/>
      <c r="I15" s="89"/>
      <c r="J15" s="89"/>
    </row>
    <row r="17" spans="2:10" ht="21.75" customHeight="1">
      <c r="B17" s="9" t="s">
        <v>443</v>
      </c>
      <c r="C17" s="9"/>
      <c r="D17" s="9"/>
      <c r="E17" s="9"/>
      <c r="F17" s="9"/>
      <c r="G17" s="9"/>
      <c r="H17" s="9"/>
      <c r="I17" s="9"/>
      <c r="J17" s="9"/>
    </row>
    <row r="18" spans="2:10" ht="21.75" customHeight="1">
      <c r="B18" s="6" t="s">
        <v>444</v>
      </c>
      <c r="C18" s="6"/>
      <c r="D18" s="6" t="s">
        <v>98</v>
      </c>
      <c r="E18" s="6"/>
      <c r="F18" s="15" t="s">
        <v>445</v>
      </c>
      <c r="G18" s="15" t="s">
        <v>46</v>
      </c>
      <c r="H18" s="15" t="s">
        <v>446</v>
      </c>
      <c r="I18" s="15" t="s">
        <v>163</v>
      </c>
      <c r="J18" s="15" t="s">
        <v>196</v>
      </c>
    </row>
    <row r="19" spans="2:10" ht="30" customHeight="1">
      <c r="B19" s="105" t="s">
        <v>447</v>
      </c>
      <c r="C19" s="105"/>
      <c r="D19" s="105" t="s">
        <v>98</v>
      </c>
      <c r="E19" s="105"/>
      <c r="F19" s="72">
        <f ca="1">TODAY()-20</f>
        <v>46231</v>
      </c>
      <c r="G19" s="72">
        <f ca="1">TODAY()-22</f>
        <v>46229</v>
      </c>
      <c r="H19" s="50" t="s">
        <v>448</v>
      </c>
      <c r="I19" s="73" t="str">
        <f ca="1">IF($B19="","",IF($G19&lt;&gt;"","Done",IF($F19="","No date",IF(Setup!$D$19&gt;$F19,"Overdue",IF($F19-Setup!$D$19&lt;=Setup!$D$20,"Due soon","Open")))))</f>
        <v>Done</v>
      </c>
      <c r="J19" s="50"/>
    </row>
    <row r="20" spans="2:10" ht="30" customHeight="1">
      <c r="B20" s="106" t="s">
        <v>449</v>
      </c>
      <c r="C20" s="106"/>
      <c r="D20" s="106" t="s">
        <v>349</v>
      </c>
      <c r="E20" s="106"/>
      <c r="F20" s="74">
        <f ca="1">TODAY()+44</f>
        <v>46295</v>
      </c>
      <c r="G20" s="74"/>
      <c r="H20" s="53"/>
      <c r="I20" s="73" t="str">
        <f ca="1">IF($B20="","",IF($G20&lt;&gt;"","Done",IF($F20="","No date",IF(Setup!$D$19&gt;$F20,"Overdue",IF($F20-Setup!$D$19&lt;=Setup!$D$20,"Due soon","Open")))))</f>
        <v>Open</v>
      </c>
      <c r="J20" s="53"/>
    </row>
    <row r="21" spans="2:10" ht="30" customHeight="1">
      <c r="B21" s="105" t="s">
        <v>450</v>
      </c>
      <c r="C21" s="105"/>
      <c r="D21" s="105" t="s">
        <v>343</v>
      </c>
      <c r="E21" s="105"/>
      <c r="F21" s="72">
        <f ca="1">TODAY()+60</f>
        <v>46311</v>
      </c>
      <c r="G21" s="72"/>
      <c r="H21" s="50"/>
      <c r="I21" s="73" t="str">
        <f ca="1">IF($B21="","",IF($G21&lt;&gt;"","Done",IF($F21="","No date",IF(Setup!$D$19&gt;$F21,"Overdue",IF($F21-Setup!$D$19&lt;=Setup!$D$20,"Due soon","Open")))))</f>
        <v>Open</v>
      </c>
      <c r="J21" s="50" t="s">
        <v>451</v>
      </c>
    </row>
    <row r="22" spans="2:10" ht="30" customHeight="1">
      <c r="B22" s="106" t="s">
        <v>452</v>
      </c>
      <c r="C22" s="106"/>
      <c r="D22" s="106" t="s">
        <v>453</v>
      </c>
      <c r="E22" s="106"/>
      <c r="F22" s="74">
        <f ca="1">TODAY()+60</f>
        <v>46311</v>
      </c>
      <c r="G22" s="74"/>
      <c r="H22" s="53"/>
      <c r="I22" s="73" t="str">
        <f ca="1">IF($B22="","",IF($G22&lt;&gt;"","Done",IF($F22="","No date",IF(Setup!$D$19&gt;$F22,"Overdue",IF($F22-Setup!$D$19&lt;=Setup!$D$20,"Due soon","Open")))))</f>
        <v>Open</v>
      </c>
      <c r="J22" s="53"/>
    </row>
    <row r="23" spans="2:10" ht="30" customHeight="1">
      <c r="B23" s="105" t="s">
        <v>454</v>
      </c>
      <c r="C23" s="105"/>
      <c r="D23" s="105" t="s">
        <v>455</v>
      </c>
      <c r="E23" s="105"/>
      <c r="F23" s="72">
        <f ca="1">TODAY()+64</f>
        <v>46315</v>
      </c>
      <c r="G23" s="72"/>
      <c r="H23" s="50"/>
      <c r="I23" s="73" t="str">
        <f ca="1">IF($B23="","",IF($G23&lt;&gt;"","Done",IF($F23="","No date",IF(Setup!$D$19&gt;$F23,"Overdue",IF($F23-Setup!$D$19&lt;=Setup!$D$20,"Due soon","Open")))))</f>
        <v>Open</v>
      </c>
      <c r="J23" s="50"/>
    </row>
    <row r="24" spans="2:10" ht="30" customHeight="1">
      <c r="B24" s="106" t="s">
        <v>456</v>
      </c>
      <c r="C24" s="106"/>
      <c r="D24" s="106" t="s">
        <v>455</v>
      </c>
      <c r="E24" s="106"/>
      <c r="F24" s="74">
        <f ca="1">TODAY()+50</f>
        <v>46301</v>
      </c>
      <c r="G24" s="74"/>
      <c r="H24" s="53"/>
      <c r="I24" s="73" t="str">
        <f ca="1">IF($B24="","",IF($G24&lt;&gt;"","Done",IF($F24="","No date",IF(Setup!$D$19&gt;$F24,"Overdue",IF($F24-Setup!$D$19&lt;=Setup!$D$20,"Due soon","Open")))))</f>
        <v>Open</v>
      </c>
      <c r="J24" s="53"/>
    </row>
    <row r="25" spans="2:10" ht="30" customHeight="1">
      <c r="B25" s="105" t="s">
        <v>457</v>
      </c>
      <c r="C25" s="105"/>
      <c r="D25" s="105" t="s">
        <v>98</v>
      </c>
      <c r="E25" s="105"/>
      <c r="F25" s="72">
        <f ca="1">TODAY()+66</f>
        <v>46317</v>
      </c>
      <c r="G25" s="72"/>
      <c r="H25" s="50"/>
      <c r="I25" s="73" t="str">
        <f ca="1">IF($B25="","",IF($G25&lt;&gt;"","Done",IF($F25="","No date",IF(Setup!$D$19&gt;$F25,"Overdue",IF($F25-Setup!$D$19&lt;=Setup!$D$20,"Due soon","Open")))))</f>
        <v>Open</v>
      </c>
      <c r="J25" s="50"/>
    </row>
    <row r="26" spans="2:10" ht="30" customHeight="1">
      <c r="B26" s="106" t="s">
        <v>458</v>
      </c>
      <c r="C26" s="106"/>
      <c r="D26" s="106" t="s">
        <v>98</v>
      </c>
      <c r="E26" s="106"/>
      <c r="F26" s="74">
        <f ca="1">TODAY()+30</f>
        <v>46281</v>
      </c>
      <c r="G26" s="74"/>
      <c r="H26" s="53"/>
      <c r="I26" s="73" t="str">
        <f ca="1">IF($B26="","",IF($G26&lt;&gt;"","Done",IF($F26="","No date",IF(Setup!$D$19&gt;$F26,"Overdue",IF($F26-Setup!$D$19&lt;=Setup!$D$20,"Due soon","Open")))))</f>
        <v>Open</v>
      </c>
      <c r="J26" s="53" t="s">
        <v>459</v>
      </c>
    </row>
    <row r="27" spans="2:10" ht="30" customHeight="1">
      <c r="B27" s="105" t="s">
        <v>460</v>
      </c>
      <c r="C27" s="105"/>
      <c r="D27" s="105" t="s">
        <v>98</v>
      </c>
      <c r="E27" s="105"/>
      <c r="F27" s="72">
        <f ca="1">TODAY()+55</f>
        <v>46306</v>
      </c>
      <c r="G27" s="72"/>
      <c r="H27" s="50"/>
      <c r="I27" s="73" t="str">
        <f ca="1">IF($B27="","",IF($G27&lt;&gt;"","Done",IF($F27="","No date",IF(Setup!$D$19&gt;$F27,"Overdue",IF($F27-Setup!$D$19&lt;=Setup!$D$20,"Due soon","Open")))))</f>
        <v>Open</v>
      </c>
      <c r="J27" s="50" t="s">
        <v>461</v>
      </c>
    </row>
    <row r="28" spans="2:10" ht="30" customHeight="1">
      <c r="B28" s="106" t="s">
        <v>462</v>
      </c>
      <c r="C28" s="106"/>
      <c r="D28" s="106" t="s">
        <v>453</v>
      </c>
      <c r="E28" s="106"/>
      <c r="F28" s="74">
        <f ca="1">TODAY()+72</f>
        <v>46323</v>
      </c>
      <c r="G28" s="74"/>
      <c r="H28" s="53"/>
      <c r="I28" s="73" t="str">
        <f ca="1">IF($B28="","",IF($G28&lt;&gt;"","Done",IF($F28="","No date",IF(Setup!$D$19&gt;$F28,"Overdue",IF($F28-Setup!$D$19&lt;=Setup!$D$20,"Due soon","Open")))))</f>
        <v>Open</v>
      </c>
      <c r="J28" s="53"/>
    </row>
    <row r="29" spans="2:10" ht="30" customHeight="1">
      <c r="B29" s="105" t="s">
        <v>463</v>
      </c>
      <c r="C29" s="105"/>
      <c r="D29" s="105" t="s">
        <v>453</v>
      </c>
      <c r="E29" s="105"/>
      <c r="F29" s="72">
        <f ca="1">TODAY()+74</f>
        <v>46325</v>
      </c>
      <c r="G29" s="72"/>
      <c r="H29" s="50"/>
      <c r="I29" s="73" t="str">
        <f ca="1">IF($B29="","",IF($G29&lt;&gt;"","Done",IF($F29="","No date",IF(Setup!$D$19&gt;$F29,"Overdue",IF($F29-Setup!$D$19&lt;=Setup!$D$20,"Due soon","Open")))))</f>
        <v>Open</v>
      </c>
      <c r="J29" s="50"/>
    </row>
    <row r="30" spans="2:10" ht="30" customHeight="1">
      <c r="B30" s="106" t="s">
        <v>464</v>
      </c>
      <c r="C30" s="106"/>
      <c r="D30" s="106" t="s">
        <v>98</v>
      </c>
      <c r="E30" s="106"/>
      <c r="F30" s="74">
        <f ca="1">TODAY()+78</f>
        <v>46329</v>
      </c>
      <c r="G30" s="74"/>
      <c r="H30" s="53"/>
      <c r="I30" s="73" t="str">
        <f ca="1">IF($B30="","",IF($G30&lt;&gt;"","Done",IF($F30="","No date",IF(Setup!$D$19&gt;$F30,"Overdue",IF($F30-Setup!$D$19&lt;=Setup!$D$20,"Due soon","Open")))))</f>
        <v>Open</v>
      </c>
      <c r="J30" s="53"/>
    </row>
    <row r="31" spans="2:10" ht="30" customHeight="1">
      <c r="B31" s="105" t="s">
        <v>465</v>
      </c>
      <c r="C31" s="105"/>
      <c r="D31" s="105" t="s">
        <v>364</v>
      </c>
      <c r="E31" s="105"/>
      <c r="F31" s="72">
        <f ca="1">TODAY()+76</f>
        <v>46327</v>
      </c>
      <c r="G31" s="72"/>
      <c r="H31" s="50"/>
      <c r="I31" s="73" t="str">
        <f ca="1">IF($B31="","",IF($G31&lt;&gt;"","Done",IF($F31="","No date",IF(Setup!$D$19&gt;$F31,"Overdue",IF($F31-Setup!$D$19&lt;=Setup!$D$20,"Due soon","Open")))))</f>
        <v>Open</v>
      </c>
      <c r="J31" s="50" t="s">
        <v>466</v>
      </c>
    </row>
    <row r="32" spans="2:10" ht="30" customHeight="1">
      <c r="B32" s="106" t="s">
        <v>467</v>
      </c>
      <c r="C32" s="106"/>
      <c r="D32" s="106" t="s">
        <v>455</v>
      </c>
      <c r="E32" s="106"/>
      <c r="F32" s="74">
        <f ca="1">TODAY()+80</f>
        <v>46331</v>
      </c>
      <c r="G32" s="74"/>
      <c r="H32" s="53"/>
      <c r="I32" s="73" t="str">
        <f ca="1">IF($B32="","",IF($G32&lt;&gt;"","Done",IF($F32="","No date",IF(Setup!$D$19&gt;$F32,"Overdue",IF($F32-Setup!$D$19&lt;=Setup!$D$20,"Due soon","Open")))))</f>
        <v>Open</v>
      </c>
      <c r="J32" s="53"/>
    </row>
    <row r="33" spans="2:10" ht="30" customHeight="1">
      <c r="B33" s="105" t="s">
        <v>468</v>
      </c>
      <c r="C33" s="105"/>
      <c r="D33" s="105" t="s">
        <v>98</v>
      </c>
      <c r="E33" s="105"/>
      <c r="F33" s="72">
        <f ca="1">TODAY()+84</f>
        <v>46335</v>
      </c>
      <c r="G33" s="72"/>
      <c r="H33" s="50"/>
      <c r="I33" s="73" t="str">
        <f ca="1">IF($B33="","",IF($G33&lt;&gt;"","Done",IF($F33="","No date",IF(Setup!$D$19&gt;$F33,"Overdue",IF($F33-Setup!$D$19&lt;=Setup!$D$20,"Due soon","Open")))))</f>
        <v>Open</v>
      </c>
      <c r="J33" s="50"/>
    </row>
    <row r="34" spans="2:10" ht="30" customHeight="1">
      <c r="B34" s="106" t="s">
        <v>469</v>
      </c>
      <c r="C34" s="106"/>
      <c r="D34" s="106" t="s">
        <v>98</v>
      </c>
      <c r="E34" s="106"/>
      <c r="F34" s="74">
        <f ca="1">TODAY()+86</f>
        <v>46337</v>
      </c>
      <c r="G34" s="74"/>
      <c r="H34" s="53"/>
      <c r="I34" s="73" t="str">
        <f ca="1">IF($B34="","",IF($G34&lt;&gt;"","Done",IF($F34="","No date",IF(Setup!$D$19&gt;$F34,"Overdue",IF($F34-Setup!$D$19&lt;=Setup!$D$20,"Due soon","Open")))))</f>
        <v>Open</v>
      </c>
      <c r="J34" s="53"/>
    </row>
    <row r="35" spans="2:10" ht="30" customHeight="1">
      <c r="B35" s="105"/>
      <c r="C35" s="105"/>
      <c r="D35" s="105"/>
      <c r="E35" s="105"/>
      <c r="F35" s="72"/>
      <c r="G35" s="72"/>
      <c r="H35" s="50"/>
      <c r="I35" s="73" t="str">
        <f>IF($B35="","",IF($G35&lt;&gt;"","Done",IF($F35="","No date",IF(Setup!$D$19&gt;$F35,"Overdue",IF($F35-Setup!$D$19&lt;=Setup!$D$20,"Due soon","Open")))))</f>
        <v/>
      </c>
      <c r="J35" s="50"/>
    </row>
    <row r="36" spans="2:10" ht="30" customHeight="1">
      <c r="B36" s="106"/>
      <c r="C36" s="106"/>
      <c r="D36" s="106"/>
      <c r="E36" s="106"/>
      <c r="F36" s="74"/>
      <c r="G36" s="74"/>
      <c r="H36" s="53"/>
      <c r="I36" s="73" t="str">
        <f>IF($B36="","",IF($G36&lt;&gt;"","Done",IF($F36="","No date",IF(Setup!$D$19&gt;$F36,"Overdue",IF($F36-Setup!$D$19&lt;=Setup!$D$20,"Due soon","Open")))))</f>
        <v/>
      </c>
      <c r="J36" s="53"/>
    </row>
    <row r="37" spans="2:10" ht="30" customHeight="1">
      <c r="B37" s="105"/>
      <c r="C37" s="105"/>
      <c r="D37" s="105"/>
      <c r="E37" s="105"/>
      <c r="F37" s="72"/>
      <c r="G37" s="72"/>
      <c r="H37" s="50"/>
      <c r="I37" s="73" t="str">
        <f>IF($B37="","",IF($G37&lt;&gt;"","Done",IF($F37="","No date",IF(Setup!$D$19&gt;$F37,"Overdue",IF($F37-Setup!$D$19&lt;=Setup!$D$20,"Due soon","Open")))))</f>
        <v/>
      </c>
      <c r="J37" s="50"/>
    </row>
    <row r="38" spans="2:10" ht="30" customHeight="1">
      <c r="B38" s="106"/>
      <c r="C38" s="106"/>
      <c r="D38" s="106"/>
      <c r="E38" s="106"/>
      <c r="F38" s="74"/>
      <c r="G38" s="74"/>
      <c r="H38" s="53"/>
      <c r="I38" s="73" t="str">
        <f>IF($B38="","",IF($G38&lt;&gt;"","Done",IF($F38="","No date",IF(Setup!$D$19&gt;$F38,"Overdue",IF($F38-Setup!$D$19&lt;=Setup!$D$20,"Due soon","Open")))))</f>
        <v/>
      </c>
      <c r="J38" s="53"/>
    </row>
    <row r="39" spans="2:10" ht="30" customHeight="1">
      <c r="B39" s="105"/>
      <c r="C39" s="105"/>
      <c r="D39" s="105"/>
      <c r="E39" s="105"/>
      <c r="F39" s="72"/>
      <c r="G39" s="72"/>
      <c r="H39" s="50"/>
      <c r="I39" s="73" t="str">
        <f>IF($B39="","",IF($G39&lt;&gt;"","Done",IF($F39="","No date",IF(Setup!$D$19&gt;$F39,"Overdue",IF($F39-Setup!$D$19&lt;=Setup!$D$20,"Due soon","Open")))))</f>
        <v/>
      </c>
      <c r="J39" s="50"/>
    </row>
    <row r="40" spans="2:10" ht="30" customHeight="1">
      <c r="B40" s="106"/>
      <c r="C40" s="106"/>
      <c r="D40" s="106"/>
      <c r="E40" s="106"/>
      <c r="F40" s="74"/>
      <c r="G40" s="74"/>
      <c r="H40" s="53"/>
      <c r="I40" s="73" t="str">
        <f>IF($B40="","",IF($G40&lt;&gt;"","Done",IF($F40="","No date",IF(Setup!$D$19&gt;$F40,"Overdue",IF($F40-Setup!$D$19&lt;=Setup!$D$20,"Due soon","Open")))))</f>
        <v/>
      </c>
      <c r="J40" s="53"/>
    </row>
    <row r="42" spans="2:10" ht="15" customHeight="1">
      <c r="B42" s="89" t="s">
        <v>470</v>
      </c>
      <c r="C42" s="89"/>
      <c r="D42" s="89"/>
      <c r="E42" s="89"/>
      <c r="F42" s="89"/>
      <c r="G42" s="89"/>
      <c r="H42" s="89"/>
      <c r="I42" s="89"/>
      <c r="J42" s="89"/>
    </row>
    <row r="43" spans="2:10" ht="15" customHeight="1">
      <c r="B43" s="89"/>
      <c r="C43" s="89"/>
      <c r="D43" s="89"/>
      <c r="E43" s="89"/>
      <c r="F43" s="89"/>
      <c r="G43" s="89"/>
      <c r="H43" s="89"/>
      <c r="I43" s="89"/>
      <c r="J43" s="89"/>
    </row>
    <row r="45" spans="2:10" ht="18" customHeight="1">
      <c r="B45" s="92" t="s">
        <v>141</v>
      </c>
      <c r="C45" s="92"/>
      <c r="D45" s="92"/>
      <c r="E45" s="92"/>
      <c r="F45" s="92"/>
      <c r="G45" s="92"/>
      <c r="H45" s="92"/>
      <c r="I45" s="92"/>
      <c r="J45" s="92"/>
    </row>
  </sheetData>
  <mergeCells count="73">
    <mergeCell ref="B42:J43"/>
    <mergeCell ref="B45:J45"/>
    <mergeCell ref="B38:C38"/>
    <mergeCell ref="D38:E38"/>
    <mergeCell ref="B39:C39"/>
    <mergeCell ref="D39:E39"/>
    <mergeCell ref="B40:C40"/>
    <mergeCell ref="D40:E40"/>
    <mergeCell ref="B35:C35"/>
    <mergeCell ref="D35:E35"/>
    <mergeCell ref="B36:C36"/>
    <mergeCell ref="D36:E36"/>
    <mergeCell ref="B37:C37"/>
    <mergeCell ref="D37:E37"/>
    <mergeCell ref="B32:C32"/>
    <mergeCell ref="D32:E32"/>
    <mergeCell ref="B33:C33"/>
    <mergeCell ref="D33:E33"/>
    <mergeCell ref="B34:C34"/>
    <mergeCell ref="D34:E34"/>
    <mergeCell ref="B29:C29"/>
    <mergeCell ref="D29:E29"/>
    <mergeCell ref="B30:C30"/>
    <mergeCell ref="D30:E30"/>
    <mergeCell ref="B31:C31"/>
    <mergeCell ref="D31:E31"/>
    <mergeCell ref="B26:C26"/>
    <mergeCell ref="D26:E26"/>
    <mergeCell ref="B27:C27"/>
    <mergeCell ref="D27:E27"/>
    <mergeCell ref="B28:C28"/>
    <mergeCell ref="D28:E28"/>
    <mergeCell ref="B23:C23"/>
    <mergeCell ref="D23:E23"/>
    <mergeCell ref="B24:C24"/>
    <mergeCell ref="D24:E24"/>
    <mergeCell ref="B25:C25"/>
    <mergeCell ref="D25:E25"/>
    <mergeCell ref="B20:C20"/>
    <mergeCell ref="D20:E20"/>
    <mergeCell ref="B21:C21"/>
    <mergeCell ref="D21:E21"/>
    <mergeCell ref="B22:C22"/>
    <mergeCell ref="D22:E22"/>
    <mergeCell ref="B17:J17"/>
    <mergeCell ref="B18:C18"/>
    <mergeCell ref="D18:E18"/>
    <mergeCell ref="B19:C19"/>
    <mergeCell ref="D19:E19"/>
    <mergeCell ref="B14:C14"/>
    <mergeCell ref="D14:E14"/>
    <mergeCell ref="F14:J14"/>
    <mergeCell ref="B15:C15"/>
    <mergeCell ref="D15:E15"/>
    <mergeCell ref="F15:J15"/>
    <mergeCell ref="B12:C12"/>
    <mergeCell ref="D12:E12"/>
    <mergeCell ref="F12:J12"/>
    <mergeCell ref="B13:C13"/>
    <mergeCell ref="D13:E13"/>
    <mergeCell ref="F13:J13"/>
    <mergeCell ref="B7:J9"/>
    <mergeCell ref="B10:C10"/>
    <mergeCell ref="D10:E10"/>
    <mergeCell ref="F10:J10"/>
    <mergeCell ref="B11:C11"/>
    <mergeCell ref="D11:E11"/>
    <mergeCell ref="F11:J11"/>
    <mergeCell ref="B1:J1"/>
    <mergeCell ref="B2:J2"/>
    <mergeCell ref="B3:J3"/>
    <mergeCell ref="B4:J4"/>
    <mergeCell ref="B6:J6"/>
  </mergeCells>
  <conditionalFormatting sqref="B3:J3">
    <cfRule type="expression" dxfId="7" priority="2">
      <formula>LEN($B$3)&gt;0</formula>
    </cfRule>
  </conditionalFormatting>
  <conditionalFormatting sqref="B19:J40">
    <cfRule type="expression" dxfId="6" priority="6">
      <formula>$I19="Done"</formula>
    </cfRule>
    <cfRule type="expression" dxfId="5" priority="7">
      <formula>$I19="Overdue"</formula>
    </cfRule>
    <cfRule type="expression" dxfId="4" priority="8">
      <formula>$I19="No date"</formula>
    </cfRule>
    <cfRule type="expression" dxfId="3" priority="9">
      <formula>$I19="Due soon"</formula>
    </cfRule>
  </conditionalFormatting>
  <conditionalFormatting sqref="D13">
    <cfRule type="expression" dxfId="2" priority="3">
      <formula>AND($D$13&lt;&gt;"",$D$13&lt;0)</formula>
    </cfRule>
    <cfRule type="expression" dxfId="1" priority="4">
      <formula>AND($D$13&lt;&gt;"",$D$13&gt;=0)</formula>
    </cfRule>
  </conditionalFormatting>
  <conditionalFormatting sqref="D15">
    <cfRule type="expression" dxfId="0" priority="5">
      <formula>$D$15&gt;0</formula>
    </cfRule>
  </conditionalFormatting>
  <hyperlinks>
    <hyperlink ref="B45" r:id="rId1" xr:uid="{00000000-0004-0000-0800-000000000000}"/>
  </hyperlinks>
  <pageMargins left="0.3" right="0.3" top="0.5" bottom="0.5" header="0.511811023622047" footer="0.511811023622047"/>
  <pageSetup paperSize="8" fitToHeight="0" orientation="landscape" horizontalDpi="300" verticalDpi="300"/>
  <rowBreaks count="1" manualBreakCount="1">
    <brk id="16" max="16383" man="1"/>
  </rowBreaks>
  <drawing r:id="rId2"/>
  <extLst>
    <ext xmlns:x14="http://schemas.microsoft.com/office/spreadsheetml/2009/9/main" uri="{CCE6A557-97BC-4b89-ADB6-D9C93CAAB3DF}">
      <x14:dataValidations xmlns:xm="http://schemas.microsoft.com/office/excel/2006/main" count="1">
        <x14:dataValidation type="list" allowBlank="1" xr:uid="{00000000-0002-0000-0800-000000000000}">
          <x14:formula1>
            <xm:f>Reference!$E$83:$E$93</xm:f>
          </x14:formula1>
          <x14:formula2>
            <xm:f>0</xm:f>
          </x14:formula2>
          <xm:sqref>D19:D40</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Cover</vt:lpstr>
      <vt:lpstr>Setup</vt:lpstr>
      <vt:lpstr>Migration Summary</vt:lpstr>
      <vt:lpstr>Inventory &amp; Applications</vt:lpstr>
      <vt:lpstr>Dependencies</vt:lpstr>
      <vt:lpstr>Waves &amp; Move Groups</vt:lpstr>
      <vt:lpstr>Cutover Runbook</vt:lpstr>
      <vt:lpstr>Decommission</vt:lpstr>
      <vt:lpstr>Exit &amp; Close-out</vt:lpstr>
      <vt:lpstr>Reference</vt:lpstr>
      <vt:lpstr>Cover!Print_Area</vt:lpstr>
      <vt:lpstr>'Cutover Runbook'!Print_Area</vt:lpstr>
      <vt:lpstr>Decommission!Print_Area</vt:lpstr>
      <vt:lpstr>Dependencies!Print_Area</vt:lpstr>
      <vt:lpstr>'Exit &amp; Close-out'!Print_Area</vt:lpstr>
      <vt:lpstr>'Inventory &amp; Applications'!Print_Area</vt:lpstr>
      <vt:lpstr>'Migration Summary'!Print_Area</vt:lpstr>
      <vt:lpstr>Reference!Print_Area</vt:lpstr>
      <vt:lpstr>Setup!Print_Area</vt:lpstr>
      <vt:lpstr>'Waves &amp; Move Groups'!Print_Area</vt:lpstr>
      <vt:lpstr>'Cutover Runbook'!Print_Titles</vt:lpstr>
      <vt:lpstr>Decommission!Print_Titles</vt:lpstr>
      <vt:lpstr>Dependencies!Print_Titles</vt:lpstr>
      <vt:lpstr>'Inventory &amp; Applications'!Print_Titles</vt:lpstr>
      <vt:lpstr>'Waves &amp; Move Groups'!Print_Titles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Jefbeck Eje</cp:lastModifiedBy>
  <cp:revision>0</cp:revision>
  <dcterms:created xsi:type="dcterms:W3CDTF">2026-08-17T05:23:27Z</dcterms:created>
  <dcterms:modified xsi:type="dcterms:W3CDTF">2026-08-17T05:31:59Z</dcterms:modified>
  <dc:language>en-US</dc:language>
</cp:coreProperties>
</file>