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RFI Summary" sheetId="3" state="visible" r:id="rId5"/>
    <sheet name="RFI Register" sheetId="4" state="visible" r:id="rId6"/>
    <sheet name="Scope &amp; Cost Impact" sheetId="5" state="visible" r:id="rId7"/>
    <sheet name="Late Information Record" sheetId="6" state="visible" r:id="rId8"/>
    <sheet name="RFI Quality" sheetId="7" state="visible" r:id="rId9"/>
    <sheet name="Reference" sheetId="8" state="visible" r:id="rId10"/>
  </sheets>
  <definedNames>
    <definedName function="false" hidden="false" localSheetId="0" name="_xlnm.Print_Area" vbProcedure="false">Cover!$A$1:$G$191</definedName>
    <definedName function="false" hidden="false" localSheetId="5" name="_xlnm.Print_Area" vbProcedure="false">'Late Information Record'!$A$1:$O$22</definedName>
    <definedName function="false" hidden="false" localSheetId="5" name="_xlnm.Print_Titles" vbProcedure="false">'Late Information Record'!$6:$6</definedName>
    <definedName function="false" hidden="true" localSheetId="5" name="_xlnm._FilterDatabase" vbProcedure="false">'Late Information Record'!$B$6:$O$18</definedName>
    <definedName function="false" hidden="false" localSheetId="7" name="_xlnm.Print_Area" vbProcedure="false">Reference!$A$1:$H$136</definedName>
    <definedName function="false" hidden="false" localSheetId="6" name="_xlnm.Print_Area" vbProcedure="false">'RFI Quality'!$A$1:$M$34</definedName>
    <definedName function="false" hidden="false" localSheetId="6" name="_xlnm.Print_Titles" vbProcedure="false">'RFI Quality'!$6:$6</definedName>
    <definedName function="false" hidden="true" localSheetId="6" name="_xlnm._FilterDatabase" vbProcedure="false">'RFI Quality'!$B$6:$M$30</definedName>
    <definedName function="false" hidden="false" localSheetId="3" name="_xlnm.Print_Area" vbProcedure="false">'RFI Register'!$A$1:$O$40</definedName>
    <definedName function="false" hidden="false" localSheetId="3" name="_xlnm.Print_Titles" vbProcedure="false">'RFI Register'!$6:$6</definedName>
    <definedName function="false" hidden="true" localSheetId="3" name="_xlnm._FilterDatabase" vbProcedure="false">'RFI Register'!$B$6:$O$36</definedName>
    <definedName function="false" hidden="false" localSheetId="2" name="_xlnm.Print_Area" vbProcedure="false">'RFI Summary'!$A$1:$I$75</definedName>
    <definedName function="false" hidden="false" localSheetId="4" name="_xlnm.Print_Area" vbProcedure="false">'Scope &amp; Cost Impact'!$A$1:$M$32</definedName>
    <definedName function="false" hidden="false" localSheetId="4" name="_xlnm.Print_Titles" vbProcedure="false">'Scope &amp; Cost Impact'!$6:$6</definedName>
    <definedName function="false" hidden="true" localSheetId="4" name="_xlnm._FilterDatabase" vbProcedure="false">'Scope &amp; Cost Impact'!$B$6:$M$28</definedName>
    <definedName function="false" hidden="false" localSheetId="1" name="_xlnm.Print_Area" vbProcedure="false">Setup!$A$1:$H$37</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<sst xmlns="http://schemas.openxmlformats.org/spreadsheetml/2006/main" count="906" uniqueCount="540">
  <si>
    <t xml:space="preserve">RFI Register</t>
  </si>
  <si>
    <t xml:space="preserve">For teams delivering capital projects, programs and portfolios</t>
  </si>
  <si>
    <t xml:space="preserve">A question about what the contract documents require, and what the answer did to the work. It carries the date the information is actually needed as well as the date the answer is due, checks that a scope change has something instructing it and that whoever answered could give it, counts down the claim window, and keeps the evidence a late answer has to be proved with.</t>
  </si>
  <si>
    <t xml:space="preserve">HOW TO USE IT</t>
  </si>
  <si>
    <t xml:space="preserve">1</t>
  </si>
  <si>
    <t xml:space="preserve">Fill in Setup, including who may actually instruct a change.</t>
  </si>
  <si>
    <t xml:space="preserve">Most contract forms do not name the RFI at all, and none of them states a number of days on its face. So the response period is yours to enter - read it off your contract, or agree it and write it down. The authority field is what lets the workbook flag a change instructed by somebody who could not instruct it.</t>
  </si>
  <si>
    <t xml:space="preserve">2</t>
  </si>
  <si>
    <t xml:space="preserve">Record the date the information is actually needed, not just a due date.</t>
  </si>
  <si>
    <t xml:space="preserve">These are two different dates and only one of them matters. A due date is administrative housekeeping. The date the answer is needed by is the one that ties the RFI to the programme, and it is the one a delay claim turns on. The register flags the two separately.</t>
  </si>
  <si>
    <t xml:space="preserve">3</t>
  </si>
  <si>
    <t xml:space="preserve">Say what the answer did, not just that it arrived.</t>
  </si>
  <si>
    <t xml:space="preserve">An answer either clarifies what was already in the documents or it changes the work. If it changed the work, something has to instruct it - and the register goes red when scope moved and no instrument was recorded against it.</t>
  </si>
  <si>
    <t xml:space="preserve">4</t>
  </si>
  <si>
    <t xml:space="preserve">Watch who answered.</t>
  </si>
  <si>
    <t xml:space="preserve">A sub-consultant answering the contractor directly is not an instruction and binds nobody, but it is evidence, and where it enlarges the work it is the beginning of a claim nobody authorised or priced. Record the role that answered and the role that instructed; the sheet checks the second against your contract.</t>
  </si>
  <si>
    <t xml:space="preserve">5</t>
  </si>
  <si>
    <t xml:space="preserve">Track the claim window, not just the answer.</t>
  </si>
  <si>
    <t xml:space="preserve">Once an answer lands that changes cost or time, the contractor's window to claim opens and then closes. Enter the period on Setup and the register counts it down for you.</t>
  </si>
  <si>
    <t xml:space="preserve">6</t>
  </si>
  <si>
    <t xml:space="preserve">Log what could not proceed, and against which programme activity.</t>
  </si>
  <si>
    <t xml:space="preserve">Raised date and answered date prove nothing on their own. What has to be shown is the date the information was needed, the activity it fed, what happened to that activity and whether it drove the finish. The Late Information Record is that evidence set.</t>
  </si>
  <si>
    <t xml:space="preserve">7</t>
  </si>
  <si>
    <t xml:space="preserve">Code the cause, and read it back at the design team.</t>
  </si>
  <si>
    <t xml:space="preserve">The same drawing package generating the same question twenty times is a design problem, not an administration problem. RFI Quality counts the causes and tells you which discipline and which package are producing them.</t>
  </si>
  <si>
    <t xml:space="preserve">WHAT IS IN THE WORKBOOK</t>
  </si>
  <si>
    <t xml:space="preserve">Sheet</t>
  </si>
  <si>
    <t xml:space="preserve">What it is for</t>
  </si>
  <si>
    <t xml:space="preserve">Setup</t>
  </si>
  <si>
    <t xml:space="preserve">The project, the contract, the periods and the thresholds. The authority field at the bottom is the one nobody fills in, and it is the one that catches answers given by people who could not give them.</t>
  </si>
  <si>
    <t xml:space="preserve">RFI Summary</t>
  </si>
  <si>
    <t xml:space="preserve">The board read. What is overdue, what is past the date the information was needed, what changed scope without an instrument, and what the answers have cost so far.</t>
  </si>
  <si>
    <t xml:space="preserve">Every RFI, what it asks, when the answer is needed, and where it stands.</t>
  </si>
  <si>
    <t xml:space="preserve">Scope &amp; Cost Impact</t>
  </si>
  <si>
    <t xml:space="preserve">What each answer did to the work. Whether scope moved, what instructed it, what it cost, and when the claim window closes.</t>
  </si>
  <si>
    <t xml:space="preserve">Late Information Record</t>
  </si>
  <si>
    <t xml:space="preserve">The evidence set for a late answer: what was needed by when, what it fed, what happened to it, and the effect on the finish.</t>
  </si>
  <si>
    <t xml:space="preserve">RFI Quality</t>
  </si>
  <si>
    <t xml:space="preserve">Which RFIs were answerable from the documents already issued, who is bearing the cost of answering them, and which causes keep recurring.</t>
  </si>
  <si>
    <t xml:space="preserve">Reference</t>
  </si>
  <si>
    <t xml:space="preserve">The colour key, the published cause codes, what belongs here and what belongs in the issue register, definitions and every dropdown source.</t>
  </si>
  <si>
    <t xml:space="preserve">THE COLOUR KEY</t>
  </si>
  <si>
    <t xml:space="preserve">Done</t>
  </si>
  <si>
    <t xml:space="preserve">Answered, and the consequence recorded.</t>
  </si>
  <si>
    <t xml:space="preserve">On track</t>
  </si>
  <si>
    <t xml:space="preserve">Open and inside its response period.</t>
  </si>
  <si>
    <t xml:space="preserve">Watch</t>
  </si>
  <si>
    <t xml:space="preserve">Inside the warning window, or a claim window closing.</t>
  </si>
  <si>
    <t xml:space="preserve">Needs a decision</t>
  </si>
  <si>
    <t xml:space="preserve">Something has to be settled before this can close.</t>
  </si>
  <si>
    <t xml:space="preserve">Blocking</t>
  </si>
  <si>
    <t xml:space="preserve">Past the date the information was needed, scope moved with nothing instructing it, or an answer given outside authority.</t>
  </si>
  <si>
    <t xml:space="preserve">Not applicable</t>
  </si>
  <si>
    <t xml:space="preserve">Void, withdrawn, or out of scope for this row.</t>
  </si>
  <si>
    <t xml:space="preserve">WHAT MOST RFI LOGS GET WRONG</t>
  </si>
  <si>
    <t xml:space="preserve">One date for when the answer is due</t>
  </si>
  <si>
    <t xml:space="preserve">A due date calculated as raised plus seven days is administration. The date that matters is the date the information is actually needed to keep the work moving, and it is set by the programme, not by the register. They are different dates, they move independently, and only the second one supports a claim or defends against one. Every free template has the first and none of them has the second.</t>
  </si>
  <si>
    <t xml:space="preserve">Assuming the contract says seven days</t>
  </si>
  <si>
    <t xml:space="preserve">It almost certainly does not say anything. The American forms name the RFI and then require an answer with reasonable promptness rather than within a stated period. The Australian and British forms do not name the RFI at all - the question runs through a discrepancy or ambiguity mechanism instead. One British form does state a period, and it is a blank the parties fill in. No standard form sets a number on its face. The most-quoted figure is one consultancy's recommendation of ten working days, offered as the authors' view, and the only public-agency dataset records requested reply periods averaging about a week - which describes practice rather than setting a rule.</t>
  </si>
  <si>
    <t xml:space="preserve">Treating the answer as the end of it</t>
  </si>
  <si>
    <t xml:space="preserve">The answer is the middle. Either it clarified something already in the documents, or it changed the work - and if it changed the work then something has to instruct that change, and a clock starts on the contractor's entitlement to claim. A register that stops at 'answered' has recorded the least important fact about the RFI.</t>
  </si>
  <si>
    <t xml:space="preserve">Letting the designer answer the contractor directly</t>
  </si>
  <si>
    <t xml:space="preserve">Under most forms the person who answers is also the one who can instruct - superintendent, engineer, project manager or architect - so an answer from that role is not the problem. The problem is the sub-consultant or the contractor's own designer answering direct. They hold no power to change anything, their answer binds nobody, and where it enlarges the work the owner finds out at the claim rather than at the decision.</t>
  </si>
  <si>
    <t xml:space="preserve">Not recording what could not proceed</t>
  </si>
  <si>
    <t xml:space="preserve">A late answer is not by itself a delay. It becomes one when you can show what it held up, that the held-up activity drove the completion date, and that you gave whatever notice your contract requires. Work does not have to have stopped and progress does not have to have slipped yet - and an answer that never touched the critical path can still cost productivity and found a disruption claim. The difference is entirely in the record, and it has to be made at the time rather than reconstructed afterwards.</t>
  </si>
  <si>
    <t xml:space="preserve">Not tracking which RFIs were answerable already</t>
  </si>
  <si>
    <t xml:space="preserve">Where the answer was in the drawings, the specification, the site conditions or earlier correspondence all along, someone is being paid twice to find it. The standard owner-architect agreement treats answering that kind of RFI as an additional service. Owners pay for it and no template counts it.</t>
  </si>
  <si>
    <t xml:space="preserve">Quoting RFI benchmarks</t>
  </si>
  <si>
    <t xml:space="preserve">Around eight hundred RFIs per project and about a thousand dollars each both come from one consultancy paper published in 2013, on a sample four fifths Australian and New Zealand and a cost built up from three firms' hourly rates. The ten-to-fifteen-per-million figure quoted alongside them is in that paper nowhere, nor in any other source we could find. Rates are strongly size-dependent and no single benchmark is defensible. Reference sets out what the numbers actually are.</t>
  </si>
  <si>
    <t xml:space="preserve">WHY IT IS BUILT THIS WAY</t>
  </si>
  <si>
    <t xml:space="preserve">Two dates, because they answer different questions</t>
  </si>
  <si>
    <t xml:space="preserve">The date the answer is due, and the date the information is actually needed. The most widely used delay protocol - guidance rather than law, and it says so itself - asks that the programme show what information is needed and when, logically linked to the activity waiting on it. Nothing that ranks for this term carries the second date at all.</t>
  </si>
  <si>
    <t xml:space="preserve">The response period is a field, because no form gives you one</t>
  </si>
  <si>
    <t xml:space="preserve">The workbook does not tell you what the period is. It asks you where yours comes from - the contract, an agreed protocol, or nothing at all - and then measures against it. Naming a number the contract does not contain is how a register ends up proving the wrong thing.</t>
  </si>
  <si>
    <t xml:space="preserve">Scope change and its instrument, tracked together</t>
  </si>
  <si>
    <t xml:space="preserve">The standard American RFI form prints it on its own face: neither the request nor the reply authorises work that adds cost or time. So the sheet asks what did, and turns red when scope moved and nothing is recorded against it.</t>
  </si>
  <si>
    <t xml:space="preserve">Authority checked, not assumed</t>
  </si>
  <si>
    <t xml:space="preserve">Setup carries who may instruct a change under this contract. Scope &amp; Cost Impact carries who actually instructed it. The sheet compares them and flags any change instructed from outside that authority - which is how a sub-consultant's answer becomes work nobody priced.</t>
  </si>
  <si>
    <t xml:space="preserve">The claim window counted down</t>
  </si>
  <si>
    <t xml:space="preserve">An answer that changes cost or time starts a period in which the contractor must claim. It differs by form and it is a field here. The register shows you the ones closing.</t>
  </si>
  <si>
    <t xml:space="preserve">Cause codes that somebody published</t>
  </si>
  <si>
    <t xml:space="preserve">The fifteen codes on Reference come from a study of a state transport authority's major projects, carried out for it by a university research centre, not from a vendor's blog post. They were designed to be counted, and counting them is what turns a register into feedback for the design team.</t>
  </si>
  <si>
    <t xml:space="preserve">No invented statistics</t>
  </si>
  <si>
    <t xml:space="preserve">There is no defensible single benchmark for RFIs per million, for response time, or for the cost of an RFI. Where the number does not exist the workbook gives you a field and measures your own project against your own contract.</t>
  </si>
  <si>
    <t xml:space="preserve">IMPORTANT</t>
  </si>
  <si>
    <t xml:space="preserve">This is a planning and record-keeping artefact, not legal advice and not a substitute for reading your contract. Response periods, notice and claim periods, who may instruct a change and what an answer does to the work are all specific to your contract and your jurisdiction - take your own legal and contract advice. Where the workbook names a role or a mechanism it is naming the concept, not asserting what your form says. Confirm the current edition of whatever your project is working to before you rely on any period recorded here.</t>
  </si>
  <si>
    <t xml:space="preserve">Built for teams delivering capital projects, programs and portfolios  ·  mastt.com</t>
  </si>
  <si>
    <t xml:space="preserve">RFI REGISTER     ·     SETUP</t>
  </si>
  <si>
    <t xml:space="preserve">The project, the contract and the periods. Section 3 is the one nobody fills in, and it is the one that lets the register tell you an answer came from somebody who could not give it.</t>
  </si>
  <si>
    <t xml:space="preserve">1  ·  THE PROJECT AND THE CONTRACT</t>
  </si>
  <si>
    <t xml:space="preserve">Project name</t>
  </si>
  <si>
    <t xml:space="preserve">EXAMPLE - Rowanbank Hospital, Assessment Unit</t>
  </si>
  <si>
    <t xml:space="preserve">Project number</t>
  </si>
  <si>
    <t xml:space="preserve">RB-2214</t>
  </si>
  <si>
    <t xml:space="preserve">Owner</t>
  </si>
  <si>
    <t xml:space="preserve">Rowanbank Health Partnership</t>
  </si>
  <si>
    <t xml:space="preserve">Register maintained by</t>
  </si>
  <si>
    <t xml:space="preserve">L. Aturu, Project Manager</t>
  </si>
  <si>
    <t xml:space="preserve">Head contractor</t>
  </si>
  <si>
    <t xml:space="preserve">Merrivale Construction</t>
  </si>
  <si>
    <t xml:space="preserve">Contract value</t>
  </si>
  <si>
    <t xml:space="preserve">Used only to work out your own RFI rate per million. There is no benchmark worth comparing it to - see Reference.</t>
  </si>
  <si>
    <t xml:space="preserve">Today</t>
  </si>
  <si>
    <t xml:space="preserve">Every countdown and overdue flag is measured against this.</t>
  </si>
  <si>
    <t xml:space="preserve">2  ·  THE PERIODS - READ THEM OFF YOUR CONTRACT</t>
  </si>
  <si>
    <t xml:space="preserve">Almost no contract form states a number of days for an RFI answer. The American general conditions name the RFI and then require reasonable promptness; the Australian and British forms do not name it at all; one widely used form leaves the period as a blank the parties fill in. So these are yours. If nothing is agreed, say so in the first field and agree something - a register measuring against a number nobody accepted proves nothing.</t>
  </si>
  <si>
    <t xml:space="preserve">Where the response period comes from</t>
  </si>
  <si>
    <t xml:space="preserve">The contract says reasonable promptness only</t>
  </si>
  <si>
    <t xml:space="preserve">If your contract states a period, use it. If it does not, this register is measuring against a house rule and everybody should know that.</t>
  </si>
  <si>
    <t xml:space="preserve">Answer needed within - P1, work stopped (days)</t>
  </si>
  <si>
    <t xml:space="preserve">Answer needed within - P2, work at risk (days)</t>
  </si>
  <si>
    <t xml:space="preserve">Answer needed within - P3, needed soon (days)</t>
  </si>
  <si>
    <t xml:space="preserve">Four targets, because one rule for a whole register is noise. An answer three days late on stopped work is worse than one ten days late on a routine query.</t>
  </si>
  <si>
    <t xml:space="preserve">Answer needed within - P4, routine (days)</t>
  </si>
  <si>
    <t xml:space="preserve">Warn me this many days before a date</t>
  </si>
  <si>
    <t xml:space="preserve">Claim window once an answer changes cost or time (days)</t>
  </si>
  <si>
    <t xml:space="preserve">Once an answer changes the work, the contractor has a period in which to claim. It differs by contract form - read yours. The register counts it down.</t>
  </si>
  <si>
    <t xml:space="preserve">3  ·  AUTHORITY - THE BLOCK NOBODY FILLS IN</t>
  </si>
  <si>
    <t xml:space="preserve">Under most forms the role that answers the RFI is also the one that can instruct a change, so an answer from that role is not the problem. A sub-consultant or the contractor's own designer answering direct is: they hold no power to change anything, and where their answer goes beyond what the documents already say it is the beginning of a claim nobody authorised. Set the role here and Scope &amp; Cost Impact flags any change instructed from outside it.</t>
  </si>
  <si>
    <t xml:space="preserve">Who may instruct a change under this contract</t>
  </si>
  <si>
    <t xml:space="preserve">Contract administrator</t>
  </si>
  <si>
    <t xml:space="preserve">Superintendent, contract administrator, architect, engineer, employer's agent or project manager depending on your form. There is only ever one of them.</t>
  </si>
  <si>
    <t xml:space="preserve">Cost of an hour spent answering an RFI</t>
  </si>
  <si>
    <t xml:space="preserve">Used on RFI Quality to price what answering them is costing, and who is bearing it. Use your consultant's charge-out rate.</t>
  </si>
  <si>
    <t xml:space="preserve">IS THE SHEET READY?</t>
  </si>
  <si>
    <t xml:space="preserve">Setup complete</t>
  </si>
  <si>
    <t xml:space="preserve">Everything above filled in.</t>
  </si>
  <si>
    <t xml:space="preserve">Visit mastt.com</t>
  </si>
  <si>
    <t xml:space="preserve">RFI REGISTER     ·     RFI SUMMARY</t>
  </si>
  <si>
    <t xml:space="preserve">The board read. Every figure counts itself from the sheets behind it - none of it is typed.</t>
  </si>
  <si>
    <t xml:space="preserve">WHERE THE RFIs STAND</t>
  </si>
  <si>
    <t xml:space="preserve">Open RFIs</t>
  </si>
  <si>
    <t xml:space="preserve">Past the date the information was needed</t>
  </si>
  <si>
    <t xml:space="preserve">Answered after it was needed</t>
  </si>
  <si>
    <t xml:space="preserve">Average days to answer</t>
  </si>
  <si>
    <t xml:space="preserve">Scope moved with nothing instructing it</t>
  </si>
  <si>
    <t xml:space="preserve">Instructed outside authority</t>
  </si>
  <si>
    <t xml:space="preserve">Value instructed from RFI answers</t>
  </si>
  <si>
    <t xml:space="preserve">Claim windows closing</t>
  </si>
  <si>
    <t xml:space="preserve">Answers that were already in the documents</t>
  </si>
  <si>
    <t xml:space="preserve">Cost of answering RFIs so far</t>
  </si>
  <si>
    <t xml:space="preserve">Work stopped with no evidence recorded</t>
  </si>
  <si>
    <t xml:space="preserve">Days of delay claimed against late answers</t>
  </si>
  <si>
    <t xml:space="preserve">RFIs per $1 million of contract value</t>
  </si>
  <si>
    <t xml:space="preserve">Your own rate, for your own trend. There is no benchmark worth comparing it to and the one in circulation is not defensible - see Reference. It will read low until the job finishes.</t>
  </si>
  <si>
    <t xml:space="preserve">Answered by the date the information was needed</t>
  </si>
  <si>
    <t xml:space="preserve">The measure that matters. Answered promptly and answered in time are different questions.</t>
  </si>
  <si>
    <t xml:space="preserve">Answers that changed the work</t>
  </si>
  <si>
    <t xml:space="preserve">A high share means the documents were not finished when they were issued. Read it with the cause codes on RFI Quality.</t>
  </si>
  <si>
    <t xml:space="preserve">Value changed with nothing instructing it</t>
  </si>
  <si>
    <t xml:space="preserve">Work being built to an answer that nobody with authority to change the contract has given. It gets paid for either way; the only question is whether it was ever priced.</t>
  </si>
  <si>
    <t xml:space="preserve">RFIs still to be assessed for impact</t>
  </si>
  <si>
    <t xml:space="preserve">Every answered RFI needs a row on Scope &amp; Cost Impact, even if the answer changed nothing. The row that was never assessed is the one that turns up as a claim.</t>
  </si>
  <si>
    <t xml:space="preserve">WHERE THEY STAND</t>
  </si>
  <si>
    <t xml:space="preserve">Status</t>
  </si>
  <si>
    <t xml:space="preserve">RFIs</t>
  </si>
  <si>
    <t xml:space="preserve">Share</t>
  </si>
  <si>
    <t xml:space="preserve">What it means</t>
  </si>
  <si>
    <t xml:space="preserve">Answered - in time</t>
  </si>
  <si>
    <t xml:space="preserve">Answered before the information was needed and inside the response period.</t>
  </si>
  <si>
    <t xml:space="preserve">Answered - outside the period</t>
  </si>
  <si>
    <t xml:space="preserve">Late against the contract, but it still landed before the work needed it.</t>
  </si>
  <si>
    <t xml:space="preserve">Answered - after it was needed</t>
  </si>
  <si>
    <t xml:space="preserve">The answer arrived after the date the work needed it. Check the Late Information Record.</t>
  </si>
  <si>
    <t xml:space="preserve">Open</t>
  </si>
  <si>
    <t xml:space="preserve">Raised, inside its period, nothing needed yet.</t>
  </si>
  <si>
    <t xml:space="preserve">Due soon</t>
  </si>
  <si>
    <t xml:space="preserve">Inside the warning window set on Setup.</t>
  </si>
  <si>
    <t xml:space="preserve">OVERDUE - outside the period</t>
  </si>
  <si>
    <t xml:space="preserve">Past the response period. The information is not needed yet, so nothing has stopped.</t>
  </si>
  <si>
    <t xml:space="preserve">OVERDUE - already needed</t>
  </si>
  <si>
    <t xml:space="preserve">Past the date the work needed it, and still unanswered. This is the one that costs money.</t>
  </si>
  <si>
    <t xml:space="preserve">Void</t>
  </si>
  <si>
    <t xml:space="preserve">Withdrawn or raised in error. Kept so the numbering has no gaps.</t>
  </si>
  <si>
    <t xml:space="preserve">BY DISCIPLINE</t>
  </si>
  <si>
    <t xml:space="preserve">Discipline</t>
  </si>
  <si>
    <t xml:space="preserve">Past the date needed</t>
  </si>
  <si>
    <t xml:space="preserve">Already in the documents</t>
  </si>
  <si>
    <t xml:space="preserve">Changed the work</t>
  </si>
  <si>
    <t xml:space="preserve">Average days</t>
  </si>
  <si>
    <t xml:space="preserve">Architectural</t>
  </si>
  <si>
    <t xml:space="preserve">Structural</t>
  </si>
  <si>
    <t xml:space="preserve">Civil</t>
  </si>
  <si>
    <t xml:space="preserve">Mechanical</t>
  </si>
  <si>
    <t xml:space="preserve">Electrical</t>
  </si>
  <si>
    <t xml:space="preserve">Hydraulic</t>
  </si>
  <si>
    <t xml:space="preserve">Fire</t>
  </si>
  <si>
    <t xml:space="preserve">Facade</t>
  </si>
  <si>
    <t xml:space="preserve">Landscape</t>
  </si>
  <si>
    <t xml:space="preserve">Specialist / user group</t>
  </si>
  <si>
    <t xml:space="preserve">Multiple</t>
  </si>
  <si>
    <t xml:space="preserve">Not known</t>
  </si>
  <si>
    <t xml:space="preserve">WHY THEY HAD TO BE RAISED</t>
  </si>
  <si>
    <t xml:space="preserve">The count that is worth reading back to the design team. A package producing the same code twenty times is a design problem, not an administration problem.</t>
  </si>
  <si>
    <t xml:space="preserve">Cause</t>
  </si>
  <si>
    <t xml:space="preserve">Hours to answer</t>
  </si>
  <si>
    <t xml:space="preserve">Cost of answering</t>
  </si>
  <si>
    <t xml:space="preserve">Design clarification</t>
  </si>
  <si>
    <t xml:space="preserve">Incomplete plans or specification</t>
  </si>
  <si>
    <t xml:space="preserve">Design coordination</t>
  </si>
  <si>
    <t xml:space="preserve">Design change</t>
  </si>
  <si>
    <t xml:space="preserve">Construction coordination</t>
  </si>
  <si>
    <t xml:space="preserve">Constructability</t>
  </si>
  <si>
    <t xml:space="preserve">Different method</t>
  </si>
  <si>
    <t xml:space="preserve">Material change</t>
  </si>
  <si>
    <t xml:space="preserve">Added scope</t>
  </si>
  <si>
    <t xml:space="preserve">Deleted scope</t>
  </si>
  <si>
    <t xml:space="preserve">Differing site condition</t>
  </si>
  <si>
    <t xml:space="preserve">Utility conflict</t>
  </si>
  <si>
    <t xml:space="preserve">Change of staging or phasing</t>
  </si>
  <si>
    <t xml:space="preserve">Value engineering</t>
  </si>
  <si>
    <t xml:space="preserve">Other</t>
  </si>
  <si>
    <t xml:space="preserve">WHO IS PAYING TO ANSWER THEM</t>
  </si>
  <si>
    <t xml:space="preserve">Who bears the cost</t>
  </si>
  <si>
    <t xml:space="preserve">Hours</t>
  </si>
  <si>
    <t xml:space="preserve">Cost</t>
  </si>
  <si>
    <t xml:space="preserve">Not chargeable</t>
  </si>
  <si>
    <t xml:space="preserve">Inside the consultant fee</t>
  </si>
  <si>
    <t xml:space="preserve">Chargeable to the contractor</t>
  </si>
  <si>
    <t xml:space="preserve">Chargeable to the owner</t>
  </si>
  <si>
    <t xml:space="preserve">Not assessed</t>
  </si>
  <si>
    <t xml:space="preserve">RFI REGISTER</t>
  </si>
  <si>
    <t xml:space="preserve">Every RFI, what it asks and where it stands. Two dates on the front end: the date the answer is due under your contract, and the date the information is actually needed. Only the second one supports a claim or defends against one.</t>
  </si>
  <si>
    <t xml:space="preserve">Ref</t>
  </si>
  <si>
    <t xml:space="preserve">What is being asked</t>
  </si>
  <si>
    <t xml:space="preserve">Kind of question</t>
  </si>
  <si>
    <t xml:space="preserve">Priority</t>
  </si>
  <si>
    <t xml:space="preserve">Raised</t>
  </si>
  <si>
    <t xml:space="preserve">Needed by</t>
  </si>
  <si>
    <t xml:space="preserve">Response due</t>
  </si>
  <si>
    <t xml:space="preserve">Answered</t>
  </si>
  <si>
    <t xml:space="preserve">Days
taken</t>
  </si>
  <si>
    <t xml:space="preserve">Answered by</t>
  </si>
  <si>
    <t xml:space="preserve">Note</t>
  </si>
  <si>
    <t xml:space="preserve">Medical gas riser penetration at level 2 is on the hydraulic layout, not structural.</t>
  </si>
  <si>
    <t xml:space="preserve">Discrepancy between documents</t>
  </si>
  <si>
    <t xml:space="preserve">P2 - Work at risk</t>
  </si>
  <si>
    <t xml:space="preserve">Answered before it was needed. This is the shape to aim for.</t>
  </si>
  <si>
    <t xml:space="preserve">Ceiling height scales at 2,700; the room data sheet says 2,850.</t>
  </si>
  <si>
    <t xml:space="preserve">P3 - Needed soon</t>
  </si>
  <si>
    <t xml:space="preserve">Architect / lead designer</t>
  </si>
  <si>
    <t xml:space="preserve">The specified linear diffuser is no longer manufactured. Confirm the substitute.</t>
  </si>
  <si>
    <t xml:space="preserve">Substitution proposed</t>
  </si>
  <si>
    <t xml:space="preserve">Discipline consultant</t>
  </si>
  <si>
    <t xml:space="preserve">Answered by the consultant direct. It changed the work.</t>
  </si>
  <si>
    <t xml:space="preserve">Ground slab thickness differs from the survey. Confirm the founding detail at grid 7.</t>
  </si>
  <si>
    <t xml:space="preserve">P1 - Work stopped</t>
  </si>
  <si>
    <t xml:space="preserve">Work stopped for two days. See the Late Information Record.</t>
  </si>
  <si>
    <t xml:space="preserve">The damper schedule does not cover the four penetrations added at the last revision.</t>
  </si>
  <si>
    <t xml:space="preserve">Information missing</t>
  </si>
  <si>
    <t xml:space="preserve">Confirm the cable route for the theatre isolated power supply - two are shown.</t>
  </si>
  <si>
    <t xml:space="preserve">Which of the two door schedules issued on the same date is current?</t>
  </si>
  <si>
    <t xml:space="preserve">Ambiguity in a document</t>
  </si>
  <si>
    <t xml:space="preserve">P4 - Routine</t>
  </si>
  <si>
    <t xml:space="preserve">Both were in the issued set. It was in the transmittal.</t>
  </si>
  <si>
    <t xml:space="preserve">Confirm the exposed soffit finish in the waiting area. Three appear in the package.</t>
  </si>
  <si>
    <t xml:space="preserve">Stormwater invert at the eastern boundary clashes with the incoming comms conduit.</t>
  </si>
  <si>
    <t xml:space="preserve">Coordination between trades</t>
  </si>
  <si>
    <t xml:space="preserve">Four days after it was needed. It became a variation.</t>
  </si>
  <si>
    <t xml:space="preserve">Facade bracket setting-out does not suit the revised slab edge.</t>
  </si>
  <si>
    <t xml:space="preserve">Is the nurse call system in this contract or the separate fitout package?</t>
  </si>
  <si>
    <t xml:space="preserve">Not a contract question</t>
  </si>
  <si>
    <t xml:space="preserve">Owner direct</t>
  </si>
  <si>
    <t xml:space="preserve">Scope question, not design. It became a variation.</t>
  </si>
  <si>
    <t xml:space="preserve">Ceiling height in the assessment bays - please confirm. (Raised again.)</t>
  </si>
  <si>
    <t xml:space="preserve">Duplicate. Answered by pointing at the earlier response.</t>
  </si>
  <si>
    <t xml:space="preserve">No waterproofing detail is shown at the shower thresholds in the accessible bays.</t>
  </si>
  <si>
    <t xml:space="preserve">The plant deck steel connection cannot be built as drawn - the bolts are unreachable.</t>
  </si>
  <si>
    <t xml:space="preserve">Two days late. Steel was already on site.</t>
  </si>
  <si>
    <t xml:space="preserve">Confirm the switchboard schedule now the chiller has been reselected.</t>
  </si>
  <si>
    <t xml:space="preserve">Can the corridor handrail be omitted where the wall is under 1,200 long?</t>
  </si>
  <si>
    <t xml:space="preserve">A saving. Accepted, and the credit taken as a variation.</t>
  </si>
  <si>
    <t xml:space="preserve">Confirm the staging for the switchover of the existing fire panel.</t>
  </si>
  <si>
    <t xml:space="preserve">Open, and the date the information was needed has already passed.</t>
  </si>
  <si>
    <t xml:space="preserve">Ductwork cannot achieve the required fall above the corridor bulkhead.</t>
  </si>
  <si>
    <t xml:space="preserve">Open, work stopped, past the date it was needed.</t>
  </si>
  <si>
    <t xml:space="preserve">Confirm the paint system to the plant room walls - the specification lists two.</t>
  </si>
  <si>
    <t xml:space="preserve">Loading dock bollard positions clash with the proposed line marking.</t>
  </si>
  <si>
    <t xml:space="preserve">Confirm the acoustic rating required to the consult room partitions.</t>
  </si>
  <si>
    <t xml:space="preserve">Is the external louvre finish to match the window frames or the soffit?</t>
  </si>
  <si>
    <t xml:space="preserve">Confirm the drainage falls to the roof plant platform.</t>
  </si>
  <si>
    <t xml:space="preserve">Raised in error - superseded by the ductwork coordination query.</t>
  </si>
  <si>
    <t xml:space="preserve">Not recorded</t>
  </si>
  <si>
    <t xml:space="preserve">Yes</t>
  </si>
  <si>
    <t xml:space="preserve">Void. Kept in the register so the numbering has no gaps.</t>
  </si>
  <si>
    <t xml:space="preserve">A due date is raised plus a period and it is administration. The date the information is needed comes off the programme and it is the only one that answers the question a claim turns on - could the work have proceeded. Where they differ, the register reports against the needed-by date first.</t>
  </si>
  <si>
    <t xml:space="preserve">RFI REGISTER     ·     SCOPE &amp; COST IMPACT</t>
  </si>
  <si>
    <t xml:space="preserve">What each answer did to the work. The standard American RFI form says on its own face that neither the request nor the reply authorises anything that adds cost or time - so this sheet asks what did, and says so when nothing has.</t>
  </si>
  <si>
    <t xml:space="preserve">What was asked</t>
  </si>
  <si>
    <t xml:space="preserve">What the answer said</t>
  </si>
  <si>
    <t xml:space="preserve">Did the work change?</t>
  </si>
  <si>
    <t xml:space="preserve">What instructed it</t>
  </si>
  <si>
    <t xml:space="preserve">Instrument ref</t>
  </si>
  <si>
    <t xml:space="preserve">Cost effect</t>
  </si>
  <si>
    <t xml:space="preserve">Time
(days)</t>
  </si>
  <si>
    <t xml:space="preserve">Instructed by</t>
  </si>
  <si>
    <t xml:space="preserve">Claim window
closes</t>
  </si>
  <si>
    <t xml:space="preserve">Days
left</t>
  </si>
  <si>
    <t xml:space="preserve">Check</t>
  </si>
  <si>
    <t xml:space="preserve">R001</t>
  </si>
  <si>
    <t xml:space="preserve">Penetration confirmed as shown on the hydraulic layout. Structural drawing reissued.</t>
  </si>
  <si>
    <t xml:space="preserve">No - already in the documents</t>
  </si>
  <si>
    <t xml:space="preserve">None - clarification only</t>
  </si>
  <si>
    <t xml:space="preserve">R002</t>
  </si>
  <si>
    <t xml:space="preserve">Room data sheet governs. 2,850 confirmed.</t>
  </si>
  <si>
    <t xml:space="preserve">R003</t>
  </si>
  <si>
    <t xml:space="preserve">Substitute diffuser confirmed. Higher unit rate and a longer lead time.</t>
  </si>
  <si>
    <t xml:space="preserve">Yes - the work changed</t>
  </si>
  <si>
    <t xml:space="preserve">Not yet decided</t>
  </si>
  <si>
    <t xml:space="preserve">R004</t>
  </si>
  <si>
    <t xml:space="preserve">Founding detail revised for the deeper slab. Extra excavation and fill.</t>
  </si>
  <si>
    <t xml:space="preserve">Variation</t>
  </si>
  <si>
    <t xml:space="preserve">VO-014</t>
  </si>
  <si>
    <t xml:space="preserve">R005</t>
  </si>
  <si>
    <t xml:space="preserve">Four dampers added to the schedule.</t>
  </si>
  <si>
    <t xml:space="preserve">VO-015</t>
  </si>
  <si>
    <t xml:space="preserve">R006</t>
  </si>
  <si>
    <t xml:space="preserve">Route B confirmed. No change to the installed length.</t>
  </si>
  <si>
    <t xml:space="preserve">R007</t>
  </si>
  <si>
    <t xml:space="preserve">The later schedule governs. It was named in the transmittal.</t>
  </si>
  <si>
    <t xml:space="preserve">R008</t>
  </si>
  <si>
    <t xml:space="preserve">Finish confirmed to the architectural finishes schedule.</t>
  </si>
  <si>
    <t xml:space="preserve">R009</t>
  </si>
  <si>
    <t xml:space="preserve">Communications conduit diverted around the stormwater line.</t>
  </si>
  <si>
    <t xml:space="preserve">VO-016</t>
  </si>
  <si>
    <t xml:space="preserve">R010</t>
  </si>
  <si>
    <t xml:space="preserve">Bracket setting-out revised to suit the built slab edge. Absorbed, but recorded.</t>
  </si>
  <si>
    <t xml:space="preserve">Partly - some of it changed</t>
  </si>
  <si>
    <t xml:space="preserve">Minor change - no cost or time</t>
  </si>
  <si>
    <t xml:space="preserve">R011</t>
  </si>
  <si>
    <t xml:space="preserve">Nurse call is in this contract. Design and installation added.</t>
  </si>
  <si>
    <t xml:space="preserve">VO-017</t>
  </si>
  <si>
    <t xml:space="preserve">R012</t>
  </si>
  <si>
    <t xml:space="preserve">See the earlier response. No further answer given.</t>
  </si>
  <si>
    <t xml:space="preserve">R013</t>
  </si>
  <si>
    <t xml:space="preserve">Threshold detail issued for the accessible bays.</t>
  </si>
  <si>
    <t xml:space="preserve">VO-018</t>
  </si>
  <si>
    <t xml:space="preserve">R014</t>
  </si>
  <si>
    <t xml:space="preserve">Connection redesigned. Directed so the work could restart; not yet priced.</t>
  </si>
  <si>
    <t xml:space="preserve">Change directive - priced later</t>
  </si>
  <si>
    <t xml:space="preserve">CD-003</t>
  </si>
  <si>
    <t xml:space="preserve">R015</t>
  </si>
  <si>
    <t xml:space="preserve">Switchboard schedule reissued for the reselected chiller.</t>
  </si>
  <si>
    <t xml:space="preserve">VO-019</t>
  </si>
  <si>
    <t xml:space="preserve">R016</t>
  </si>
  <si>
    <t xml:space="preserve">Handrail omitted below 1,200. Credit agreed - a saving is still a change.</t>
  </si>
  <si>
    <t xml:space="preserve">VO-020</t>
  </si>
  <si>
    <t xml:space="preserve">A saving is still a change and it still needs an instrument. So is a change that costs nothing today and adds two weeks. The row to look for is the one where the work changed and the instrument column is empty - somebody is building to an answer that nobody with the authority to change the contract has given.</t>
  </si>
  <si>
    <t xml:space="preserve">RFI REGISTER     ·     LATE INFORMATION RECORD</t>
  </si>
  <si>
    <t xml:space="preserve">A late answer is not by itself a delay. It becomes one when you can show what it held up and that the activity drove the completion date - and an answer that never touched the critical path can still cost productivity. The difference is entirely in the record. Make it now, not afterwards.</t>
  </si>
  <si>
    <t xml:space="preserve">Days
late</t>
  </si>
  <si>
    <t xml:space="preserve">Activity ID</t>
  </si>
  <si>
    <t xml:space="preserve">Activity it feeds</t>
  </si>
  <si>
    <t xml:space="preserve">On the
critical path</t>
  </si>
  <si>
    <t xml:space="preserve">Work
stopped</t>
  </si>
  <si>
    <t xml:space="preserve">Notice of the
date needed</t>
  </si>
  <si>
    <t xml:space="preserve">Days
claimed</t>
  </si>
  <si>
    <t xml:space="preserve">Evidence ref</t>
  </si>
  <si>
    <t xml:space="preserve">A-2140</t>
  </si>
  <si>
    <t xml:space="preserve">Ground slab, grid 6 to 8</t>
  </si>
  <si>
    <t xml:space="preserve">SITE-DIARY-0412</t>
  </si>
  <si>
    <t xml:space="preserve">Diary, photos and the labour return all show it.</t>
  </si>
  <si>
    <t xml:space="preserve">C-1080</t>
  </si>
  <si>
    <t xml:space="preserve">Eastern boundary services</t>
  </si>
  <si>
    <t xml:space="preserve">No</t>
  </si>
  <si>
    <t xml:space="preserve">EMAIL-0361</t>
  </si>
  <si>
    <t xml:space="preserve">It had float. Nothing stopped.</t>
  </si>
  <si>
    <t xml:space="preserve">S-3320</t>
  </si>
  <si>
    <t xml:space="preserve">Plant deck steel erection</t>
  </si>
  <si>
    <t xml:space="preserve">SITE-DIARY-0488</t>
  </si>
  <si>
    <t xml:space="preserve">Steel on site, could not be lifted.</t>
  </si>
  <si>
    <t xml:space="preserve">R017</t>
  </si>
  <si>
    <t xml:space="preserve">F-4010</t>
  </si>
  <si>
    <t xml:space="preserve">Fire panel switchover</t>
  </si>
  <si>
    <t xml:space="preserve">No evidence reference yet. Fix that today.</t>
  </si>
  <si>
    <t xml:space="preserve">R018</t>
  </si>
  <si>
    <t xml:space="preserve">M-2820</t>
  </si>
  <si>
    <t xml:space="preserve">Corridor services above bulkhead</t>
  </si>
  <si>
    <t xml:space="preserve">Stopped, but no notice of the date needed.</t>
  </si>
  <si>
    <t xml:space="preserve">Only put a row here where the answer landed after the date the information was needed. The most widely used delay protocol - guidance rather than law - asks that the programme show what information is needed and when, logically linked to the activity waiting on it, and that records be made as the work proceeds rather than reconstructed later. That is why the activity ID and the evidence reference are columns. Work stopping is strong evidence, not a requirement - an entitlement can arise before progress slips, and disruption needs no critical-path effect at all. A row with work stopped and no evidence reference is the one that will not survive being tested.</t>
  </si>
  <si>
    <t xml:space="preserve">RFI REGISTER     ·     RFI QUALITY</t>
  </si>
  <si>
    <t xml:space="preserve">Which RFIs were answerable from the documents already issued, what answering them is costing and who is bearing it, and which causes keep recurring. The point of coding an RFI is to read the count back to the design team.</t>
  </si>
  <si>
    <t xml:space="preserve">Raised by</t>
  </si>
  <si>
    <t xml:space="preserve">Why it had to be raised</t>
  </si>
  <si>
    <t xml:space="preserve">Was the answer already issued?</t>
  </si>
  <si>
    <t xml:space="preserve">Duplicate
of</t>
  </si>
  <si>
    <t xml:space="preserve">Who bears the cost of answering</t>
  </si>
  <si>
    <t xml:space="preserve">No - the information was not there</t>
  </si>
  <si>
    <t xml:space="preserve">Yes - it was in the documents</t>
  </si>
  <si>
    <t xml:space="preserve">It was in the issued set.</t>
  </si>
  <si>
    <t xml:space="preserve">Subcontractor via head contractor</t>
  </si>
  <si>
    <t xml:space="preserve">Site condition. Nobody's error.</t>
  </si>
  <si>
    <t xml:space="preserve">Partly</t>
  </si>
  <si>
    <t xml:space="preserve">Named in the transmittal.</t>
  </si>
  <si>
    <t xml:space="preserve">Scope, not design.</t>
  </si>
  <si>
    <t xml:space="preserve">Half an hour, and it still gets billed.</t>
  </si>
  <si>
    <t xml:space="preserve">Expensive to answer, expensive to fix.</t>
  </si>
  <si>
    <t xml:space="preserve">Followed the owner's reselection.</t>
  </si>
  <si>
    <t xml:space="preserve">Where the answer was already in the drawings, the specification, the site conditions or earlier correspondence, somebody is being paid twice to find it - and the standard owner-architect agreement treats answering that kind of RFI as an additional service, which means the owner can end up paying for it. Count them. Then read the cause column back to whichever discipline keeps generating it.</t>
  </si>
  <si>
    <t xml:space="preserve">RFI REGISTER     ·     REFERENCE</t>
  </si>
  <si>
    <t xml:space="preserve">The colour key, what the contract forms actually say, what belongs here and what belongs somewhere else, the published cause codes, definitions and every dropdown source.</t>
  </si>
  <si>
    <t xml:space="preserve">THE COLOUR KEY - THE SAME SIX MEANINGS ON EVERY SHEET</t>
  </si>
  <si>
    <t xml:space="preserve">Colour</t>
  </si>
  <si>
    <t xml:space="preserve">It means</t>
  </si>
  <si>
    <t xml:space="preserve">When you will see it</t>
  </si>
  <si>
    <t xml:space="preserve">DONE</t>
  </si>
  <si>
    <t xml:space="preserve">ON TRACK</t>
  </si>
  <si>
    <t xml:space="preserve">WATCH</t>
  </si>
  <si>
    <t xml:space="preserve">NEEDS A DECISION</t>
  </si>
  <si>
    <t xml:space="preserve">BLOCKING</t>
  </si>
  <si>
    <t xml:space="preserve">NOT APPLICABLE</t>
  </si>
  <si>
    <t xml:space="preserve">WHAT THE CONTRACT FORMS ACTUALLY SAY</t>
  </si>
  <si>
    <t xml:space="preserve">Most contract forms do not mention the RFI. The American general conditions name it and require an answer with reasonable promptness, without stating a period. The Australian and British forms do not name it at all - the same question travels as a discrepancy, an ambiguity or a request for a direction, and the superintendent or contract administrator answers it. One British form takes a harder route: it leaves the reply period as a blank the parties fill in, and a failure to reply inside that period is itself a compensable event. No standard form states a fixed number of days on its face. That absence is worth knowing, because it means the seven-day rule you have been quoted is somebody's house practice. Find out what your contract actually says, write it on Setup, and measure against that.</t>
  </si>
  <si>
    <t xml:space="preserve">WHO MAY ACTUALLY ANSWER, AND WHAT AN ANSWER IS NOT</t>
  </si>
  <si>
    <t xml:space="preserve">Answering a question and changing the work are two different acts, even when the same person does both - and under most standard forms they are the same person. The superintendent, engineer, project manager or architect who answers the query is usually also the one who can instruct a variation, but only by issuing the instrument the contract names for it. Under the American form even that is split three ways: a minor change may be issued by the architect alone, a change directive needs the owner as well, and a change order needs the owner, the contractor and the architect. The standard American RFI form prints the point on its face - neither the request nor the reply authorises work that adds cost or time. Where a sub-consultant or the contractor's own designer answers, they hold none of these powers at all. Their answer is a professional opinion, and where it goes beyond what the documents already say it is the beginning of a claim nobody authorised. That is why this workbook records the role that instructed as well as the role that answered, and flags a change instructed from outside the authority you set on Setup.</t>
  </si>
  <si>
    <t xml:space="preserve">WHY THERE IS NO RFI BENCHMARK WORTH QUOTING</t>
  </si>
  <si>
    <t xml:space="preserve">There is no defensible single benchmark for RFIs per million of construction value. The figures in wide circulation trace to one consultancy paper published in 2013, whose volume sample is four fifths Australian and New Zealand projects drawn from a document-management database between 2001 and 2012, whose cost figure is built up from the hourly rates of three firms, and whose headline per-project cost is simply those two numbers multiplied together. That paper puts the ratio at 9.9 per million overall - an average hiding a spread from about 17 per million on projects of tens of millions to about 1 on projects of billions. The only public-agency dataset we could find, covering eighteen highway contracts, averaged 2.5 per million and ranged from 0.1 to 9.9. If you have been quoted ten to fifteen per million, ask where it comes from: it is not in either source. Rate depends on size, procurement route and how complete the documents were, and your own rate will read low until the job finishes, because the published figures are for completed projects. Measure your own trend; do not compare it to somebody else's number.</t>
  </si>
  <si>
    <t xml:space="preserve">WHAT BELONGS HERE, AND WHAT BELONGS SOMEWHERE ELSE</t>
  </si>
  <si>
    <t xml:space="preserve">If it is...</t>
  </si>
  <si>
    <t xml:space="preserve">It goes in</t>
  </si>
  <si>
    <t xml:space="preserve">Why</t>
  </si>
  <si>
    <t xml:space="preserve">A question about what the contract documents mean or require</t>
  </si>
  <si>
    <t xml:space="preserve">Here</t>
  </si>
  <si>
    <t xml:space="preserve">This is the artefact. Question, answer, and what the answer did.</t>
  </si>
  <si>
    <t xml:space="preserve">A matter that has already gone wrong and needs a decision above the project manager</t>
  </si>
  <si>
    <t xml:space="preserve">Issue register</t>
  </si>
  <si>
    <t xml:space="preserve">Different artefact. Its job is escalation against delegated authority, not clarification.</t>
  </si>
  <si>
    <t xml:space="preserve">Work that does not comply and has to be put right</t>
  </si>
  <si>
    <t xml:space="preserve">Non-conformance register</t>
  </si>
  <si>
    <t xml:space="preserve">An RFI asks what was required. An NCR says what was built did not match it.</t>
  </si>
  <si>
    <t xml:space="preserve">A change to the work, once it has been instructed</t>
  </si>
  <si>
    <t xml:space="preserve">Variation register</t>
  </si>
  <si>
    <t xml:space="preserve">The RFI records that the answer changed the work. The variation register carries the change itself, its valuation and its approval.</t>
  </si>
  <si>
    <t xml:space="preserve">A drawing, sample or product data awaiting review</t>
  </si>
  <si>
    <t xml:space="preserve">Submittal register</t>
  </si>
  <si>
    <t xml:space="preserve">Opposite direction. A submittal is the contractor sending something for review; an RFI is the contractor asking for something.</t>
  </si>
  <si>
    <t xml:space="preserve">Something that might go wrong later</t>
  </si>
  <si>
    <t xml:space="preserve">Risk register</t>
  </si>
  <si>
    <t xml:space="preserve">Not yet a question about the documents.</t>
  </si>
  <si>
    <t xml:space="preserve">A defect found at or after completion</t>
  </si>
  <si>
    <t xml:space="preserve">Defects list</t>
  </si>
  <si>
    <t xml:space="preserve">Different stage, different remedy.</t>
  </si>
  <si>
    <t xml:space="preserve">A formal contractual notice</t>
  </si>
  <si>
    <t xml:space="preserve">Wherever your contract requires it to go</t>
  </si>
  <si>
    <t xml:space="preserve">A line in a register is not a notice. If your contract requires a separate written communication, the register entry does not discharge it.</t>
  </si>
  <si>
    <t xml:space="preserve">THE FIFTEEN CAUSE CODES, AND WHY THESE ONES</t>
  </si>
  <si>
    <t xml:space="preserve">These come from a study of a state transport authority's major projects, carried out for it by a university research centre, which replaced the agency's earlier set of seven after finding them too general to draw useful conclusions from. They matter because they were designed to be counted: the point of coding an RFI is to read the count back to the design team and shorten the next set of documents. Most code lists in circulation are a software vendor's invention.</t>
  </si>
  <si>
    <t xml:space="preserve">Code</t>
  </si>
  <si>
    <t xml:space="preserve">The documents say it, but not clearly enough to build from.</t>
  </si>
  <si>
    <t xml:space="preserve">It is not there. The commonest code and the one that should embarrass somebody.</t>
  </si>
  <si>
    <t xml:space="preserve">Two disciplines say different things about the same thing.</t>
  </si>
  <si>
    <t xml:space="preserve">The design moved after issue.</t>
  </si>
  <si>
    <t xml:space="preserve">Sequencing or interface between trades on site.</t>
  </si>
  <si>
    <t xml:space="preserve">It is drawn, and it cannot be built that way.</t>
  </si>
  <si>
    <t xml:space="preserve">The contractor proposes another way of doing it.</t>
  </si>
  <si>
    <t xml:space="preserve">The specified product is unavailable, superseded or unsuitable.</t>
  </si>
  <si>
    <t xml:space="preserve">Something not in the contract is being asked for.</t>
  </si>
  <si>
    <t xml:space="preserve">Something in the contract is being removed.</t>
  </si>
  <si>
    <t xml:space="preserve">What is there is not what the documents assumed.</t>
  </si>
  <si>
    <t xml:space="preserve">An existing service is in the way.</t>
  </si>
  <si>
    <t xml:space="preserve">The order or the handover sequence moved.</t>
  </si>
  <si>
    <t xml:space="preserve">A proposal to do it cheaper. A saving is still a change.</t>
  </si>
  <si>
    <t xml:space="preserve">Use sparingly. A register where a quarter of the rows say Other is not coded.</t>
  </si>
  <si>
    <t xml:space="preserve">DEFINITIONS</t>
  </si>
  <si>
    <t xml:space="preserve">RFI</t>
  </si>
  <si>
    <t xml:space="preserve">A request for information: a written question from one party to another about what the contract documents require. In most contract forms it is an industry practice rather than a named mechanism.</t>
  </si>
  <si>
    <t xml:space="preserve">Date needed by</t>
  </si>
  <si>
    <t xml:space="preserve">The date the answer has to be in hand for the work to proceed as programmed. Set by the programme, not by the register, and different from the response due date.</t>
  </si>
  <si>
    <t xml:space="preserve">Response due date</t>
  </si>
  <si>
    <t xml:space="preserve">Raised date plus the response period. Administrative. It says whether the answer was prompt; it does not say whether it was in time.</t>
  </si>
  <si>
    <t xml:space="preserve">Response period</t>
  </si>
  <si>
    <t xml:space="preserve">How long the answering party has. A field here, because almost no contract form states one - most require reasonable promptness and one leaves it as a blank for the parties to fill in.</t>
  </si>
  <si>
    <t xml:space="preserve">Whichever role your contract gives the power to direct and to instruct change - superintendent, contract administrator, architect, engineer or project manager depending on the form. There is only ever one of them.</t>
  </si>
  <si>
    <t xml:space="preserve">Instruction</t>
  </si>
  <si>
    <t xml:space="preserve">A direction that changes the work, given by whichever role your contract empowers and by the instrument it names. An RFI answer is not an instruction - the standard American RFI form says so on its face.</t>
  </si>
  <si>
    <t xml:space="preserve">Minor change</t>
  </si>
  <si>
    <t xml:space="preserve">A change the contract administrator may direct alone because it adds no cost and no time. The moment it adds either, it is not a minor change.</t>
  </si>
  <si>
    <t xml:space="preserve">An instructed change to the work, valued under the contract. Called a change order in North America.</t>
  </si>
  <si>
    <t xml:space="preserve">Change directive</t>
  </si>
  <si>
    <t xml:space="preserve">A direction to proceed with changed work before the price is agreed. Used when waiting for agreement would stop the job.</t>
  </si>
  <si>
    <t xml:space="preserve">Compensation event</t>
  </si>
  <si>
    <t xml:space="preserve">The mechanism in one widely used form by which a defined event, including a failure to reply within the stated period, entitles the contractor to an assessment of time and money.</t>
  </si>
  <si>
    <t xml:space="preserve">Claim window</t>
  </si>
  <si>
    <t xml:space="preserve">The period after an event within which the contractor must give notice or lose the entitlement. It varies by form; put yours on Setup.</t>
  </si>
  <si>
    <t xml:space="preserve">Answerable from the documents</t>
  </si>
  <si>
    <t xml:space="preserve">Whether the answer was already in the drawings, the specification, the site conditions or earlier correspondence. Where it was, somebody is being paid twice.</t>
  </si>
  <si>
    <t xml:space="preserve">Cause code</t>
  </si>
  <si>
    <t xml:space="preserve">Why the RFI had to be raised at all. The fifteen used here come from a published government study rather than from a software vendor.</t>
  </si>
  <si>
    <t xml:space="preserve">Critical path</t>
  </si>
  <si>
    <t xml:space="preserve">The sequence of activities that sets the completion date. A late answer on an activity with float is an irritation; on the critical path it is a delay.</t>
  </si>
  <si>
    <t xml:space="preserve">Float</t>
  </si>
  <si>
    <t xml:space="preserve">The time an activity can slip without moving the completion date.</t>
  </si>
  <si>
    <t xml:space="preserve">Contemporaneous record</t>
  </si>
  <si>
    <t xml:space="preserve">A record made at the time of the event or immediately after, not reconstructed later. It is the only kind that carries weight.</t>
  </si>
  <si>
    <t xml:space="preserve">THE SAME THING, CALLED SOMETHING ELSE</t>
  </si>
  <si>
    <t xml:space="preserve">Used here</t>
  </si>
  <si>
    <t xml:space="preserve">Also called</t>
  </si>
  <si>
    <t xml:space="preserve">RFI register</t>
  </si>
  <si>
    <t xml:space="preserve">RFI log, RFI tracker, RFI schedule, information request register</t>
  </si>
  <si>
    <t xml:space="preserve">Register is the Australian term and log the North American one. British practice uses both about equally. Same artefact.</t>
  </si>
  <si>
    <t xml:space="preserve">Superintendent, architect, engineer, employer's agent, project manager</t>
  </si>
  <si>
    <t xml:space="preserve">The role differs by contract form and by market. There is one of them, and only that role may instruct a change.</t>
  </si>
  <si>
    <t xml:space="preserve">Change order, contract modification, VO</t>
  </si>
  <si>
    <t xml:space="preserve">Change order is the North American term.</t>
  </si>
  <si>
    <t xml:space="preserve">Required-by date, information required date, requested reply date</t>
  </si>
  <si>
    <t xml:space="preserve">The date that matters. Not the due date.</t>
  </si>
  <si>
    <t xml:space="preserve">Unjustified RFI, avoidable RFI, non-value-adding RFI</t>
  </si>
  <si>
    <t xml:space="preserve">The question is whether the answer was already issued, not whether the question was reasonable to ask.</t>
  </si>
  <si>
    <t xml:space="preserve">Non-conformance</t>
  </si>
  <si>
    <t xml:space="preserve">NCR, defect notice, quality deviation</t>
  </si>
  <si>
    <t xml:space="preserve">Different register. What was built did not match what was required.</t>
  </si>
  <si>
    <t xml:space="preserve">HOW TO READ A CELL</t>
  </si>
  <si>
    <t xml:space="preserve">Pale blue</t>
  </si>
  <si>
    <t xml:space="preserve">You type here.</t>
  </si>
  <si>
    <t xml:space="preserve">Off white</t>
  </si>
  <si>
    <t xml:space="preserve">Worked out for you. Do not type over it.</t>
  </si>
  <si>
    <t xml:space="preserve">Pale cyan</t>
  </si>
  <si>
    <t xml:space="preserve">Column heading.</t>
  </si>
  <si>
    <t xml:space="preserve">Grey</t>
  </si>
  <si>
    <t xml:space="preserve">Reference, or something that does not apply.</t>
  </si>
  <si>
    <t xml:space="preserve">DROPDOWN SOURCES - EDIT THESE AND EVERY LIST IN THE WORKBOOK FOLLOWS</t>
  </si>
  <si>
    <t xml:space="preserve">Mechanism</t>
  </si>
  <si>
    <t xml:space="preserve">Role</t>
  </si>
  <si>
    <t xml:space="preserve">Yes or no</t>
  </si>
  <si>
    <t xml:space="preserve">Period source</t>
  </si>
  <si>
    <t xml:space="preserve">The contract states a period</t>
  </si>
  <si>
    <t xml:space="preserve">Superintendent</t>
  </si>
  <si>
    <t xml:space="preserve">Agreed separately in a protocol</t>
  </si>
  <si>
    <t xml:space="preserve">Owner's consultant</t>
  </si>
  <si>
    <t xml:space="preserve">Nothing agreed</t>
  </si>
  <si>
    <t xml:space="preserve">Contractor's own designer</t>
  </si>
  <si>
    <t xml:space="preserve">Instrument</t>
  </si>
  <si>
    <t xml:space="preserve">Did the work change</t>
  </si>
  <si>
    <t xml:space="preserve">Chargeable to</t>
  </si>
  <si>
    <t xml:space="preserve">Answerable</t>
  </si>
  <si>
    <t xml:space="preserve">Change order</t>
  </si>
  <si>
    <t xml:space="preserve">Disputed</t>
  </si>
  <si>
    <t xml:space="preserve">Not yet assessed</t>
  </si>
  <si>
    <t xml:space="preserve">Provisional sum adjustment</t>
  </si>
  <si>
    <t xml:space="preserve">Disputed - not agreed</t>
  </si>
</sst>
</file>

<file path=xl/styles.xml><?xml version="1.0" encoding="utf-8"?>
<styleSheet xmlns="http://schemas.openxmlformats.org/spreadsheetml/2006/main">
  <numFmts count="7">
    <numFmt numFmtId="164" formatCode="General"/>
    <numFmt numFmtId="165" formatCode="\$#,##0;[RED]&quot;($&quot;#,##0\);\-"/>
    <numFmt numFmtId="166" formatCode="d\ mmm\ yyyy"/>
    <numFmt numFmtId="167" formatCode="0"/>
    <numFmt numFmtId="168" formatCode="0%;\-0%;\-"/>
    <numFmt numFmtId="169" formatCode="#,##0;\-#,##0;\-"/>
    <numFmt numFmtId="170" formatCode="#,##0.0;\-#,##0.0;\-"/>
  </numFmts>
  <fonts count="33">
    <font>
      <sz val="11"/>
      <color theme="1"/>
      <name val="Calibri"/>
      <family val="2"/>
      <charset val="1"/>
    </font>
    <font>
      <sz val="10"/>
      <name val="Arial"/>
      <family val="0"/>
    </font>
    <font>
      <sz val="10"/>
      <name val="Arial"/>
      <family val="0"/>
    </font>
    <font>
      <sz val="10"/>
      <name val="Arial"/>
      <family val="0"/>
    </font>
    <font>
      <b val="true"/>
      <sz val="11"/>
      <color rgb="FFFFFFFF"/>
      <name val="Inter"/>
      <family val="0"/>
      <charset val="1"/>
    </font>
    <font>
      <b val="true"/>
      <sz val="26"/>
      <color rgb="FF1D3245"/>
      <name val="Inter"/>
      <family val="0"/>
      <charset val="1"/>
    </font>
    <font>
      <sz val="11"/>
      <color rgb="FF3480BC"/>
      <name val="Inter"/>
      <family val="0"/>
      <charset val="1"/>
    </font>
    <font>
      <sz val="10.5"/>
      <color rgb="FF1D3245"/>
      <name val="Inter"/>
      <family val="0"/>
      <charset val="1"/>
    </font>
    <font>
      <b val="true"/>
      <sz val="10"/>
      <color rgb="FF1D3245"/>
      <name val="Inter"/>
      <family val="0"/>
      <charset val="1"/>
    </font>
    <font>
      <b val="true"/>
      <sz val="10"/>
      <color rgb="FF0D3C61"/>
      <name val="Inter"/>
      <family val="0"/>
      <charset val="1"/>
    </font>
    <font>
      <sz val="9.5"/>
      <color rgb="FF1D3245"/>
      <name val="Inter"/>
      <family val="0"/>
      <charset val="1"/>
    </font>
    <font>
      <b val="true"/>
      <sz val="9.5"/>
      <color rgb="FF0D3C61"/>
      <name val="Inter"/>
      <family val="0"/>
      <charset val="1"/>
    </font>
    <font>
      <b val="true"/>
      <u val="single"/>
      <sz val="10"/>
      <color rgb="FF3480BC"/>
      <name val="Inter"/>
      <family val="0"/>
      <charset val="1"/>
    </font>
    <font>
      <b val="true"/>
      <sz val="9"/>
      <color rgb="FF1D3245"/>
      <name val="Inter"/>
      <family val="0"/>
      <charset val="1"/>
    </font>
    <font>
      <b val="true"/>
      <sz val="9.5"/>
      <color rgb="FF4CAF50"/>
      <name val="Inter"/>
      <family val="0"/>
      <charset val="1"/>
    </font>
    <font>
      <b val="true"/>
      <sz val="9.5"/>
      <color rgb="FF0B79D0"/>
      <name val="Inter"/>
      <family val="0"/>
      <charset val="1"/>
    </font>
    <font>
      <b val="true"/>
      <sz val="9.5"/>
      <color rgb="FFFFB547"/>
      <name val="Inter"/>
      <family val="0"/>
      <charset val="1"/>
    </font>
    <font>
      <b val="true"/>
      <sz val="9"/>
      <color rgb="FFFFFFFF"/>
      <name val="Inter"/>
      <family val="0"/>
      <charset val="1"/>
    </font>
    <font>
      <b val="true"/>
      <sz val="9.5"/>
      <color rgb="FFEC6917"/>
      <name val="Inter"/>
      <family val="0"/>
      <charset val="1"/>
    </font>
    <font>
      <b val="true"/>
      <sz val="9.5"/>
      <color rgb="FFE31B0C"/>
      <name val="Inter"/>
      <family val="0"/>
      <charset val="1"/>
    </font>
    <font>
      <b val="true"/>
      <sz val="9.5"/>
      <color rgb="FF8E98A2"/>
      <name val="Inter"/>
      <family val="0"/>
      <charset val="1"/>
    </font>
    <font>
      <u val="single"/>
      <sz val="9.5"/>
      <color rgb="FF3480BC"/>
      <name val="Inter"/>
      <family val="0"/>
      <charset val="1"/>
    </font>
    <font>
      <b val="true"/>
      <sz val="13"/>
      <color rgb="FFFFFFFF"/>
      <name val="Inter"/>
      <family val="0"/>
      <charset val="1"/>
    </font>
    <font>
      <b val="true"/>
      <sz val="9.5"/>
      <color rgb="FF1D3245"/>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b val="true"/>
      <sz val="20"/>
      <color rgb="FF0B79D0"/>
      <name val="Inter"/>
      <family val="0"/>
      <charset val="1"/>
    </font>
    <font>
      <b val="true"/>
      <sz val="20"/>
      <color rgb="FFE31B0C"/>
      <name val="Inter"/>
      <family val="0"/>
      <charset val="1"/>
    </font>
    <font>
      <b val="true"/>
      <sz val="20"/>
      <color rgb="FFEC6917"/>
      <name val="Inter"/>
      <family val="0"/>
      <charset val="1"/>
    </font>
    <font>
      <b val="true"/>
      <sz val="20"/>
      <color rgb="FFFFB547"/>
      <name val="Inter"/>
      <family val="0"/>
      <charset val="1"/>
    </font>
    <font>
      <sz val="9.5"/>
      <color rgb="FF0D3C61"/>
      <name val="Inter"/>
      <family val="0"/>
      <charset val="1"/>
    </font>
    <font>
      <b val="true"/>
      <sz val="9.5"/>
      <color rgb="FFFFFFFF"/>
      <name val="Inter"/>
      <family val="0"/>
      <charset val="1"/>
    </font>
  </fonts>
  <fills count="25">
    <fill>
      <patternFill patternType="none"/>
    </fill>
    <fill>
      <patternFill patternType="gray125"/>
    </fill>
    <fill>
      <patternFill patternType="solid">
        <fgColor rgb="FF1D3245"/>
        <bgColor rgb="FF0D3C61"/>
      </patternFill>
    </fill>
    <fill>
      <patternFill patternType="solid">
        <fgColor rgb="FF3480BC"/>
        <bgColor rgb="FF0B79D0"/>
      </patternFill>
    </fill>
    <fill>
      <patternFill patternType="solid">
        <fgColor rgb="FF0D3C61"/>
        <bgColor rgb="FF1D3245"/>
      </patternFill>
    </fill>
    <fill>
      <patternFill patternType="solid">
        <fgColor rgb="FF64B6F7"/>
        <bgColor rgb="FF33CCCC"/>
      </patternFill>
    </fill>
    <fill>
      <patternFill patternType="solid">
        <fgColor rgb="FFDCE9F4"/>
        <bgColor rgb="FFE3F0FA"/>
      </patternFill>
    </fill>
    <fill>
      <patternFill patternType="solid">
        <fgColor rgb="FF215383"/>
        <bgColor rgb="FF0D3C61"/>
      </patternFill>
    </fill>
    <fill>
      <patternFill patternType="solid">
        <fgColor rgb="FFFFFFFF"/>
        <bgColor rgb="FFF6F9FC"/>
      </patternFill>
    </fill>
    <fill>
      <patternFill patternType="solid">
        <fgColor rgb="FFF5F5F5"/>
        <bgColor rgb="FFF6F9FC"/>
      </patternFill>
    </fill>
    <fill>
      <patternFill patternType="solid">
        <fgColor rgb="FF0B79D0"/>
        <bgColor rgb="FF3480BC"/>
      </patternFill>
    </fill>
    <fill>
      <patternFill patternType="solid">
        <fgColor rgb="FFEC6917"/>
        <bgColor rgb="FFFF9900"/>
      </patternFill>
    </fill>
    <fill>
      <patternFill patternType="solid">
        <fgColor rgb="FFE31B0C"/>
        <bgColor rgb="FF993300"/>
      </patternFill>
    </fill>
    <fill>
      <patternFill patternType="solid">
        <fgColor rgb="FF4CAF50"/>
        <bgColor rgb="FF8E98A2"/>
      </patternFill>
    </fill>
    <fill>
      <patternFill patternType="solid">
        <fgColor rgb="FF8E98A2"/>
        <bgColor rgb="FF808080"/>
      </patternFill>
    </fill>
    <fill>
      <patternFill patternType="solid">
        <fgColor rgb="FFE8F5E9"/>
        <bgColor rgb="FFEEEEEE"/>
      </patternFill>
    </fill>
    <fill>
      <patternFill patternType="solid">
        <fgColor rgb="FFE3F0FA"/>
        <bgColor rgb="FFDCE9F4"/>
      </patternFill>
    </fill>
    <fill>
      <patternFill patternType="solid">
        <fgColor rgb="FFFFB547"/>
        <bgColor rgb="FFFF9900"/>
      </patternFill>
    </fill>
    <fill>
      <patternFill patternType="solid">
        <fgColor rgb="FFFFF4E0"/>
        <bgColor rgb="FFFDEBE0"/>
      </patternFill>
    </fill>
    <fill>
      <patternFill patternType="solid">
        <fgColor rgb="FFFDEBE0"/>
        <bgColor rgb="FFFDEBE9"/>
      </patternFill>
    </fill>
    <fill>
      <patternFill patternType="solid">
        <fgColor rgb="FFFDEBE9"/>
        <bgColor rgb="FFFDEBE0"/>
      </patternFill>
    </fill>
    <fill>
      <patternFill patternType="solid">
        <fgColor rgb="FFE0E0E0"/>
        <bgColor rgb="FFD3DEE9"/>
      </patternFill>
    </fill>
    <fill>
      <patternFill patternType="solid">
        <fgColor rgb="FFEEEEEE"/>
        <bgColor rgb="FFE8F5E9"/>
      </patternFill>
    </fill>
    <fill>
      <patternFill patternType="solid">
        <fgColor rgb="FFF6F9FC"/>
        <bgColor rgb="FFF5F5F5"/>
      </patternFill>
    </fill>
    <fill>
      <patternFill patternType="solid">
        <fgColor rgb="FFD3DEE9"/>
        <bgColor rgb="FFE0E0E0"/>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4" fillId="3"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4" fillId="4" borderId="0" xfId="0" applyFont="true" applyBorder="true" applyAlignment="true" applyProtection="false">
      <alignment horizontal="left" vertical="center" textRotation="0" wrapText="false" indent="1"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0" borderId="0" xfId="0" applyFont="true" applyBorder="true" applyAlignment="true" applyProtection="false">
      <alignment horizontal="left" vertical="top" textRotation="0" wrapText="true" indent="1" shrinkToFit="false"/>
      <protection locked="true" hidden="false"/>
    </xf>
    <xf numFmtId="164" fontId="11" fillId="6" borderId="2" xfId="0" applyFont="true" applyBorder="true" applyAlignment="true" applyProtection="false">
      <alignment horizontal="center" vertical="center" textRotation="0" wrapText="true" indent="0" shrinkToFit="false"/>
      <protection locked="true" hidden="false"/>
    </xf>
    <xf numFmtId="164" fontId="0" fillId="7" borderId="1" xfId="0" applyFont="false" applyBorder="true" applyAlignment="false" applyProtection="false">
      <alignment horizontal="general" vertical="bottom" textRotation="0" wrapText="false" indent="0" shrinkToFit="false"/>
      <protection locked="true" hidden="false"/>
    </xf>
    <xf numFmtId="164" fontId="12" fillId="8" borderId="1" xfId="0" applyFont="true" applyBorder="true" applyAlignment="true" applyProtection="false">
      <alignment horizontal="left" vertical="center" textRotation="0" wrapText="true" indent="1" shrinkToFit="false"/>
      <protection locked="true" hidden="false"/>
    </xf>
    <xf numFmtId="164" fontId="10" fillId="8" borderId="1" xfId="0" applyFont="true" applyBorder="true" applyAlignment="true" applyProtection="false">
      <alignment horizontal="left" vertical="center" textRotation="0" wrapText="true" indent="1"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2" fillId="9" borderId="1" xfId="0" applyFont="true" applyBorder="true" applyAlignment="true" applyProtection="false">
      <alignment horizontal="left" vertical="center" textRotation="0" wrapText="true" indent="1" shrinkToFit="false"/>
      <protection locked="true" hidden="false"/>
    </xf>
    <xf numFmtId="164" fontId="10" fillId="9" borderId="1" xfId="0" applyFont="true" applyBorder="true" applyAlignment="true" applyProtection="false">
      <alignment horizontal="left" vertical="center" textRotation="0" wrapText="true" indent="1" shrinkToFit="false"/>
      <protection locked="true" hidden="false"/>
    </xf>
    <xf numFmtId="164" fontId="0" fillId="10" borderId="1" xfId="0" applyFont="false" applyBorder="true" applyAlignment="false" applyProtection="false">
      <alignment horizontal="general" vertical="bottom" textRotation="0" wrapText="false" indent="0" shrinkToFit="false"/>
      <protection locked="true" hidden="false"/>
    </xf>
    <xf numFmtId="164" fontId="0" fillId="11" borderId="1" xfId="0" applyFont="false" applyBorder="true" applyAlignment="false" applyProtection="false">
      <alignment horizontal="general" vertical="bottom" textRotation="0" wrapText="false" indent="0" shrinkToFit="false"/>
      <protection locked="true" hidden="false"/>
    </xf>
    <xf numFmtId="164" fontId="0" fillId="12" borderId="1" xfId="0" applyFont="false" applyBorder="true" applyAlignment="false" applyProtection="false">
      <alignment horizontal="general" vertical="bottom" textRotation="0" wrapText="false" indent="0" shrinkToFit="false"/>
      <protection locked="true" hidden="false"/>
    </xf>
    <xf numFmtId="164" fontId="0" fillId="13" borderId="1" xfId="0" applyFont="false" applyBorder="true" applyAlignment="false" applyProtection="false">
      <alignment horizontal="general" vertical="bottom" textRotation="0" wrapText="false" indent="0" shrinkToFit="false"/>
      <protection locked="true" hidden="false"/>
    </xf>
    <xf numFmtId="164" fontId="0" fillId="14" borderId="1" xfId="0" applyFont="false" applyBorder="true" applyAlignment="false" applyProtection="false">
      <alignment horizontal="general" vertical="bottom" textRotation="0" wrapText="false" indent="0" shrinkToFit="false"/>
      <protection locked="true" hidden="false"/>
    </xf>
    <xf numFmtId="164" fontId="13" fillId="13" borderId="1" xfId="0" applyFont="true" applyBorder="true" applyAlignment="true" applyProtection="false">
      <alignment horizontal="center" vertical="center" textRotation="0" wrapText="false" indent="0" shrinkToFit="false"/>
      <protection locked="true" hidden="false"/>
    </xf>
    <xf numFmtId="164" fontId="14" fillId="15" borderId="1" xfId="0" applyFont="true" applyBorder="true" applyAlignment="true" applyProtection="false">
      <alignment horizontal="left" vertical="center" textRotation="0" wrapText="false" indent="1" shrinkToFit="false"/>
      <protection locked="true" hidden="false"/>
    </xf>
    <xf numFmtId="164" fontId="13" fillId="5" borderId="1" xfId="0" applyFont="true" applyBorder="true" applyAlignment="true" applyProtection="false">
      <alignment horizontal="center" vertical="center" textRotation="0" wrapText="false" indent="0" shrinkToFit="false"/>
      <protection locked="true" hidden="false"/>
    </xf>
    <xf numFmtId="164" fontId="15" fillId="16" borderId="1" xfId="0" applyFont="true" applyBorder="true" applyAlignment="true" applyProtection="false">
      <alignment horizontal="left" vertical="center" textRotation="0" wrapText="false" indent="1" shrinkToFit="false"/>
      <protection locked="true" hidden="false"/>
    </xf>
    <xf numFmtId="164" fontId="13" fillId="17" borderId="1" xfId="0" applyFont="true" applyBorder="true" applyAlignment="true" applyProtection="false">
      <alignment horizontal="center" vertical="center" textRotation="0" wrapText="false" indent="0" shrinkToFit="false"/>
      <protection locked="true" hidden="false"/>
    </xf>
    <xf numFmtId="164" fontId="16" fillId="18" borderId="1" xfId="0" applyFont="true" applyBorder="true" applyAlignment="true" applyProtection="false">
      <alignment horizontal="left" vertical="center" textRotation="0" wrapText="false" indent="1" shrinkToFit="false"/>
      <protection locked="true" hidden="false"/>
    </xf>
    <xf numFmtId="164" fontId="17" fillId="11" borderId="1" xfId="0" applyFont="true" applyBorder="true" applyAlignment="true" applyProtection="false">
      <alignment horizontal="center" vertical="center" textRotation="0" wrapText="false" indent="0" shrinkToFit="false"/>
      <protection locked="true" hidden="false"/>
    </xf>
    <xf numFmtId="164" fontId="18" fillId="19" borderId="1" xfId="0" applyFont="true" applyBorder="true" applyAlignment="true" applyProtection="false">
      <alignment horizontal="left" vertical="center" textRotation="0" wrapText="false" indent="1" shrinkToFit="false"/>
      <protection locked="true" hidden="false"/>
    </xf>
    <xf numFmtId="164" fontId="17" fillId="12" borderId="1" xfId="0" applyFont="true" applyBorder="true" applyAlignment="true" applyProtection="false">
      <alignment horizontal="center" vertical="center" textRotation="0" wrapText="false" indent="0" shrinkToFit="false"/>
      <protection locked="true" hidden="false"/>
    </xf>
    <xf numFmtId="164" fontId="19" fillId="20" borderId="1" xfId="0" applyFont="true" applyBorder="true" applyAlignment="true" applyProtection="false">
      <alignment horizontal="left" vertical="center" textRotation="0" wrapText="false" indent="1" shrinkToFit="false"/>
      <protection locked="true" hidden="false"/>
    </xf>
    <xf numFmtId="164" fontId="13" fillId="21" borderId="1" xfId="0" applyFont="true" applyBorder="true" applyAlignment="true" applyProtection="false">
      <alignment horizontal="center" vertical="center" textRotation="0" wrapText="false" indent="0" shrinkToFit="false"/>
      <protection locked="true" hidden="false"/>
    </xf>
    <xf numFmtId="164" fontId="20" fillId="22" borderId="1" xfId="0" applyFont="true" applyBorder="true" applyAlignment="true" applyProtection="false">
      <alignment horizontal="left" vertical="center" textRotation="0" wrapText="false" indent="1" shrinkToFit="false"/>
      <protection locked="true" hidden="false"/>
    </xf>
    <xf numFmtId="164" fontId="19" fillId="0" borderId="0" xfId="0" applyFont="true" applyBorder="true" applyAlignment="true" applyProtection="false">
      <alignment horizontal="left" vertical="center" textRotation="0" wrapText="false" indent="1" shrinkToFit="false"/>
      <protection locked="true" hidden="false"/>
    </xf>
    <xf numFmtId="164" fontId="10" fillId="18" borderId="1" xfId="0" applyFont="true" applyBorder="true" applyAlignment="true" applyProtection="false">
      <alignment horizontal="left" vertical="top" textRotation="0" wrapText="true" indent="1" shrinkToFit="false"/>
      <protection locked="true" hidden="false"/>
    </xf>
    <xf numFmtId="164" fontId="21" fillId="0" borderId="0" xfId="0" applyFont="true" applyBorder="true" applyAlignment="true" applyProtection="false">
      <alignment horizontal="left" vertical="center" textRotation="0" wrapText="false" indent="1" shrinkToFit="false"/>
      <protection locked="true" hidden="false"/>
    </xf>
    <xf numFmtId="164" fontId="22" fillId="2" borderId="0" xfId="0" applyFont="true" applyBorder="true" applyAlignment="true" applyProtection="false">
      <alignment horizontal="left" vertical="center" textRotation="0" wrapText="false" indent="15" shrinkToFit="false"/>
      <protection locked="true" hidden="false"/>
    </xf>
    <xf numFmtId="164" fontId="4" fillId="7" borderId="0"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true" applyAlignment="true" applyProtection="false">
      <alignment horizontal="left" vertical="center" textRotation="0" wrapText="false" indent="1" shrinkToFit="false"/>
      <protection locked="true" hidden="false"/>
    </xf>
    <xf numFmtId="164" fontId="24" fillId="0" borderId="0" xfId="0" applyFont="true" applyBorder="true" applyAlignment="true" applyProtection="false">
      <alignment horizontal="left" vertical="top" textRotation="0" wrapText="true" indent="1" shrinkToFit="false"/>
      <protection locked="true" hidden="false"/>
    </xf>
    <xf numFmtId="164" fontId="25" fillId="0" borderId="0" xfId="0" applyFont="true" applyBorder="false" applyAlignment="true" applyProtection="false">
      <alignment horizontal="left" vertical="center" textRotation="0" wrapText="true" indent="1" shrinkToFit="false"/>
      <protection locked="true" hidden="false"/>
    </xf>
    <xf numFmtId="164" fontId="26" fillId="16" borderId="1" xfId="0" applyFont="true" applyBorder="true" applyAlignment="true" applyProtection="false">
      <alignment horizontal="left" vertical="center" textRotation="0" wrapText="false" indent="1" shrinkToFit="false"/>
      <protection locked="true" hidden="false"/>
    </xf>
    <xf numFmtId="165" fontId="26" fillId="16" borderId="1" xfId="0" applyFont="true" applyBorder="true" applyAlignment="true" applyProtection="false">
      <alignment horizontal="left" vertical="center" textRotation="0" wrapText="false" indent="1" shrinkToFit="false"/>
      <protection locked="true" hidden="false"/>
    </xf>
    <xf numFmtId="166" fontId="26" fillId="16" borderId="1" xfId="0" applyFont="true" applyBorder="true" applyAlignment="true" applyProtection="false">
      <alignment horizontal="left" vertical="center" textRotation="0" wrapText="false" indent="1" shrinkToFit="false"/>
      <protection locked="true" hidden="false"/>
    </xf>
    <xf numFmtId="167" fontId="26" fillId="16" borderId="1" xfId="0" applyFont="true" applyBorder="true" applyAlignment="true" applyProtection="false">
      <alignment horizontal="left" vertical="center" textRotation="0" wrapText="false" indent="1" shrinkToFit="false"/>
      <protection locked="true" hidden="false"/>
    </xf>
    <xf numFmtId="164" fontId="25" fillId="0" borderId="0" xfId="0" applyFont="true" applyBorder="false" applyAlignment="true" applyProtection="false">
      <alignment horizontal="left" vertical="center" textRotation="0" wrapText="false" indent="1" shrinkToFit="false"/>
      <protection locked="true" hidden="false"/>
    </xf>
    <xf numFmtId="168" fontId="8" fillId="23" borderId="1" xfId="0" applyFont="true" applyBorder="true" applyAlignment="true" applyProtection="false">
      <alignment horizontal="center" vertical="center" textRotation="0" wrapText="false" indent="1" shrinkToFit="false"/>
      <protection locked="true" hidden="false"/>
    </xf>
    <xf numFmtId="164" fontId="21" fillId="0" borderId="0" xfId="0" applyFont="true" applyBorder="true" applyAlignment="true" applyProtection="false">
      <alignment horizontal="right" vertical="center" textRotation="0" wrapText="false" indent="1" shrinkToFit="false"/>
      <protection locked="true" hidden="false"/>
    </xf>
    <xf numFmtId="164" fontId="23" fillId="16" borderId="1" xfId="0" applyFont="true" applyBorder="true" applyAlignment="true" applyProtection="false">
      <alignment horizontal="center" vertical="center" textRotation="0" wrapText="true" indent="0" shrinkToFit="false"/>
      <protection locked="true" hidden="false"/>
    </xf>
    <xf numFmtId="164" fontId="23" fillId="20" borderId="1" xfId="0" applyFont="true" applyBorder="true" applyAlignment="true" applyProtection="false">
      <alignment horizontal="center" vertical="center" textRotation="0" wrapText="true" indent="0" shrinkToFit="false"/>
      <protection locked="true" hidden="false"/>
    </xf>
    <xf numFmtId="169" fontId="27" fillId="16" borderId="1" xfId="0" applyFont="true" applyBorder="true" applyAlignment="true" applyProtection="false">
      <alignment horizontal="center" vertical="center" textRotation="0" wrapText="false" indent="0" shrinkToFit="false"/>
      <protection locked="true" hidden="false"/>
    </xf>
    <xf numFmtId="169" fontId="28" fillId="20" borderId="1" xfId="0" applyFont="true" applyBorder="true" applyAlignment="true" applyProtection="false">
      <alignment horizontal="center" vertical="center" textRotation="0" wrapText="false" indent="0" shrinkToFit="false"/>
      <protection locked="true" hidden="false"/>
    </xf>
    <xf numFmtId="170" fontId="27" fillId="16" borderId="1" xfId="0" applyFont="true" applyBorder="true" applyAlignment="true" applyProtection="false">
      <alignment horizontal="center" vertical="center" textRotation="0" wrapText="false" indent="0" shrinkToFit="false"/>
      <protection locked="true" hidden="false"/>
    </xf>
    <xf numFmtId="164" fontId="23" fillId="19" borderId="1" xfId="0" applyFont="true" applyBorder="true" applyAlignment="true" applyProtection="false">
      <alignment horizontal="center" vertical="center" textRotation="0" wrapText="true" indent="0" shrinkToFit="false"/>
      <protection locked="true" hidden="false"/>
    </xf>
    <xf numFmtId="164" fontId="23" fillId="18" borderId="1" xfId="0" applyFont="true" applyBorder="true" applyAlignment="true" applyProtection="false">
      <alignment horizontal="center" vertical="center" textRotation="0" wrapText="true" indent="0" shrinkToFit="false"/>
      <protection locked="true" hidden="false"/>
    </xf>
    <xf numFmtId="165" fontId="29" fillId="19" borderId="1" xfId="0" applyFont="true" applyBorder="true" applyAlignment="true" applyProtection="false">
      <alignment horizontal="center" vertical="center" textRotation="0" wrapText="false" indent="0" shrinkToFit="false"/>
      <protection locked="true" hidden="false"/>
    </xf>
    <xf numFmtId="169" fontId="30" fillId="18" borderId="1" xfId="0" applyFont="true" applyBorder="true" applyAlignment="true" applyProtection="false">
      <alignment horizontal="center" vertical="center" textRotation="0" wrapText="false" indent="0" shrinkToFit="false"/>
      <protection locked="true" hidden="false"/>
    </xf>
    <xf numFmtId="168" fontId="28" fillId="20" borderId="1" xfId="0" applyFont="true" applyBorder="true" applyAlignment="true" applyProtection="false">
      <alignment horizontal="center" vertical="center" textRotation="0" wrapText="false" indent="0" shrinkToFit="false"/>
      <protection locked="true" hidden="false"/>
    </xf>
    <xf numFmtId="169" fontId="29" fillId="19" borderId="1" xfId="0" applyFont="true" applyBorder="true" applyAlignment="true" applyProtection="false">
      <alignment horizontal="center" vertical="center" textRotation="0" wrapText="false" indent="0" shrinkToFit="false"/>
      <protection locked="true" hidden="false"/>
    </xf>
    <xf numFmtId="170" fontId="8" fillId="23" borderId="1" xfId="0" applyFont="true" applyBorder="true" applyAlignment="true" applyProtection="false">
      <alignment horizontal="center" vertical="center" textRotation="0" wrapText="false" indent="1" shrinkToFit="false"/>
      <protection locked="true" hidden="false"/>
    </xf>
    <xf numFmtId="165" fontId="8" fillId="23" borderId="1" xfId="0" applyFont="true" applyBorder="true" applyAlignment="true" applyProtection="false">
      <alignment horizontal="center" vertical="center" textRotation="0" wrapText="false" indent="1" shrinkToFit="false"/>
      <protection locked="true" hidden="false"/>
    </xf>
    <xf numFmtId="169" fontId="8" fillId="23" borderId="1" xfId="0" applyFont="true" applyBorder="true" applyAlignment="true" applyProtection="false">
      <alignment horizontal="center" vertical="center" textRotation="0" wrapText="false" indent="1" shrinkToFit="false"/>
      <protection locked="true" hidden="false"/>
    </xf>
    <xf numFmtId="169" fontId="25" fillId="23" borderId="1" xfId="0" applyFont="true" applyBorder="true" applyAlignment="true" applyProtection="false">
      <alignment horizontal="center" vertical="center" textRotation="0" wrapText="false" indent="1" shrinkToFit="false"/>
      <protection locked="true" hidden="false"/>
    </xf>
    <xf numFmtId="168" fontId="25" fillId="23" borderId="1" xfId="0" applyFont="true" applyBorder="true" applyAlignment="true" applyProtection="false">
      <alignment horizontal="center" vertical="center" textRotation="0" wrapText="false" indent="1" shrinkToFit="false"/>
      <protection locked="true" hidden="false"/>
    </xf>
    <xf numFmtId="164" fontId="10" fillId="0" borderId="1" xfId="0" applyFont="true" applyBorder="true" applyAlignment="true" applyProtection="false">
      <alignment horizontal="left" vertical="center" textRotation="0" wrapText="true" indent="1" shrinkToFit="false"/>
      <protection locked="true" hidden="false"/>
    </xf>
    <xf numFmtId="164" fontId="31" fillId="8" borderId="1" xfId="0" applyFont="true" applyBorder="true" applyAlignment="true" applyProtection="false">
      <alignment horizontal="left" vertical="center" textRotation="0" wrapText="false" indent="1" shrinkToFit="false"/>
      <protection locked="true" hidden="false"/>
    </xf>
    <xf numFmtId="170" fontId="25" fillId="23" borderId="1" xfId="0" applyFont="true" applyBorder="true" applyAlignment="true" applyProtection="false">
      <alignment horizontal="center" vertical="center" textRotation="0" wrapText="false" indent="1" shrinkToFit="false"/>
      <protection locked="true" hidden="false"/>
    </xf>
    <xf numFmtId="165" fontId="25" fillId="23" borderId="1" xfId="0" applyFont="true" applyBorder="true" applyAlignment="true" applyProtection="false">
      <alignment horizontal="center" vertical="center" textRotation="0" wrapText="false" indent="1" shrinkToFit="false"/>
      <protection locked="true" hidden="false"/>
    </xf>
    <xf numFmtId="164" fontId="4" fillId="10" borderId="0" xfId="0" applyFont="true" applyBorder="true" applyAlignment="true" applyProtection="false">
      <alignment horizontal="left" vertical="center" textRotation="0" wrapText="false" indent="1" shrinkToFit="false"/>
      <protection locked="true" hidden="false"/>
    </xf>
    <xf numFmtId="164" fontId="11" fillId="24" borderId="2" xfId="0" applyFont="true" applyBorder="true" applyAlignment="true" applyProtection="false">
      <alignment horizontal="center" vertical="center" textRotation="0" wrapText="true" indent="0" shrinkToFit="false"/>
      <protection locked="true" hidden="false"/>
    </xf>
    <xf numFmtId="164" fontId="23" fillId="23" borderId="1" xfId="0" applyFont="true" applyBorder="true" applyAlignment="true" applyProtection="false">
      <alignment horizontal="center" vertical="center" textRotation="0" wrapText="false" indent="0" shrinkToFit="false"/>
      <protection locked="true" hidden="false"/>
    </xf>
    <xf numFmtId="164" fontId="31" fillId="8" borderId="1" xfId="0" applyFont="true" applyBorder="true" applyAlignment="true" applyProtection="false">
      <alignment horizontal="left" vertical="center" textRotation="0" wrapText="true" indent="1" shrinkToFit="false"/>
      <protection locked="true" hidden="false"/>
    </xf>
    <xf numFmtId="166" fontId="31" fillId="8" borderId="1" xfId="0" applyFont="true" applyBorder="true" applyAlignment="true" applyProtection="false">
      <alignment horizontal="center" vertical="center" textRotation="0" wrapText="false" indent="0" shrinkToFit="false"/>
      <protection locked="true" hidden="false"/>
    </xf>
    <xf numFmtId="166" fontId="10" fillId="23" borderId="1" xfId="0" applyFont="true" applyBorder="true" applyAlignment="true" applyProtection="false">
      <alignment horizontal="center" vertical="center" textRotation="0" wrapText="false" indent="0" shrinkToFit="false"/>
      <protection locked="true" hidden="false"/>
    </xf>
    <xf numFmtId="169" fontId="10" fillId="23" borderId="1" xfId="0" applyFont="true" applyBorder="true" applyAlignment="true" applyProtection="false">
      <alignment horizontal="right" vertical="center" textRotation="0" wrapText="false" indent="1" shrinkToFit="false"/>
      <protection locked="true" hidden="false"/>
    </xf>
    <xf numFmtId="164" fontId="31" fillId="8" borderId="1" xfId="0" applyFont="true" applyBorder="true" applyAlignment="true" applyProtection="false">
      <alignment horizontal="center" vertical="center" textRotation="0" wrapText="false" indent="0" shrinkToFit="false"/>
      <protection locked="true" hidden="false"/>
    </xf>
    <xf numFmtId="164" fontId="10" fillId="23" borderId="1" xfId="0" applyFont="true" applyBorder="true" applyAlignment="true" applyProtection="false">
      <alignment horizontal="left" vertical="center" textRotation="0" wrapText="true" indent="1" shrinkToFit="false"/>
      <protection locked="true" hidden="false"/>
    </xf>
    <xf numFmtId="164" fontId="31" fillId="9" borderId="1" xfId="0" applyFont="true" applyBorder="true" applyAlignment="true" applyProtection="false">
      <alignment horizontal="left" vertical="center" textRotation="0" wrapText="true" indent="1" shrinkToFit="false"/>
      <protection locked="true" hidden="false"/>
    </xf>
    <xf numFmtId="166" fontId="31" fillId="9" borderId="1" xfId="0" applyFont="true" applyBorder="true" applyAlignment="true" applyProtection="false">
      <alignment horizontal="center" vertical="center" textRotation="0" wrapText="false" indent="0" shrinkToFit="false"/>
      <protection locked="true" hidden="false"/>
    </xf>
    <xf numFmtId="164" fontId="31" fillId="9" borderId="1" xfId="0" applyFont="true" applyBorder="true" applyAlignment="true" applyProtection="false">
      <alignment horizontal="center" vertical="center" textRotation="0" wrapText="false" indent="0" shrinkToFit="false"/>
      <protection locked="true" hidden="false"/>
    </xf>
    <xf numFmtId="164" fontId="4" fillId="11" borderId="0" xfId="0" applyFont="true" applyBorder="true" applyAlignment="true" applyProtection="false">
      <alignment horizontal="left" vertical="center" textRotation="0" wrapText="false" indent="1" shrinkToFit="false"/>
      <protection locked="true" hidden="false"/>
    </xf>
    <xf numFmtId="164" fontId="11" fillId="8" borderId="1" xfId="0" applyFont="true" applyBorder="true" applyAlignment="true" applyProtection="false">
      <alignment horizontal="center" vertical="center" textRotation="0" wrapText="false" indent="0" shrinkToFit="false"/>
      <protection locked="true" hidden="false"/>
    </xf>
    <xf numFmtId="165" fontId="31" fillId="8" borderId="1" xfId="0" applyFont="true" applyBorder="true" applyAlignment="true" applyProtection="false">
      <alignment horizontal="right" vertical="center" textRotation="0" wrapText="false" indent="1" shrinkToFit="false"/>
      <protection locked="true" hidden="false"/>
    </xf>
    <xf numFmtId="169" fontId="31" fillId="8" borderId="1" xfId="0" applyFont="true" applyBorder="true" applyAlignment="true" applyProtection="false">
      <alignment horizontal="right" vertical="center" textRotation="0" wrapText="false" indent="1" shrinkToFit="false"/>
      <protection locked="true" hidden="false"/>
    </xf>
    <xf numFmtId="164" fontId="11" fillId="9" borderId="1" xfId="0" applyFont="true" applyBorder="true" applyAlignment="true" applyProtection="false">
      <alignment horizontal="center" vertical="center" textRotation="0" wrapText="false" indent="0" shrinkToFit="false"/>
      <protection locked="true" hidden="false"/>
    </xf>
    <xf numFmtId="165" fontId="31" fillId="9" borderId="1" xfId="0" applyFont="true" applyBorder="true" applyAlignment="true" applyProtection="false">
      <alignment horizontal="right" vertical="center" textRotation="0" wrapText="false" indent="1" shrinkToFit="false"/>
      <protection locked="true" hidden="false"/>
    </xf>
    <xf numFmtId="169" fontId="31" fillId="9" borderId="1" xfId="0" applyFont="true" applyBorder="true" applyAlignment="true" applyProtection="false">
      <alignment horizontal="right" vertical="center" textRotation="0" wrapText="false" indent="1" shrinkToFit="false"/>
      <protection locked="true" hidden="false"/>
    </xf>
    <xf numFmtId="164" fontId="4" fillId="12" borderId="0" xfId="0" applyFont="true" applyBorder="true" applyAlignment="true" applyProtection="false">
      <alignment horizontal="left" vertical="center" textRotation="0" wrapText="false" indent="1" shrinkToFit="false"/>
      <protection locked="true" hidden="false"/>
    </xf>
    <xf numFmtId="164" fontId="4" fillId="13" borderId="0" xfId="0" applyFont="true" applyBorder="true" applyAlignment="true" applyProtection="false">
      <alignment horizontal="left" vertical="center" textRotation="0" wrapText="false" indent="1" shrinkToFit="false"/>
      <protection locked="true" hidden="false"/>
    </xf>
    <xf numFmtId="170" fontId="31" fillId="8" borderId="1" xfId="0" applyFont="true" applyBorder="true" applyAlignment="true" applyProtection="false">
      <alignment horizontal="right" vertical="center" textRotation="0" wrapText="false" indent="1" shrinkToFit="false"/>
      <protection locked="true" hidden="false"/>
    </xf>
    <xf numFmtId="165" fontId="10" fillId="23" borderId="1" xfId="0" applyFont="true" applyBorder="true" applyAlignment="true" applyProtection="false">
      <alignment horizontal="right" vertical="center" textRotation="0" wrapText="false" indent="1" shrinkToFit="false"/>
      <protection locked="true" hidden="false"/>
    </xf>
    <xf numFmtId="170" fontId="31" fillId="9" borderId="1" xfId="0" applyFont="true" applyBorder="true" applyAlignment="true" applyProtection="false">
      <alignment horizontal="right" vertical="center" textRotation="0" wrapText="false" indent="1" shrinkToFit="false"/>
      <protection locked="true" hidden="false"/>
    </xf>
    <xf numFmtId="164" fontId="4" fillId="14" borderId="0" xfId="0" applyFont="true" applyBorder="true" applyAlignment="true" applyProtection="false">
      <alignment horizontal="left" vertical="center" textRotation="0" wrapText="false" indent="1" shrinkToFit="false"/>
      <protection locked="true" hidden="false"/>
    </xf>
    <xf numFmtId="164" fontId="23" fillId="13" borderId="1" xfId="0" applyFont="true" applyBorder="true" applyAlignment="true" applyProtection="false">
      <alignment horizontal="center" vertical="center" textRotation="0" wrapText="false" indent="0" shrinkToFit="false"/>
      <protection locked="true" hidden="false"/>
    </xf>
    <xf numFmtId="164" fontId="23" fillId="5" borderId="1" xfId="0" applyFont="true" applyBorder="true" applyAlignment="true" applyProtection="false">
      <alignment horizontal="center" vertical="center" textRotation="0" wrapText="false" indent="0" shrinkToFit="false"/>
      <protection locked="true" hidden="false"/>
    </xf>
    <xf numFmtId="164" fontId="23" fillId="17" borderId="1" xfId="0" applyFont="true" applyBorder="true" applyAlignment="true" applyProtection="false">
      <alignment horizontal="center" vertical="center" textRotation="0" wrapText="false" indent="0" shrinkToFit="false"/>
      <protection locked="true" hidden="false"/>
    </xf>
    <xf numFmtId="164" fontId="32" fillId="11" borderId="1" xfId="0" applyFont="true" applyBorder="true" applyAlignment="true" applyProtection="false">
      <alignment horizontal="center" vertical="center" textRotation="0" wrapText="false" indent="0" shrinkToFit="false"/>
      <protection locked="true" hidden="false"/>
    </xf>
    <xf numFmtId="164" fontId="32" fillId="12" borderId="1" xfId="0" applyFont="true" applyBorder="true" applyAlignment="true" applyProtection="false">
      <alignment horizontal="center" vertical="center" textRotation="0" wrapText="false" indent="0" shrinkToFit="false"/>
      <protection locked="true" hidden="false"/>
    </xf>
    <xf numFmtId="164" fontId="23" fillId="21" borderId="1" xfId="0" applyFont="true" applyBorder="true" applyAlignment="true" applyProtection="false">
      <alignment horizontal="center" vertical="center" textRotation="0" wrapText="false" indent="0" shrinkToFit="false"/>
      <protection locked="true" hidden="false"/>
    </xf>
    <xf numFmtId="164" fontId="10" fillId="20" borderId="1" xfId="0" applyFont="true" applyBorder="true" applyAlignment="true" applyProtection="false">
      <alignment horizontal="left" vertical="top" textRotation="0" wrapText="true" indent="1" shrinkToFit="false"/>
      <protection locked="true" hidden="false"/>
    </xf>
    <xf numFmtId="164" fontId="10" fillId="19" borderId="1" xfId="0" applyFont="true" applyBorder="true" applyAlignment="true" applyProtection="false">
      <alignment horizontal="left" vertical="top" textRotation="0" wrapText="true" indent="1" shrinkToFit="false"/>
      <protection locked="true" hidden="false"/>
    </xf>
    <xf numFmtId="164" fontId="31" fillId="8" borderId="1" xfId="0" applyFont="true" applyBorder="true" applyAlignment="true" applyProtection="false">
      <alignment horizontal="left" vertical="top" textRotation="0" wrapText="true" indent="1" shrinkToFit="false"/>
      <protection locked="true" hidden="false"/>
    </xf>
    <xf numFmtId="164" fontId="23" fillId="15" borderId="1" xfId="0" applyFont="true" applyBorder="true" applyAlignment="true" applyProtection="false">
      <alignment horizontal="left" vertical="top" textRotation="0" wrapText="true" indent="1" shrinkToFit="false"/>
      <protection locked="true" hidden="false"/>
    </xf>
    <xf numFmtId="164" fontId="10" fillId="8" borderId="1" xfId="0" applyFont="true" applyBorder="true" applyAlignment="true" applyProtection="false">
      <alignment horizontal="left" vertical="top" textRotation="0" wrapText="true" indent="1" shrinkToFit="false"/>
      <protection locked="true" hidden="false"/>
    </xf>
    <xf numFmtId="164" fontId="31" fillId="9" borderId="1" xfId="0" applyFont="true" applyBorder="true" applyAlignment="true" applyProtection="false">
      <alignment horizontal="left" vertical="top" textRotation="0" wrapText="true" indent="1" shrinkToFit="false"/>
      <protection locked="true" hidden="false"/>
    </xf>
    <xf numFmtId="164" fontId="11" fillId="9" borderId="1" xfId="0" applyFont="true" applyBorder="true" applyAlignment="true" applyProtection="false">
      <alignment horizontal="left" vertical="top" textRotation="0" wrapText="true" indent="1" shrinkToFit="false"/>
      <protection locked="true" hidden="false"/>
    </xf>
    <xf numFmtId="164" fontId="10" fillId="9" borderId="1" xfId="0" applyFont="true" applyBorder="true" applyAlignment="true" applyProtection="false">
      <alignment horizontal="left" vertical="top" textRotation="0" wrapText="true" indent="1" shrinkToFit="false"/>
      <protection locked="true" hidden="false"/>
    </xf>
    <xf numFmtId="164" fontId="11" fillId="8" borderId="1" xfId="0" applyFont="true" applyBorder="true" applyAlignment="true" applyProtection="false">
      <alignment horizontal="left" vertical="top" textRotation="0" wrapText="true" indent="1" shrinkToFit="false"/>
      <protection locked="true" hidden="false"/>
    </xf>
    <xf numFmtId="164" fontId="11" fillId="16" borderId="1" xfId="0" applyFont="true" applyBorder="true" applyAlignment="true" applyProtection="false">
      <alignment horizontal="left" vertical="center" textRotation="0" wrapText="false" indent="1" shrinkToFit="false"/>
      <protection locked="true" hidden="false"/>
    </xf>
    <xf numFmtId="164" fontId="10" fillId="0" borderId="0" xfId="0" applyFont="true" applyBorder="true" applyAlignment="true" applyProtection="false">
      <alignment horizontal="left" vertical="center" textRotation="0" wrapText="false" indent="1" shrinkToFit="false"/>
      <protection locked="true" hidden="false"/>
    </xf>
    <xf numFmtId="164" fontId="11" fillId="23" borderId="1" xfId="0" applyFont="true" applyBorder="true" applyAlignment="true" applyProtection="false">
      <alignment horizontal="left" vertical="center" textRotation="0" wrapText="false" indent="1" shrinkToFit="false"/>
      <protection locked="true" hidden="false"/>
    </xf>
    <xf numFmtId="164" fontId="11" fillId="6" borderId="1" xfId="0" applyFont="true" applyBorder="true" applyAlignment="true" applyProtection="false">
      <alignment horizontal="left" vertical="center" textRotation="0" wrapText="false" indent="1" shrinkToFit="false"/>
      <protection locked="true" hidden="false"/>
    </xf>
    <xf numFmtId="164" fontId="11" fillId="22" borderId="1" xfId="0" applyFont="true" applyBorder="true" applyAlignment="true" applyProtection="false">
      <alignment horizontal="left" vertical="center" textRotation="0" wrapText="false" indent="1" shrinkToFit="false"/>
      <protection locked="true" hidden="false"/>
    </xf>
    <xf numFmtId="164" fontId="11" fillId="6" borderId="2"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9">
    <dxf>
      <fill>
        <patternFill>
          <bgColor rgb="FFFFF4E0"/>
        </patternFill>
      </fill>
    </dxf>
    <dxf>
      <fill>
        <patternFill>
          <bgColor rgb="FFFDEBE9"/>
        </patternFill>
      </fill>
    </dxf>
    <dxf>
      <fill>
        <patternFill patternType="solid">
          <fgColor rgb="FFD3DEE9"/>
          <bgColor rgb="FF000000"/>
        </patternFill>
      </fill>
    </dxf>
    <dxf>
      <fill>
        <patternFill patternType="solid">
          <fgColor rgb="FFE8F5E9"/>
          <bgColor rgb="FF000000"/>
        </patternFill>
      </fill>
    </dxf>
    <dxf>
      <fill>
        <patternFill patternType="solid">
          <fgColor rgb="FFEEEEEE"/>
          <bgColor rgb="FF000000"/>
        </patternFill>
      </fill>
    </dxf>
    <dxf>
      <fill>
        <patternFill patternType="solid">
          <fgColor rgb="FFF6F9FC"/>
          <bgColor rgb="FF000000"/>
        </patternFill>
      </fill>
    </dxf>
    <dxf>
      <fill>
        <patternFill patternType="solid">
          <fgColor rgb="FFFDEBE0"/>
          <bgColor rgb="FF000000"/>
        </patternFill>
      </fill>
    </dxf>
    <dxf>
      <fill>
        <patternFill patternType="solid">
          <fgColor rgb="FFFDEBE9"/>
          <bgColor rgb="FF000000"/>
        </patternFill>
      </fill>
    </dxf>
    <dxf>
      <fill>
        <patternFill patternType="solid">
          <fgColor rgb="FFFFF4E0"/>
          <bgColor rgb="FF000000"/>
        </patternFill>
      </fill>
    </dxf>
    <dxf>
      <fill>
        <patternFill patternType="solid">
          <fgColor rgb="FF0D3C61"/>
          <bgColor rgb="FF000000"/>
        </patternFill>
      </fill>
    </dxf>
    <dxf>
      <fill>
        <patternFill patternType="solid">
          <fgColor rgb="FF1D3245"/>
          <bgColor rgb="FF000000"/>
        </patternFill>
      </fill>
    </dxf>
    <dxf>
      <fill>
        <patternFill patternType="solid">
          <fgColor rgb="FFDCE9F4"/>
          <bgColor rgb="FF000000"/>
        </patternFill>
      </fill>
    </dxf>
    <dxf>
      <fill>
        <patternFill patternType="solid">
          <fgColor rgb="FFF5F5F5"/>
          <bgColor rgb="FF000000"/>
        </patternFill>
      </fill>
    </dxf>
    <dxf>
      <fill>
        <patternFill patternType="solid">
          <fgColor rgb="FFFFFFFF"/>
          <bgColor rgb="FF000000"/>
        </patternFill>
      </fill>
    </dxf>
    <dxf>
      <fill>
        <patternFill>
          <bgColor rgb="FFEEEEEE"/>
        </patternFill>
      </fill>
    </dxf>
    <dxf>
      <fill>
        <patternFill>
          <bgColor rgb="FFFDEBE0"/>
        </patternFill>
      </fill>
    </dxf>
    <dxf>
      <fill>
        <patternFill>
          <bgColor rgb="FFE8F5E9"/>
        </patternFill>
      </fill>
    </dxf>
    <dxf>
      <fill>
        <patternFill patternType="solid">
          <fgColor rgb="FFE3F0FA"/>
          <bgColor rgb="FF000000"/>
        </patternFill>
      </fill>
    </dxf>
    <dxf>
      <fill>
        <patternFill>
          <bgColor rgb="FFE3F0FA"/>
        </patternFill>
      </fill>
    </dxf>
  </dxfs>
  <colors>
    <indexedColors>
      <rgbColor rgb="FF000000"/>
      <rgbColor rgb="FFFFFFFF"/>
      <rgbColor rgb="FFE31B0C"/>
      <rgbColor rgb="FF00FF00"/>
      <rgbColor rgb="FF0000FF"/>
      <rgbColor rgb="FFF6F9FC"/>
      <rgbColor rgb="FFFF00FF"/>
      <rgbColor rgb="FF00FFFF"/>
      <rgbColor rgb="FF800000"/>
      <rgbColor rgb="FF008000"/>
      <rgbColor rgb="FF000080"/>
      <rgbColor rgb="FF808000"/>
      <rgbColor rgb="FF800080"/>
      <rgbColor rgb="FF008080"/>
      <rgbColor rgb="FFE0E0E0"/>
      <rgbColor rgb="FF808080"/>
      <rgbColor rgb="FF9999FF"/>
      <rgbColor rgb="FF993366"/>
      <rgbColor rgb="FFFFF4E0"/>
      <rgbColor rgb="FFE3F0FA"/>
      <rgbColor rgb="FF660066"/>
      <rgbColor rgb="FFFF8080"/>
      <rgbColor rgb="FF0B79D0"/>
      <rgbColor rgb="FFD3DEE9"/>
      <rgbColor rgb="FF000080"/>
      <rgbColor rgb="FFFF00FF"/>
      <rgbColor rgb="FFFFFF00"/>
      <rgbColor rgb="FF00FFFF"/>
      <rgbColor rgb="FF800080"/>
      <rgbColor rgb="FF800000"/>
      <rgbColor rgb="FF008080"/>
      <rgbColor rgb="FF0000FF"/>
      <rgbColor rgb="FF00CCFF"/>
      <rgbColor rgb="FFE8F5E9"/>
      <rgbColor rgb="FFDCE9F4"/>
      <rgbColor rgb="FFFDEBE0"/>
      <rgbColor rgb="FF64B6F7"/>
      <rgbColor rgb="FFEEEEEE"/>
      <rgbColor rgb="FFF5F5F5"/>
      <rgbColor rgb="FFFDEBE9"/>
      <rgbColor rgb="FF3480BC"/>
      <rgbColor rgb="FF33CCCC"/>
      <rgbColor rgb="FF99CC00"/>
      <rgbColor rgb="FFFFB547"/>
      <rgbColor rgb="FFFF9900"/>
      <rgbColor rgb="FFEC6917"/>
      <rgbColor rgb="FF666699"/>
      <rgbColor rgb="FF8E98A2"/>
      <rgbColor rgb="FF0D3C61"/>
      <rgbColor rgb="FF4CAF50"/>
      <rgbColor rgb="FF003300"/>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114480</xdr:colOff>
      <xdr:row>0</xdr:row>
      <xdr:rowOff>133200</xdr:rowOff>
    </xdr:from>
    <xdr:to>
      <xdr:col>2</xdr:col>
      <xdr:colOff>1432080</xdr:colOff>
      <xdr:row>0</xdr:row>
      <xdr:rowOff>609120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69280" y="133200"/>
          <a:ext cx="1599840" cy="4759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388080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388080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388080</xdr:colOff>
      <xdr:row>0</xdr:row>
      <xdr:rowOff>313920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388080</xdr:colOff>
      <xdr:row>0</xdr:row>
      <xdr:rowOff>313920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7"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B1:G19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
    <col collapsed="false" customWidth="true" hidden="false" outlineLevel="0" max="3" min="3" style="0" width="30"/>
    <col collapsed="false" customWidth="true" hidden="false" outlineLevel="0" max="4" min="4" style="0" width="22"/>
    <col collapsed="false" customWidth="true" hidden="false" outlineLevel="0" max="5" min="5" style="0" width="20"/>
    <col collapsed="false" customWidth="true" hidden="false" outlineLevel="0" max="6" min="6" style="0" width="16"/>
    <col collapsed="false" customWidth="true" hidden="false" outlineLevel="0" max="7" min="7" style="0" width="12"/>
    <col collapsed="false" customWidth="true" hidden="false" outlineLevel="0" max="8" min="8" style="0" width="2.2"/>
  </cols>
  <sheetData>
    <row r="1" customFormat="false" ht="51.75" hidden="false" customHeight="true" outlineLevel="0" collapsed="false">
      <c r="B1" s="1"/>
      <c r="C1" s="1"/>
      <c r="D1" s="1"/>
      <c r="E1" s="1"/>
      <c r="F1" s="1"/>
      <c r="G1" s="1"/>
    </row>
    <row r="2" customFormat="false" ht="4.5" hidden="false" customHeight="true" outlineLevel="0" collapsed="false">
      <c r="B2" s="2"/>
      <c r="C2" s="2"/>
      <c r="D2" s="2"/>
      <c r="E2" s="2"/>
      <c r="F2" s="2"/>
      <c r="G2" s="2"/>
    </row>
    <row r="4" customFormat="false" ht="37.5" hidden="false" customHeight="true" outlineLevel="0" collapsed="false">
      <c r="B4" s="3" t="s">
        <v>0</v>
      </c>
      <c r="C4" s="3"/>
      <c r="D4" s="3"/>
      <c r="E4" s="3"/>
      <c r="F4" s="3"/>
      <c r="G4" s="3"/>
    </row>
    <row r="5" customFormat="false" ht="21.75" hidden="false" customHeight="true" outlineLevel="0" collapsed="false">
      <c r="B5" s="4" t="s">
        <v>1</v>
      </c>
      <c r="C5" s="4"/>
      <c r="D5" s="4"/>
      <c r="E5" s="4"/>
      <c r="F5" s="4"/>
      <c r="G5" s="4"/>
    </row>
    <row r="7" customFormat="false" ht="15" hidden="false" customHeight="true" outlineLevel="0" collapsed="false">
      <c r="B7" s="5" t="s">
        <v>2</v>
      </c>
      <c r="C7" s="5"/>
      <c r="D7" s="5"/>
      <c r="E7" s="5"/>
      <c r="F7" s="5"/>
      <c r="G7" s="5"/>
    </row>
    <row r="8" customFormat="false" ht="15" hidden="false" customHeight="true" outlineLevel="0" collapsed="false">
      <c r="B8" s="5"/>
      <c r="C8" s="5"/>
      <c r="D8" s="5"/>
      <c r="E8" s="5"/>
      <c r="F8" s="5"/>
      <c r="G8" s="5"/>
    </row>
    <row r="9" customFormat="false" ht="15" hidden="false" customHeight="true" outlineLevel="0" collapsed="false">
      <c r="B9" s="5"/>
      <c r="C9" s="5"/>
      <c r="D9" s="5"/>
      <c r="E9" s="5"/>
      <c r="F9" s="5"/>
      <c r="G9" s="5"/>
    </row>
    <row r="10" customFormat="false" ht="15" hidden="false" customHeight="true" outlineLevel="0" collapsed="false">
      <c r="B10" s="5"/>
      <c r="C10" s="5"/>
      <c r="D10" s="5"/>
      <c r="E10" s="5"/>
      <c r="F10" s="5"/>
      <c r="G10" s="5"/>
    </row>
    <row r="11" customFormat="false" ht="15" hidden="false" customHeight="true" outlineLevel="0" collapsed="false">
      <c r="B11" s="5"/>
      <c r="C11" s="5"/>
      <c r="D11" s="5"/>
      <c r="E11" s="5"/>
      <c r="F11" s="5"/>
      <c r="G11" s="5"/>
    </row>
    <row r="13" customFormat="false" ht="24" hidden="false" customHeight="true" outlineLevel="0" collapsed="false">
      <c r="B13" s="6" t="s">
        <v>3</v>
      </c>
      <c r="C13" s="6"/>
      <c r="D13" s="6"/>
      <c r="E13" s="6"/>
      <c r="F13" s="6"/>
      <c r="G13" s="6"/>
    </row>
    <row r="14" customFormat="false" ht="13.5" hidden="false" customHeight="true" outlineLevel="0" collapsed="false">
      <c r="B14" s="7" t="s">
        <v>4</v>
      </c>
      <c r="C14" s="8" t="s">
        <v>5</v>
      </c>
      <c r="D14" s="9" t="s">
        <v>6</v>
      </c>
      <c r="E14" s="9"/>
      <c r="F14" s="9"/>
      <c r="G14" s="9"/>
    </row>
    <row r="15" customFormat="false" ht="13.5" hidden="false" customHeight="true" outlineLevel="0" collapsed="false">
      <c r="C15" s="8"/>
      <c r="D15" s="8"/>
      <c r="E15" s="9"/>
      <c r="F15" s="9"/>
      <c r="G15" s="9"/>
    </row>
    <row r="16" customFormat="false" ht="13.5" hidden="false" customHeight="true" outlineLevel="0" collapsed="false">
      <c r="C16" s="8"/>
      <c r="D16" s="8"/>
      <c r="E16" s="9"/>
      <c r="F16" s="9"/>
      <c r="G16" s="9"/>
    </row>
    <row r="17" customFormat="false" ht="13.5" hidden="false" customHeight="true" outlineLevel="0" collapsed="false">
      <c r="C17" s="8"/>
      <c r="D17" s="8"/>
      <c r="E17" s="9"/>
      <c r="F17" s="9"/>
      <c r="G17" s="9"/>
    </row>
    <row r="18" customFormat="false" ht="13.5" hidden="false" customHeight="true" outlineLevel="0" collapsed="false">
      <c r="C18" s="8"/>
      <c r="D18" s="8"/>
      <c r="E18" s="9"/>
      <c r="F18" s="9"/>
      <c r="G18" s="9"/>
    </row>
    <row r="19" customFormat="false" ht="13.5" hidden="false" customHeight="true" outlineLevel="0" collapsed="false">
      <c r="C19" s="8"/>
      <c r="D19" s="8"/>
      <c r="E19" s="9"/>
      <c r="F19" s="9"/>
      <c r="G19" s="9"/>
    </row>
    <row r="21" customFormat="false" ht="13.5" hidden="false" customHeight="true" outlineLevel="0" collapsed="false">
      <c r="B21" s="7" t="s">
        <v>7</v>
      </c>
      <c r="C21" s="8" t="s">
        <v>8</v>
      </c>
      <c r="D21" s="9" t="s">
        <v>9</v>
      </c>
      <c r="E21" s="9"/>
      <c r="F21" s="9"/>
      <c r="G21" s="9"/>
    </row>
    <row r="22" customFormat="false" ht="13.5" hidden="false" customHeight="true" outlineLevel="0" collapsed="false">
      <c r="C22" s="8"/>
      <c r="D22" s="8"/>
      <c r="E22" s="9"/>
      <c r="F22" s="9"/>
      <c r="G22" s="9"/>
    </row>
    <row r="23" customFormat="false" ht="13.5" hidden="false" customHeight="true" outlineLevel="0" collapsed="false">
      <c r="C23" s="8"/>
      <c r="D23" s="8"/>
      <c r="E23" s="9"/>
      <c r="F23" s="9"/>
      <c r="G23" s="9"/>
    </row>
    <row r="24" customFormat="false" ht="13.5" hidden="false" customHeight="true" outlineLevel="0" collapsed="false">
      <c r="C24" s="8"/>
      <c r="D24" s="8"/>
      <c r="E24" s="9"/>
      <c r="F24" s="9"/>
      <c r="G24" s="9"/>
    </row>
    <row r="25" customFormat="false" ht="13.5" hidden="false" customHeight="true" outlineLevel="0" collapsed="false">
      <c r="C25" s="8"/>
      <c r="D25" s="8"/>
      <c r="E25" s="9"/>
      <c r="F25" s="9"/>
      <c r="G25" s="9"/>
    </row>
    <row r="27" customFormat="false" ht="13.5" hidden="false" customHeight="true" outlineLevel="0" collapsed="false">
      <c r="B27" s="7" t="s">
        <v>10</v>
      </c>
      <c r="C27" s="8" t="s">
        <v>11</v>
      </c>
      <c r="D27" s="9" t="s">
        <v>12</v>
      </c>
      <c r="E27" s="9"/>
      <c r="F27" s="9"/>
      <c r="G27" s="9"/>
    </row>
    <row r="28" customFormat="false" ht="13.5" hidden="false" customHeight="true" outlineLevel="0" collapsed="false">
      <c r="C28" s="8"/>
      <c r="D28" s="8"/>
      <c r="E28" s="9"/>
      <c r="F28" s="9"/>
      <c r="G28" s="9"/>
    </row>
    <row r="29" customFormat="false" ht="13.5" hidden="false" customHeight="true" outlineLevel="0" collapsed="false">
      <c r="C29" s="8"/>
      <c r="D29" s="8"/>
      <c r="E29" s="9"/>
      <c r="F29" s="9"/>
      <c r="G29" s="9"/>
    </row>
    <row r="30" customFormat="false" ht="13.5" hidden="false" customHeight="true" outlineLevel="0" collapsed="false">
      <c r="C30" s="8"/>
      <c r="D30" s="8"/>
      <c r="E30" s="9"/>
      <c r="F30" s="9"/>
      <c r="G30" s="9"/>
    </row>
    <row r="32" customFormat="false" ht="13.5" hidden="false" customHeight="true" outlineLevel="0" collapsed="false">
      <c r="B32" s="7" t="s">
        <v>13</v>
      </c>
      <c r="C32" s="8" t="s">
        <v>14</v>
      </c>
      <c r="D32" s="9" t="s">
        <v>15</v>
      </c>
      <c r="E32" s="9"/>
      <c r="F32" s="9"/>
      <c r="G32" s="9"/>
    </row>
    <row r="33" customFormat="false" ht="13.5" hidden="false" customHeight="true" outlineLevel="0" collapsed="false">
      <c r="C33" s="8"/>
      <c r="D33" s="8"/>
      <c r="E33" s="9"/>
      <c r="F33" s="9"/>
      <c r="G33" s="9"/>
    </row>
    <row r="34" customFormat="false" ht="13.5" hidden="false" customHeight="true" outlineLevel="0" collapsed="false">
      <c r="C34" s="8"/>
      <c r="D34" s="8"/>
      <c r="E34" s="9"/>
      <c r="F34" s="9"/>
      <c r="G34" s="9"/>
    </row>
    <row r="35" customFormat="false" ht="13.5" hidden="false" customHeight="true" outlineLevel="0" collapsed="false">
      <c r="C35" s="8"/>
      <c r="D35" s="8"/>
      <c r="E35" s="9"/>
      <c r="F35" s="9"/>
      <c r="G35" s="9"/>
    </row>
    <row r="36" customFormat="false" ht="13.5" hidden="false" customHeight="true" outlineLevel="0" collapsed="false">
      <c r="C36" s="8"/>
      <c r="D36" s="8"/>
      <c r="E36" s="9"/>
      <c r="F36" s="9"/>
      <c r="G36" s="9"/>
    </row>
    <row r="37" customFormat="false" ht="13.5" hidden="false" customHeight="true" outlineLevel="0" collapsed="false">
      <c r="C37" s="8"/>
      <c r="D37" s="8"/>
      <c r="E37" s="9"/>
      <c r="F37" s="9"/>
      <c r="G37" s="9"/>
    </row>
    <row r="39" customFormat="false" ht="13.5" hidden="false" customHeight="true" outlineLevel="0" collapsed="false">
      <c r="B39" s="7" t="s">
        <v>16</v>
      </c>
      <c r="C39" s="8" t="s">
        <v>17</v>
      </c>
      <c r="D39" s="9" t="s">
        <v>18</v>
      </c>
      <c r="E39" s="9"/>
      <c r="F39" s="9"/>
      <c r="G39" s="9"/>
    </row>
    <row r="40" customFormat="false" ht="13.5" hidden="false" customHeight="true" outlineLevel="0" collapsed="false">
      <c r="C40" s="8"/>
      <c r="D40" s="8"/>
      <c r="E40" s="9"/>
      <c r="F40" s="9"/>
      <c r="G40" s="9"/>
    </row>
    <row r="41" customFormat="false" ht="13.5" hidden="false" customHeight="true" outlineLevel="0" collapsed="false">
      <c r="C41" s="8"/>
      <c r="D41" s="8"/>
      <c r="E41" s="9"/>
      <c r="F41" s="9"/>
      <c r="G41" s="9"/>
    </row>
    <row r="43" customFormat="false" ht="13.5" hidden="false" customHeight="true" outlineLevel="0" collapsed="false">
      <c r="B43" s="7" t="s">
        <v>19</v>
      </c>
      <c r="C43" s="8" t="s">
        <v>20</v>
      </c>
      <c r="D43" s="9" t="s">
        <v>21</v>
      </c>
      <c r="E43" s="9"/>
      <c r="F43" s="9"/>
      <c r="G43" s="9"/>
    </row>
    <row r="44" customFormat="false" ht="13.5" hidden="false" customHeight="true" outlineLevel="0" collapsed="false">
      <c r="C44" s="8"/>
      <c r="D44" s="8"/>
      <c r="E44" s="9"/>
      <c r="F44" s="9"/>
      <c r="G44" s="9"/>
    </row>
    <row r="45" customFormat="false" ht="13.5" hidden="false" customHeight="true" outlineLevel="0" collapsed="false">
      <c r="C45" s="8"/>
      <c r="D45" s="8"/>
      <c r="E45" s="9"/>
      <c r="F45" s="9"/>
      <c r="G45" s="9"/>
    </row>
    <row r="46" customFormat="false" ht="13.5" hidden="false" customHeight="true" outlineLevel="0" collapsed="false">
      <c r="C46" s="8"/>
      <c r="D46" s="8"/>
      <c r="E46" s="9"/>
      <c r="F46" s="9"/>
      <c r="G46" s="9"/>
    </row>
    <row r="47" customFormat="false" ht="13.5" hidden="false" customHeight="true" outlineLevel="0" collapsed="false">
      <c r="C47" s="8"/>
      <c r="D47" s="8"/>
      <c r="E47" s="9"/>
      <c r="F47" s="9"/>
      <c r="G47" s="9"/>
    </row>
    <row r="49" customFormat="false" ht="13.5" hidden="false" customHeight="true" outlineLevel="0" collapsed="false">
      <c r="B49" s="7" t="s">
        <v>22</v>
      </c>
      <c r="C49" s="8" t="s">
        <v>23</v>
      </c>
      <c r="D49" s="9" t="s">
        <v>24</v>
      </c>
      <c r="E49" s="9"/>
      <c r="F49" s="9"/>
      <c r="G49" s="9"/>
    </row>
    <row r="50" customFormat="false" ht="13.5" hidden="false" customHeight="true" outlineLevel="0" collapsed="false">
      <c r="C50" s="8"/>
      <c r="D50" s="8"/>
      <c r="E50" s="9"/>
      <c r="F50" s="9"/>
      <c r="G50" s="9"/>
    </row>
    <row r="51" customFormat="false" ht="13.5" hidden="false" customHeight="true" outlineLevel="0" collapsed="false">
      <c r="C51" s="8"/>
      <c r="D51" s="8"/>
      <c r="E51" s="9"/>
      <c r="F51" s="9"/>
      <c r="G51" s="9"/>
    </row>
    <row r="52" customFormat="false" ht="13.5" hidden="false" customHeight="true" outlineLevel="0" collapsed="false">
      <c r="C52" s="8"/>
      <c r="D52" s="8"/>
      <c r="E52" s="9"/>
      <c r="F52" s="9"/>
      <c r="G52" s="9"/>
    </row>
    <row r="55" customFormat="false" ht="24" hidden="false" customHeight="true" outlineLevel="0" collapsed="false">
      <c r="B55" s="6" t="s">
        <v>25</v>
      </c>
      <c r="C55" s="6"/>
      <c r="D55" s="6"/>
      <c r="E55" s="6"/>
      <c r="F55" s="6"/>
      <c r="G55" s="6"/>
    </row>
    <row r="56" customFormat="false" ht="18.75" hidden="false" customHeight="true" outlineLevel="0" collapsed="false">
      <c r="B56" s="10"/>
      <c r="C56" s="10" t="s">
        <v>26</v>
      </c>
      <c r="D56" s="10" t="s">
        <v>27</v>
      </c>
      <c r="E56" s="10"/>
      <c r="F56" s="10"/>
      <c r="G56" s="10"/>
    </row>
    <row r="57" customFormat="false" ht="60" hidden="false" customHeight="true" outlineLevel="0" collapsed="false">
      <c r="B57" s="11"/>
      <c r="C57" s="12" t="s">
        <v>28</v>
      </c>
      <c r="D57" s="13" t="s">
        <v>29</v>
      </c>
      <c r="E57" s="13"/>
      <c r="F57" s="13"/>
      <c r="G57" s="13"/>
    </row>
    <row r="58" customFormat="false" ht="46.5" hidden="false" customHeight="true" outlineLevel="0" collapsed="false">
      <c r="B58" s="14"/>
      <c r="C58" s="15" t="s">
        <v>30</v>
      </c>
      <c r="D58" s="16" t="s">
        <v>31</v>
      </c>
      <c r="E58" s="16"/>
      <c r="F58" s="16"/>
      <c r="G58" s="16"/>
    </row>
    <row r="59" customFormat="false" ht="33.75" hidden="false" customHeight="true" outlineLevel="0" collapsed="false">
      <c r="B59" s="17"/>
      <c r="C59" s="12" t="s">
        <v>0</v>
      </c>
      <c r="D59" s="13" t="s">
        <v>32</v>
      </c>
      <c r="E59" s="13"/>
      <c r="F59" s="13"/>
      <c r="G59" s="13"/>
    </row>
    <row r="60" customFormat="false" ht="33.75" hidden="false" customHeight="true" outlineLevel="0" collapsed="false">
      <c r="B60" s="18"/>
      <c r="C60" s="15" t="s">
        <v>33</v>
      </c>
      <c r="D60" s="16" t="s">
        <v>34</v>
      </c>
      <c r="E60" s="16"/>
      <c r="F60" s="16"/>
      <c r="G60" s="16"/>
    </row>
    <row r="61" customFormat="false" ht="46.5" hidden="false" customHeight="true" outlineLevel="0" collapsed="false">
      <c r="B61" s="19"/>
      <c r="C61" s="12" t="s">
        <v>35</v>
      </c>
      <c r="D61" s="13" t="s">
        <v>36</v>
      </c>
      <c r="E61" s="13"/>
      <c r="F61" s="13"/>
      <c r="G61" s="13"/>
    </row>
    <row r="62" customFormat="false" ht="46.5" hidden="false" customHeight="true" outlineLevel="0" collapsed="false">
      <c r="B62" s="20"/>
      <c r="C62" s="15" t="s">
        <v>37</v>
      </c>
      <c r="D62" s="16" t="s">
        <v>38</v>
      </c>
      <c r="E62" s="16"/>
      <c r="F62" s="16"/>
      <c r="G62" s="16"/>
    </row>
    <row r="63" customFormat="false" ht="46.5" hidden="false" customHeight="true" outlineLevel="0" collapsed="false">
      <c r="B63" s="21"/>
      <c r="C63" s="12" t="s">
        <v>39</v>
      </c>
      <c r="D63" s="13" t="s">
        <v>40</v>
      </c>
      <c r="E63" s="13"/>
      <c r="F63" s="13"/>
      <c r="G63" s="13"/>
    </row>
    <row r="65" customFormat="false" ht="24" hidden="false" customHeight="true" outlineLevel="0" collapsed="false">
      <c r="B65" s="6" t="s">
        <v>41</v>
      </c>
      <c r="C65" s="6"/>
      <c r="D65" s="6"/>
      <c r="E65" s="6"/>
      <c r="F65" s="6"/>
      <c r="G65" s="6"/>
    </row>
    <row r="66" customFormat="false" ht="13.5" hidden="false" customHeight="true" outlineLevel="0" collapsed="false">
      <c r="B66" s="22"/>
      <c r="C66" s="23" t="s">
        <v>42</v>
      </c>
      <c r="D66" s="9" t="s">
        <v>43</v>
      </c>
      <c r="E66" s="9"/>
      <c r="F66" s="9"/>
      <c r="G66" s="9"/>
    </row>
    <row r="67" customFormat="false" ht="13.5" hidden="false" customHeight="true" outlineLevel="0" collapsed="false">
      <c r="D67" s="9"/>
      <c r="E67" s="9"/>
      <c r="F67" s="9"/>
      <c r="G67" s="9"/>
    </row>
    <row r="68" customFormat="false" ht="13.5" hidden="false" customHeight="true" outlineLevel="0" collapsed="false">
      <c r="B68" s="24"/>
      <c r="C68" s="25" t="s">
        <v>44</v>
      </c>
      <c r="D68" s="9" t="s">
        <v>45</v>
      </c>
      <c r="E68" s="9"/>
      <c r="F68" s="9"/>
      <c r="G68" s="9"/>
    </row>
    <row r="69" customFormat="false" ht="13.5" hidden="false" customHeight="true" outlineLevel="0" collapsed="false">
      <c r="D69" s="9"/>
      <c r="E69" s="9"/>
      <c r="F69" s="9"/>
      <c r="G69" s="9"/>
    </row>
    <row r="70" customFormat="false" ht="13.5" hidden="false" customHeight="true" outlineLevel="0" collapsed="false">
      <c r="B70" s="26"/>
      <c r="C70" s="27" t="s">
        <v>46</v>
      </c>
      <c r="D70" s="9" t="s">
        <v>47</v>
      </c>
      <c r="E70" s="9"/>
      <c r="F70" s="9"/>
      <c r="G70" s="9"/>
    </row>
    <row r="71" customFormat="false" ht="13.5" hidden="false" customHeight="true" outlineLevel="0" collapsed="false">
      <c r="D71" s="9"/>
      <c r="E71" s="9"/>
      <c r="F71" s="9"/>
      <c r="G71" s="9"/>
    </row>
    <row r="72" customFormat="false" ht="13.5" hidden="false" customHeight="true" outlineLevel="0" collapsed="false">
      <c r="B72" s="28"/>
      <c r="C72" s="29" t="s">
        <v>48</v>
      </c>
      <c r="D72" s="9" t="s">
        <v>49</v>
      </c>
      <c r="E72" s="9"/>
      <c r="F72" s="9"/>
      <c r="G72" s="9"/>
    </row>
    <row r="73" customFormat="false" ht="13.5" hidden="false" customHeight="true" outlineLevel="0" collapsed="false">
      <c r="D73" s="9"/>
      <c r="E73" s="9"/>
      <c r="F73" s="9"/>
      <c r="G73" s="9"/>
    </row>
    <row r="74" customFormat="false" ht="13.5" hidden="false" customHeight="true" outlineLevel="0" collapsed="false">
      <c r="B74" s="30"/>
      <c r="C74" s="31" t="s">
        <v>50</v>
      </c>
      <c r="D74" s="9" t="s">
        <v>51</v>
      </c>
      <c r="E74" s="9"/>
      <c r="F74" s="9"/>
      <c r="G74" s="9"/>
    </row>
    <row r="75" customFormat="false" ht="13.5" hidden="false" customHeight="true" outlineLevel="0" collapsed="false">
      <c r="D75" s="9"/>
      <c r="E75" s="9"/>
      <c r="F75" s="9"/>
      <c r="G75" s="9"/>
    </row>
    <row r="76" customFormat="false" ht="13.5" hidden="false" customHeight="true" outlineLevel="0" collapsed="false">
      <c r="B76" s="32"/>
      <c r="C76" s="33" t="s">
        <v>52</v>
      </c>
      <c r="D76" s="9" t="s">
        <v>53</v>
      </c>
      <c r="E76" s="9"/>
      <c r="F76" s="9"/>
      <c r="G76" s="9"/>
    </row>
    <row r="77" customFormat="false" ht="13.5" hidden="false" customHeight="true" outlineLevel="0" collapsed="false">
      <c r="D77" s="9"/>
      <c r="E77" s="9"/>
      <c r="F77" s="9"/>
      <c r="G77" s="9"/>
    </row>
    <row r="79" customFormat="false" ht="24" hidden="false" customHeight="true" outlineLevel="0" collapsed="false">
      <c r="B79" s="6" t="s">
        <v>54</v>
      </c>
      <c r="C79" s="6"/>
      <c r="D79" s="6"/>
      <c r="E79" s="6"/>
      <c r="F79" s="6"/>
      <c r="G79" s="6"/>
    </row>
    <row r="80" customFormat="false" ht="13.5" hidden="false" customHeight="true" outlineLevel="0" collapsed="false">
      <c r="C80" s="8" t="s">
        <v>55</v>
      </c>
      <c r="D80" s="9" t="s">
        <v>56</v>
      </c>
      <c r="E80" s="9"/>
      <c r="F80" s="9"/>
      <c r="G80" s="9"/>
    </row>
    <row r="81" customFormat="false" ht="13.5" hidden="false" customHeight="true" outlineLevel="0" collapsed="false">
      <c r="C81" s="8"/>
      <c r="D81" s="8"/>
      <c r="E81" s="9"/>
      <c r="F81" s="9"/>
      <c r="G81" s="9"/>
    </row>
    <row r="82" customFormat="false" ht="13.5" hidden="false" customHeight="true" outlineLevel="0" collapsed="false">
      <c r="C82" s="8"/>
      <c r="D82" s="8"/>
      <c r="E82" s="9"/>
      <c r="F82" s="9"/>
      <c r="G82" s="9"/>
    </row>
    <row r="83" customFormat="false" ht="13.5" hidden="false" customHeight="true" outlineLevel="0" collapsed="false">
      <c r="C83" s="8"/>
      <c r="D83" s="8"/>
      <c r="E83" s="9"/>
      <c r="F83" s="9"/>
      <c r="G83" s="9"/>
    </row>
    <row r="84" customFormat="false" ht="13.5" hidden="false" customHeight="true" outlineLevel="0" collapsed="false">
      <c r="C84" s="8"/>
      <c r="D84" s="8"/>
      <c r="E84" s="9"/>
      <c r="F84" s="9"/>
      <c r="G84" s="9"/>
    </row>
    <row r="85" customFormat="false" ht="13.5" hidden="false" customHeight="true" outlineLevel="0" collapsed="false">
      <c r="C85" s="8"/>
      <c r="D85" s="8"/>
      <c r="E85" s="9"/>
      <c r="F85" s="9"/>
      <c r="G85" s="9"/>
    </row>
    <row r="86" customFormat="false" ht="13.5" hidden="false" customHeight="true" outlineLevel="0" collapsed="false">
      <c r="C86" s="8"/>
      <c r="D86" s="8"/>
      <c r="E86" s="9"/>
      <c r="F86" s="9"/>
      <c r="G86" s="9"/>
    </row>
    <row r="88" customFormat="false" ht="13.5" hidden="false" customHeight="true" outlineLevel="0" collapsed="false">
      <c r="C88" s="8" t="s">
        <v>57</v>
      </c>
      <c r="D88" s="9" t="s">
        <v>58</v>
      </c>
      <c r="E88" s="9"/>
      <c r="F88" s="9"/>
      <c r="G88" s="9"/>
    </row>
    <row r="89" customFormat="false" ht="13.5" hidden="false" customHeight="true" outlineLevel="0" collapsed="false">
      <c r="C89" s="8"/>
      <c r="D89" s="8"/>
      <c r="E89" s="9"/>
      <c r="F89" s="9"/>
      <c r="G89" s="9"/>
    </row>
    <row r="90" customFormat="false" ht="13.5" hidden="false" customHeight="true" outlineLevel="0" collapsed="false">
      <c r="C90" s="8"/>
      <c r="D90" s="8"/>
      <c r="E90" s="9"/>
      <c r="F90" s="9"/>
      <c r="G90" s="9"/>
    </row>
    <row r="91" customFormat="false" ht="13.5" hidden="false" customHeight="true" outlineLevel="0" collapsed="false">
      <c r="C91" s="8"/>
      <c r="D91" s="8"/>
      <c r="E91" s="9"/>
      <c r="F91" s="9"/>
      <c r="G91" s="9"/>
    </row>
    <row r="92" customFormat="false" ht="13.5" hidden="false" customHeight="true" outlineLevel="0" collapsed="false">
      <c r="C92" s="8"/>
      <c r="D92" s="8"/>
      <c r="E92" s="9"/>
      <c r="F92" s="9"/>
      <c r="G92" s="9"/>
    </row>
    <row r="93" customFormat="false" ht="13.5" hidden="false" customHeight="true" outlineLevel="0" collapsed="false">
      <c r="C93" s="8"/>
      <c r="D93" s="8"/>
      <c r="E93" s="9"/>
      <c r="F93" s="9"/>
      <c r="G93" s="9"/>
    </row>
    <row r="94" customFormat="false" ht="13.5" hidden="false" customHeight="true" outlineLevel="0" collapsed="false">
      <c r="C94" s="8"/>
      <c r="D94" s="8"/>
      <c r="E94" s="9"/>
      <c r="F94" s="9"/>
      <c r="G94" s="9"/>
    </row>
    <row r="95" customFormat="false" ht="13.5" hidden="false" customHeight="true" outlineLevel="0" collapsed="false">
      <c r="C95" s="8"/>
      <c r="D95" s="8"/>
      <c r="E95" s="9"/>
      <c r="F95" s="9"/>
      <c r="G95" s="9"/>
    </row>
    <row r="96" customFormat="false" ht="13.5" hidden="false" customHeight="true" outlineLevel="0" collapsed="false">
      <c r="C96" s="8"/>
      <c r="D96" s="8"/>
      <c r="E96" s="9"/>
      <c r="F96" s="9"/>
      <c r="G96" s="9"/>
    </row>
    <row r="97" customFormat="false" ht="13.5" hidden="false" customHeight="true" outlineLevel="0" collapsed="false">
      <c r="C97" s="8"/>
      <c r="D97" s="8"/>
      <c r="E97" s="9"/>
      <c r="F97" s="9"/>
      <c r="G97" s="9"/>
    </row>
    <row r="98" customFormat="false" ht="13.5" hidden="false" customHeight="true" outlineLevel="0" collapsed="false">
      <c r="C98" s="8"/>
      <c r="D98" s="8"/>
      <c r="E98" s="9"/>
      <c r="F98" s="9"/>
      <c r="G98" s="9"/>
    </row>
    <row r="99" customFormat="false" ht="13.5" hidden="false" customHeight="true" outlineLevel="0" collapsed="false">
      <c r="C99" s="8"/>
      <c r="D99" s="8"/>
      <c r="E99" s="9"/>
      <c r="F99" s="9"/>
      <c r="G99" s="9"/>
    </row>
    <row r="101" customFormat="false" ht="13.5" hidden="false" customHeight="true" outlineLevel="0" collapsed="false">
      <c r="C101" s="8" t="s">
        <v>59</v>
      </c>
      <c r="D101" s="9" t="s">
        <v>60</v>
      </c>
      <c r="E101" s="9"/>
      <c r="F101" s="9"/>
      <c r="G101" s="9"/>
    </row>
    <row r="102" customFormat="false" ht="13.5" hidden="false" customHeight="true" outlineLevel="0" collapsed="false">
      <c r="C102" s="8"/>
      <c r="D102" s="8"/>
      <c r="E102" s="9"/>
      <c r="F102" s="9"/>
      <c r="G102" s="9"/>
    </row>
    <row r="103" customFormat="false" ht="13.5" hidden="false" customHeight="true" outlineLevel="0" collapsed="false">
      <c r="C103" s="8"/>
      <c r="D103" s="8"/>
      <c r="E103" s="9"/>
      <c r="F103" s="9"/>
      <c r="G103" s="9"/>
    </row>
    <row r="104" customFormat="false" ht="13.5" hidden="false" customHeight="true" outlineLevel="0" collapsed="false">
      <c r="C104" s="8"/>
      <c r="D104" s="8"/>
      <c r="E104" s="9"/>
      <c r="F104" s="9"/>
      <c r="G104" s="9"/>
    </row>
    <row r="105" customFormat="false" ht="13.5" hidden="false" customHeight="true" outlineLevel="0" collapsed="false">
      <c r="C105" s="8"/>
      <c r="D105" s="8"/>
      <c r="E105" s="9"/>
      <c r="F105" s="9"/>
      <c r="G105" s="9"/>
    </row>
    <row r="106" customFormat="false" ht="13.5" hidden="false" customHeight="true" outlineLevel="0" collapsed="false">
      <c r="C106" s="8"/>
      <c r="D106" s="8"/>
      <c r="E106" s="9"/>
      <c r="F106" s="9"/>
      <c r="G106" s="9"/>
    </row>
    <row r="108" customFormat="false" ht="13.5" hidden="false" customHeight="true" outlineLevel="0" collapsed="false">
      <c r="C108" s="8" t="s">
        <v>61</v>
      </c>
      <c r="D108" s="9" t="s">
        <v>62</v>
      </c>
      <c r="E108" s="9"/>
      <c r="F108" s="9"/>
      <c r="G108" s="9"/>
    </row>
    <row r="109" customFormat="false" ht="13.5" hidden="false" customHeight="true" outlineLevel="0" collapsed="false">
      <c r="C109" s="8"/>
      <c r="D109" s="8"/>
      <c r="E109" s="9"/>
      <c r="F109" s="9"/>
      <c r="G109" s="9"/>
    </row>
    <row r="110" customFormat="false" ht="13.5" hidden="false" customHeight="true" outlineLevel="0" collapsed="false">
      <c r="C110" s="8"/>
      <c r="D110" s="8"/>
      <c r="E110" s="9"/>
      <c r="F110" s="9"/>
      <c r="G110" s="9"/>
    </row>
    <row r="111" customFormat="false" ht="13.5" hidden="false" customHeight="true" outlineLevel="0" collapsed="false">
      <c r="C111" s="8"/>
      <c r="D111" s="8"/>
      <c r="E111" s="9"/>
      <c r="F111" s="9"/>
      <c r="G111" s="9"/>
    </row>
    <row r="112" customFormat="false" ht="13.5" hidden="false" customHeight="true" outlineLevel="0" collapsed="false">
      <c r="C112" s="8"/>
      <c r="D112" s="8"/>
      <c r="E112" s="9"/>
      <c r="F112" s="9"/>
      <c r="G112" s="9"/>
    </row>
    <row r="113" customFormat="false" ht="13.5" hidden="false" customHeight="true" outlineLevel="0" collapsed="false">
      <c r="C113" s="8"/>
      <c r="D113" s="8"/>
      <c r="E113" s="9"/>
      <c r="F113" s="9"/>
      <c r="G113" s="9"/>
    </row>
    <row r="114" customFormat="false" ht="13.5" hidden="false" customHeight="true" outlineLevel="0" collapsed="false">
      <c r="C114" s="8"/>
      <c r="D114" s="8"/>
      <c r="E114" s="9"/>
      <c r="F114" s="9"/>
      <c r="G114" s="9"/>
    </row>
    <row r="115" customFormat="false" ht="13.5" hidden="false" customHeight="true" outlineLevel="0" collapsed="false">
      <c r="C115" s="8"/>
      <c r="D115" s="8"/>
      <c r="E115" s="9"/>
      <c r="F115" s="9"/>
      <c r="G115" s="9"/>
    </row>
    <row r="117" customFormat="false" ht="13.5" hidden="false" customHeight="true" outlineLevel="0" collapsed="false">
      <c r="C117" s="8" t="s">
        <v>63</v>
      </c>
      <c r="D117" s="9" t="s">
        <v>64</v>
      </c>
      <c r="E117" s="9"/>
      <c r="F117" s="9"/>
      <c r="G117" s="9"/>
    </row>
    <row r="118" customFormat="false" ht="13.5" hidden="false" customHeight="true" outlineLevel="0" collapsed="false">
      <c r="C118" s="8"/>
      <c r="D118" s="8"/>
      <c r="E118" s="9"/>
      <c r="F118" s="9"/>
      <c r="G118" s="9"/>
    </row>
    <row r="119" customFormat="false" ht="13.5" hidden="false" customHeight="true" outlineLevel="0" collapsed="false">
      <c r="C119" s="8"/>
      <c r="D119" s="8"/>
      <c r="E119" s="9"/>
      <c r="F119" s="9"/>
      <c r="G119" s="9"/>
    </row>
    <row r="120" customFormat="false" ht="13.5" hidden="false" customHeight="true" outlineLevel="0" collapsed="false">
      <c r="C120" s="8"/>
      <c r="D120" s="8"/>
      <c r="E120" s="9"/>
      <c r="F120" s="9"/>
      <c r="G120" s="9"/>
    </row>
    <row r="121" customFormat="false" ht="13.5" hidden="false" customHeight="true" outlineLevel="0" collapsed="false">
      <c r="C121" s="8"/>
      <c r="D121" s="8"/>
      <c r="E121" s="9"/>
      <c r="F121" s="9"/>
      <c r="G121" s="9"/>
    </row>
    <row r="122" customFormat="false" ht="13.5" hidden="false" customHeight="true" outlineLevel="0" collapsed="false">
      <c r="C122" s="8"/>
      <c r="D122" s="8"/>
      <c r="E122" s="9"/>
      <c r="F122" s="9"/>
      <c r="G122" s="9"/>
    </row>
    <row r="123" customFormat="false" ht="13.5" hidden="false" customHeight="true" outlineLevel="0" collapsed="false">
      <c r="C123" s="8"/>
      <c r="D123" s="8"/>
      <c r="E123" s="9"/>
      <c r="F123" s="9"/>
      <c r="G123" s="9"/>
    </row>
    <row r="124" customFormat="false" ht="13.5" hidden="false" customHeight="true" outlineLevel="0" collapsed="false">
      <c r="C124" s="8"/>
      <c r="D124" s="8"/>
      <c r="E124" s="9"/>
      <c r="F124" s="9"/>
      <c r="G124" s="9"/>
    </row>
    <row r="125" customFormat="false" ht="13.5" hidden="false" customHeight="true" outlineLevel="0" collapsed="false">
      <c r="C125" s="8"/>
      <c r="D125" s="8"/>
      <c r="E125" s="9"/>
      <c r="F125" s="9"/>
      <c r="G125" s="9"/>
    </row>
    <row r="127" customFormat="false" ht="13.5" hidden="false" customHeight="true" outlineLevel="0" collapsed="false">
      <c r="C127" s="8" t="s">
        <v>65</v>
      </c>
      <c r="D127" s="9" t="s">
        <v>66</v>
      </c>
      <c r="E127" s="9"/>
      <c r="F127" s="9"/>
      <c r="G127" s="9"/>
    </row>
    <row r="128" customFormat="false" ht="13.5" hidden="false" customHeight="true" outlineLevel="0" collapsed="false">
      <c r="C128" s="8"/>
      <c r="D128" s="8"/>
      <c r="E128" s="9"/>
      <c r="F128" s="9"/>
      <c r="G128" s="9"/>
    </row>
    <row r="129" customFormat="false" ht="13.5" hidden="false" customHeight="true" outlineLevel="0" collapsed="false">
      <c r="C129" s="8"/>
      <c r="D129" s="8"/>
      <c r="E129" s="9"/>
      <c r="F129" s="9"/>
      <c r="G129" s="9"/>
    </row>
    <row r="130" customFormat="false" ht="13.5" hidden="false" customHeight="true" outlineLevel="0" collapsed="false">
      <c r="C130" s="8"/>
      <c r="D130" s="8"/>
      <c r="E130" s="9"/>
      <c r="F130" s="9"/>
      <c r="G130" s="9"/>
    </row>
    <row r="131" customFormat="false" ht="13.5" hidden="false" customHeight="true" outlineLevel="0" collapsed="false">
      <c r="C131" s="8"/>
      <c r="D131" s="8"/>
      <c r="E131" s="9"/>
      <c r="F131" s="9"/>
      <c r="G131" s="9"/>
    </row>
    <row r="133" customFormat="false" ht="13.5" hidden="false" customHeight="true" outlineLevel="0" collapsed="false">
      <c r="C133" s="8" t="s">
        <v>67</v>
      </c>
      <c r="D133" s="9" t="s">
        <v>68</v>
      </c>
      <c r="E133" s="9"/>
      <c r="F133" s="9"/>
      <c r="G133" s="9"/>
    </row>
    <row r="134" customFormat="false" ht="13.5" hidden="false" customHeight="true" outlineLevel="0" collapsed="false">
      <c r="C134" s="8"/>
      <c r="D134" s="8"/>
      <c r="E134" s="9"/>
      <c r="F134" s="9"/>
      <c r="G134" s="9"/>
    </row>
    <row r="135" customFormat="false" ht="13.5" hidden="false" customHeight="true" outlineLevel="0" collapsed="false">
      <c r="C135" s="8"/>
      <c r="D135" s="8"/>
      <c r="E135" s="9"/>
      <c r="F135" s="9"/>
      <c r="G135" s="9"/>
    </row>
    <row r="136" customFormat="false" ht="13.5" hidden="false" customHeight="true" outlineLevel="0" collapsed="false">
      <c r="C136" s="8"/>
      <c r="D136" s="8"/>
      <c r="E136" s="9"/>
      <c r="F136" s="9"/>
      <c r="G136" s="9"/>
    </row>
    <row r="137" customFormat="false" ht="13.5" hidden="false" customHeight="true" outlineLevel="0" collapsed="false">
      <c r="C137" s="8"/>
      <c r="D137" s="8"/>
      <c r="E137" s="9"/>
      <c r="F137" s="9"/>
      <c r="G137" s="9"/>
    </row>
    <row r="138" customFormat="false" ht="13.5" hidden="false" customHeight="true" outlineLevel="0" collapsed="false">
      <c r="C138" s="8"/>
      <c r="D138" s="8"/>
      <c r="E138" s="9"/>
      <c r="F138" s="9"/>
      <c r="G138" s="9"/>
    </row>
    <row r="139" customFormat="false" ht="13.5" hidden="false" customHeight="true" outlineLevel="0" collapsed="false">
      <c r="C139" s="8"/>
      <c r="D139" s="8"/>
      <c r="E139" s="9"/>
      <c r="F139" s="9"/>
      <c r="G139" s="9"/>
    </row>
    <row r="140" customFormat="false" ht="13.5" hidden="false" customHeight="true" outlineLevel="0" collapsed="false">
      <c r="C140" s="8"/>
      <c r="D140" s="8"/>
      <c r="E140" s="9"/>
      <c r="F140" s="9"/>
      <c r="G140" s="9"/>
    </row>
    <row r="142" customFormat="false" ht="24" hidden="false" customHeight="true" outlineLevel="0" collapsed="false">
      <c r="B142" s="6" t="s">
        <v>69</v>
      </c>
      <c r="C142" s="6"/>
      <c r="D142" s="6"/>
      <c r="E142" s="6"/>
      <c r="F142" s="6"/>
      <c r="G142" s="6"/>
    </row>
    <row r="143" customFormat="false" ht="13.5" hidden="false" customHeight="true" outlineLevel="0" collapsed="false">
      <c r="C143" s="8" t="s">
        <v>70</v>
      </c>
      <c r="D143" s="9" t="s">
        <v>71</v>
      </c>
      <c r="E143" s="9"/>
      <c r="F143" s="9"/>
      <c r="G143" s="9"/>
    </row>
    <row r="144" customFormat="false" ht="13.5" hidden="false" customHeight="true" outlineLevel="0" collapsed="false">
      <c r="C144" s="8"/>
      <c r="D144" s="8"/>
      <c r="E144" s="9"/>
      <c r="F144" s="9"/>
      <c r="G144" s="9"/>
    </row>
    <row r="145" customFormat="false" ht="13.5" hidden="false" customHeight="true" outlineLevel="0" collapsed="false">
      <c r="C145" s="8"/>
      <c r="D145" s="8"/>
      <c r="E145" s="9"/>
      <c r="F145" s="9"/>
      <c r="G145" s="9"/>
    </row>
    <row r="146" customFormat="false" ht="13.5" hidden="false" customHeight="true" outlineLevel="0" collapsed="false">
      <c r="C146" s="8"/>
      <c r="D146" s="8"/>
      <c r="E146" s="9"/>
      <c r="F146" s="9"/>
      <c r="G146" s="9"/>
    </row>
    <row r="147" customFormat="false" ht="13.5" hidden="false" customHeight="true" outlineLevel="0" collapsed="false">
      <c r="C147" s="8"/>
      <c r="D147" s="8"/>
      <c r="E147" s="9"/>
      <c r="F147" s="9"/>
      <c r="G147" s="9"/>
    </row>
    <row r="148" customFormat="false" ht="13.5" hidden="false" customHeight="true" outlineLevel="0" collapsed="false">
      <c r="C148" s="8"/>
      <c r="D148" s="8"/>
      <c r="E148" s="9"/>
      <c r="F148" s="9"/>
      <c r="G148" s="9"/>
    </row>
    <row r="150" customFormat="false" ht="13.5" hidden="false" customHeight="true" outlineLevel="0" collapsed="false">
      <c r="C150" s="8" t="s">
        <v>72</v>
      </c>
      <c r="D150" s="9" t="s">
        <v>73</v>
      </c>
      <c r="E150" s="9"/>
      <c r="F150" s="9"/>
      <c r="G150" s="9"/>
    </row>
    <row r="151" customFormat="false" ht="13.5" hidden="false" customHeight="true" outlineLevel="0" collapsed="false">
      <c r="C151" s="8"/>
      <c r="D151" s="8"/>
      <c r="E151" s="9"/>
      <c r="F151" s="9"/>
      <c r="G151" s="9"/>
    </row>
    <row r="152" customFormat="false" ht="13.5" hidden="false" customHeight="true" outlineLevel="0" collapsed="false">
      <c r="C152" s="8"/>
      <c r="D152" s="8"/>
      <c r="E152" s="9"/>
      <c r="F152" s="9"/>
      <c r="G152" s="9"/>
    </row>
    <row r="153" customFormat="false" ht="13.5" hidden="false" customHeight="true" outlineLevel="0" collapsed="false">
      <c r="C153" s="8"/>
      <c r="D153" s="8"/>
      <c r="E153" s="9"/>
      <c r="F153" s="9"/>
      <c r="G153" s="9"/>
    </row>
    <row r="154" customFormat="false" ht="13.5" hidden="false" customHeight="true" outlineLevel="0" collapsed="false">
      <c r="C154" s="8"/>
      <c r="D154" s="8"/>
      <c r="E154" s="9"/>
      <c r="F154" s="9"/>
      <c r="G154" s="9"/>
    </row>
    <row r="156" customFormat="false" ht="13.5" hidden="false" customHeight="true" outlineLevel="0" collapsed="false">
      <c r="C156" s="8" t="s">
        <v>74</v>
      </c>
      <c r="D156" s="9" t="s">
        <v>75</v>
      </c>
      <c r="E156" s="9"/>
      <c r="F156" s="9"/>
      <c r="G156" s="9"/>
    </row>
    <row r="157" customFormat="false" ht="13.5" hidden="false" customHeight="true" outlineLevel="0" collapsed="false">
      <c r="C157" s="8"/>
      <c r="D157" s="8"/>
      <c r="E157" s="9"/>
      <c r="F157" s="9"/>
      <c r="G157" s="9"/>
    </row>
    <row r="158" customFormat="false" ht="13.5" hidden="false" customHeight="true" outlineLevel="0" collapsed="false">
      <c r="C158" s="8"/>
      <c r="D158" s="8"/>
      <c r="E158" s="9"/>
      <c r="F158" s="9"/>
      <c r="G158" s="9"/>
    </row>
    <row r="159" customFormat="false" ht="13.5" hidden="false" customHeight="true" outlineLevel="0" collapsed="false">
      <c r="C159" s="8"/>
      <c r="D159" s="8"/>
      <c r="E159" s="9"/>
      <c r="F159" s="9"/>
      <c r="G159" s="9"/>
    </row>
    <row r="161" customFormat="false" ht="13.5" hidden="false" customHeight="true" outlineLevel="0" collapsed="false">
      <c r="C161" s="8" t="s">
        <v>76</v>
      </c>
      <c r="D161" s="9" t="s">
        <v>77</v>
      </c>
      <c r="E161" s="9"/>
      <c r="F161" s="9"/>
      <c r="G161" s="9"/>
    </row>
    <row r="162" customFormat="false" ht="13.5" hidden="false" customHeight="true" outlineLevel="0" collapsed="false">
      <c r="C162" s="8"/>
      <c r="D162" s="8"/>
      <c r="E162" s="9"/>
      <c r="F162" s="9"/>
      <c r="G162" s="9"/>
    </row>
    <row r="163" customFormat="false" ht="13.5" hidden="false" customHeight="true" outlineLevel="0" collapsed="false">
      <c r="C163" s="8"/>
      <c r="D163" s="8"/>
      <c r="E163" s="9"/>
      <c r="F163" s="9"/>
      <c r="G163" s="9"/>
    </row>
    <row r="164" customFormat="false" ht="13.5" hidden="false" customHeight="true" outlineLevel="0" collapsed="false">
      <c r="C164" s="8"/>
      <c r="D164" s="8"/>
      <c r="E164" s="9"/>
      <c r="F164" s="9"/>
      <c r="G164" s="9"/>
    </row>
    <row r="165" customFormat="false" ht="13.5" hidden="false" customHeight="true" outlineLevel="0" collapsed="false">
      <c r="C165" s="8"/>
      <c r="D165" s="8"/>
      <c r="E165" s="9"/>
      <c r="F165" s="9"/>
      <c r="G165" s="9"/>
    </row>
    <row r="167" customFormat="false" ht="13.5" hidden="false" customHeight="true" outlineLevel="0" collapsed="false">
      <c r="C167" s="8" t="s">
        <v>78</v>
      </c>
      <c r="D167" s="9" t="s">
        <v>79</v>
      </c>
      <c r="E167" s="9"/>
      <c r="F167" s="9"/>
      <c r="G167" s="9"/>
    </row>
    <row r="168" customFormat="false" ht="13.5" hidden="false" customHeight="true" outlineLevel="0" collapsed="false">
      <c r="C168" s="8"/>
      <c r="D168" s="8"/>
      <c r="E168" s="9"/>
      <c r="F168" s="9"/>
      <c r="G168" s="9"/>
    </row>
    <row r="169" customFormat="false" ht="13.5" hidden="false" customHeight="true" outlineLevel="0" collapsed="false">
      <c r="C169" s="8"/>
      <c r="D169" s="8"/>
      <c r="E169" s="9"/>
      <c r="F169" s="9"/>
      <c r="G169" s="9"/>
    </row>
    <row r="171" customFormat="false" ht="13.5" hidden="false" customHeight="true" outlineLevel="0" collapsed="false">
      <c r="C171" s="8" t="s">
        <v>80</v>
      </c>
      <c r="D171" s="9" t="s">
        <v>81</v>
      </c>
      <c r="E171" s="9"/>
      <c r="F171" s="9"/>
      <c r="G171" s="9"/>
    </row>
    <row r="172" customFormat="false" ht="13.5" hidden="false" customHeight="true" outlineLevel="0" collapsed="false">
      <c r="C172" s="8"/>
      <c r="D172" s="8"/>
      <c r="E172" s="9"/>
      <c r="F172" s="9"/>
      <c r="G172" s="9"/>
    </row>
    <row r="173" customFormat="false" ht="13.5" hidden="false" customHeight="true" outlineLevel="0" collapsed="false">
      <c r="C173" s="8"/>
      <c r="D173" s="8"/>
      <c r="E173" s="9"/>
      <c r="F173" s="9"/>
      <c r="G173" s="9"/>
    </row>
    <row r="174" customFormat="false" ht="13.5" hidden="false" customHeight="true" outlineLevel="0" collapsed="false">
      <c r="C174" s="8"/>
      <c r="D174" s="8"/>
      <c r="E174" s="9"/>
      <c r="F174" s="9"/>
      <c r="G174" s="9"/>
    </row>
    <row r="175" customFormat="false" ht="13.5" hidden="false" customHeight="true" outlineLevel="0" collapsed="false">
      <c r="C175" s="8"/>
      <c r="D175" s="8"/>
      <c r="E175" s="9"/>
      <c r="F175" s="9"/>
      <c r="G175" s="9"/>
    </row>
    <row r="177" customFormat="false" ht="13.5" hidden="false" customHeight="true" outlineLevel="0" collapsed="false">
      <c r="C177" s="8" t="s">
        <v>82</v>
      </c>
      <c r="D177" s="9" t="s">
        <v>83</v>
      </c>
      <c r="E177" s="9"/>
      <c r="F177" s="9"/>
      <c r="G177" s="9"/>
    </row>
    <row r="178" customFormat="false" ht="13.5" hidden="false" customHeight="true" outlineLevel="0" collapsed="false">
      <c r="C178" s="8"/>
      <c r="D178" s="8"/>
      <c r="E178" s="9"/>
      <c r="F178" s="9"/>
      <c r="G178" s="9"/>
    </row>
    <row r="179" customFormat="false" ht="13.5" hidden="false" customHeight="true" outlineLevel="0" collapsed="false">
      <c r="C179" s="8"/>
      <c r="D179" s="8"/>
      <c r="E179" s="9"/>
      <c r="F179" s="9"/>
      <c r="G179" s="9"/>
    </row>
    <row r="180" customFormat="false" ht="13.5" hidden="false" customHeight="true" outlineLevel="0" collapsed="false">
      <c r="C180" s="8"/>
      <c r="D180" s="8"/>
      <c r="E180" s="9"/>
      <c r="F180" s="9"/>
      <c r="G180" s="9"/>
    </row>
    <row r="182" customFormat="false" ht="15" hidden="false" customHeight="false" outlineLevel="0" collapsed="false">
      <c r="B182" s="34" t="s">
        <v>84</v>
      </c>
      <c r="C182" s="34"/>
      <c r="D182" s="34"/>
      <c r="E182" s="34"/>
      <c r="F182" s="34"/>
      <c r="G182" s="34"/>
    </row>
    <row r="183" customFormat="false" ht="13.5" hidden="false" customHeight="true" outlineLevel="0" collapsed="false">
      <c r="B183" s="35" t="s">
        <v>85</v>
      </c>
      <c r="C183" s="35"/>
      <c r="D183" s="35"/>
      <c r="E183" s="35"/>
      <c r="F183" s="35"/>
      <c r="G183" s="35"/>
    </row>
    <row r="184" customFormat="false" ht="13.5" hidden="false" customHeight="true" outlineLevel="0" collapsed="false">
      <c r="B184" s="35"/>
      <c r="C184" s="35"/>
      <c r="D184" s="35"/>
      <c r="E184" s="35"/>
      <c r="F184" s="35"/>
      <c r="G184" s="35"/>
    </row>
    <row r="185" customFormat="false" ht="13.5" hidden="false" customHeight="true" outlineLevel="0" collapsed="false">
      <c r="B185" s="35"/>
      <c r="C185" s="35"/>
      <c r="D185" s="35"/>
      <c r="E185" s="35"/>
      <c r="F185" s="35"/>
      <c r="G185" s="35"/>
    </row>
    <row r="186" customFormat="false" ht="13.5" hidden="false" customHeight="true" outlineLevel="0" collapsed="false">
      <c r="B186" s="35"/>
      <c r="C186" s="35"/>
      <c r="D186" s="35"/>
      <c r="E186" s="35"/>
      <c r="F186" s="35"/>
      <c r="G186" s="35"/>
    </row>
    <row r="187" customFormat="false" ht="13.5" hidden="false" customHeight="true" outlineLevel="0" collapsed="false">
      <c r="B187" s="35"/>
      <c r="C187" s="35"/>
      <c r="D187" s="35"/>
      <c r="E187" s="35"/>
      <c r="F187" s="35"/>
      <c r="G187" s="35"/>
    </row>
    <row r="188" customFormat="false" ht="13.5" hidden="false" customHeight="true" outlineLevel="0" collapsed="false">
      <c r="B188" s="35"/>
      <c r="C188" s="35"/>
      <c r="D188" s="35"/>
      <c r="E188" s="35"/>
      <c r="F188" s="35"/>
      <c r="G188" s="35"/>
    </row>
    <row r="189" customFormat="false" ht="13.5" hidden="false" customHeight="true" outlineLevel="0" collapsed="false">
      <c r="B189" s="35"/>
      <c r="C189" s="35"/>
      <c r="D189" s="35"/>
      <c r="E189" s="35"/>
      <c r="F189" s="35"/>
      <c r="G189" s="35"/>
    </row>
    <row r="191" customFormat="false" ht="19.5" hidden="false" customHeight="true" outlineLevel="0" collapsed="false">
      <c r="B191" s="36" t="s">
        <v>86</v>
      </c>
      <c r="C191" s="36"/>
      <c r="D191" s="36"/>
      <c r="E191" s="36"/>
      <c r="F191" s="36"/>
      <c r="G191" s="36"/>
    </row>
  </sheetData>
  <mergeCells count="69">
    <mergeCell ref="B1:G1"/>
    <mergeCell ref="B2:G2"/>
    <mergeCell ref="B4:G4"/>
    <mergeCell ref="B5:G5"/>
    <mergeCell ref="B7:G11"/>
    <mergeCell ref="B13:G13"/>
    <mergeCell ref="C14:C19"/>
    <mergeCell ref="D14:G19"/>
    <mergeCell ref="C21:C25"/>
    <mergeCell ref="D21:G25"/>
    <mergeCell ref="C27:C30"/>
    <mergeCell ref="D27:G30"/>
    <mergeCell ref="C32:C37"/>
    <mergeCell ref="D32:G37"/>
    <mergeCell ref="C39:C41"/>
    <mergeCell ref="D39:G41"/>
    <mergeCell ref="C43:C47"/>
    <mergeCell ref="D43:G47"/>
    <mergeCell ref="C49:C52"/>
    <mergeCell ref="D49:G52"/>
    <mergeCell ref="B55:G55"/>
    <mergeCell ref="D56:G56"/>
    <mergeCell ref="D57:G57"/>
    <mergeCell ref="D58:G58"/>
    <mergeCell ref="D59:G59"/>
    <mergeCell ref="D60:G60"/>
    <mergeCell ref="D61:G61"/>
    <mergeCell ref="D62:G62"/>
    <mergeCell ref="D63:G63"/>
    <mergeCell ref="B65:G65"/>
    <mergeCell ref="D66:G67"/>
    <mergeCell ref="D68:G69"/>
    <mergeCell ref="D70:G71"/>
    <mergeCell ref="D72:G73"/>
    <mergeCell ref="D74:G75"/>
    <mergeCell ref="D76:G77"/>
    <mergeCell ref="B79:G79"/>
    <mergeCell ref="C80:C86"/>
    <mergeCell ref="D80:G86"/>
    <mergeCell ref="C88:C99"/>
    <mergeCell ref="D88:G99"/>
    <mergeCell ref="C101:C106"/>
    <mergeCell ref="D101:G106"/>
    <mergeCell ref="C108:C115"/>
    <mergeCell ref="D108:G115"/>
    <mergeCell ref="C117:C125"/>
    <mergeCell ref="D117:G125"/>
    <mergeCell ref="C127:C131"/>
    <mergeCell ref="D127:G131"/>
    <mergeCell ref="C133:C140"/>
    <mergeCell ref="D133:G140"/>
    <mergeCell ref="B142:G142"/>
    <mergeCell ref="C143:C148"/>
    <mergeCell ref="D143:G148"/>
    <mergeCell ref="C150:C154"/>
    <mergeCell ref="D150:G154"/>
    <mergeCell ref="C156:C159"/>
    <mergeCell ref="D156:G159"/>
    <mergeCell ref="C161:C165"/>
    <mergeCell ref="D161:G165"/>
    <mergeCell ref="C167:C169"/>
    <mergeCell ref="D167:G169"/>
    <mergeCell ref="C171:C175"/>
    <mergeCell ref="D171:G175"/>
    <mergeCell ref="C177:C180"/>
    <mergeCell ref="D177:G180"/>
    <mergeCell ref="B182:G182"/>
    <mergeCell ref="B183:G189"/>
    <mergeCell ref="B191:G191"/>
  </mergeCells>
  <hyperlinks>
    <hyperlink ref="C57" location="'Setup'!A1" display="Setup"/>
    <hyperlink ref="C58" location="'RFI Summary'!A1" display="RFI Summary"/>
    <hyperlink ref="C59" location="'RFI Register'!A1" display="RFI Register"/>
    <hyperlink ref="C60" location="'Scope &amp; Cost Impact'!A1" display="Scope &amp; Cost Impact"/>
    <hyperlink ref="C61" location="'Late Information Record'!A1" display="Late Information Record"/>
    <hyperlink ref="C62" location="'RFI Quality'!A1" display="RFI Quality"/>
    <hyperlink ref="C63" location="'Reference'!A1" display="Reference"/>
    <hyperlink ref="B191" r:id="rId1" display="Built for teams delivering capital projects, programs and portfolios  ·  mastt.com"/>
  </hyperlink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4" manualBreakCount="4">
    <brk id="54" man="true" max="16383" min="0"/>
    <brk id="78" man="true" max="16383" min="0"/>
    <brk id="126" man="true" max="16383" min="0"/>
    <brk id="141" man="true" max="16383" min="0"/>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H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2"/>
    <col collapsed="false" customWidth="true" hidden="false" outlineLevel="0" max="3" min="3" style="0" width="4"/>
    <col collapsed="false" customWidth="true" hidden="false" outlineLevel="0" max="4" min="4" style="0" width="26"/>
    <col collapsed="false" customWidth="true" hidden="false" outlineLevel="0" max="5" min="5" style="0" width="24"/>
    <col collapsed="false" customWidth="true" hidden="false" outlineLevel="0" max="7" min="6" style="0" width="22"/>
    <col collapsed="false" customWidth="true" hidden="false" outlineLevel="0" max="8" min="8" style="0" width="42"/>
    <col collapsed="false" customWidth="true" hidden="false" outlineLevel="0" max="9" min="9" style="0" width="2.2"/>
  </cols>
  <sheetData>
    <row r="1" customFormat="false" ht="33.75" hidden="false" customHeight="true" outlineLevel="0" collapsed="false">
      <c r="B1" s="37" t="s">
        <v>87</v>
      </c>
      <c r="C1" s="37"/>
      <c r="D1" s="37"/>
      <c r="E1" s="37"/>
      <c r="F1" s="37"/>
      <c r="G1" s="37"/>
      <c r="H1" s="37"/>
    </row>
    <row r="2" customFormat="false" ht="4.5" hidden="false" customHeight="true" outlineLevel="0" collapsed="false">
      <c r="B2" s="38"/>
      <c r="C2" s="38"/>
      <c r="D2" s="38"/>
      <c r="E2" s="38"/>
      <c r="F2" s="38"/>
      <c r="G2" s="38"/>
      <c r="H2" s="38"/>
    </row>
    <row r="3" customFormat="false" ht="16.5" hidden="false" customHeight="true" outlineLevel="0" collapsed="false">
      <c r="B3" s="39" t="str">
        <f aca="false">IF(LEFT(Setup!$D$7,7)&lt;&gt;"EXAMPLE","","EXAMPLE DATA - type your own project name on Setup to clear this.")</f>
        <v>EXAMPLE DATA - type your own project name on Setup to clear this.</v>
      </c>
      <c r="C3" s="39"/>
      <c r="D3" s="39"/>
      <c r="E3" s="39"/>
      <c r="F3" s="39"/>
      <c r="G3" s="39"/>
      <c r="H3" s="39"/>
    </row>
    <row r="4" customFormat="false" ht="25.5" hidden="false" customHeight="true" outlineLevel="0" collapsed="false">
      <c r="B4" s="40" t="s">
        <v>88</v>
      </c>
      <c r="C4" s="40"/>
      <c r="D4" s="40"/>
      <c r="E4" s="40"/>
      <c r="F4" s="40"/>
      <c r="G4" s="40"/>
      <c r="H4" s="40"/>
    </row>
    <row r="6" customFormat="false" ht="21.75" hidden="false" customHeight="true" outlineLevel="0" collapsed="false">
      <c r="B6" s="6" t="s">
        <v>89</v>
      </c>
      <c r="C6" s="6"/>
      <c r="D6" s="6"/>
      <c r="E6" s="6"/>
      <c r="F6" s="6"/>
      <c r="G6" s="6"/>
      <c r="H6" s="6"/>
    </row>
    <row r="7" customFormat="false" ht="21.75" hidden="false" customHeight="true" outlineLevel="0" collapsed="false">
      <c r="B7" s="41" t="s">
        <v>90</v>
      </c>
      <c r="D7" s="42" t="s">
        <v>91</v>
      </c>
      <c r="E7" s="42"/>
    </row>
    <row r="8" customFormat="false" ht="21.75" hidden="false" customHeight="true" outlineLevel="0" collapsed="false">
      <c r="B8" s="41" t="s">
        <v>92</v>
      </c>
      <c r="D8" s="42" t="s">
        <v>93</v>
      </c>
      <c r="E8" s="42"/>
    </row>
    <row r="9" customFormat="false" ht="21.75" hidden="false" customHeight="true" outlineLevel="0" collapsed="false">
      <c r="B9" s="41" t="s">
        <v>94</v>
      </c>
      <c r="D9" s="42" t="s">
        <v>95</v>
      </c>
      <c r="E9" s="42"/>
    </row>
    <row r="10" customFormat="false" ht="21.75" hidden="false" customHeight="true" outlineLevel="0" collapsed="false">
      <c r="B10" s="41" t="s">
        <v>96</v>
      </c>
      <c r="D10" s="42" t="s">
        <v>97</v>
      </c>
      <c r="E10" s="42"/>
    </row>
    <row r="11" customFormat="false" ht="21.75" hidden="false" customHeight="true" outlineLevel="0" collapsed="false">
      <c r="B11" s="41" t="s">
        <v>98</v>
      </c>
      <c r="D11" s="42" t="s">
        <v>99</v>
      </c>
      <c r="E11" s="42"/>
    </row>
    <row r="12" customFormat="false" ht="31.5" hidden="false" customHeight="true" outlineLevel="0" collapsed="false">
      <c r="B12" s="41" t="s">
        <v>100</v>
      </c>
      <c r="D12" s="43" t="n">
        <v>22400000</v>
      </c>
      <c r="E12" s="43"/>
      <c r="F12" s="40" t="s">
        <v>101</v>
      </c>
      <c r="G12" s="40"/>
      <c r="H12" s="40"/>
    </row>
    <row r="13" customFormat="false" ht="21.75" hidden="false" customHeight="true" outlineLevel="0" collapsed="false">
      <c r="B13" s="41" t="s">
        <v>102</v>
      </c>
      <c r="D13" s="44" t="n">
        <f aca="true">TODAY()</f>
        <v>46251</v>
      </c>
      <c r="E13" s="44"/>
      <c r="F13" s="40" t="s">
        <v>103</v>
      </c>
      <c r="G13" s="40"/>
      <c r="H13" s="40"/>
    </row>
    <row r="15" customFormat="false" ht="21.75" hidden="false" customHeight="true" outlineLevel="0" collapsed="false">
      <c r="B15" s="6" t="s">
        <v>104</v>
      </c>
      <c r="C15" s="6"/>
      <c r="D15" s="6"/>
      <c r="E15" s="6"/>
      <c r="F15" s="6"/>
      <c r="G15" s="6"/>
      <c r="H15" s="6"/>
    </row>
    <row r="16" customFormat="false" ht="12.75" hidden="false" customHeight="true" outlineLevel="0" collapsed="false">
      <c r="B16" s="40" t="s">
        <v>105</v>
      </c>
      <c r="C16" s="40"/>
      <c r="D16" s="40"/>
      <c r="E16" s="40"/>
      <c r="F16" s="40"/>
      <c r="G16" s="40"/>
      <c r="H16" s="40"/>
    </row>
    <row r="17" customFormat="false" ht="12.75" hidden="false" customHeight="true" outlineLevel="0" collapsed="false">
      <c r="B17" s="40"/>
      <c r="C17" s="40"/>
      <c r="D17" s="40"/>
      <c r="E17" s="40"/>
      <c r="F17" s="40"/>
      <c r="G17" s="40"/>
      <c r="H17" s="40"/>
    </row>
    <row r="18" customFormat="false" ht="12.75" hidden="false" customHeight="true" outlineLevel="0" collapsed="false">
      <c r="B18" s="40"/>
      <c r="C18" s="40"/>
      <c r="D18" s="40"/>
      <c r="E18" s="40"/>
      <c r="F18" s="40"/>
      <c r="G18" s="40"/>
      <c r="H18" s="40"/>
    </row>
    <row r="19" customFormat="false" ht="31.5" hidden="false" customHeight="true" outlineLevel="0" collapsed="false">
      <c r="B19" s="41" t="s">
        <v>106</v>
      </c>
      <c r="D19" s="42" t="s">
        <v>107</v>
      </c>
      <c r="E19" s="42"/>
      <c r="F19" s="40" t="s">
        <v>108</v>
      </c>
      <c r="G19" s="40"/>
      <c r="H19" s="40"/>
    </row>
    <row r="20" customFormat="false" ht="31.5" hidden="false" customHeight="true" outlineLevel="0" collapsed="false">
      <c r="B20" s="41" t="s">
        <v>109</v>
      </c>
      <c r="D20" s="45" t="n">
        <v>2</v>
      </c>
      <c r="E20" s="45"/>
    </row>
    <row r="21" customFormat="false" ht="31.5" hidden="false" customHeight="true" outlineLevel="0" collapsed="false">
      <c r="B21" s="41" t="s">
        <v>110</v>
      </c>
      <c r="D21" s="45" t="n">
        <v>5</v>
      </c>
      <c r="E21" s="45"/>
    </row>
    <row r="22" customFormat="false" ht="43.5" hidden="false" customHeight="true" outlineLevel="0" collapsed="false">
      <c r="B22" s="41" t="s">
        <v>111</v>
      </c>
      <c r="D22" s="45" t="n">
        <v>10</v>
      </c>
      <c r="E22" s="45"/>
      <c r="F22" s="40" t="s">
        <v>112</v>
      </c>
      <c r="G22" s="40"/>
      <c r="H22" s="40"/>
    </row>
    <row r="23" customFormat="false" ht="31.5" hidden="false" customHeight="true" outlineLevel="0" collapsed="false">
      <c r="B23" s="41" t="s">
        <v>113</v>
      </c>
      <c r="D23" s="45" t="n">
        <v>15</v>
      </c>
      <c r="E23" s="45"/>
    </row>
    <row r="24" customFormat="false" ht="21.75" hidden="false" customHeight="true" outlineLevel="0" collapsed="false">
      <c r="B24" s="41" t="s">
        <v>114</v>
      </c>
      <c r="D24" s="45" t="n">
        <v>7</v>
      </c>
      <c r="E24" s="45"/>
    </row>
    <row r="25" customFormat="false" ht="43.5" hidden="false" customHeight="true" outlineLevel="0" collapsed="false">
      <c r="B25" s="41" t="s">
        <v>115</v>
      </c>
      <c r="D25" s="45" t="n">
        <v>28</v>
      </c>
      <c r="E25" s="45"/>
      <c r="F25" s="40" t="s">
        <v>116</v>
      </c>
      <c r="G25" s="40"/>
      <c r="H25" s="40"/>
    </row>
    <row r="27" customFormat="false" ht="21.75" hidden="false" customHeight="true" outlineLevel="0" collapsed="false">
      <c r="B27" s="6" t="s">
        <v>117</v>
      </c>
      <c r="C27" s="6"/>
      <c r="D27" s="6"/>
      <c r="E27" s="6"/>
      <c r="F27" s="6"/>
      <c r="G27" s="6"/>
      <c r="H27" s="6"/>
    </row>
    <row r="28" customFormat="false" ht="12.75" hidden="false" customHeight="true" outlineLevel="0" collapsed="false">
      <c r="B28" s="40" t="s">
        <v>118</v>
      </c>
      <c r="C28" s="40"/>
      <c r="D28" s="40"/>
      <c r="E28" s="40"/>
      <c r="F28" s="40"/>
      <c r="G28" s="40"/>
      <c r="H28" s="40"/>
    </row>
    <row r="29" customFormat="false" ht="12.75" hidden="false" customHeight="true" outlineLevel="0" collapsed="false">
      <c r="B29" s="40"/>
      <c r="C29" s="40"/>
      <c r="D29" s="40"/>
      <c r="E29" s="40"/>
      <c r="F29" s="40"/>
      <c r="G29" s="40"/>
      <c r="H29" s="40"/>
    </row>
    <row r="30" customFormat="false" ht="12.75" hidden="false" customHeight="true" outlineLevel="0" collapsed="false">
      <c r="B30" s="40"/>
      <c r="C30" s="40"/>
      <c r="D30" s="40"/>
      <c r="E30" s="40"/>
      <c r="F30" s="40"/>
      <c r="G30" s="40"/>
      <c r="H30" s="40"/>
    </row>
    <row r="31" customFormat="false" ht="43.5" hidden="false" customHeight="true" outlineLevel="0" collapsed="false">
      <c r="B31" s="41" t="s">
        <v>119</v>
      </c>
      <c r="D31" s="42" t="s">
        <v>120</v>
      </c>
      <c r="E31" s="42"/>
      <c r="F31" s="40" t="s">
        <v>121</v>
      </c>
      <c r="G31" s="40"/>
      <c r="H31" s="40"/>
    </row>
    <row r="32" customFormat="false" ht="31.5" hidden="false" customHeight="true" outlineLevel="0" collapsed="false">
      <c r="B32" s="41" t="s">
        <v>122</v>
      </c>
      <c r="D32" s="43" t="n">
        <v>180</v>
      </c>
      <c r="E32" s="43"/>
      <c r="F32" s="40" t="s">
        <v>123</v>
      </c>
      <c r="G32" s="40"/>
      <c r="H32" s="40"/>
    </row>
    <row r="34" customFormat="false" ht="21.75" hidden="false" customHeight="true" outlineLevel="0" collapsed="false">
      <c r="B34" s="6" t="s">
        <v>124</v>
      </c>
      <c r="C34" s="6"/>
      <c r="D34" s="6"/>
      <c r="E34" s="6"/>
      <c r="F34" s="6"/>
      <c r="G34" s="6"/>
      <c r="H34" s="6"/>
    </row>
    <row r="35" customFormat="false" ht="21.75" hidden="false" customHeight="true" outlineLevel="0" collapsed="false">
      <c r="B35" s="46" t="s">
        <v>125</v>
      </c>
      <c r="D35" s="47" t="n">
        <f aca="false">(IF(Setup!$D$7="",0,1)+IF(Setup!$D$12="",0,1)+IF(Setup!$D$13="",0,1)+IF(Setup!$D$19="",0,1)+IF(Setup!$D$20="",0,1)+IF(Setup!$D$21="",0,1)+IF(Setup!$D$22="",0,1)+IF(Setup!$D$23="",0,1)+IF(Setup!$D$24="",0,1)+IF(Setup!$D$25="",0,1)+IF(Setup!$D$31="",0,1)+IF(Setup!$D$32="",0,1))/12</f>
        <v>1</v>
      </c>
      <c r="E35" s="47"/>
      <c r="F35" s="40" t="s">
        <v>126</v>
      </c>
      <c r="G35" s="40"/>
      <c r="H35" s="40"/>
    </row>
    <row r="37" customFormat="false" ht="18" hidden="false" customHeight="true" outlineLevel="0" collapsed="false">
      <c r="B37" s="48" t="s">
        <v>127</v>
      </c>
      <c r="C37" s="48"/>
      <c r="D37" s="48"/>
      <c r="E37" s="48"/>
      <c r="F37" s="48"/>
      <c r="G37" s="48"/>
      <c r="H37" s="48"/>
    </row>
  </sheetData>
  <mergeCells count="36">
    <mergeCell ref="B1:H1"/>
    <mergeCell ref="B2:H2"/>
    <mergeCell ref="B3:H3"/>
    <mergeCell ref="B4:H4"/>
    <mergeCell ref="B6:H6"/>
    <mergeCell ref="D7:E7"/>
    <mergeCell ref="D8:E8"/>
    <mergeCell ref="D9:E9"/>
    <mergeCell ref="D10:E10"/>
    <mergeCell ref="D11:E11"/>
    <mergeCell ref="D12:E12"/>
    <mergeCell ref="F12:H12"/>
    <mergeCell ref="D13:E13"/>
    <mergeCell ref="F13:H13"/>
    <mergeCell ref="B15:H15"/>
    <mergeCell ref="B16:H18"/>
    <mergeCell ref="D19:E19"/>
    <mergeCell ref="F19:H19"/>
    <mergeCell ref="D20:E20"/>
    <mergeCell ref="D21:E21"/>
    <mergeCell ref="D22:E22"/>
    <mergeCell ref="F22:H22"/>
    <mergeCell ref="D23:E23"/>
    <mergeCell ref="D24:E24"/>
    <mergeCell ref="D25:E25"/>
    <mergeCell ref="F25:H25"/>
    <mergeCell ref="B27:H27"/>
    <mergeCell ref="B28:H30"/>
    <mergeCell ref="D31:E31"/>
    <mergeCell ref="F31:H31"/>
    <mergeCell ref="D32:E32"/>
    <mergeCell ref="F32:H32"/>
    <mergeCell ref="B34:H34"/>
    <mergeCell ref="D35:E35"/>
    <mergeCell ref="F35:H35"/>
    <mergeCell ref="B37:H37"/>
  </mergeCells>
  <conditionalFormatting sqref="B3:H3">
    <cfRule type="expression" priority="2" aboveAverage="0" equalAverage="0" bottom="0" percent="0" rank="0" text="" dxfId="0">
      <formula>LEN($B$3)&gt;0</formula>
    </cfRule>
  </conditionalFormatting>
  <dataValidations count="2">
    <dataValidation allowBlank="true" errorStyle="stop" operator="between" showDropDown="false" showErrorMessage="false" showInputMessage="false" sqref="D19" type="list">
      <formula1>Reference!$H$107:$H$110</formula1>
      <formula2>0</formula2>
    </dataValidation>
    <dataValidation allowBlank="true" errorStyle="stop" operator="between" showDropDown="false" showErrorMessage="false" showInputMessage="false" sqref="D31" type="list">
      <formula1>Reference!$C$107:$C$113</formula1>
      <formula2>0</formula2>
    </dataValidation>
  </dataValidations>
  <hyperlinks>
    <hyperlink ref="B37"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26" man="true" max="16383" min="0"/>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I7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0"/>
    <col collapsed="false" customWidth="true" hidden="false" outlineLevel="0" max="8" min="3" style="0" width="20"/>
    <col collapsed="false" customWidth="true" hidden="false" outlineLevel="0" max="9" min="9" style="0" width="22"/>
    <col collapsed="false" customWidth="true" hidden="false" outlineLevel="0" max="10" min="10" style="0" width="2.2"/>
  </cols>
  <sheetData>
    <row r="1" customFormat="false" ht="33.75" hidden="false" customHeight="true" outlineLevel="0" collapsed="false">
      <c r="B1" s="37" t="s">
        <v>128</v>
      </c>
      <c r="C1" s="37"/>
      <c r="D1" s="37"/>
      <c r="E1" s="37"/>
      <c r="F1" s="37"/>
      <c r="G1" s="37"/>
      <c r="H1" s="37"/>
      <c r="I1" s="37"/>
    </row>
    <row r="2" customFormat="false" ht="4.5" hidden="false" customHeight="true" outlineLevel="0" collapsed="false">
      <c r="B2" s="6"/>
      <c r="C2" s="6"/>
      <c r="D2" s="6"/>
      <c r="E2" s="6"/>
      <c r="F2" s="6"/>
      <c r="G2" s="6"/>
      <c r="H2" s="6"/>
      <c r="I2" s="6"/>
    </row>
    <row r="3" customFormat="false" ht="16.5" hidden="false" customHeight="true" outlineLevel="0" collapsed="false">
      <c r="B3" s="39" t="str">
        <f aca="false">IF(LEFT(Setup!$D$7,7)&lt;&gt;"EXAMPLE","","EXAMPLE DATA - type your own project name on Setup to clear this.")</f>
        <v>EXAMPLE DATA - type your own project name on Setup to clear this.</v>
      </c>
      <c r="C3" s="39"/>
      <c r="D3" s="39"/>
      <c r="E3" s="39"/>
      <c r="F3" s="39"/>
      <c r="G3" s="39"/>
      <c r="H3" s="39"/>
      <c r="I3" s="39"/>
    </row>
    <row r="4" customFormat="false" ht="25.5" hidden="false" customHeight="true" outlineLevel="0" collapsed="false">
      <c r="B4" s="40" t="s">
        <v>129</v>
      </c>
      <c r="C4" s="40"/>
      <c r="D4" s="40"/>
      <c r="E4" s="40"/>
      <c r="F4" s="40"/>
      <c r="G4" s="40"/>
      <c r="H4" s="40"/>
      <c r="I4" s="40"/>
    </row>
    <row r="6" customFormat="false" ht="21.75" hidden="false" customHeight="true" outlineLevel="0" collapsed="false">
      <c r="B6" s="6" t="s">
        <v>130</v>
      </c>
      <c r="C6" s="6"/>
      <c r="D6" s="6"/>
      <c r="E6" s="6"/>
      <c r="F6" s="6"/>
      <c r="G6" s="6"/>
      <c r="H6" s="6"/>
      <c r="I6" s="6"/>
    </row>
    <row r="7" customFormat="false" ht="30" hidden="false" customHeight="true" outlineLevel="0" collapsed="false">
      <c r="B7" s="49" t="s">
        <v>131</v>
      </c>
      <c r="C7" s="49"/>
      <c r="D7" s="50" t="s">
        <v>132</v>
      </c>
      <c r="E7" s="50"/>
      <c r="F7" s="50" t="s">
        <v>133</v>
      </c>
      <c r="G7" s="50"/>
      <c r="H7" s="49" t="s">
        <v>134</v>
      </c>
      <c r="I7" s="49"/>
    </row>
    <row r="8" customFormat="false" ht="33.75" hidden="false" customHeight="true" outlineLevel="0" collapsed="false">
      <c r="B8" s="51" t="n">
        <f aca="false">COUNTIF('RFI Register'!$N$7:$N$36,"Open")+COUNTIF('RFI Register'!$N$7:$N$36,"Due soon")+COUNTIF('RFI Register'!$N$7:$N$36,"OVERDUE*")</f>
        <v>7</v>
      </c>
      <c r="C8" s="51"/>
      <c r="D8" s="52" t="n">
        <f aca="false">COUNTIF('RFI Register'!$N$7:$N$36,"OVERDUE - already needed")</f>
        <v>2</v>
      </c>
      <c r="E8" s="52"/>
      <c r="F8" s="52" t="n">
        <f aca="false">COUNTIF('RFI Register'!$N$7:$N$36,"Answered - after it was needed")</f>
        <v>3</v>
      </c>
      <c r="G8" s="52"/>
      <c r="H8" s="53" t="n">
        <f aca="false">IF(COUNTIF('RFI Register'!$J$7:$J$36,"&lt;&gt;")=0,"",SUMPRODUCT(('RFI Register'!$J$7:$J$36&lt;&gt;"")*('RFI Register'!$J$7:$J$36-'RFI Register'!$G$7:$G$36))/COUNTIF('RFI Register'!$J$7:$J$36,"&lt;&gt;"))</f>
        <v>11.25</v>
      </c>
      <c r="I8" s="53"/>
    </row>
    <row r="10" customFormat="false" ht="30" hidden="false" customHeight="true" outlineLevel="0" collapsed="false">
      <c r="B10" s="50" t="s">
        <v>135</v>
      </c>
      <c r="C10" s="50"/>
      <c r="D10" s="50" t="s">
        <v>136</v>
      </c>
      <c r="E10" s="50"/>
      <c r="F10" s="54" t="s">
        <v>137</v>
      </c>
      <c r="G10" s="54"/>
      <c r="H10" s="55" t="s">
        <v>138</v>
      </c>
      <c r="I10" s="55"/>
    </row>
    <row r="11" customFormat="false" ht="33.75" hidden="false" customHeight="true" outlineLevel="0" collapsed="false">
      <c r="B11" s="52" t="n">
        <f aca="false">COUNTIF('Scope &amp; Cost Impact'!$M$7:$M$28,"SCOPE MOVED - NOTHING INSTRUCTED IT")</f>
        <v>1</v>
      </c>
      <c r="C11" s="52"/>
      <c r="D11" s="52" t="n">
        <f aca="false">COUNTIF('Scope &amp; Cost Impact'!$M$7:$M$28,"INSTRUCTED OUTSIDE AUTHORITY")</f>
        <v>1</v>
      </c>
      <c r="E11" s="52"/>
      <c r="F11" s="56" t="n">
        <f aca="false">SUMIFS('Scope &amp; Cost Impact'!$H$7:$H$28,'Scope &amp; Cost Impact'!$F$7:$F$28,"&lt;&gt;")-SUMIFS('Scope &amp; Cost Impact'!$H$7:$H$28,'Scope &amp; Cost Impact'!$F$7:$F$28,"None - clarification only")-SUMIFS('Scope &amp; Cost Impact'!$H$7:$H$28,'Scope &amp; Cost Impact'!$F$7:$F$28,"Not yet decided")</f>
        <v>274900</v>
      </c>
      <c r="G11" s="56"/>
      <c r="H11" s="57" t="n">
        <f aca="false">COUNTIF('Scope &amp; Cost Impact'!$M$7:$M$28,"Claim window closing")</f>
        <v>2</v>
      </c>
      <c r="I11" s="57"/>
    </row>
    <row r="13" customFormat="false" ht="30" hidden="false" customHeight="true" outlineLevel="0" collapsed="false">
      <c r="B13" s="50" t="s">
        <v>139</v>
      </c>
      <c r="C13" s="50"/>
      <c r="D13" s="54" t="s">
        <v>140</v>
      </c>
      <c r="E13" s="54"/>
      <c r="F13" s="50" t="s">
        <v>141</v>
      </c>
      <c r="G13" s="50"/>
      <c r="H13" s="54" t="s">
        <v>142</v>
      </c>
      <c r="I13" s="54"/>
    </row>
    <row r="14" customFormat="false" ht="33.75" hidden="false" customHeight="true" outlineLevel="0" collapsed="false">
      <c r="B14" s="58" t="n">
        <f aca="false">IF(COUNTIF('RFI Quality'!$G$7:$G$30,"&lt;&gt;")-COUNTIF('RFI Quality'!$G$7:$G$30,"Not assessed")=0,"",COUNTIF('RFI Quality'!$G$7:$G$30,"Yes - it was in the documents")/(COUNTIF('RFI Quality'!$G$7:$G$30,"&lt;&gt;")-COUNTIF('RFI Quality'!$G$7:$G$30,"Not assessed")))</f>
        <v>0.25</v>
      </c>
      <c r="C14" s="58"/>
      <c r="D14" s="56" t="n">
        <f aca="false">SUM('RFI Quality'!$K$7:$K$30)</f>
        <v>11070</v>
      </c>
      <c r="E14" s="56"/>
      <c r="F14" s="52" t="n">
        <f aca="false">COUNTIF('Late Information Record'!$N$7:$N$18,"WORK STOPPED - NO EVIDENCE RECORDED")</f>
        <v>1</v>
      </c>
      <c r="G14" s="52"/>
      <c r="H14" s="59" t="n">
        <f aca="false">SUM('Late Information Record'!$L$7:$L$18)</f>
        <v>5</v>
      </c>
      <c r="I14" s="59"/>
    </row>
    <row r="16" customFormat="false" ht="31.5" hidden="false" customHeight="true" outlineLevel="0" collapsed="false">
      <c r="B16" s="41" t="s">
        <v>143</v>
      </c>
      <c r="C16" s="60" t="n">
        <f aca="false">IF(OR(Setup!$D$12="",Setup!$D$12=0),"",(COUNTIF('RFI Register'!$C$7:$C$36,"&lt;&gt;")-COUNTIF('RFI Register'!$N$7:$N$36,"Void"))/(Setup!$D$12/1000000))</f>
        <v>1.02678571428571</v>
      </c>
      <c r="D16" s="60"/>
      <c r="E16" s="40" t="s">
        <v>144</v>
      </c>
      <c r="F16" s="40"/>
      <c r="G16" s="40"/>
      <c r="H16" s="40"/>
      <c r="I16" s="40"/>
    </row>
    <row r="17" customFormat="false" ht="31.5" hidden="false" customHeight="true" outlineLevel="0" collapsed="false">
      <c r="B17" s="41" t="s">
        <v>145</v>
      </c>
      <c r="C17" s="47" t="n">
        <f aca="false">IF(COUNTIF('RFI Register'!$J$7:$J$36,"&lt;&gt;")=0,"",(COUNTIF('RFI Register'!$J$7:$J$36,"&lt;&gt;")-COUNTIF('RFI Register'!$N$7:$N$36,"Answered - after it was needed"))/COUNTIF('RFI Register'!$J$7:$J$36,"&lt;&gt;"))</f>
        <v>0.8125</v>
      </c>
      <c r="D17" s="47"/>
      <c r="E17" s="40" t="s">
        <v>146</v>
      </c>
      <c r="F17" s="40"/>
      <c r="G17" s="40"/>
      <c r="H17" s="40"/>
      <c r="I17" s="40"/>
    </row>
    <row r="18" customFormat="false" ht="31.5" hidden="false" customHeight="true" outlineLevel="0" collapsed="false">
      <c r="B18" s="41" t="s">
        <v>147</v>
      </c>
      <c r="C18" s="47" t="n">
        <f aca="false">IF(COUNTIF('Scope &amp; Cost Impact'!$E$7:$E$28,"&lt;&gt;")=0,"",(COUNTIF('Scope &amp; Cost Impact'!$E$7:$E$28,"Yes*")+COUNTIF('Scope &amp; Cost Impact'!$E$7:$E$28,"Partly*"))/COUNTIF('Scope &amp; Cost Impact'!$E$7:$E$28,"&lt;&gt;"))</f>
        <v>0.625</v>
      </c>
      <c r="D18" s="47"/>
      <c r="E18" s="40" t="s">
        <v>148</v>
      </c>
      <c r="F18" s="40"/>
      <c r="G18" s="40"/>
      <c r="H18" s="40"/>
      <c r="I18" s="40"/>
    </row>
    <row r="19" customFormat="false" ht="31.5" hidden="false" customHeight="true" outlineLevel="0" collapsed="false">
      <c r="B19" s="41" t="s">
        <v>149</v>
      </c>
      <c r="C19" s="61" t="n">
        <f aca="false">SUMIFS('Scope &amp; Cost Impact'!$H$7:$H$28,'Scope &amp; Cost Impact'!$M$7:$M$28,"SCOPE MOVED*")</f>
        <v>18400</v>
      </c>
      <c r="D19" s="61"/>
      <c r="E19" s="40" t="s">
        <v>150</v>
      </c>
      <c r="F19" s="40"/>
      <c r="G19" s="40"/>
      <c r="H19" s="40"/>
      <c r="I19" s="40"/>
    </row>
    <row r="20" customFormat="false" ht="31.5" hidden="false" customHeight="true" outlineLevel="0" collapsed="false">
      <c r="B20" s="41" t="s">
        <v>151</v>
      </c>
      <c r="C20" s="62" t="n">
        <f aca="false">(COUNTIF('RFI Register'!$C$7:$C$36,"&lt;&gt;")-COUNTIF('RFI Register'!$N$7:$N$36,"Void"))-COUNTIF('Scope &amp; Cost Impact'!$B$7:$B$28,"&lt;&gt;")</f>
        <v>7</v>
      </c>
      <c r="D20" s="62"/>
      <c r="E20" s="40" t="s">
        <v>152</v>
      </c>
      <c r="F20" s="40"/>
      <c r="G20" s="40"/>
      <c r="H20" s="40"/>
      <c r="I20" s="40"/>
    </row>
    <row r="22" customFormat="false" ht="21.75" hidden="false" customHeight="true" outlineLevel="0" collapsed="false">
      <c r="B22" s="6" t="s">
        <v>153</v>
      </c>
      <c r="C22" s="6"/>
      <c r="D22" s="6"/>
      <c r="E22" s="6"/>
      <c r="F22" s="6"/>
      <c r="G22" s="6"/>
      <c r="H22" s="6"/>
      <c r="I22" s="6"/>
    </row>
    <row r="23" customFormat="false" ht="21.75" hidden="false" customHeight="true" outlineLevel="0" collapsed="false">
      <c r="B23" s="10" t="s">
        <v>154</v>
      </c>
      <c r="C23" s="10" t="s">
        <v>155</v>
      </c>
      <c r="D23" s="10"/>
      <c r="E23" s="10" t="s">
        <v>156</v>
      </c>
      <c r="F23" s="10"/>
      <c r="G23" s="10" t="s">
        <v>157</v>
      </c>
      <c r="H23" s="10"/>
      <c r="I23" s="10"/>
    </row>
    <row r="24" customFormat="false" ht="33.75" hidden="false" customHeight="true" outlineLevel="0" collapsed="false">
      <c r="B24" s="23" t="s">
        <v>158</v>
      </c>
      <c r="C24" s="63" t="n">
        <f aca="false">COUNTIF('RFI Register'!$N$7:$N$36,"Answered - in time")</f>
        <v>9</v>
      </c>
      <c r="D24" s="63"/>
      <c r="E24" s="64" t="n">
        <f aca="false">IF(COUNTIF('RFI Register'!$C$7:$C$36,"&lt;&gt;")=0,"",COUNTIF('RFI Register'!$N$7:$N$36,"Answered - in time")/COUNTIF('RFI Register'!$C$7:$C$36,"&lt;&gt;"))</f>
        <v>0.375</v>
      </c>
      <c r="F24" s="64"/>
      <c r="G24" s="65" t="s">
        <v>159</v>
      </c>
      <c r="H24" s="65"/>
      <c r="I24" s="65"/>
    </row>
    <row r="25" customFormat="false" ht="33.75" hidden="false" customHeight="true" outlineLevel="0" collapsed="false">
      <c r="B25" s="27" t="s">
        <v>160</v>
      </c>
      <c r="C25" s="63" t="n">
        <f aca="false">COUNTIF('RFI Register'!$N$7:$N$36,"Answered - outside the period")</f>
        <v>4</v>
      </c>
      <c r="D25" s="63"/>
      <c r="E25" s="64" t="n">
        <f aca="false">IF(COUNTIF('RFI Register'!$C$7:$C$36,"&lt;&gt;")=0,"",COUNTIF('RFI Register'!$N$7:$N$36,"Answered - outside the period")/COUNTIF('RFI Register'!$C$7:$C$36,"&lt;&gt;"))</f>
        <v>0.166666666666667</v>
      </c>
      <c r="F25" s="64"/>
      <c r="G25" s="65" t="s">
        <v>161</v>
      </c>
      <c r="H25" s="65"/>
      <c r="I25" s="65"/>
    </row>
    <row r="26" customFormat="false" ht="33.75" hidden="false" customHeight="true" outlineLevel="0" collapsed="false">
      <c r="B26" s="31" t="s">
        <v>162</v>
      </c>
      <c r="C26" s="63" t="n">
        <f aca="false">COUNTIF('RFI Register'!$N$7:$N$36,"Answered - after it was needed")</f>
        <v>3</v>
      </c>
      <c r="D26" s="63"/>
      <c r="E26" s="64" t="n">
        <f aca="false">IF(COUNTIF('RFI Register'!$C$7:$C$36,"&lt;&gt;")=0,"",COUNTIF('RFI Register'!$N$7:$N$36,"Answered - after it was needed")/COUNTIF('RFI Register'!$C$7:$C$36,"&lt;&gt;"))</f>
        <v>0.125</v>
      </c>
      <c r="F26" s="64"/>
      <c r="G26" s="65" t="s">
        <v>163</v>
      </c>
      <c r="H26" s="65"/>
      <c r="I26" s="65"/>
    </row>
    <row r="27" customFormat="false" ht="24" hidden="false" customHeight="true" outlineLevel="0" collapsed="false">
      <c r="B27" s="25" t="s">
        <v>164</v>
      </c>
      <c r="C27" s="63" t="n">
        <f aca="false">COUNTIF('RFI Register'!$N$7:$N$36,"Open")</f>
        <v>1</v>
      </c>
      <c r="D27" s="63"/>
      <c r="E27" s="64" t="n">
        <f aca="false">IF(COUNTIF('RFI Register'!$C$7:$C$36,"&lt;&gt;")=0,"",COUNTIF('RFI Register'!$N$7:$N$36,"Open")/COUNTIF('RFI Register'!$C$7:$C$36,"&lt;&gt;"))</f>
        <v>0.0416666666666667</v>
      </c>
      <c r="F27" s="64"/>
      <c r="G27" s="65" t="s">
        <v>165</v>
      </c>
      <c r="H27" s="65"/>
      <c r="I27" s="65"/>
    </row>
    <row r="28" customFormat="false" ht="24" hidden="false" customHeight="true" outlineLevel="0" collapsed="false">
      <c r="B28" s="27" t="s">
        <v>166</v>
      </c>
      <c r="C28" s="63" t="n">
        <f aca="false">COUNTIF('RFI Register'!$N$7:$N$36,"Due soon")</f>
        <v>1</v>
      </c>
      <c r="D28" s="63"/>
      <c r="E28" s="64" t="n">
        <f aca="false">IF(COUNTIF('RFI Register'!$C$7:$C$36,"&lt;&gt;")=0,"",COUNTIF('RFI Register'!$N$7:$N$36,"Due soon")/COUNTIF('RFI Register'!$C$7:$C$36,"&lt;&gt;"))</f>
        <v>0.0416666666666667</v>
      </c>
      <c r="F28" s="64"/>
      <c r="G28" s="65" t="s">
        <v>167</v>
      </c>
      <c r="H28" s="65"/>
      <c r="I28" s="65"/>
    </row>
    <row r="29" customFormat="false" ht="33.75" hidden="false" customHeight="true" outlineLevel="0" collapsed="false">
      <c r="B29" s="29" t="s">
        <v>168</v>
      </c>
      <c r="C29" s="63" t="n">
        <f aca="false">COUNTIF('RFI Register'!$N$7:$N$36,"OVERDUE - outside the period")</f>
        <v>3</v>
      </c>
      <c r="D29" s="63"/>
      <c r="E29" s="64" t="n">
        <f aca="false">IF(COUNTIF('RFI Register'!$C$7:$C$36,"&lt;&gt;")=0,"",COUNTIF('RFI Register'!$N$7:$N$36,"OVERDUE - outside the period")/COUNTIF('RFI Register'!$C$7:$C$36,"&lt;&gt;"))</f>
        <v>0.125</v>
      </c>
      <c r="F29" s="64"/>
      <c r="G29" s="65" t="s">
        <v>169</v>
      </c>
      <c r="H29" s="65"/>
      <c r="I29" s="65"/>
    </row>
    <row r="30" customFormat="false" ht="33.75" hidden="false" customHeight="true" outlineLevel="0" collapsed="false">
      <c r="B30" s="31" t="s">
        <v>170</v>
      </c>
      <c r="C30" s="63" t="n">
        <f aca="false">COUNTIF('RFI Register'!$N$7:$N$36,"OVERDUE - already needed")</f>
        <v>2</v>
      </c>
      <c r="D30" s="63"/>
      <c r="E30" s="64" t="n">
        <f aca="false">IF(COUNTIF('RFI Register'!$C$7:$C$36,"&lt;&gt;")=0,"",COUNTIF('RFI Register'!$N$7:$N$36,"OVERDUE - already needed")/COUNTIF('RFI Register'!$C$7:$C$36,"&lt;&gt;"))</f>
        <v>0.0833333333333333</v>
      </c>
      <c r="F30" s="64"/>
      <c r="G30" s="65" t="s">
        <v>171</v>
      </c>
      <c r="H30" s="65"/>
      <c r="I30" s="65"/>
    </row>
    <row r="31" customFormat="false" ht="33.75" hidden="false" customHeight="true" outlineLevel="0" collapsed="false">
      <c r="B31" s="33" t="s">
        <v>172</v>
      </c>
      <c r="C31" s="63" t="n">
        <f aca="false">COUNTIF('RFI Register'!$N$7:$N$36,"Void")</f>
        <v>1</v>
      </c>
      <c r="D31" s="63"/>
      <c r="E31" s="64" t="n">
        <f aca="false">IF(COUNTIF('RFI Register'!$C$7:$C$36,"&lt;&gt;")=0,"",COUNTIF('RFI Register'!$N$7:$N$36,"Void")/COUNTIF('RFI Register'!$C$7:$C$36,"&lt;&gt;"))</f>
        <v>0.0416666666666667</v>
      </c>
      <c r="F31" s="64"/>
      <c r="G31" s="65" t="s">
        <v>173</v>
      </c>
      <c r="H31" s="65"/>
      <c r="I31" s="65"/>
    </row>
    <row r="33" customFormat="false" ht="21.75" hidden="false" customHeight="true" outlineLevel="0" collapsed="false">
      <c r="B33" s="6" t="s">
        <v>174</v>
      </c>
      <c r="C33" s="6"/>
      <c r="D33" s="6"/>
      <c r="E33" s="6"/>
      <c r="F33" s="6"/>
      <c r="G33" s="6"/>
      <c r="H33" s="6"/>
      <c r="I33" s="6"/>
    </row>
    <row r="34" customFormat="false" ht="30" hidden="false" customHeight="true" outlineLevel="0" collapsed="false">
      <c r="B34" s="10" t="s">
        <v>175</v>
      </c>
      <c r="C34" s="10" t="s">
        <v>155</v>
      </c>
      <c r="D34" s="10"/>
      <c r="E34" s="10" t="s">
        <v>164</v>
      </c>
      <c r="F34" s="10" t="s">
        <v>176</v>
      </c>
      <c r="G34" s="10" t="s">
        <v>177</v>
      </c>
      <c r="H34" s="10" t="s">
        <v>178</v>
      </c>
      <c r="I34" s="10" t="s">
        <v>179</v>
      </c>
    </row>
    <row r="35" customFormat="false" ht="19.5" hidden="false" customHeight="true" outlineLevel="0" collapsed="false">
      <c r="B35" s="66" t="s">
        <v>180</v>
      </c>
      <c r="C35" s="63" t="n">
        <f aca="false">COUNTIF('RFI Register'!$D$7:$D$36,"Architectural")</f>
        <v>7</v>
      </c>
      <c r="D35" s="63"/>
      <c r="E35" s="63" t="n">
        <f aca="false">COUNTIFS('RFI Register'!$D$7:$D$36,"Architectural",'RFI Register'!$J$7:$J$36,"")-COUNTIFS('RFI Register'!$D$7:$D$36,"Architectural",'RFI Register'!$N$7:$N$36,"Void")</f>
        <v>2</v>
      </c>
      <c r="F35" s="63" t="n">
        <f aca="false">COUNTIFS('RFI Register'!$D$7:$D$36,"Architectural",'RFI Register'!$N$7:$N$36,"OVERDUE - already needed")+COUNTIFS('RFI Register'!$D$7:$D$36,"Architectural",'RFI Register'!$N$7:$N$36,"Answered - after it was needed")</f>
        <v>0</v>
      </c>
      <c r="G35" s="63" t="n">
        <f aca="false">SUMPRODUCT(('RFI Register'!$D$7:$D$36="Architectural")*(COUNTIFS('RFI Quality'!$B$7:$B$30,'RFI Register'!$B$7:$B$36,'RFI Quality'!$G$7:$G$30,"Yes - it was in the documents")))</f>
        <v>4</v>
      </c>
      <c r="H35" s="63" t="n">
        <f aca="false">SUMPRODUCT(('RFI Register'!$D$7:$D$36="Architectural")*(COUNTIFS('Scope &amp; Cost Impact'!$B$7:$B$28,'RFI Register'!$B$7:$B$36,'Scope &amp; Cost Impact'!$E$7:$E$28,"Yes - the work changed")))</f>
        <v>1</v>
      </c>
      <c r="I35" s="67" t="n">
        <f aca="false">IF(COUNTIFS('RFI Register'!$D$7:$D$36,"Architectural",'RFI Register'!$J$7:$J$36,"&lt;&gt;")=0,"",SUMPRODUCT(('RFI Register'!$D$7:$D$36="Architectural")*('RFI Register'!$J$7:$J$36&lt;&gt;"")*('RFI Register'!$J$7:$J$36-'RFI Register'!$G$7:$G$36))/COUNTIFS('RFI Register'!$D$7:$D$36,"Architectural",'RFI Register'!$J$7:$J$36,"&lt;&gt;"))</f>
        <v>14.8</v>
      </c>
    </row>
    <row r="36" customFormat="false" ht="19.5" hidden="false" customHeight="true" outlineLevel="0" collapsed="false">
      <c r="B36" s="66" t="s">
        <v>181</v>
      </c>
      <c r="C36" s="63" t="n">
        <f aca="false">COUNTIF('RFI Register'!$D$7:$D$36,"Structural")</f>
        <v>3</v>
      </c>
      <c r="D36" s="63"/>
      <c r="E36" s="63" t="n">
        <f aca="false">COUNTIFS('RFI Register'!$D$7:$D$36,"Structural",'RFI Register'!$J$7:$J$36,"")-COUNTIFS('RFI Register'!$D$7:$D$36,"Structural",'RFI Register'!$N$7:$N$36,"Void")</f>
        <v>0</v>
      </c>
      <c r="F36" s="63" t="n">
        <f aca="false">COUNTIFS('RFI Register'!$D$7:$D$36,"Structural",'RFI Register'!$N$7:$N$36,"OVERDUE - already needed")+COUNTIFS('RFI Register'!$D$7:$D$36,"Structural",'RFI Register'!$N$7:$N$36,"Answered - after it was needed")</f>
        <v>2</v>
      </c>
      <c r="G36" s="63" t="n">
        <f aca="false">SUMPRODUCT(('RFI Register'!$D$7:$D$36="Structural")*(COUNTIFS('RFI Quality'!$B$7:$B$30,'RFI Register'!$B$7:$B$36,'RFI Quality'!$G$7:$G$30,"Yes - it was in the documents")))</f>
        <v>0</v>
      </c>
      <c r="H36" s="63" t="n">
        <f aca="false">SUMPRODUCT(('RFI Register'!$D$7:$D$36="Structural")*(COUNTIFS('Scope &amp; Cost Impact'!$B$7:$B$28,'RFI Register'!$B$7:$B$36,'Scope &amp; Cost Impact'!$E$7:$E$28,"Yes - the work changed")))</f>
        <v>2</v>
      </c>
      <c r="I36" s="67" t="n">
        <f aca="false">IF(COUNTIFS('RFI Register'!$D$7:$D$36,"Structural",'RFI Register'!$J$7:$J$36,"&lt;&gt;")=0,"",SUMPRODUCT(('RFI Register'!$D$7:$D$36="Structural")*('RFI Register'!$J$7:$J$36&lt;&gt;"")*('RFI Register'!$J$7:$J$36-'RFI Register'!$G$7:$G$36))/COUNTIFS('RFI Register'!$D$7:$D$36,"Structural",'RFI Register'!$J$7:$J$36,"&lt;&gt;"))</f>
        <v>9.66666666666667</v>
      </c>
    </row>
    <row r="37" customFormat="false" ht="19.5" hidden="false" customHeight="true" outlineLevel="0" collapsed="false">
      <c r="B37" s="66" t="s">
        <v>182</v>
      </c>
      <c r="C37" s="63" t="n">
        <f aca="false">COUNTIF('RFI Register'!$D$7:$D$36,"Civil")</f>
        <v>2</v>
      </c>
      <c r="D37" s="63"/>
      <c r="E37" s="63" t="n">
        <f aca="false">COUNTIFS('RFI Register'!$D$7:$D$36,"Civil",'RFI Register'!$J$7:$J$36,"")-COUNTIFS('RFI Register'!$D$7:$D$36,"Civil",'RFI Register'!$N$7:$N$36,"Void")</f>
        <v>1</v>
      </c>
      <c r="F37" s="63" t="n">
        <f aca="false">COUNTIFS('RFI Register'!$D$7:$D$36,"Civil",'RFI Register'!$N$7:$N$36,"OVERDUE - already needed")+COUNTIFS('RFI Register'!$D$7:$D$36,"Civil",'RFI Register'!$N$7:$N$36,"Answered - after it was needed")</f>
        <v>1</v>
      </c>
      <c r="G37" s="63" t="n">
        <f aca="false">SUMPRODUCT(('RFI Register'!$D$7:$D$36="Civil")*(COUNTIFS('RFI Quality'!$B$7:$B$30,'RFI Register'!$B$7:$B$36,'RFI Quality'!$G$7:$G$30,"Yes - it was in the documents")))</f>
        <v>0</v>
      </c>
      <c r="H37" s="63" t="n">
        <f aca="false">SUMPRODUCT(('RFI Register'!$D$7:$D$36="Civil")*(COUNTIFS('Scope &amp; Cost Impact'!$B$7:$B$28,'RFI Register'!$B$7:$B$36,'Scope &amp; Cost Impact'!$E$7:$E$28,"Yes - the work changed")))</f>
        <v>1</v>
      </c>
      <c r="I37" s="67" t="n">
        <f aca="false">IF(COUNTIFS('RFI Register'!$D$7:$D$36,"Civil",'RFI Register'!$J$7:$J$36,"&lt;&gt;")=0,"",SUMPRODUCT(('RFI Register'!$D$7:$D$36="Civil")*('RFI Register'!$J$7:$J$36&lt;&gt;"")*('RFI Register'!$J$7:$J$36-'RFI Register'!$G$7:$G$36))/COUNTIFS('RFI Register'!$D$7:$D$36,"Civil",'RFI Register'!$J$7:$J$36,"&lt;&gt;"))</f>
        <v>18</v>
      </c>
    </row>
    <row r="38" customFormat="false" ht="19.5" hidden="false" customHeight="true" outlineLevel="0" collapsed="false">
      <c r="B38" s="66" t="s">
        <v>183</v>
      </c>
      <c r="C38" s="63" t="n">
        <f aca="false">COUNTIF('RFI Register'!$D$7:$D$36,"Mechanical")</f>
        <v>3</v>
      </c>
      <c r="D38" s="63"/>
      <c r="E38" s="63" t="n">
        <f aca="false">COUNTIFS('RFI Register'!$D$7:$D$36,"Mechanical",'RFI Register'!$J$7:$J$36,"")-COUNTIFS('RFI Register'!$D$7:$D$36,"Mechanical",'RFI Register'!$N$7:$N$36,"Void")</f>
        <v>1</v>
      </c>
      <c r="F38" s="63" t="n">
        <f aca="false">COUNTIFS('RFI Register'!$D$7:$D$36,"Mechanical",'RFI Register'!$N$7:$N$36,"OVERDUE - already needed")+COUNTIFS('RFI Register'!$D$7:$D$36,"Mechanical",'RFI Register'!$N$7:$N$36,"Answered - after it was needed")</f>
        <v>1</v>
      </c>
      <c r="G38" s="63" t="n">
        <f aca="false">SUMPRODUCT(('RFI Register'!$D$7:$D$36="Mechanical")*(COUNTIFS('RFI Quality'!$B$7:$B$30,'RFI Register'!$B$7:$B$36,'RFI Quality'!$G$7:$G$30,"Yes - it was in the documents")))</f>
        <v>0</v>
      </c>
      <c r="H38" s="63" t="n">
        <f aca="false">SUMPRODUCT(('RFI Register'!$D$7:$D$36="Mechanical")*(COUNTIFS('Scope &amp; Cost Impact'!$B$7:$B$28,'RFI Register'!$B$7:$B$36,'Scope &amp; Cost Impact'!$E$7:$E$28,"Yes - the work changed")))</f>
        <v>1</v>
      </c>
      <c r="I38" s="67" t="n">
        <f aca="false">IF(COUNTIFS('RFI Register'!$D$7:$D$36,"Mechanical",'RFI Register'!$J$7:$J$36,"&lt;&gt;")=0,"",SUMPRODUCT(('RFI Register'!$D$7:$D$36="Mechanical")*('RFI Register'!$J$7:$J$36&lt;&gt;"")*('RFI Register'!$J$7:$J$36-'RFI Register'!$G$7:$G$36))/COUNTIFS('RFI Register'!$D$7:$D$36,"Mechanical",'RFI Register'!$J$7:$J$36,"&lt;&gt;"))</f>
        <v>9</v>
      </c>
    </row>
    <row r="39" customFormat="false" ht="19.5" hidden="false" customHeight="true" outlineLevel="0" collapsed="false">
      <c r="B39" s="66" t="s">
        <v>184</v>
      </c>
      <c r="C39" s="63" t="n">
        <f aca="false">COUNTIF('RFI Register'!$D$7:$D$36,"Electrical")</f>
        <v>2</v>
      </c>
      <c r="D39" s="63"/>
      <c r="E39" s="63" t="n">
        <f aca="false">COUNTIFS('RFI Register'!$D$7:$D$36,"Electrical",'RFI Register'!$J$7:$J$36,"")-COUNTIFS('RFI Register'!$D$7:$D$36,"Electrical",'RFI Register'!$N$7:$N$36,"Void")</f>
        <v>0</v>
      </c>
      <c r="F39" s="63" t="n">
        <f aca="false">COUNTIFS('RFI Register'!$D$7:$D$36,"Electrical",'RFI Register'!$N$7:$N$36,"OVERDUE - already needed")+COUNTIFS('RFI Register'!$D$7:$D$36,"Electrical",'RFI Register'!$N$7:$N$36,"Answered - after it was needed")</f>
        <v>0</v>
      </c>
      <c r="G39" s="63" t="n">
        <f aca="false">SUMPRODUCT(('RFI Register'!$D$7:$D$36="Electrical")*(COUNTIFS('RFI Quality'!$B$7:$B$30,'RFI Register'!$B$7:$B$36,'RFI Quality'!$G$7:$G$30,"Yes - it was in the documents")))</f>
        <v>0</v>
      </c>
      <c r="H39" s="63" t="n">
        <f aca="false">SUMPRODUCT(('RFI Register'!$D$7:$D$36="Electrical")*(COUNTIFS('Scope &amp; Cost Impact'!$B$7:$B$28,'RFI Register'!$B$7:$B$36,'Scope &amp; Cost Impact'!$E$7:$E$28,"Yes - the work changed")))</f>
        <v>1</v>
      </c>
      <c r="I39" s="67" t="n">
        <f aca="false">IF(COUNTIFS('RFI Register'!$D$7:$D$36,"Electrical",'RFI Register'!$J$7:$J$36,"&lt;&gt;")=0,"",SUMPRODUCT(('RFI Register'!$D$7:$D$36="Electrical")*('RFI Register'!$J$7:$J$36&lt;&gt;"")*('RFI Register'!$J$7:$J$36-'RFI Register'!$G$7:$G$36))/COUNTIFS('RFI Register'!$D$7:$D$36,"Electrical",'RFI Register'!$J$7:$J$36,"&lt;&gt;"))</f>
        <v>8.5</v>
      </c>
    </row>
    <row r="40" customFormat="false" ht="19.5" hidden="false" customHeight="true" outlineLevel="0" collapsed="false">
      <c r="B40" s="66" t="s">
        <v>185</v>
      </c>
      <c r="C40" s="63" t="n">
        <f aca="false">COUNTIF('RFI Register'!$D$7:$D$36,"Hydraulic")</f>
        <v>2</v>
      </c>
      <c r="D40" s="63"/>
      <c r="E40" s="63" t="n">
        <f aca="false">COUNTIFS('RFI Register'!$D$7:$D$36,"Hydraulic",'RFI Register'!$J$7:$J$36,"")-COUNTIFS('RFI Register'!$D$7:$D$36,"Hydraulic",'RFI Register'!$N$7:$N$36,"Void")</f>
        <v>1</v>
      </c>
      <c r="F40" s="63" t="n">
        <f aca="false">COUNTIFS('RFI Register'!$D$7:$D$36,"Hydraulic",'RFI Register'!$N$7:$N$36,"OVERDUE - already needed")+COUNTIFS('RFI Register'!$D$7:$D$36,"Hydraulic",'RFI Register'!$N$7:$N$36,"Answered - after it was needed")</f>
        <v>0</v>
      </c>
      <c r="G40" s="63" t="n">
        <f aca="false">SUMPRODUCT(('RFI Register'!$D$7:$D$36="Hydraulic")*(COUNTIFS('RFI Quality'!$B$7:$B$30,'RFI Register'!$B$7:$B$36,'RFI Quality'!$G$7:$G$30,"Yes - it was in the documents")))</f>
        <v>0</v>
      </c>
      <c r="H40" s="63" t="n">
        <f aca="false">SUMPRODUCT(('RFI Register'!$D$7:$D$36="Hydraulic")*(COUNTIFS('Scope &amp; Cost Impact'!$B$7:$B$28,'RFI Register'!$B$7:$B$36,'Scope &amp; Cost Impact'!$E$7:$E$28,"Yes - the work changed")))</f>
        <v>1</v>
      </c>
      <c r="I40" s="67" t="n">
        <f aca="false">IF(COUNTIFS('RFI Register'!$D$7:$D$36,"Hydraulic",'RFI Register'!$J$7:$J$36,"&lt;&gt;")=0,"",SUMPRODUCT(('RFI Register'!$D$7:$D$36="Hydraulic")*('RFI Register'!$J$7:$J$36&lt;&gt;"")*('RFI Register'!$J$7:$J$36-'RFI Register'!$G$7:$G$36))/COUNTIFS('RFI Register'!$D$7:$D$36,"Hydraulic",'RFI Register'!$J$7:$J$36,"&lt;&gt;"))</f>
        <v>9</v>
      </c>
    </row>
    <row r="41" customFormat="false" ht="19.5" hidden="false" customHeight="true" outlineLevel="0" collapsed="false">
      <c r="B41" s="66" t="s">
        <v>186</v>
      </c>
      <c r="C41" s="63" t="n">
        <f aca="false">COUNTIF('RFI Register'!$D$7:$D$36,"Fire")</f>
        <v>2</v>
      </c>
      <c r="D41" s="63"/>
      <c r="E41" s="63" t="n">
        <f aca="false">COUNTIFS('RFI Register'!$D$7:$D$36,"Fire",'RFI Register'!$J$7:$J$36,"")-COUNTIFS('RFI Register'!$D$7:$D$36,"Fire",'RFI Register'!$N$7:$N$36,"Void")</f>
        <v>1</v>
      </c>
      <c r="F41" s="63" t="n">
        <f aca="false">COUNTIFS('RFI Register'!$D$7:$D$36,"Fire",'RFI Register'!$N$7:$N$36,"OVERDUE - already needed")+COUNTIFS('RFI Register'!$D$7:$D$36,"Fire",'RFI Register'!$N$7:$N$36,"Answered - after it was needed")</f>
        <v>1</v>
      </c>
      <c r="G41" s="63" t="n">
        <f aca="false">SUMPRODUCT(('RFI Register'!$D$7:$D$36="Fire")*(COUNTIFS('RFI Quality'!$B$7:$B$30,'RFI Register'!$B$7:$B$36,'RFI Quality'!$G$7:$G$30,"Yes - it was in the documents")))</f>
        <v>0</v>
      </c>
      <c r="H41" s="63" t="n">
        <f aca="false">SUMPRODUCT(('RFI Register'!$D$7:$D$36="Fire")*(COUNTIFS('Scope &amp; Cost Impact'!$B$7:$B$28,'RFI Register'!$B$7:$B$36,'Scope &amp; Cost Impact'!$E$7:$E$28,"Yes - the work changed")))</f>
        <v>1</v>
      </c>
      <c r="I41" s="67" t="n">
        <f aca="false">IF(COUNTIFS('RFI Register'!$D$7:$D$36,"Fire",'RFI Register'!$J$7:$J$36,"&lt;&gt;")=0,"",SUMPRODUCT(('RFI Register'!$D$7:$D$36="Fire")*('RFI Register'!$J$7:$J$36&lt;&gt;"")*('RFI Register'!$J$7:$J$36-'RFI Register'!$G$7:$G$36))/COUNTIFS('RFI Register'!$D$7:$D$36,"Fire",'RFI Register'!$J$7:$J$36,"&lt;&gt;"))</f>
        <v>4</v>
      </c>
    </row>
    <row r="42" customFormat="false" ht="19.5" hidden="false" customHeight="true" outlineLevel="0" collapsed="false">
      <c r="B42" s="66" t="s">
        <v>187</v>
      </c>
      <c r="C42" s="63" t="n">
        <f aca="false">COUNTIF('RFI Register'!$D$7:$D$36,"Facade")</f>
        <v>2</v>
      </c>
      <c r="D42" s="63"/>
      <c r="E42" s="63" t="n">
        <f aca="false">COUNTIFS('RFI Register'!$D$7:$D$36,"Facade",'RFI Register'!$J$7:$J$36,"")-COUNTIFS('RFI Register'!$D$7:$D$36,"Facade",'RFI Register'!$N$7:$N$36,"Void")</f>
        <v>1</v>
      </c>
      <c r="F42" s="63" t="n">
        <f aca="false">COUNTIFS('RFI Register'!$D$7:$D$36,"Facade",'RFI Register'!$N$7:$N$36,"OVERDUE - already needed")+COUNTIFS('RFI Register'!$D$7:$D$36,"Facade",'RFI Register'!$N$7:$N$36,"Answered - after it was needed")</f>
        <v>0</v>
      </c>
      <c r="G42" s="63" t="n">
        <f aca="false">SUMPRODUCT(('RFI Register'!$D$7:$D$36="Facade")*(COUNTIFS('RFI Quality'!$B$7:$B$30,'RFI Register'!$B$7:$B$36,'RFI Quality'!$G$7:$G$30,"Yes - it was in the documents")))</f>
        <v>0</v>
      </c>
      <c r="H42" s="63" t="n">
        <f aca="false">SUMPRODUCT(('RFI Register'!$D$7:$D$36="Facade")*(COUNTIFS('Scope &amp; Cost Impact'!$B$7:$B$28,'RFI Register'!$B$7:$B$36,'Scope &amp; Cost Impact'!$E$7:$E$28,"Yes - the work changed")))</f>
        <v>0</v>
      </c>
      <c r="I42" s="67" t="n">
        <f aca="false">IF(COUNTIFS('RFI Register'!$D$7:$D$36,"Facade",'RFI Register'!$J$7:$J$36,"&lt;&gt;")=0,"",SUMPRODUCT(('RFI Register'!$D$7:$D$36="Facade")*('RFI Register'!$J$7:$J$36&lt;&gt;"")*('RFI Register'!$J$7:$J$36-'RFI Register'!$G$7:$G$36))/COUNTIFS('RFI Register'!$D$7:$D$36,"Facade",'RFI Register'!$J$7:$J$36,"&lt;&gt;"))</f>
        <v>4</v>
      </c>
    </row>
    <row r="43" customFormat="false" ht="19.5" hidden="false" customHeight="true" outlineLevel="0" collapsed="false">
      <c r="B43" s="66" t="s">
        <v>188</v>
      </c>
      <c r="C43" s="63" t="n">
        <f aca="false">COUNTIF('RFI Register'!$D$7:$D$36,"Landscape")</f>
        <v>0</v>
      </c>
      <c r="D43" s="63"/>
      <c r="E43" s="63" t="n">
        <f aca="false">COUNTIFS('RFI Register'!$D$7:$D$36,"Landscape",'RFI Register'!$J$7:$J$36,"")-COUNTIFS('RFI Register'!$D$7:$D$36,"Landscape",'RFI Register'!$N$7:$N$36,"Void")</f>
        <v>0</v>
      </c>
      <c r="F43" s="63" t="n">
        <f aca="false">COUNTIFS('RFI Register'!$D$7:$D$36,"Landscape",'RFI Register'!$N$7:$N$36,"OVERDUE - already needed")+COUNTIFS('RFI Register'!$D$7:$D$36,"Landscape",'RFI Register'!$N$7:$N$36,"Answered - after it was needed")</f>
        <v>0</v>
      </c>
      <c r="G43" s="63" t="n">
        <f aca="false">SUMPRODUCT(('RFI Register'!$D$7:$D$36="Landscape")*(COUNTIFS('RFI Quality'!$B$7:$B$30,'RFI Register'!$B$7:$B$36,'RFI Quality'!$G$7:$G$30,"Yes - it was in the documents")))</f>
        <v>0</v>
      </c>
      <c r="H43" s="63" t="n">
        <f aca="false">SUMPRODUCT(('RFI Register'!$D$7:$D$36="Landscape")*(COUNTIFS('Scope &amp; Cost Impact'!$B$7:$B$28,'RFI Register'!$B$7:$B$36,'Scope &amp; Cost Impact'!$E$7:$E$28,"Yes - the work changed")))</f>
        <v>0</v>
      </c>
      <c r="I43" s="67" t="str">
        <f aca="false">IF(COUNTIFS('RFI Register'!$D$7:$D$36,"Landscape",'RFI Register'!$J$7:$J$36,"&lt;&gt;")=0,"",SUMPRODUCT(('RFI Register'!$D$7:$D$36="Landscape")*('RFI Register'!$J$7:$J$36&lt;&gt;"")*('RFI Register'!$J$7:$J$36-'RFI Register'!$G$7:$G$36))/COUNTIFS('RFI Register'!$D$7:$D$36,"Landscape",'RFI Register'!$J$7:$J$36,"&lt;&gt;"))</f>
        <v/>
      </c>
    </row>
    <row r="44" customFormat="false" ht="19.5" hidden="false" customHeight="true" outlineLevel="0" collapsed="false">
      <c r="B44" s="66" t="s">
        <v>189</v>
      </c>
      <c r="C44" s="63" t="n">
        <f aca="false">COUNTIF('RFI Register'!$D$7:$D$36,"Specialist / user group")</f>
        <v>1</v>
      </c>
      <c r="D44" s="63"/>
      <c r="E44" s="63" t="n">
        <f aca="false">COUNTIFS('RFI Register'!$D$7:$D$36,"Specialist / user group",'RFI Register'!$J$7:$J$36,"")-COUNTIFS('RFI Register'!$D$7:$D$36,"Specialist / user group",'RFI Register'!$N$7:$N$36,"Void")</f>
        <v>0</v>
      </c>
      <c r="F44" s="63" t="n">
        <f aca="false">COUNTIFS('RFI Register'!$D$7:$D$36,"Specialist / user group",'RFI Register'!$N$7:$N$36,"OVERDUE - already needed")+COUNTIFS('RFI Register'!$D$7:$D$36,"Specialist / user group",'RFI Register'!$N$7:$N$36,"Answered - after it was needed")</f>
        <v>0</v>
      </c>
      <c r="G44" s="63" t="n">
        <f aca="false">SUMPRODUCT(('RFI Register'!$D$7:$D$36="Specialist / user group")*(COUNTIFS('RFI Quality'!$B$7:$B$30,'RFI Register'!$B$7:$B$36,'RFI Quality'!$G$7:$G$30,"Yes - it was in the documents")))</f>
        <v>0</v>
      </c>
      <c r="H44" s="63" t="n">
        <f aca="false">SUMPRODUCT(('RFI Register'!$D$7:$D$36="Specialist / user group")*(COUNTIFS('Scope &amp; Cost Impact'!$B$7:$B$28,'RFI Register'!$B$7:$B$36,'Scope &amp; Cost Impact'!$E$7:$E$28,"Yes - the work changed")))</f>
        <v>1</v>
      </c>
      <c r="I44" s="67" t="n">
        <f aca="false">IF(COUNTIFS('RFI Register'!$D$7:$D$36,"Specialist / user group",'RFI Register'!$J$7:$J$36,"&lt;&gt;")=0,"",SUMPRODUCT(('RFI Register'!$D$7:$D$36="Specialist / user group")*('RFI Register'!$J$7:$J$36&lt;&gt;"")*('RFI Register'!$J$7:$J$36-'RFI Register'!$G$7:$G$36))/COUNTIFS('RFI Register'!$D$7:$D$36,"Specialist / user group",'RFI Register'!$J$7:$J$36,"&lt;&gt;"))</f>
        <v>16</v>
      </c>
    </row>
    <row r="45" customFormat="false" ht="19.5" hidden="false" customHeight="true" outlineLevel="0" collapsed="false">
      <c r="B45" s="66" t="s">
        <v>190</v>
      </c>
      <c r="C45" s="63" t="n">
        <f aca="false">COUNTIF('RFI Register'!$D$7:$D$36,"Multiple")</f>
        <v>0</v>
      </c>
      <c r="D45" s="63"/>
      <c r="E45" s="63" t="n">
        <f aca="false">COUNTIFS('RFI Register'!$D$7:$D$36,"Multiple",'RFI Register'!$J$7:$J$36,"")-COUNTIFS('RFI Register'!$D$7:$D$36,"Multiple",'RFI Register'!$N$7:$N$36,"Void")</f>
        <v>0</v>
      </c>
      <c r="F45" s="63" t="n">
        <f aca="false">COUNTIFS('RFI Register'!$D$7:$D$36,"Multiple",'RFI Register'!$N$7:$N$36,"OVERDUE - already needed")+COUNTIFS('RFI Register'!$D$7:$D$36,"Multiple",'RFI Register'!$N$7:$N$36,"Answered - after it was needed")</f>
        <v>0</v>
      </c>
      <c r="G45" s="63" t="n">
        <f aca="false">SUMPRODUCT(('RFI Register'!$D$7:$D$36="Multiple")*(COUNTIFS('RFI Quality'!$B$7:$B$30,'RFI Register'!$B$7:$B$36,'RFI Quality'!$G$7:$G$30,"Yes - it was in the documents")))</f>
        <v>0</v>
      </c>
      <c r="H45" s="63" t="n">
        <f aca="false">SUMPRODUCT(('RFI Register'!$D$7:$D$36="Multiple")*(COUNTIFS('Scope &amp; Cost Impact'!$B$7:$B$28,'RFI Register'!$B$7:$B$36,'Scope &amp; Cost Impact'!$E$7:$E$28,"Yes - the work changed")))</f>
        <v>0</v>
      </c>
      <c r="I45" s="67" t="str">
        <f aca="false">IF(COUNTIFS('RFI Register'!$D$7:$D$36,"Multiple",'RFI Register'!$J$7:$J$36,"&lt;&gt;")=0,"",SUMPRODUCT(('RFI Register'!$D$7:$D$36="Multiple")*('RFI Register'!$J$7:$J$36&lt;&gt;"")*('RFI Register'!$J$7:$J$36-'RFI Register'!$G$7:$G$36))/COUNTIFS('RFI Register'!$D$7:$D$36,"Multiple",'RFI Register'!$J$7:$J$36,"&lt;&gt;"))</f>
        <v/>
      </c>
    </row>
    <row r="46" customFormat="false" ht="19.5" hidden="false" customHeight="true" outlineLevel="0" collapsed="false">
      <c r="B46" s="66" t="s">
        <v>191</v>
      </c>
      <c r="C46" s="63" t="n">
        <f aca="false">COUNTIF('RFI Register'!$D$7:$D$36,"Not known")</f>
        <v>0</v>
      </c>
      <c r="D46" s="63"/>
      <c r="E46" s="63" t="n">
        <f aca="false">COUNTIFS('RFI Register'!$D$7:$D$36,"Not known",'RFI Register'!$J$7:$J$36,"")-COUNTIFS('RFI Register'!$D$7:$D$36,"Not known",'RFI Register'!$N$7:$N$36,"Void")</f>
        <v>0</v>
      </c>
      <c r="F46" s="63" t="n">
        <f aca="false">COUNTIFS('RFI Register'!$D$7:$D$36,"Not known",'RFI Register'!$N$7:$N$36,"OVERDUE - already needed")+COUNTIFS('RFI Register'!$D$7:$D$36,"Not known",'RFI Register'!$N$7:$N$36,"Answered - after it was needed")</f>
        <v>0</v>
      </c>
      <c r="G46" s="63" t="n">
        <f aca="false">SUMPRODUCT(('RFI Register'!$D$7:$D$36="Not known")*(COUNTIFS('RFI Quality'!$B$7:$B$30,'RFI Register'!$B$7:$B$36,'RFI Quality'!$G$7:$G$30,"Yes - it was in the documents")))</f>
        <v>0</v>
      </c>
      <c r="H46" s="63" t="n">
        <f aca="false">SUMPRODUCT(('RFI Register'!$D$7:$D$36="Not known")*(COUNTIFS('Scope &amp; Cost Impact'!$B$7:$B$28,'RFI Register'!$B$7:$B$36,'Scope &amp; Cost Impact'!$E$7:$E$28,"Yes - the work changed")))</f>
        <v>0</v>
      </c>
      <c r="I46" s="67" t="str">
        <f aca="false">IF(COUNTIFS('RFI Register'!$D$7:$D$36,"Not known",'RFI Register'!$J$7:$J$36,"&lt;&gt;")=0,"",SUMPRODUCT(('RFI Register'!$D$7:$D$36="Not known")*('RFI Register'!$J$7:$J$36&lt;&gt;"")*('RFI Register'!$J$7:$J$36-'RFI Register'!$G$7:$G$36))/COUNTIFS('RFI Register'!$D$7:$D$36,"Not known",'RFI Register'!$J$7:$J$36,"&lt;&gt;"))</f>
        <v/>
      </c>
    </row>
    <row r="48" customFormat="false" ht="21.75" hidden="false" customHeight="true" outlineLevel="0" collapsed="false">
      <c r="B48" s="6" t="s">
        <v>192</v>
      </c>
      <c r="C48" s="6"/>
      <c r="D48" s="6"/>
      <c r="E48" s="6"/>
      <c r="F48" s="6"/>
      <c r="G48" s="6"/>
      <c r="H48" s="6"/>
      <c r="I48" s="6"/>
    </row>
    <row r="49" customFormat="false" ht="13.5" hidden="false" customHeight="true" outlineLevel="0" collapsed="false">
      <c r="B49" s="40" t="s">
        <v>193</v>
      </c>
      <c r="C49" s="40"/>
      <c r="D49" s="40"/>
      <c r="E49" s="40"/>
      <c r="F49" s="40"/>
      <c r="G49" s="40"/>
      <c r="H49" s="40"/>
      <c r="I49" s="40"/>
    </row>
    <row r="50" customFormat="false" ht="30" hidden="false" customHeight="true" outlineLevel="0" collapsed="false">
      <c r="B50" s="10" t="s">
        <v>194</v>
      </c>
      <c r="C50" s="10" t="s">
        <v>155</v>
      </c>
      <c r="D50" s="10"/>
      <c r="E50" s="10" t="s">
        <v>156</v>
      </c>
      <c r="F50" s="10" t="s">
        <v>177</v>
      </c>
      <c r="G50" s="10" t="s">
        <v>178</v>
      </c>
      <c r="H50" s="10" t="s">
        <v>195</v>
      </c>
      <c r="I50" s="10" t="s">
        <v>196</v>
      </c>
    </row>
    <row r="51" customFormat="false" ht="19.5" hidden="false" customHeight="true" outlineLevel="0" collapsed="false">
      <c r="B51" s="66" t="s">
        <v>197</v>
      </c>
      <c r="C51" s="63" t="n">
        <f aca="false">COUNTIF('RFI Quality'!$F$7:$F$30,"Design clarification")</f>
        <v>4</v>
      </c>
      <c r="D51" s="63"/>
      <c r="E51" s="64" t="n">
        <f aca="false">IF(COUNTIF('RFI Quality'!$F$7:$F$30,"&lt;&gt;")=0,"",COUNTIF('RFI Quality'!$F$7:$F$30,"Design clarification")/COUNTIF('RFI Quality'!$F$7:$F$30,"&lt;&gt;"))</f>
        <v>0.222222222222222</v>
      </c>
      <c r="F51" s="63" t="n">
        <f aca="false">COUNTIFS('RFI Quality'!$F$7:$F$30,"Design clarification",'RFI Quality'!$G$7:$G$30,"Yes - it was in the documents")</f>
        <v>4</v>
      </c>
      <c r="G51" s="63" t="n">
        <f aca="false">SUMPRODUCT(('RFI Quality'!$F$7:$F$30="Design clarification")*(COUNTIFS('Scope &amp; Cost Impact'!$B$7:$B$28,'RFI Quality'!$B$7:$B$30,'Scope &amp; Cost Impact'!$E$7:$E$28,"Yes - the work changed")))</f>
        <v>0</v>
      </c>
      <c r="H51" s="67" t="n">
        <f aca="false">SUMIFS('RFI Quality'!$J$7:$J$30,'RFI Quality'!$F$7:$F$30,"Design clarification")</f>
        <v>4.5</v>
      </c>
      <c r="I51" s="68" t="n">
        <f aca="false">SUMIFS('RFI Quality'!$K$7:$K$30,'RFI Quality'!$F$7:$F$30,"Design clarification")</f>
        <v>810</v>
      </c>
    </row>
    <row r="52" customFormat="false" ht="19.5" hidden="false" customHeight="true" outlineLevel="0" collapsed="false">
      <c r="B52" s="66" t="s">
        <v>198</v>
      </c>
      <c r="C52" s="63" t="n">
        <f aca="false">COUNTIF('RFI Quality'!$F$7:$F$30,"Incomplete plans or specification")</f>
        <v>2</v>
      </c>
      <c r="D52" s="63"/>
      <c r="E52" s="64" t="n">
        <f aca="false">IF(COUNTIF('RFI Quality'!$F$7:$F$30,"&lt;&gt;")=0,"",COUNTIF('RFI Quality'!$F$7:$F$30,"Incomplete plans or specification")/COUNTIF('RFI Quality'!$F$7:$F$30,"&lt;&gt;"))</f>
        <v>0.111111111111111</v>
      </c>
      <c r="F52" s="63" t="n">
        <f aca="false">COUNTIFS('RFI Quality'!$F$7:$F$30,"Incomplete plans or specification",'RFI Quality'!$G$7:$G$30,"Yes - it was in the documents")</f>
        <v>0</v>
      </c>
      <c r="G52" s="63" t="n">
        <f aca="false">SUMPRODUCT(('RFI Quality'!$F$7:$F$30="Incomplete plans or specification")*(COUNTIFS('Scope &amp; Cost Impact'!$B$7:$B$28,'RFI Quality'!$B$7:$B$30,'Scope &amp; Cost Impact'!$E$7:$E$28,"Yes - the work changed")))</f>
        <v>2</v>
      </c>
      <c r="H52" s="67" t="n">
        <f aca="false">SUMIFS('RFI Quality'!$J$7:$J$30,'RFI Quality'!$F$7:$F$30,"Incomplete plans or specification")</f>
        <v>9</v>
      </c>
      <c r="I52" s="68" t="n">
        <f aca="false">SUMIFS('RFI Quality'!$K$7:$K$30,'RFI Quality'!$F$7:$F$30,"Incomplete plans or specification")</f>
        <v>1620</v>
      </c>
    </row>
    <row r="53" customFormat="false" ht="19.5" hidden="false" customHeight="true" outlineLevel="0" collapsed="false">
      <c r="B53" s="66" t="s">
        <v>199</v>
      </c>
      <c r="C53" s="63" t="n">
        <f aca="false">COUNTIF('RFI Quality'!$F$7:$F$30,"Design coordination")</f>
        <v>4</v>
      </c>
      <c r="D53" s="63"/>
      <c r="E53" s="64" t="n">
        <f aca="false">IF(COUNTIF('RFI Quality'!$F$7:$F$30,"&lt;&gt;")=0,"",COUNTIF('RFI Quality'!$F$7:$F$30,"Design coordination")/COUNTIF('RFI Quality'!$F$7:$F$30,"&lt;&gt;"))</f>
        <v>0.222222222222222</v>
      </c>
      <c r="F53" s="63" t="n">
        <f aca="false">COUNTIFS('RFI Quality'!$F$7:$F$30,"Design coordination",'RFI Quality'!$G$7:$G$30,"Yes - it was in the documents")</f>
        <v>0</v>
      </c>
      <c r="G53" s="63" t="n">
        <f aca="false">SUMPRODUCT(('RFI Quality'!$F$7:$F$30="Design coordination")*(COUNTIFS('Scope &amp; Cost Impact'!$B$7:$B$28,'RFI Quality'!$B$7:$B$30,'Scope &amp; Cost Impact'!$E$7:$E$28,"Yes - the work changed")))</f>
        <v>0</v>
      </c>
      <c r="H53" s="67" t="n">
        <f aca="false">SUMIFS('RFI Quality'!$J$7:$J$30,'RFI Quality'!$F$7:$F$30,"Design coordination")</f>
        <v>9</v>
      </c>
      <c r="I53" s="68" t="n">
        <f aca="false">SUMIFS('RFI Quality'!$K$7:$K$30,'RFI Quality'!$F$7:$F$30,"Design coordination")</f>
        <v>1620</v>
      </c>
    </row>
    <row r="54" customFormat="false" ht="19.5" hidden="false" customHeight="true" outlineLevel="0" collapsed="false">
      <c r="B54" s="66" t="s">
        <v>200</v>
      </c>
      <c r="C54" s="63" t="n">
        <f aca="false">COUNTIF('RFI Quality'!$F$7:$F$30,"Design change")</f>
        <v>1</v>
      </c>
      <c r="D54" s="63"/>
      <c r="E54" s="64" t="n">
        <f aca="false">IF(COUNTIF('RFI Quality'!$F$7:$F$30,"&lt;&gt;")=0,"",COUNTIF('RFI Quality'!$F$7:$F$30,"Design change")/COUNTIF('RFI Quality'!$F$7:$F$30,"&lt;&gt;"))</f>
        <v>0.0555555555555556</v>
      </c>
      <c r="F54" s="63" t="n">
        <f aca="false">COUNTIFS('RFI Quality'!$F$7:$F$30,"Design change",'RFI Quality'!$G$7:$G$30,"Yes - it was in the documents")</f>
        <v>0</v>
      </c>
      <c r="G54" s="63" t="n">
        <f aca="false">SUMPRODUCT(('RFI Quality'!$F$7:$F$30="Design change")*(COUNTIFS('Scope &amp; Cost Impact'!$B$7:$B$28,'RFI Quality'!$B$7:$B$30,'Scope &amp; Cost Impact'!$E$7:$E$28,"Yes - the work changed")))</f>
        <v>1</v>
      </c>
      <c r="H54" s="67" t="n">
        <f aca="false">SUMIFS('RFI Quality'!$J$7:$J$30,'RFI Quality'!$F$7:$F$30,"Design change")</f>
        <v>5</v>
      </c>
      <c r="I54" s="68" t="n">
        <f aca="false">SUMIFS('RFI Quality'!$K$7:$K$30,'RFI Quality'!$F$7:$F$30,"Design change")</f>
        <v>900</v>
      </c>
    </row>
    <row r="55" customFormat="false" ht="19.5" hidden="false" customHeight="true" outlineLevel="0" collapsed="false">
      <c r="B55" s="66" t="s">
        <v>201</v>
      </c>
      <c r="C55" s="63" t="n">
        <f aca="false">COUNTIF('RFI Quality'!$F$7:$F$30,"Construction coordination")</f>
        <v>0</v>
      </c>
      <c r="D55" s="63"/>
      <c r="E55" s="64" t="n">
        <f aca="false">IF(COUNTIF('RFI Quality'!$F$7:$F$30,"&lt;&gt;")=0,"",COUNTIF('RFI Quality'!$F$7:$F$30,"Construction coordination")/COUNTIF('RFI Quality'!$F$7:$F$30,"&lt;&gt;"))</f>
        <v>0</v>
      </c>
      <c r="F55" s="63" t="n">
        <f aca="false">COUNTIFS('RFI Quality'!$F$7:$F$30,"Construction coordination",'RFI Quality'!$G$7:$G$30,"Yes - it was in the documents")</f>
        <v>0</v>
      </c>
      <c r="G55" s="63" t="n">
        <f aca="false">SUMPRODUCT(('RFI Quality'!$F$7:$F$30="Construction coordination")*(COUNTIFS('Scope &amp; Cost Impact'!$B$7:$B$28,'RFI Quality'!$B$7:$B$30,'Scope &amp; Cost Impact'!$E$7:$E$28,"Yes - the work changed")))</f>
        <v>0</v>
      </c>
      <c r="H55" s="67" t="n">
        <f aca="false">SUMIFS('RFI Quality'!$J$7:$J$30,'RFI Quality'!$F$7:$F$30,"Construction coordination")</f>
        <v>0</v>
      </c>
      <c r="I55" s="68" t="n">
        <f aca="false">SUMIFS('RFI Quality'!$K$7:$K$30,'RFI Quality'!$F$7:$F$30,"Construction coordination")</f>
        <v>0</v>
      </c>
    </row>
    <row r="56" customFormat="false" ht="19.5" hidden="false" customHeight="true" outlineLevel="0" collapsed="false">
      <c r="B56" s="66" t="s">
        <v>202</v>
      </c>
      <c r="C56" s="63" t="n">
        <f aca="false">COUNTIF('RFI Quality'!$F$7:$F$30,"Constructability")</f>
        <v>1</v>
      </c>
      <c r="D56" s="63"/>
      <c r="E56" s="64" t="n">
        <f aca="false">IF(COUNTIF('RFI Quality'!$F$7:$F$30,"&lt;&gt;")=0,"",COUNTIF('RFI Quality'!$F$7:$F$30,"Constructability")/COUNTIF('RFI Quality'!$F$7:$F$30,"&lt;&gt;"))</f>
        <v>0.0555555555555556</v>
      </c>
      <c r="F56" s="63" t="n">
        <f aca="false">COUNTIFS('RFI Quality'!$F$7:$F$30,"Constructability",'RFI Quality'!$G$7:$G$30,"Yes - it was in the documents")</f>
        <v>0</v>
      </c>
      <c r="G56" s="63" t="n">
        <f aca="false">SUMPRODUCT(('RFI Quality'!$F$7:$F$30="Constructability")*(COUNTIFS('Scope &amp; Cost Impact'!$B$7:$B$28,'RFI Quality'!$B$7:$B$30,'Scope &amp; Cost Impact'!$E$7:$E$28,"Yes - the work changed")))</f>
        <v>1</v>
      </c>
      <c r="H56" s="67" t="n">
        <f aca="false">SUMIFS('RFI Quality'!$J$7:$J$30,'RFI Quality'!$F$7:$F$30,"Constructability")</f>
        <v>11</v>
      </c>
      <c r="I56" s="68" t="n">
        <f aca="false">SUMIFS('RFI Quality'!$K$7:$K$30,'RFI Quality'!$F$7:$F$30,"Constructability")</f>
        <v>1980</v>
      </c>
    </row>
    <row r="57" customFormat="false" ht="19.5" hidden="false" customHeight="true" outlineLevel="0" collapsed="false">
      <c r="B57" s="66" t="s">
        <v>203</v>
      </c>
      <c r="C57" s="63" t="n">
        <f aca="false">COUNTIF('RFI Quality'!$F$7:$F$30,"Different method")</f>
        <v>0</v>
      </c>
      <c r="D57" s="63"/>
      <c r="E57" s="64" t="n">
        <f aca="false">IF(COUNTIF('RFI Quality'!$F$7:$F$30,"&lt;&gt;")=0,"",COUNTIF('RFI Quality'!$F$7:$F$30,"Different method")/COUNTIF('RFI Quality'!$F$7:$F$30,"&lt;&gt;"))</f>
        <v>0</v>
      </c>
      <c r="F57" s="63" t="n">
        <f aca="false">COUNTIFS('RFI Quality'!$F$7:$F$30,"Different method",'RFI Quality'!$G$7:$G$30,"Yes - it was in the documents")</f>
        <v>0</v>
      </c>
      <c r="G57" s="63" t="n">
        <f aca="false">SUMPRODUCT(('RFI Quality'!$F$7:$F$30="Different method")*(COUNTIFS('Scope &amp; Cost Impact'!$B$7:$B$28,'RFI Quality'!$B$7:$B$30,'Scope &amp; Cost Impact'!$E$7:$E$28,"Yes - the work changed")))</f>
        <v>0</v>
      </c>
      <c r="H57" s="67" t="n">
        <f aca="false">SUMIFS('RFI Quality'!$J$7:$J$30,'RFI Quality'!$F$7:$F$30,"Different method")</f>
        <v>0</v>
      </c>
      <c r="I57" s="68" t="n">
        <f aca="false">SUMIFS('RFI Quality'!$K$7:$K$30,'RFI Quality'!$F$7:$F$30,"Different method")</f>
        <v>0</v>
      </c>
    </row>
    <row r="58" customFormat="false" ht="19.5" hidden="false" customHeight="true" outlineLevel="0" collapsed="false">
      <c r="B58" s="66" t="s">
        <v>204</v>
      </c>
      <c r="C58" s="63" t="n">
        <f aca="false">COUNTIF('RFI Quality'!$F$7:$F$30,"Material change")</f>
        <v>1</v>
      </c>
      <c r="D58" s="63"/>
      <c r="E58" s="64" t="n">
        <f aca="false">IF(COUNTIF('RFI Quality'!$F$7:$F$30,"&lt;&gt;")=0,"",COUNTIF('RFI Quality'!$F$7:$F$30,"Material change")/COUNTIF('RFI Quality'!$F$7:$F$30,"&lt;&gt;"))</f>
        <v>0.0555555555555556</v>
      </c>
      <c r="F58" s="63" t="n">
        <f aca="false">COUNTIFS('RFI Quality'!$F$7:$F$30,"Material change",'RFI Quality'!$G$7:$G$30,"Yes - it was in the documents")</f>
        <v>0</v>
      </c>
      <c r="G58" s="63" t="n">
        <f aca="false">SUMPRODUCT(('RFI Quality'!$F$7:$F$30="Material change")*(COUNTIFS('Scope &amp; Cost Impact'!$B$7:$B$28,'RFI Quality'!$B$7:$B$30,'Scope &amp; Cost Impact'!$E$7:$E$28,"Yes - the work changed")))</f>
        <v>1</v>
      </c>
      <c r="H58" s="67" t="n">
        <f aca="false">SUMIFS('RFI Quality'!$J$7:$J$30,'RFI Quality'!$F$7:$F$30,"Material change")</f>
        <v>4</v>
      </c>
      <c r="I58" s="68" t="n">
        <f aca="false">SUMIFS('RFI Quality'!$K$7:$K$30,'RFI Quality'!$F$7:$F$30,"Material change")</f>
        <v>720</v>
      </c>
    </row>
    <row r="59" customFormat="false" ht="19.5" hidden="false" customHeight="true" outlineLevel="0" collapsed="false">
      <c r="B59" s="66" t="s">
        <v>205</v>
      </c>
      <c r="C59" s="63" t="n">
        <f aca="false">COUNTIF('RFI Quality'!$F$7:$F$30,"Added scope")</f>
        <v>1</v>
      </c>
      <c r="D59" s="63"/>
      <c r="E59" s="64" t="n">
        <f aca="false">IF(COUNTIF('RFI Quality'!$F$7:$F$30,"&lt;&gt;")=0,"",COUNTIF('RFI Quality'!$F$7:$F$30,"Added scope")/COUNTIF('RFI Quality'!$F$7:$F$30,"&lt;&gt;"))</f>
        <v>0.0555555555555556</v>
      </c>
      <c r="F59" s="63" t="n">
        <f aca="false">COUNTIFS('RFI Quality'!$F$7:$F$30,"Added scope",'RFI Quality'!$G$7:$G$30,"Yes - it was in the documents")</f>
        <v>0</v>
      </c>
      <c r="G59" s="63" t="n">
        <f aca="false">SUMPRODUCT(('RFI Quality'!$F$7:$F$30="Added scope")*(COUNTIFS('Scope &amp; Cost Impact'!$B$7:$B$28,'RFI Quality'!$B$7:$B$30,'Scope &amp; Cost Impact'!$E$7:$E$28,"Yes - the work changed")))</f>
        <v>1</v>
      </c>
      <c r="H59" s="67" t="n">
        <f aca="false">SUMIFS('RFI Quality'!$J$7:$J$30,'RFI Quality'!$F$7:$F$30,"Added scope")</f>
        <v>2</v>
      </c>
      <c r="I59" s="68" t="n">
        <f aca="false">SUMIFS('RFI Quality'!$K$7:$K$30,'RFI Quality'!$F$7:$F$30,"Added scope")</f>
        <v>360</v>
      </c>
    </row>
    <row r="60" customFormat="false" ht="19.5" hidden="false" customHeight="true" outlineLevel="0" collapsed="false">
      <c r="B60" s="66" t="s">
        <v>206</v>
      </c>
      <c r="C60" s="63" t="n">
        <f aca="false">COUNTIF('RFI Quality'!$F$7:$F$30,"Deleted scope")</f>
        <v>0</v>
      </c>
      <c r="D60" s="63"/>
      <c r="E60" s="64" t="n">
        <f aca="false">IF(COUNTIF('RFI Quality'!$F$7:$F$30,"&lt;&gt;")=0,"",COUNTIF('RFI Quality'!$F$7:$F$30,"Deleted scope")/COUNTIF('RFI Quality'!$F$7:$F$30,"&lt;&gt;"))</f>
        <v>0</v>
      </c>
      <c r="F60" s="63" t="n">
        <f aca="false">COUNTIFS('RFI Quality'!$F$7:$F$30,"Deleted scope",'RFI Quality'!$G$7:$G$30,"Yes - it was in the documents")</f>
        <v>0</v>
      </c>
      <c r="G60" s="63" t="n">
        <f aca="false">SUMPRODUCT(('RFI Quality'!$F$7:$F$30="Deleted scope")*(COUNTIFS('Scope &amp; Cost Impact'!$B$7:$B$28,'RFI Quality'!$B$7:$B$30,'Scope &amp; Cost Impact'!$E$7:$E$28,"Yes - the work changed")))</f>
        <v>0</v>
      </c>
      <c r="H60" s="67" t="n">
        <f aca="false">SUMIFS('RFI Quality'!$J$7:$J$30,'RFI Quality'!$F$7:$F$30,"Deleted scope")</f>
        <v>0</v>
      </c>
      <c r="I60" s="68" t="n">
        <f aca="false">SUMIFS('RFI Quality'!$K$7:$K$30,'RFI Quality'!$F$7:$F$30,"Deleted scope")</f>
        <v>0</v>
      </c>
    </row>
    <row r="61" customFormat="false" ht="19.5" hidden="false" customHeight="true" outlineLevel="0" collapsed="false">
      <c r="B61" s="66" t="s">
        <v>207</v>
      </c>
      <c r="C61" s="63" t="n">
        <f aca="false">COUNTIF('RFI Quality'!$F$7:$F$30,"Differing site condition")</f>
        <v>1</v>
      </c>
      <c r="D61" s="63"/>
      <c r="E61" s="64" t="n">
        <f aca="false">IF(COUNTIF('RFI Quality'!$F$7:$F$30,"&lt;&gt;")=0,"",COUNTIF('RFI Quality'!$F$7:$F$30,"Differing site condition")/COUNTIF('RFI Quality'!$F$7:$F$30,"&lt;&gt;"))</f>
        <v>0.0555555555555556</v>
      </c>
      <c r="F61" s="63" t="n">
        <f aca="false">COUNTIFS('RFI Quality'!$F$7:$F$30,"Differing site condition",'RFI Quality'!$G$7:$G$30,"Yes - it was in the documents")</f>
        <v>0</v>
      </c>
      <c r="G61" s="63" t="n">
        <f aca="false">SUMPRODUCT(('RFI Quality'!$F$7:$F$30="Differing site condition")*(COUNTIFS('Scope &amp; Cost Impact'!$B$7:$B$28,'RFI Quality'!$B$7:$B$30,'Scope &amp; Cost Impact'!$E$7:$E$28,"Yes - the work changed")))</f>
        <v>1</v>
      </c>
      <c r="H61" s="67" t="n">
        <f aca="false">SUMIFS('RFI Quality'!$J$7:$J$30,'RFI Quality'!$F$7:$F$30,"Differing site condition")</f>
        <v>9</v>
      </c>
      <c r="I61" s="68" t="n">
        <f aca="false">SUMIFS('RFI Quality'!$K$7:$K$30,'RFI Quality'!$F$7:$F$30,"Differing site condition")</f>
        <v>1620</v>
      </c>
    </row>
    <row r="62" customFormat="false" ht="19.5" hidden="false" customHeight="true" outlineLevel="0" collapsed="false">
      <c r="B62" s="66" t="s">
        <v>208</v>
      </c>
      <c r="C62" s="63" t="n">
        <f aca="false">COUNTIF('RFI Quality'!$F$7:$F$30,"Utility conflict")</f>
        <v>1</v>
      </c>
      <c r="D62" s="63"/>
      <c r="E62" s="64" t="n">
        <f aca="false">IF(COUNTIF('RFI Quality'!$F$7:$F$30,"&lt;&gt;")=0,"",COUNTIF('RFI Quality'!$F$7:$F$30,"Utility conflict")/COUNTIF('RFI Quality'!$F$7:$F$30,"&lt;&gt;"))</f>
        <v>0.0555555555555556</v>
      </c>
      <c r="F62" s="63" t="n">
        <f aca="false">COUNTIFS('RFI Quality'!$F$7:$F$30,"Utility conflict",'RFI Quality'!$G$7:$G$30,"Yes - it was in the documents")</f>
        <v>0</v>
      </c>
      <c r="G62" s="63" t="n">
        <f aca="false">SUMPRODUCT(('RFI Quality'!$F$7:$F$30="Utility conflict")*(COUNTIFS('Scope &amp; Cost Impact'!$B$7:$B$28,'RFI Quality'!$B$7:$B$30,'Scope &amp; Cost Impact'!$E$7:$E$28,"Yes - the work changed")))</f>
        <v>1</v>
      </c>
      <c r="H62" s="67" t="n">
        <f aca="false">SUMIFS('RFI Quality'!$J$7:$J$30,'RFI Quality'!$F$7:$F$30,"Utility conflict")</f>
        <v>6</v>
      </c>
      <c r="I62" s="68" t="n">
        <f aca="false">SUMIFS('RFI Quality'!$K$7:$K$30,'RFI Quality'!$F$7:$F$30,"Utility conflict")</f>
        <v>1080</v>
      </c>
    </row>
    <row r="63" customFormat="false" ht="19.5" hidden="false" customHeight="true" outlineLevel="0" collapsed="false">
      <c r="B63" s="66" t="s">
        <v>209</v>
      </c>
      <c r="C63" s="63" t="n">
        <f aca="false">COUNTIF('RFI Quality'!$F$7:$F$30,"Change of staging or phasing")</f>
        <v>1</v>
      </c>
      <c r="D63" s="63"/>
      <c r="E63" s="64" t="n">
        <f aca="false">IF(COUNTIF('RFI Quality'!$F$7:$F$30,"&lt;&gt;")=0,"",COUNTIF('RFI Quality'!$F$7:$F$30,"Change of staging or phasing")/COUNTIF('RFI Quality'!$F$7:$F$30,"&lt;&gt;"))</f>
        <v>0.0555555555555556</v>
      </c>
      <c r="F63" s="63" t="n">
        <f aca="false">COUNTIFS('RFI Quality'!$F$7:$F$30,"Change of staging or phasing",'RFI Quality'!$G$7:$G$30,"Yes - it was in the documents")</f>
        <v>0</v>
      </c>
      <c r="G63" s="63" t="n">
        <f aca="false">SUMPRODUCT(('RFI Quality'!$F$7:$F$30="Change of staging or phasing")*(COUNTIFS('Scope &amp; Cost Impact'!$B$7:$B$28,'RFI Quality'!$B$7:$B$30,'Scope &amp; Cost Impact'!$E$7:$E$28,"Yes - the work changed")))</f>
        <v>0</v>
      </c>
      <c r="H63" s="67" t="n">
        <f aca="false">SUMIFS('RFI Quality'!$J$7:$J$30,'RFI Quality'!$F$7:$F$30,"Change of staging or phasing")</f>
        <v>0</v>
      </c>
      <c r="I63" s="68" t="n">
        <f aca="false">SUMIFS('RFI Quality'!$K$7:$K$30,'RFI Quality'!$F$7:$F$30,"Change of staging or phasing")</f>
        <v>0</v>
      </c>
    </row>
    <row r="64" customFormat="false" ht="19.5" hidden="false" customHeight="true" outlineLevel="0" collapsed="false">
      <c r="B64" s="66" t="s">
        <v>210</v>
      </c>
      <c r="C64" s="63" t="n">
        <f aca="false">COUNTIF('RFI Quality'!$F$7:$F$30,"Value engineering")</f>
        <v>1</v>
      </c>
      <c r="D64" s="63"/>
      <c r="E64" s="64" t="n">
        <f aca="false">IF(COUNTIF('RFI Quality'!$F$7:$F$30,"&lt;&gt;")=0,"",COUNTIF('RFI Quality'!$F$7:$F$30,"Value engineering")/COUNTIF('RFI Quality'!$F$7:$F$30,"&lt;&gt;"))</f>
        <v>0.0555555555555556</v>
      </c>
      <c r="F64" s="63" t="n">
        <f aca="false">COUNTIFS('RFI Quality'!$F$7:$F$30,"Value engineering",'RFI Quality'!$G$7:$G$30,"Yes - it was in the documents")</f>
        <v>0</v>
      </c>
      <c r="G64" s="63" t="n">
        <f aca="false">SUMPRODUCT(('RFI Quality'!$F$7:$F$30="Value engineering")*(COUNTIFS('Scope &amp; Cost Impact'!$B$7:$B$28,'RFI Quality'!$B$7:$B$30,'Scope &amp; Cost Impact'!$E$7:$E$28,"Yes - the work changed")))</f>
        <v>1</v>
      </c>
      <c r="H64" s="67" t="n">
        <f aca="false">SUMIFS('RFI Quality'!$J$7:$J$30,'RFI Quality'!$F$7:$F$30,"Value engineering")</f>
        <v>2</v>
      </c>
      <c r="I64" s="68" t="n">
        <f aca="false">SUMIFS('RFI Quality'!$K$7:$K$30,'RFI Quality'!$F$7:$F$30,"Value engineering")</f>
        <v>360</v>
      </c>
    </row>
    <row r="65" customFormat="false" ht="19.5" hidden="false" customHeight="true" outlineLevel="0" collapsed="false">
      <c r="B65" s="66" t="s">
        <v>211</v>
      </c>
      <c r="C65" s="63" t="n">
        <f aca="false">COUNTIF('RFI Quality'!$F$7:$F$30,"Other")</f>
        <v>0</v>
      </c>
      <c r="D65" s="63"/>
      <c r="E65" s="64" t="n">
        <f aca="false">IF(COUNTIF('RFI Quality'!$F$7:$F$30,"&lt;&gt;")=0,"",COUNTIF('RFI Quality'!$F$7:$F$30,"Other")/COUNTIF('RFI Quality'!$F$7:$F$30,"&lt;&gt;"))</f>
        <v>0</v>
      </c>
      <c r="F65" s="63" t="n">
        <f aca="false">COUNTIFS('RFI Quality'!$F$7:$F$30,"Other",'RFI Quality'!$G$7:$G$30,"Yes - it was in the documents")</f>
        <v>0</v>
      </c>
      <c r="G65" s="63" t="n">
        <f aca="false">SUMPRODUCT(('RFI Quality'!$F$7:$F$30="Other")*(COUNTIFS('Scope &amp; Cost Impact'!$B$7:$B$28,'RFI Quality'!$B$7:$B$30,'Scope &amp; Cost Impact'!$E$7:$E$28,"Yes - the work changed")))</f>
        <v>0</v>
      </c>
      <c r="H65" s="67" t="n">
        <f aca="false">SUMIFS('RFI Quality'!$J$7:$J$30,'RFI Quality'!$F$7:$F$30,"Other")</f>
        <v>0</v>
      </c>
      <c r="I65" s="68" t="n">
        <f aca="false">SUMIFS('RFI Quality'!$K$7:$K$30,'RFI Quality'!$F$7:$F$30,"Other")</f>
        <v>0</v>
      </c>
    </row>
    <row r="67" customFormat="false" ht="21.75" hidden="false" customHeight="true" outlineLevel="0" collapsed="false">
      <c r="B67" s="6" t="s">
        <v>212</v>
      </c>
      <c r="C67" s="6"/>
      <c r="D67" s="6"/>
      <c r="E67" s="6"/>
      <c r="F67" s="6"/>
      <c r="G67" s="6"/>
      <c r="H67" s="6"/>
      <c r="I67" s="6"/>
    </row>
    <row r="68" customFormat="false" ht="21.75" hidden="false" customHeight="true" outlineLevel="0" collapsed="false">
      <c r="B68" s="10" t="s">
        <v>213</v>
      </c>
      <c r="C68" s="10" t="s">
        <v>155</v>
      </c>
      <c r="D68" s="10"/>
      <c r="E68" s="10" t="s">
        <v>214</v>
      </c>
      <c r="F68" s="10"/>
      <c r="G68" s="10" t="s">
        <v>215</v>
      </c>
      <c r="H68" s="10"/>
      <c r="I68" s="10"/>
    </row>
    <row r="69" customFormat="false" ht="19.5" hidden="false" customHeight="true" outlineLevel="0" collapsed="false">
      <c r="B69" s="66" t="s">
        <v>216</v>
      </c>
      <c r="C69" s="63" t="n">
        <f aca="false">COUNTIF('RFI Quality'!$I$7:$I$30,"Not chargeable")</f>
        <v>0</v>
      </c>
      <c r="D69" s="63"/>
      <c r="E69" s="67" t="n">
        <f aca="false">SUMIFS('RFI Quality'!$J$7:$J$30,'RFI Quality'!$I$7:$I$30,"Not chargeable")</f>
        <v>0</v>
      </c>
      <c r="F69" s="67"/>
      <c r="G69" s="68" t="n">
        <f aca="false">SUMIFS('RFI Quality'!$K$7:$K$30,'RFI Quality'!$I$7:$I$30,"Not chargeable")</f>
        <v>0</v>
      </c>
      <c r="H69" s="68"/>
      <c r="I69" s="68"/>
    </row>
    <row r="70" customFormat="false" ht="19.5" hidden="false" customHeight="true" outlineLevel="0" collapsed="false">
      <c r="B70" s="66" t="s">
        <v>217</v>
      </c>
      <c r="C70" s="63" t="n">
        <f aca="false">COUNTIF('RFI Quality'!$I$7:$I$30,"Inside the consultant fee")</f>
        <v>9</v>
      </c>
      <c r="D70" s="63"/>
      <c r="E70" s="67" t="n">
        <f aca="false">SUMIFS('RFI Quality'!$J$7:$J$30,'RFI Quality'!$I$7:$I$30,"Inside the consultant fee")</f>
        <v>41</v>
      </c>
      <c r="F70" s="67"/>
      <c r="G70" s="68" t="n">
        <f aca="false">SUMIFS('RFI Quality'!$K$7:$K$30,'RFI Quality'!$I$7:$I$30,"Inside the consultant fee")</f>
        <v>7380</v>
      </c>
      <c r="H70" s="68"/>
      <c r="I70" s="68"/>
    </row>
    <row r="71" customFormat="false" ht="19.5" hidden="false" customHeight="true" outlineLevel="0" collapsed="false">
      <c r="B71" s="66" t="s">
        <v>218</v>
      </c>
      <c r="C71" s="63" t="n">
        <f aca="false">COUNTIF('RFI Quality'!$I$7:$I$30,"Chargeable to the contractor")</f>
        <v>4</v>
      </c>
      <c r="D71" s="63"/>
      <c r="E71" s="67" t="n">
        <f aca="false">SUMIFS('RFI Quality'!$J$7:$J$30,'RFI Quality'!$I$7:$I$30,"Chargeable to the contractor")</f>
        <v>4.5</v>
      </c>
      <c r="F71" s="67"/>
      <c r="G71" s="68" t="n">
        <f aca="false">SUMIFS('RFI Quality'!$K$7:$K$30,'RFI Quality'!$I$7:$I$30,"Chargeable to the contractor")</f>
        <v>810</v>
      </c>
      <c r="H71" s="68"/>
      <c r="I71" s="68"/>
    </row>
    <row r="72" customFormat="false" ht="19.5" hidden="false" customHeight="true" outlineLevel="0" collapsed="false">
      <c r="B72" s="66" t="s">
        <v>219</v>
      </c>
      <c r="C72" s="63" t="n">
        <f aca="false">COUNTIF('RFI Quality'!$I$7:$I$30,"Chargeable to the owner")</f>
        <v>3</v>
      </c>
      <c r="D72" s="63"/>
      <c r="E72" s="67" t="n">
        <f aca="false">SUMIFS('RFI Quality'!$J$7:$J$30,'RFI Quality'!$I$7:$I$30,"Chargeable to the owner")</f>
        <v>16</v>
      </c>
      <c r="F72" s="67"/>
      <c r="G72" s="68" t="n">
        <f aca="false">SUMIFS('RFI Quality'!$K$7:$K$30,'RFI Quality'!$I$7:$I$30,"Chargeable to the owner")</f>
        <v>2880</v>
      </c>
      <c r="H72" s="68"/>
      <c r="I72" s="68"/>
    </row>
    <row r="73" customFormat="false" ht="19.5" hidden="false" customHeight="true" outlineLevel="0" collapsed="false">
      <c r="B73" s="66" t="s">
        <v>220</v>
      </c>
      <c r="C73" s="63" t="n">
        <f aca="false">COUNTIF('RFI Quality'!$I$7:$I$30,"Not assessed")</f>
        <v>2</v>
      </c>
      <c r="D73" s="63"/>
      <c r="E73" s="67" t="n">
        <f aca="false">SUMIFS('RFI Quality'!$J$7:$J$30,'RFI Quality'!$I$7:$I$30,"Not assessed")</f>
        <v>0</v>
      </c>
      <c r="F73" s="67"/>
      <c r="G73" s="68" t="n">
        <f aca="false">SUMIFS('RFI Quality'!$K$7:$K$30,'RFI Quality'!$I$7:$I$30,"Not assessed")</f>
        <v>0</v>
      </c>
      <c r="H73" s="68"/>
      <c r="I73" s="68"/>
    </row>
    <row r="75" customFormat="false" ht="18" hidden="false" customHeight="true" outlineLevel="0" collapsed="false">
      <c r="B75" s="48" t="s">
        <v>127</v>
      </c>
      <c r="C75" s="48"/>
      <c r="D75" s="48"/>
      <c r="E75" s="48"/>
      <c r="F75" s="48"/>
      <c r="G75" s="48"/>
      <c r="H75" s="48"/>
      <c r="I75" s="48"/>
    </row>
  </sheetData>
  <mergeCells count="119">
    <mergeCell ref="B1:I1"/>
    <mergeCell ref="B2:I2"/>
    <mergeCell ref="B3:I3"/>
    <mergeCell ref="B4:I4"/>
    <mergeCell ref="B6:I6"/>
    <mergeCell ref="B7:C7"/>
    <mergeCell ref="D7:E7"/>
    <mergeCell ref="F7:G7"/>
    <mergeCell ref="H7:I7"/>
    <mergeCell ref="B8:C8"/>
    <mergeCell ref="D8:E8"/>
    <mergeCell ref="F8:G8"/>
    <mergeCell ref="H8:I8"/>
    <mergeCell ref="B10:C10"/>
    <mergeCell ref="D10:E10"/>
    <mergeCell ref="F10:G10"/>
    <mergeCell ref="H10:I10"/>
    <mergeCell ref="B11:C11"/>
    <mergeCell ref="D11:E11"/>
    <mergeCell ref="F11:G11"/>
    <mergeCell ref="H11:I11"/>
    <mergeCell ref="B13:C13"/>
    <mergeCell ref="D13:E13"/>
    <mergeCell ref="F13:G13"/>
    <mergeCell ref="H13:I13"/>
    <mergeCell ref="B14:C14"/>
    <mergeCell ref="D14:E14"/>
    <mergeCell ref="F14:G14"/>
    <mergeCell ref="H14:I14"/>
    <mergeCell ref="C16:D16"/>
    <mergeCell ref="E16:I16"/>
    <mergeCell ref="C17:D17"/>
    <mergeCell ref="E17:I17"/>
    <mergeCell ref="C18:D18"/>
    <mergeCell ref="E18:I18"/>
    <mergeCell ref="C19:D19"/>
    <mergeCell ref="E19:I19"/>
    <mergeCell ref="C20:D20"/>
    <mergeCell ref="E20:I20"/>
    <mergeCell ref="B22:I22"/>
    <mergeCell ref="C23:D23"/>
    <mergeCell ref="E23:F23"/>
    <mergeCell ref="G23:I23"/>
    <mergeCell ref="C24:D24"/>
    <mergeCell ref="E24:F24"/>
    <mergeCell ref="G24:I24"/>
    <mergeCell ref="C25:D25"/>
    <mergeCell ref="E25:F25"/>
    <mergeCell ref="G25:I25"/>
    <mergeCell ref="C26:D26"/>
    <mergeCell ref="E26:F26"/>
    <mergeCell ref="G26:I26"/>
    <mergeCell ref="C27:D27"/>
    <mergeCell ref="E27:F27"/>
    <mergeCell ref="G27:I27"/>
    <mergeCell ref="C28:D28"/>
    <mergeCell ref="E28:F28"/>
    <mergeCell ref="G28:I28"/>
    <mergeCell ref="C29:D29"/>
    <mergeCell ref="E29:F29"/>
    <mergeCell ref="G29:I29"/>
    <mergeCell ref="C30:D30"/>
    <mergeCell ref="E30:F30"/>
    <mergeCell ref="G30:I30"/>
    <mergeCell ref="C31:D31"/>
    <mergeCell ref="E31:F31"/>
    <mergeCell ref="G31:I31"/>
    <mergeCell ref="B33:I33"/>
    <mergeCell ref="C34:D34"/>
    <mergeCell ref="C35:D35"/>
    <mergeCell ref="C36:D36"/>
    <mergeCell ref="C37:D37"/>
    <mergeCell ref="C38:D38"/>
    <mergeCell ref="C39:D39"/>
    <mergeCell ref="C40:D40"/>
    <mergeCell ref="C41:D41"/>
    <mergeCell ref="C42:D42"/>
    <mergeCell ref="C43:D43"/>
    <mergeCell ref="C44:D44"/>
    <mergeCell ref="C45:D45"/>
    <mergeCell ref="C46:D46"/>
    <mergeCell ref="B48:I48"/>
    <mergeCell ref="B49:I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B67:I67"/>
    <mergeCell ref="C68:D68"/>
    <mergeCell ref="E68:F68"/>
    <mergeCell ref="G68:I68"/>
    <mergeCell ref="C69:D69"/>
    <mergeCell ref="E69:F69"/>
    <mergeCell ref="G69:I69"/>
    <mergeCell ref="C70:D70"/>
    <mergeCell ref="E70:F70"/>
    <mergeCell ref="G70:I70"/>
    <mergeCell ref="C71:D71"/>
    <mergeCell ref="E71:F71"/>
    <mergeCell ref="G71:I71"/>
    <mergeCell ref="C72:D72"/>
    <mergeCell ref="E72:F72"/>
    <mergeCell ref="G72:I72"/>
    <mergeCell ref="C73:D73"/>
    <mergeCell ref="E73:F73"/>
    <mergeCell ref="G73:I73"/>
    <mergeCell ref="B75:I75"/>
  </mergeCells>
  <conditionalFormatting sqref="B3:I3">
    <cfRule type="expression" priority="2" aboveAverage="0" equalAverage="0" bottom="0" percent="0" rank="0" text="" dxfId="0">
      <formula>LEN($B$3)&gt;0</formula>
    </cfRule>
  </conditionalFormatting>
  <conditionalFormatting sqref="C24:D31">
    <cfRule type="dataBar" priority="3">
      <dataBar showValue="1" minLength="10" maxLength="90">
        <cfvo type="num" val="0"/>
        <cfvo type="max" val="0"/>
        <color rgb="FF64B6F7"/>
      </dataBar>
      <extLst>
        <ext xmlns:x14="http://schemas.microsoft.com/office/spreadsheetml/2009/9/main" uri="{B025F937-C7B1-47D3-B67F-A62EFF666E3E}">
          <x14:id>{EA726692-5F7D-459F-A088-A5FD88DC5375}</x14:id>
        </ext>
      </extLst>
    </cfRule>
  </conditionalFormatting>
  <conditionalFormatting sqref="C35:D46">
    <cfRule type="dataBar" priority="4">
      <dataBar showValue="1" minLength="10" maxLength="90">
        <cfvo type="num" val="0"/>
        <cfvo type="max" val="0"/>
        <color rgb="FF64B6F7"/>
      </dataBar>
      <extLst>
        <ext xmlns:x14="http://schemas.microsoft.com/office/spreadsheetml/2009/9/main" uri="{B025F937-C7B1-47D3-B67F-A62EFF666E3E}">
          <x14:id>{79665A26-FE59-4E7B-A587-C92DC540A293}</x14:id>
        </ext>
      </extLst>
    </cfRule>
  </conditionalFormatting>
  <conditionalFormatting sqref="F35:F46">
    <cfRule type="expression" priority="5" aboveAverage="0" equalAverage="0" bottom="0" percent="0" rank="0" text="" dxfId="1">
      <formula>$F35&gt;0</formula>
    </cfRule>
  </conditionalFormatting>
  <conditionalFormatting sqref="G35:G46">
    <cfRule type="expression" priority="6" aboveAverage="0" equalAverage="0" bottom="0" percent="0" rank="0" text="" dxfId="0">
      <formula>$G35&gt;0</formula>
    </cfRule>
  </conditionalFormatting>
  <conditionalFormatting sqref="C51:D65">
    <cfRule type="dataBar" priority="7">
      <dataBar showValue="1" minLength="10" maxLength="90">
        <cfvo type="num" val="0"/>
        <cfvo type="max" val="0"/>
        <color rgb="FF64B6F7"/>
      </dataBar>
      <extLst>
        <ext xmlns:x14="http://schemas.microsoft.com/office/spreadsheetml/2009/9/main" uri="{B025F937-C7B1-47D3-B67F-A62EFF666E3E}">
          <x14:id>{69A02F48-9C2E-43E3-8EBB-1E345B1AC422}</x14:id>
        </ext>
      </extLst>
    </cfRule>
  </conditionalFormatting>
  <conditionalFormatting sqref="F51:F65">
    <cfRule type="expression" priority="8" aboveAverage="0" equalAverage="0" bottom="0" percent="0" rank="0" text="" dxfId="0">
      <formula>$F51&gt;0</formula>
    </cfRule>
  </conditionalFormatting>
  <conditionalFormatting sqref="C69:D73">
    <cfRule type="dataBar" priority="9">
      <dataBar showValue="1" minLength="10" maxLength="90">
        <cfvo type="num" val="0"/>
        <cfvo type="max" val="0"/>
        <color rgb="FF64B6F7"/>
      </dataBar>
      <extLst>
        <ext xmlns:x14="http://schemas.microsoft.com/office/spreadsheetml/2009/9/main" uri="{B025F937-C7B1-47D3-B67F-A62EFF666E3E}">
          <x14:id>{8088B5EE-3A87-4A17-8E10-6735A8A466AF}</x14:id>
        </ext>
      </extLst>
    </cfRule>
  </conditionalFormatting>
  <hyperlinks>
    <hyperlink ref="B75"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2" manualBreakCount="2">
    <brk id="21" man="true" max="16383" min="0"/>
    <brk id="47" man="true" max="16383" min="0"/>
  </rowBreaks>
  <drawing r:id="rId2"/>
  <extLst>
    <ext xmlns:x14="http://schemas.microsoft.com/office/spreadsheetml/2009/9/main" uri="{78C0D931-6437-407d-A8EE-F0AAD7539E65}">
      <x14:conditionalFormattings>
        <x14:conditionalFormatting xmlns:xm="http://schemas.microsoft.com/office/excel/2006/main">
          <x14:cfRule type="dataBar" id="{EA726692-5F7D-459F-A088-A5FD88DC5375}">
            <x14:dataBar minLength="10" maxLength="90" axisPosition="none" gradient="true">
              <x14:cfvo type="num">
                <xm:f>0</xm:f>
              </x14:cfvo>
              <x14:cfvo type="max"/>
              <x14:negativeFillColor rgb="FF64B6F7"/>
              <x14:axisColor rgb="FF000000"/>
            </x14:dataBar>
          </x14:cfRule>
          <xm:sqref>C24:D31</xm:sqref>
        </x14:conditionalFormatting>
        <x14:conditionalFormatting xmlns:xm="http://schemas.microsoft.com/office/excel/2006/main">
          <x14:cfRule type="dataBar" id="{79665A26-FE59-4E7B-A587-C92DC540A293}">
            <x14:dataBar minLength="10" maxLength="90" axisPosition="none" gradient="true">
              <x14:cfvo type="num">
                <xm:f>0</xm:f>
              </x14:cfvo>
              <x14:cfvo type="max"/>
              <x14:negativeFillColor rgb="FF64B6F7"/>
              <x14:axisColor rgb="FF000000"/>
            </x14:dataBar>
          </x14:cfRule>
          <xm:sqref>C35:D46</xm:sqref>
        </x14:conditionalFormatting>
        <x14:conditionalFormatting xmlns:xm="http://schemas.microsoft.com/office/excel/2006/main">
          <x14:cfRule type="dataBar" id="{69A02F48-9C2E-43E3-8EBB-1E345B1AC422}">
            <x14:dataBar minLength="10" maxLength="90" axisPosition="none" gradient="true">
              <x14:cfvo type="num">
                <xm:f>0</xm:f>
              </x14:cfvo>
              <x14:cfvo type="max"/>
              <x14:negativeFillColor rgb="FF64B6F7"/>
              <x14:axisColor rgb="FF000000"/>
            </x14:dataBar>
          </x14:cfRule>
          <xm:sqref>C51:D65</xm:sqref>
        </x14:conditionalFormatting>
        <x14:conditionalFormatting xmlns:xm="http://schemas.microsoft.com/office/excel/2006/main">
          <x14:cfRule type="dataBar" id="{8088B5EE-3A87-4A17-8E10-6735A8A466AF}">
            <x14:dataBar minLength="10" maxLength="90" axisPosition="none" gradient="true">
              <x14:cfvo type="num">
                <xm:f>0</xm:f>
              </x14:cfvo>
              <x14:cfvo type="max"/>
              <x14:negativeFillColor rgb="FF64B6F7"/>
              <x14:axisColor rgb="FF000000"/>
            </x14:dataBar>
          </x14:cfRule>
          <xm:sqref>C69:D73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79D0"/>
    <pageSetUpPr fitToPage="true"/>
  </sheetPr>
  <dimension ref="B1:O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8"/>
    <col collapsed="false" customWidth="true" hidden="false" outlineLevel="0" max="3" min="3" style="0" width="36"/>
    <col collapsed="false" customWidth="true" hidden="false" outlineLevel="0" max="4" min="4" style="0" width="17"/>
    <col collapsed="false" customWidth="true" hidden="false" outlineLevel="0" max="5" min="5" style="0" width="15"/>
    <col collapsed="false" customWidth="true" hidden="false" outlineLevel="0" max="6" min="6" style="0" width="14"/>
    <col collapsed="false" customWidth="true" hidden="false" outlineLevel="0" max="7" min="7" style="0" width="11"/>
    <col collapsed="false" customWidth="true" hidden="false" outlineLevel="0" max="9" min="8" style="0" width="12"/>
    <col collapsed="false" customWidth="true" hidden="false" outlineLevel="0" max="10" min="10" style="0" width="11"/>
    <col collapsed="false" customWidth="true" hidden="false" outlineLevel="0" max="11" min="11" style="0" width="9"/>
    <col collapsed="false" customWidth="true" hidden="false" outlineLevel="0" max="12" min="12" style="0" width="14"/>
    <col collapsed="false" customWidth="true" hidden="false" outlineLevel="0" max="13" min="13" style="0" width="7"/>
    <col collapsed="false" customWidth="true" hidden="false" outlineLevel="0" max="14" min="14" style="0" width="17"/>
    <col collapsed="false" customWidth="true" hidden="false" outlineLevel="0" max="15" min="15" style="0" width="27"/>
    <col collapsed="false" customWidth="true" hidden="false" outlineLevel="0" max="16" min="16" style="0" width="2.2"/>
  </cols>
  <sheetData>
    <row r="1" customFormat="false" ht="33.75" hidden="false" customHeight="true" outlineLevel="0" collapsed="false">
      <c r="B1" s="37" t="s">
        <v>221</v>
      </c>
      <c r="C1" s="37"/>
      <c r="D1" s="37"/>
      <c r="E1" s="37"/>
      <c r="F1" s="37"/>
      <c r="G1" s="37"/>
      <c r="H1" s="37"/>
      <c r="I1" s="37"/>
      <c r="J1" s="37"/>
      <c r="K1" s="37"/>
      <c r="L1" s="37"/>
      <c r="M1" s="37"/>
      <c r="N1" s="37"/>
      <c r="O1" s="37"/>
    </row>
    <row r="2" customFormat="false" ht="4.5" hidden="false" customHeight="true" outlineLevel="0" collapsed="false">
      <c r="B2" s="69"/>
      <c r="C2" s="69"/>
      <c r="D2" s="69"/>
      <c r="E2" s="69"/>
      <c r="F2" s="69"/>
      <c r="G2" s="69"/>
      <c r="H2" s="69"/>
      <c r="I2" s="69"/>
      <c r="J2" s="69"/>
      <c r="K2" s="69"/>
      <c r="L2" s="69"/>
      <c r="M2" s="69"/>
      <c r="N2" s="69"/>
      <c r="O2" s="69"/>
    </row>
    <row r="3" customFormat="false" ht="16.5" hidden="false" customHeight="true" outlineLevel="0" collapsed="false">
      <c r="B3" s="39" t="str">
        <f aca="false">IF(LEFT(Setup!$D$7,7)&lt;&gt;"EXAMPLE","","EXAMPLE DATA - type your own project name on Setup to clear this.")</f>
        <v>EXAMPLE DATA - type your own project name on Setup to clear this.</v>
      </c>
      <c r="C3" s="39"/>
      <c r="D3" s="39"/>
      <c r="E3" s="39"/>
      <c r="F3" s="39"/>
      <c r="G3" s="39"/>
      <c r="H3" s="39"/>
      <c r="I3" s="39"/>
      <c r="J3" s="39"/>
      <c r="K3" s="39"/>
      <c r="L3" s="39"/>
      <c r="M3" s="39"/>
      <c r="N3" s="39"/>
      <c r="O3" s="39"/>
    </row>
    <row r="4" customFormat="false" ht="25.5" hidden="false" customHeight="true" outlineLevel="0" collapsed="false">
      <c r="B4" s="40" t="s">
        <v>222</v>
      </c>
      <c r="C4" s="40"/>
      <c r="D4" s="40"/>
      <c r="E4" s="40"/>
      <c r="F4" s="40"/>
      <c r="G4" s="40"/>
      <c r="H4" s="40"/>
      <c r="I4" s="40"/>
      <c r="J4" s="40"/>
      <c r="K4" s="40"/>
      <c r="L4" s="40"/>
      <c r="M4" s="40"/>
      <c r="N4" s="40"/>
      <c r="O4" s="40"/>
    </row>
    <row r="6" customFormat="false" ht="34.5" hidden="false" customHeight="true" outlineLevel="0" collapsed="false">
      <c r="B6" s="70" t="s">
        <v>223</v>
      </c>
      <c r="C6" s="10" t="s">
        <v>224</v>
      </c>
      <c r="D6" s="10" t="s">
        <v>175</v>
      </c>
      <c r="E6" s="10" t="s">
        <v>225</v>
      </c>
      <c r="F6" s="10" t="s">
        <v>226</v>
      </c>
      <c r="G6" s="10" t="s">
        <v>227</v>
      </c>
      <c r="H6" s="10" t="s">
        <v>228</v>
      </c>
      <c r="I6" s="70" t="s">
        <v>229</v>
      </c>
      <c r="J6" s="10" t="s">
        <v>230</v>
      </c>
      <c r="K6" s="70" t="s">
        <v>231</v>
      </c>
      <c r="L6" s="10" t="s">
        <v>232</v>
      </c>
      <c r="M6" s="10" t="s">
        <v>172</v>
      </c>
      <c r="N6" s="70" t="s">
        <v>154</v>
      </c>
      <c r="O6" s="10" t="s">
        <v>233</v>
      </c>
    </row>
    <row r="7" customFormat="false" ht="46.5" hidden="false" customHeight="true" outlineLevel="0" collapsed="false">
      <c r="B7" s="71" t="str">
        <f aca="false">IF($C7="","","R"&amp;TEXT(ROW()-6,"000"))</f>
        <v>R001</v>
      </c>
      <c r="C7" s="72" t="s">
        <v>234</v>
      </c>
      <c r="D7" s="72" t="s">
        <v>181</v>
      </c>
      <c r="E7" s="72" t="s">
        <v>235</v>
      </c>
      <c r="F7" s="72" t="s">
        <v>236</v>
      </c>
      <c r="G7" s="73" t="n">
        <f aca="true">TODAY()-68</f>
        <v>46183</v>
      </c>
      <c r="H7" s="73" t="n">
        <f aca="true">TODAY()-54</f>
        <v>46197</v>
      </c>
      <c r="I7" s="74" t="n">
        <f aca="false">IF(OR($C7="",$F7="",$G7=""),"",$G7+IF(LEFT($F7,2)="P1",Setup!$D$20,IF(LEFT($F7,2)="P2",Setup!$D$21,IF(LEFT($F7,2)="P3",Setup!$D$22,Setup!$D$23))))</f>
        <v>46188</v>
      </c>
      <c r="J7" s="73" t="n">
        <f aca="true">TODAY()-64</f>
        <v>46187</v>
      </c>
      <c r="K7" s="75" t="n">
        <f aca="false">IF(OR($C7="",$J7=""),"",$J7-$G7)</f>
        <v>4</v>
      </c>
      <c r="L7" s="72" t="s">
        <v>120</v>
      </c>
      <c r="M7" s="76"/>
      <c r="N7" s="77" t="str">
        <f aca="true">IF($C7="","",IF($M7="Yes","Void",IF($J7&lt;&gt;"",IF(AND($H7&lt;&gt;"",$J7&gt;$H7),"Answered - after it was needed",IF(AND($I7&lt;&gt;"",$J7&gt;$I7),"Answered - outside the period","Answered - in time")),IF(AND($H7&lt;&gt;"",TODAY()&gt;$H7),"OVERDUE - already needed",IF(AND($I7&lt;&gt;"",TODAY()&gt;$I7),"OVERDUE - outside the period",IF(AND($H7&lt;&gt;"",$H7-TODAY()&lt;=Setup!$D$24),"Due soon","Open"))))))</f>
        <v>Answered - in time</v>
      </c>
      <c r="O7" s="72" t="s">
        <v>237</v>
      </c>
    </row>
    <row r="8" customFormat="false" ht="46.5" hidden="false" customHeight="true" outlineLevel="0" collapsed="false">
      <c r="B8" s="71" t="str">
        <f aca="false">IF($C8="","","R"&amp;TEXT(ROW()-6,"000"))</f>
        <v>R002</v>
      </c>
      <c r="C8" s="78" t="s">
        <v>238</v>
      </c>
      <c r="D8" s="78" t="s">
        <v>180</v>
      </c>
      <c r="E8" s="78" t="s">
        <v>235</v>
      </c>
      <c r="F8" s="78" t="s">
        <v>239</v>
      </c>
      <c r="G8" s="79" t="n">
        <f aca="true">TODAY()-66</f>
        <v>46185</v>
      </c>
      <c r="H8" s="79" t="n">
        <f aca="true">TODAY()-45</f>
        <v>46206</v>
      </c>
      <c r="I8" s="74" t="n">
        <f aca="false">IF(OR($C8="",$F8="",$G8=""),"",$G8+IF(LEFT($F8,2)="P1",Setup!$D$20,IF(LEFT($F8,2)="P2",Setup!$D$21,IF(LEFT($F8,2)="P3",Setup!$D$22,Setup!$D$23))))</f>
        <v>46195</v>
      </c>
      <c r="J8" s="79" t="n">
        <f aca="true">TODAY()-57</f>
        <v>46194</v>
      </c>
      <c r="K8" s="75" t="n">
        <f aca="false">IF(OR($C8="",$J8=""),"",$J8-$G8)</f>
        <v>9</v>
      </c>
      <c r="L8" s="78" t="s">
        <v>240</v>
      </c>
      <c r="M8" s="80"/>
      <c r="N8" s="77" t="str">
        <f aca="true">IF($C8="","",IF($M8="Yes","Void",IF($J8&lt;&gt;"",IF(AND($H8&lt;&gt;"",$J8&gt;$H8),"Answered - after it was needed",IF(AND($I8&lt;&gt;"",$J8&gt;$I8),"Answered - outside the period","Answered - in time")),IF(AND($H8&lt;&gt;"",TODAY()&gt;$H8),"OVERDUE - already needed",IF(AND($I8&lt;&gt;"",TODAY()&gt;$I8),"OVERDUE - outside the period",IF(AND($H8&lt;&gt;"",$H8-TODAY()&lt;=Setup!$D$24),"Due soon","Open"))))))</f>
        <v>Answered - in time</v>
      </c>
      <c r="O8" s="78"/>
    </row>
    <row r="9" customFormat="false" ht="46.5" hidden="false" customHeight="true" outlineLevel="0" collapsed="false">
      <c r="B9" s="71" t="str">
        <f aca="false">IF($C9="","","R"&amp;TEXT(ROW()-6,"000"))</f>
        <v>R003</v>
      </c>
      <c r="C9" s="72" t="s">
        <v>241</v>
      </c>
      <c r="D9" s="72" t="s">
        <v>183</v>
      </c>
      <c r="E9" s="72" t="s">
        <v>242</v>
      </c>
      <c r="F9" s="72" t="s">
        <v>239</v>
      </c>
      <c r="G9" s="73" t="n">
        <f aca="true">TODAY()-62</f>
        <v>46189</v>
      </c>
      <c r="H9" s="73" t="n">
        <f aca="true">TODAY()-40</f>
        <v>46211</v>
      </c>
      <c r="I9" s="74" t="n">
        <f aca="false">IF(OR($C9="",$F9="",$G9=""),"",$G9+IF(LEFT($F9,2)="P1",Setup!$D$20,IF(LEFT($F9,2)="P2",Setup!$D$21,IF(LEFT($F9,2)="P3",Setup!$D$22,Setup!$D$23))))</f>
        <v>46199</v>
      </c>
      <c r="J9" s="73" t="n">
        <f aca="true">TODAY()-53</f>
        <v>46198</v>
      </c>
      <c r="K9" s="75" t="n">
        <f aca="false">IF(OR($C9="",$J9=""),"",$J9-$G9)</f>
        <v>9</v>
      </c>
      <c r="L9" s="72" t="s">
        <v>243</v>
      </c>
      <c r="M9" s="76"/>
      <c r="N9" s="77" t="str">
        <f aca="true">IF($C9="","",IF($M9="Yes","Void",IF($J9&lt;&gt;"",IF(AND($H9&lt;&gt;"",$J9&gt;$H9),"Answered - after it was needed",IF(AND($I9&lt;&gt;"",$J9&gt;$I9),"Answered - outside the period","Answered - in time")),IF(AND($H9&lt;&gt;"",TODAY()&gt;$H9),"OVERDUE - already needed",IF(AND($I9&lt;&gt;"",TODAY()&gt;$I9),"OVERDUE - outside the period",IF(AND($H9&lt;&gt;"",$H9-TODAY()&lt;=Setup!$D$24),"Due soon","Open"))))))</f>
        <v>Answered - in time</v>
      </c>
      <c r="O9" s="72" t="s">
        <v>244</v>
      </c>
    </row>
    <row r="10" customFormat="false" ht="46.5" hidden="false" customHeight="true" outlineLevel="0" collapsed="false">
      <c r="B10" s="71" t="str">
        <f aca="false">IF($C10="","","R"&amp;TEXT(ROW()-6,"000"))</f>
        <v>R004</v>
      </c>
      <c r="C10" s="78" t="s">
        <v>245</v>
      </c>
      <c r="D10" s="78" t="s">
        <v>181</v>
      </c>
      <c r="E10" s="78" t="s">
        <v>207</v>
      </c>
      <c r="F10" s="78" t="s">
        <v>246</v>
      </c>
      <c r="G10" s="79" t="n">
        <f aca="true">TODAY()-60</f>
        <v>46191</v>
      </c>
      <c r="H10" s="79" t="n">
        <f aca="true">TODAY()-53</f>
        <v>46198</v>
      </c>
      <c r="I10" s="74" t="n">
        <f aca="false">IF(OR($C10="",$F10="",$G10=""),"",$G10+IF(LEFT($F10,2)="P1",Setup!$D$20,IF(LEFT($F10,2)="P2",Setup!$D$21,IF(LEFT($F10,2)="P3",Setup!$D$22,Setup!$D$23))))</f>
        <v>46193</v>
      </c>
      <c r="J10" s="79" t="n">
        <f aca="true">TODAY()-51</f>
        <v>46200</v>
      </c>
      <c r="K10" s="75" t="n">
        <f aca="false">IF(OR($C10="",$J10=""),"",$J10-$G10)</f>
        <v>9</v>
      </c>
      <c r="L10" s="78" t="s">
        <v>120</v>
      </c>
      <c r="M10" s="80"/>
      <c r="N10" s="77" t="str">
        <f aca="true">IF($C10="","",IF($M10="Yes","Void",IF($J10&lt;&gt;"",IF(AND($H10&lt;&gt;"",$J10&gt;$H10),"Answered - after it was needed",IF(AND($I10&lt;&gt;"",$J10&gt;$I10),"Answered - outside the period","Answered - in time")),IF(AND($H10&lt;&gt;"",TODAY()&gt;$H10),"OVERDUE - already needed",IF(AND($I10&lt;&gt;"",TODAY()&gt;$I10),"OVERDUE - outside the period",IF(AND($H10&lt;&gt;"",$H10-TODAY()&lt;=Setup!$D$24),"Due soon","Open"))))))</f>
        <v>Answered - after it was needed</v>
      </c>
      <c r="O10" s="78" t="s">
        <v>247</v>
      </c>
    </row>
    <row r="11" customFormat="false" ht="46.5" hidden="false" customHeight="true" outlineLevel="0" collapsed="false">
      <c r="B11" s="71" t="str">
        <f aca="false">IF($C11="","","R"&amp;TEXT(ROW()-6,"000"))</f>
        <v>R005</v>
      </c>
      <c r="C11" s="72" t="s">
        <v>248</v>
      </c>
      <c r="D11" s="72" t="s">
        <v>186</v>
      </c>
      <c r="E11" s="72" t="s">
        <v>249</v>
      </c>
      <c r="F11" s="72" t="s">
        <v>236</v>
      </c>
      <c r="G11" s="73" t="n">
        <f aca="true">TODAY()-55</f>
        <v>46196</v>
      </c>
      <c r="H11" s="73" t="n">
        <f aca="true">TODAY()-41</f>
        <v>46210</v>
      </c>
      <c r="I11" s="74" t="n">
        <f aca="false">IF(OR($C11="",$F11="",$G11=""),"",$G11+IF(LEFT($F11,2)="P1",Setup!$D$20,IF(LEFT($F11,2)="P2",Setup!$D$21,IF(LEFT($F11,2)="P3",Setup!$D$22,Setup!$D$23))))</f>
        <v>46201</v>
      </c>
      <c r="J11" s="73" t="n">
        <f aca="true">TODAY()-51</f>
        <v>46200</v>
      </c>
      <c r="K11" s="75" t="n">
        <f aca="false">IF(OR($C11="",$J11=""),"",$J11-$G11)</f>
        <v>4</v>
      </c>
      <c r="L11" s="72" t="s">
        <v>243</v>
      </c>
      <c r="M11" s="76"/>
      <c r="N11" s="77" t="str">
        <f aca="true">IF($C11="","",IF($M11="Yes","Void",IF($J11&lt;&gt;"",IF(AND($H11&lt;&gt;"",$J11&gt;$H11),"Answered - after it was needed",IF(AND($I11&lt;&gt;"",$J11&gt;$I11),"Answered - outside the period","Answered - in time")),IF(AND($H11&lt;&gt;"",TODAY()&gt;$H11),"OVERDUE - already needed",IF(AND($I11&lt;&gt;"",TODAY()&gt;$I11),"OVERDUE - outside the period",IF(AND($H11&lt;&gt;"",$H11-TODAY()&lt;=Setup!$D$24),"Due soon","Open"))))))</f>
        <v>Answered - in time</v>
      </c>
      <c r="O11" s="72"/>
    </row>
    <row r="12" customFormat="false" ht="46.5" hidden="false" customHeight="true" outlineLevel="0" collapsed="false">
      <c r="B12" s="71" t="str">
        <f aca="false">IF($C12="","","R"&amp;TEXT(ROW()-6,"000"))</f>
        <v>R006</v>
      </c>
      <c r="C12" s="78" t="s">
        <v>250</v>
      </c>
      <c r="D12" s="78" t="s">
        <v>184</v>
      </c>
      <c r="E12" s="78" t="s">
        <v>235</v>
      </c>
      <c r="F12" s="78" t="s">
        <v>236</v>
      </c>
      <c r="G12" s="79" t="n">
        <f aca="true">TODAY()-52</f>
        <v>46199</v>
      </c>
      <c r="H12" s="79" t="n">
        <f aca="true">TODAY()-38</f>
        <v>46213</v>
      </c>
      <c r="I12" s="74" t="n">
        <f aca="false">IF(OR($C12="",$F12="",$G12=""),"",$G12+IF(LEFT($F12,2)="P1",Setup!$D$20,IF(LEFT($F12,2)="P2",Setup!$D$21,IF(LEFT($F12,2)="P3",Setup!$D$22,Setup!$D$23))))</f>
        <v>46204</v>
      </c>
      <c r="J12" s="79" t="n">
        <f aca="true">TODAY()-44</f>
        <v>46207</v>
      </c>
      <c r="K12" s="75" t="n">
        <f aca="false">IF(OR($C12="",$J12=""),"",$J12-$G12)</f>
        <v>8</v>
      </c>
      <c r="L12" s="78" t="s">
        <v>243</v>
      </c>
      <c r="M12" s="80"/>
      <c r="N12" s="77" t="str">
        <f aca="true">IF($C12="","",IF($M12="Yes","Void",IF($J12&lt;&gt;"",IF(AND($H12&lt;&gt;"",$J12&gt;$H12),"Answered - after it was needed",IF(AND($I12&lt;&gt;"",$J12&gt;$I12),"Answered - outside the period","Answered - in time")),IF(AND($H12&lt;&gt;"",TODAY()&gt;$H12),"OVERDUE - already needed",IF(AND($I12&lt;&gt;"",TODAY()&gt;$I12),"OVERDUE - outside the period",IF(AND($H12&lt;&gt;"",$H12-TODAY()&lt;=Setup!$D$24),"Due soon","Open"))))))</f>
        <v>Answered - outside the period</v>
      </c>
      <c r="O12" s="78"/>
    </row>
    <row r="13" customFormat="false" ht="46.5" hidden="false" customHeight="true" outlineLevel="0" collapsed="false">
      <c r="B13" s="71" t="str">
        <f aca="false">IF($C13="","","R"&amp;TEXT(ROW()-6,"000"))</f>
        <v>R007</v>
      </c>
      <c r="C13" s="72" t="s">
        <v>251</v>
      </c>
      <c r="D13" s="72" t="s">
        <v>180</v>
      </c>
      <c r="E13" s="72" t="s">
        <v>252</v>
      </c>
      <c r="F13" s="72" t="s">
        <v>253</v>
      </c>
      <c r="G13" s="73" t="n">
        <f aca="true">TODAY()-49</f>
        <v>46202</v>
      </c>
      <c r="H13" s="73" t="n">
        <f aca="true">TODAY()-28</f>
        <v>46223</v>
      </c>
      <c r="I13" s="74" t="n">
        <f aca="false">IF(OR($C13="",$F13="",$G13=""),"",$G13+IF(LEFT($F13,2)="P1",Setup!$D$20,IF(LEFT($F13,2)="P2",Setup!$D$21,IF(LEFT($F13,2)="P3",Setup!$D$22,Setup!$D$23))))</f>
        <v>46217</v>
      </c>
      <c r="J13" s="73" t="n">
        <f aca="true">TODAY()-35</f>
        <v>46216</v>
      </c>
      <c r="K13" s="75" t="n">
        <f aca="false">IF(OR($C13="",$J13=""),"",$J13-$G13)</f>
        <v>14</v>
      </c>
      <c r="L13" s="72" t="s">
        <v>240</v>
      </c>
      <c r="M13" s="76"/>
      <c r="N13" s="77" t="str">
        <f aca="true">IF($C13="","",IF($M13="Yes","Void",IF($J13&lt;&gt;"",IF(AND($H13&lt;&gt;"",$J13&gt;$H13),"Answered - after it was needed",IF(AND($I13&lt;&gt;"",$J13&gt;$I13),"Answered - outside the period","Answered - in time")),IF(AND($H13&lt;&gt;"",TODAY()&gt;$H13),"OVERDUE - already needed",IF(AND($I13&lt;&gt;"",TODAY()&gt;$I13),"OVERDUE - outside the period",IF(AND($H13&lt;&gt;"",$H13-TODAY()&lt;=Setup!$D$24),"Due soon","Open"))))))</f>
        <v>Answered - in time</v>
      </c>
      <c r="O13" s="72" t="s">
        <v>254</v>
      </c>
    </row>
    <row r="14" customFormat="false" ht="46.5" hidden="false" customHeight="true" outlineLevel="0" collapsed="false">
      <c r="B14" s="71" t="str">
        <f aca="false">IF($C14="","","R"&amp;TEXT(ROW()-6,"000"))</f>
        <v>R008</v>
      </c>
      <c r="C14" s="78" t="s">
        <v>255</v>
      </c>
      <c r="D14" s="78" t="s">
        <v>180</v>
      </c>
      <c r="E14" s="78" t="s">
        <v>252</v>
      </c>
      <c r="F14" s="78" t="s">
        <v>253</v>
      </c>
      <c r="G14" s="79" t="n">
        <f aca="true">TODAY()-47</f>
        <v>46204</v>
      </c>
      <c r="H14" s="79" t="n">
        <f aca="true">TODAY()-22</f>
        <v>46229</v>
      </c>
      <c r="I14" s="74" t="n">
        <f aca="false">IF(OR($C14="",$F14="",$G14=""),"",$G14+IF(LEFT($F14,2)="P1",Setup!$D$20,IF(LEFT($F14,2)="P2",Setup!$D$21,IF(LEFT($F14,2)="P3",Setup!$D$22,Setup!$D$23))))</f>
        <v>46219</v>
      </c>
      <c r="J14" s="79" t="n">
        <f aca="true">TODAY()-28</f>
        <v>46223</v>
      </c>
      <c r="K14" s="75" t="n">
        <f aca="false">IF(OR($C14="",$J14=""),"",$J14-$G14)</f>
        <v>19</v>
      </c>
      <c r="L14" s="78" t="s">
        <v>240</v>
      </c>
      <c r="M14" s="80"/>
      <c r="N14" s="77" t="str">
        <f aca="true">IF($C14="","",IF($M14="Yes","Void",IF($J14&lt;&gt;"",IF(AND($H14&lt;&gt;"",$J14&gt;$H14),"Answered - after it was needed",IF(AND($I14&lt;&gt;"",$J14&gt;$I14),"Answered - outside the period","Answered - in time")),IF(AND($H14&lt;&gt;"",TODAY()&gt;$H14),"OVERDUE - already needed",IF(AND($I14&lt;&gt;"",TODAY()&gt;$I14),"OVERDUE - outside the period",IF(AND($H14&lt;&gt;"",$H14-TODAY()&lt;=Setup!$D$24),"Due soon","Open"))))))</f>
        <v>Answered - outside the period</v>
      </c>
      <c r="O14" s="78"/>
    </row>
    <row r="15" customFormat="false" ht="46.5" hidden="false" customHeight="true" outlineLevel="0" collapsed="false">
      <c r="B15" s="71" t="str">
        <f aca="false">IF($C15="","","R"&amp;TEXT(ROW()-6,"000"))</f>
        <v>R009</v>
      </c>
      <c r="C15" s="72" t="s">
        <v>256</v>
      </c>
      <c r="D15" s="72" t="s">
        <v>182</v>
      </c>
      <c r="E15" s="72" t="s">
        <v>257</v>
      </c>
      <c r="F15" s="72" t="s">
        <v>236</v>
      </c>
      <c r="G15" s="73" t="n">
        <f aca="true">TODAY()-44</f>
        <v>46207</v>
      </c>
      <c r="H15" s="73" t="n">
        <f aca="true">TODAY()-30</f>
        <v>46221</v>
      </c>
      <c r="I15" s="74" t="n">
        <f aca="false">IF(OR($C15="",$F15="",$G15=""),"",$G15+IF(LEFT($F15,2)="P1",Setup!$D$20,IF(LEFT($F15,2)="P2",Setup!$D$21,IF(LEFT($F15,2)="P3",Setup!$D$22,Setup!$D$23))))</f>
        <v>46212</v>
      </c>
      <c r="J15" s="73" t="n">
        <f aca="true">TODAY()-26</f>
        <v>46225</v>
      </c>
      <c r="K15" s="75" t="n">
        <f aca="false">IF(OR($C15="",$J15=""),"",$J15-$G15)</f>
        <v>18</v>
      </c>
      <c r="L15" s="72" t="s">
        <v>120</v>
      </c>
      <c r="M15" s="76"/>
      <c r="N15" s="77" t="str">
        <f aca="true">IF($C15="","",IF($M15="Yes","Void",IF($J15&lt;&gt;"",IF(AND($H15&lt;&gt;"",$J15&gt;$H15),"Answered - after it was needed",IF(AND($I15&lt;&gt;"",$J15&gt;$I15),"Answered - outside the period","Answered - in time")),IF(AND($H15&lt;&gt;"",TODAY()&gt;$H15),"OVERDUE - already needed",IF(AND($I15&lt;&gt;"",TODAY()&gt;$I15),"OVERDUE - outside the period",IF(AND($H15&lt;&gt;"",$H15-TODAY()&lt;=Setup!$D$24),"Due soon","Open"))))))</f>
        <v>Answered - after it was needed</v>
      </c>
      <c r="O15" s="72" t="s">
        <v>258</v>
      </c>
    </row>
    <row r="16" customFormat="false" ht="46.5" hidden="false" customHeight="true" outlineLevel="0" collapsed="false">
      <c r="B16" s="71" t="str">
        <f aca="false">IF($C16="","","R"&amp;TEXT(ROW()-6,"000"))</f>
        <v>R010</v>
      </c>
      <c r="C16" s="78" t="s">
        <v>259</v>
      </c>
      <c r="D16" s="78" t="s">
        <v>187</v>
      </c>
      <c r="E16" s="78" t="s">
        <v>235</v>
      </c>
      <c r="F16" s="78" t="s">
        <v>236</v>
      </c>
      <c r="G16" s="79" t="n">
        <f aca="true">TODAY()-41</f>
        <v>46210</v>
      </c>
      <c r="H16" s="79" t="n">
        <f aca="true">TODAY()-27</f>
        <v>46224</v>
      </c>
      <c r="I16" s="74" t="n">
        <f aca="false">IF(OR($C16="",$F16="",$G16=""),"",$G16+IF(LEFT($F16,2)="P1",Setup!$D$20,IF(LEFT($F16,2)="P2",Setup!$D$21,IF(LEFT($F16,2)="P3",Setup!$D$22,Setup!$D$23))))</f>
        <v>46215</v>
      </c>
      <c r="J16" s="79" t="n">
        <f aca="true">TODAY()-37</f>
        <v>46214</v>
      </c>
      <c r="K16" s="75" t="n">
        <f aca="false">IF(OR($C16="",$J16=""),"",$J16-$G16)</f>
        <v>4</v>
      </c>
      <c r="L16" s="78" t="s">
        <v>243</v>
      </c>
      <c r="M16" s="80"/>
      <c r="N16" s="77" t="str">
        <f aca="true">IF($C16="","",IF($M16="Yes","Void",IF($J16&lt;&gt;"",IF(AND($H16&lt;&gt;"",$J16&gt;$H16),"Answered - after it was needed",IF(AND($I16&lt;&gt;"",$J16&gt;$I16),"Answered - outside the period","Answered - in time")),IF(AND($H16&lt;&gt;"",TODAY()&gt;$H16),"OVERDUE - already needed",IF(AND($I16&lt;&gt;"",TODAY()&gt;$I16),"OVERDUE - outside the period",IF(AND($H16&lt;&gt;"",$H16-TODAY()&lt;=Setup!$D$24),"Due soon","Open"))))))</f>
        <v>Answered - in time</v>
      </c>
      <c r="O16" s="78"/>
    </row>
    <row r="17" customFormat="false" ht="46.5" hidden="false" customHeight="true" outlineLevel="0" collapsed="false">
      <c r="B17" s="71" t="str">
        <f aca="false">IF($C17="","","R"&amp;TEXT(ROW()-6,"000"))</f>
        <v>R011</v>
      </c>
      <c r="C17" s="72" t="s">
        <v>260</v>
      </c>
      <c r="D17" s="72" t="s">
        <v>189</v>
      </c>
      <c r="E17" s="72" t="s">
        <v>261</v>
      </c>
      <c r="F17" s="72" t="s">
        <v>239</v>
      </c>
      <c r="G17" s="73" t="n">
        <f aca="true">TODAY()-38</f>
        <v>46213</v>
      </c>
      <c r="H17" s="73" t="n">
        <f aca="true">TODAY()-17</f>
        <v>46234</v>
      </c>
      <c r="I17" s="74" t="n">
        <f aca="false">IF(OR($C17="",$F17="",$G17=""),"",$G17+IF(LEFT($F17,2)="P1",Setup!$D$20,IF(LEFT($F17,2)="P2",Setup!$D$21,IF(LEFT($F17,2)="P3",Setup!$D$22,Setup!$D$23))))</f>
        <v>46223</v>
      </c>
      <c r="J17" s="73" t="n">
        <f aca="true">TODAY()-22</f>
        <v>46229</v>
      </c>
      <c r="K17" s="75" t="n">
        <f aca="false">IF(OR($C17="",$J17=""),"",$J17-$G17)</f>
        <v>16</v>
      </c>
      <c r="L17" s="72" t="s">
        <v>262</v>
      </c>
      <c r="M17" s="76"/>
      <c r="N17" s="77" t="str">
        <f aca="true">IF($C17="","",IF($M17="Yes","Void",IF($J17&lt;&gt;"",IF(AND($H17&lt;&gt;"",$J17&gt;$H17),"Answered - after it was needed",IF(AND($I17&lt;&gt;"",$J17&gt;$I17),"Answered - outside the period","Answered - in time")),IF(AND($H17&lt;&gt;"",TODAY()&gt;$H17),"OVERDUE - already needed",IF(AND($I17&lt;&gt;"",TODAY()&gt;$I17),"OVERDUE - outside the period",IF(AND($H17&lt;&gt;"",$H17-TODAY()&lt;=Setup!$D$24),"Due soon","Open"))))))</f>
        <v>Answered - outside the period</v>
      </c>
      <c r="O17" s="72" t="s">
        <v>263</v>
      </c>
    </row>
    <row r="18" customFormat="false" ht="46.5" hidden="false" customHeight="true" outlineLevel="0" collapsed="false">
      <c r="B18" s="71" t="str">
        <f aca="false">IF($C18="","","R"&amp;TEXT(ROW()-6,"000"))</f>
        <v>R012</v>
      </c>
      <c r="C18" s="78" t="s">
        <v>264</v>
      </c>
      <c r="D18" s="78" t="s">
        <v>180</v>
      </c>
      <c r="E18" s="78" t="s">
        <v>197</v>
      </c>
      <c r="F18" s="78" t="s">
        <v>253</v>
      </c>
      <c r="G18" s="79" t="n">
        <f aca="true">TODAY()-36</f>
        <v>46215</v>
      </c>
      <c r="H18" s="79" t="n">
        <f aca="true">TODAY()-15</f>
        <v>46236</v>
      </c>
      <c r="I18" s="74" t="n">
        <f aca="false">IF(OR($C18="",$F18="",$G18=""),"",$G18+IF(LEFT($F18,2)="P1",Setup!$D$20,IF(LEFT($F18,2)="P2",Setup!$D$21,IF(LEFT($F18,2)="P3",Setup!$D$22,Setup!$D$23))))</f>
        <v>46230</v>
      </c>
      <c r="J18" s="79" t="n">
        <f aca="true">TODAY()-18</f>
        <v>46233</v>
      </c>
      <c r="K18" s="75" t="n">
        <f aca="false">IF(OR($C18="",$J18=""),"",$J18-$G18)</f>
        <v>18</v>
      </c>
      <c r="L18" s="78" t="s">
        <v>240</v>
      </c>
      <c r="M18" s="80"/>
      <c r="N18" s="77" t="str">
        <f aca="true">IF($C18="","",IF($M18="Yes","Void",IF($J18&lt;&gt;"",IF(AND($H18&lt;&gt;"",$J18&gt;$H18),"Answered - after it was needed",IF(AND($I18&lt;&gt;"",$J18&gt;$I18),"Answered - outside the period","Answered - in time")),IF(AND($H18&lt;&gt;"",TODAY()&gt;$H18),"OVERDUE - already needed",IF(AND($I18&lt;&gt;"",TODAY()&gt;$I18),"OVERDUE - outside the period",IF(AND($H18&lt;&gt;"",$H18-TODAY()&lt;=Setup!$D$24),"Due soon","Open"))))))</f>
        <v>Answered - outside the period</v>
      </c>
      <c r="O18" s="78" t="s">
        <v>265</v>
      </c>
    </row>
    <row r="19" customFormat="false" ht="46.5" hidden="false" customHeight="true" outlineLevel="0" collapsed="false">
      <c r="B19" s="71" t="str">
        <f aca="false">IF($C19="","","R"&amp;TEXT(ROW()-6,"000"))</f>
        <v>R013</v>
      </c>
      <c r="C19" s="72" t="s">
        <v>266</v>
      </c>
      <c r="D19" s="72" t="s">
        <v>185</v>
      </c>
      <c r="E19" s="72" t="s">
        <v>249</v>
      </c>
      <c r="F19" s="72" t="s">
        <v>239</v>
      </c>
      <c r="G19" s="73" t="n">
        <f aca="true">TODAY()-33</f>
        <v>46218</v>
      </c>
      <c r="H19" s="73" t="n">
        <f aca="true">TODAY()-12</f>
        <v>46239</v>
      </c>
      <c r="I19" s="74" t="n">
        <f aca="false">IF(OR($C19="",$F19="",$G19=""),"",$G19+IF(LEFT($F19,2)="P1",Setup!$D$20,IF(LEFT($F19,2)="P2",Setup!$D$21,IF(LEFT($F19,2)="P3",Setup!$D$22,Setup!$D$23))))</f>
        <v>46228</v>
      </c>
      <c r="J19" s="73" t="n">
        <f aca="true">TODAY()-24</f>
        <v>46227</v>
      </c>
      <c r="K19" s="75" t="n">
        <f aca="false">IF(OR($C19="",$J19=""),"",$J19-$G19)</f>
        <v>9</v>
      </c>
      <c r="L19" s="72" t="s">
        <v>240</v>
      </c>
      <c r="M19" s="76"/>
      <c r="N19" s="77" t="str">
        <f aca="true">IF($C19="","",IF($M19="Yes","Void",IF($J19&lt;&gt;"",IF(AND($H19&lt;&gt;"",$J19&gt;$H19),"Answered - after it was needed",IF(AND($I19&lt;&gt;"",$J19&gt;$I19),"Answered - outside the period","Answered - in time")),IF(AND($H19&lt;&gt;"",TODAY()&gt;$H19),"OVERDUE - already needed",IF(AND($I19&lt;&gt;"",TODAY()&gt;$I19),"OVERDUE - outside the period",IF(AND($H19&lt;&gt;"",$H19-TODAY()&lt;=Setup!$D$24),"Due soon","Open"))))))</f>
        <v>Answered - in time</v>
      </c>
      <c r="O19" s="72"/>
    </row>
    <row r="20" customFormat="false" ht="46.5" hidden="false" customHeight="true" outlineLevel="0" collapsed="false">
      <c r="B20" s="71" t="str">
        <f aca="false">IF($C20="","","R"&amp;TEXT(ROW()-6,"000"))</f>
        <v>R014</v>
      </c>
      <c r="C20" s="78" t="s">
        <v>267</v>
      </c>
      <c r="D20" s="78" t="s">
        <v>181</v>
      </c>
      <c r="E20" s="78" t="s">
        <v>197</v>
      </c>
      <c r="F20" s="78" t="s">
        <v>236</v>
      </c>
      <c r="G20" s="79" t="n">
        <f aca="true">TODAY()-30</f>
        <v>46221</v>
      </c>
      <c r="H20" s="79" t="n">
        <f aca="true">TODAY()-16</f>
        <v>46235</v>
      </c>
      <c r="I20" s="74" t="n">
        <f aca="false">IF(OR($C20="",$F20="",$G20=""),"",$G20+IF(LEFT($F20,2)="P1",Setup!$D$20,IF(LEFT($F20,2)="P2",Setup!$D$21,IF(LEFT($F20,2)="P3",Setup!$D$22,Setup!$D$23))))</f>
        <v>46226</v>
      </c>
      <c r="J20" s="79" t="n">
        <f aca="true">TODAY()-14</f>
        <v>46237</v>
      </c>
      <c r="K20" s="75" t="n">
        <f aca="false">IF(OR($C20="",$J20=""),"",$J20-$G20)</f>
        <v>16</v>
      </c>
      <c r="L20" s="78" t="s">
        <v>243</v>
      </c>
      <c r="M20" s="80"/>
      <c r="N20" s="77" t="str">
        <f aca="true">IF($C20="","",IF($M20="Yes","Void",IF($J20&lt;&gt;"",IF(AND($H20&lt;&gt;"",$J20&gt;$H20),"Answered - after it was needed",IF(AND($I20&lt;&gt;"",$J20&gt;$I20),"Answered - outside the period","Answered - in time")),IF(AND($H20&lt;&gt;"",TODAY()&gt;$H20),"OVERDUE - already needed",IF(AND($I20&lt;&gt;"",TODAY()&gt;$I20),"OVERDUE - outside the period",IF(AND($H20&lt;&gt;"",$H20-TODAY()&lt;=Setup!$D$24),"Due soon","Open"))))))</f>
        <v>Answered - after it was needed</v>
      </c>
      <c r="O20" s="78" t="s">
        <v>268</v>
      </c>
    </row>
    <row r="21" customFormat="false" ht="46.5" hidden="false" customHeight="true" outlineLevel="0" collapsed="false">
      <c r="B21" s="71" t="str">
        <f aca="false">IF($C21="","","R"&amp;TEXT(ROW()-6,"000"))</f>
        <v>R015</v>
      </c>
      <c r="C21" s="72" t="s">
        <v>269</v>
      </c>
      <c r="D21" s="72" t="s">
        <v>184</v>
      </c>
      <c r="E21" s="72" t="s">
        <v>197</v>
      </c>
      <c r="F21" s="72" t="s">
        <v>239</v>
      </c>
      <c r="G21" s="73" t="n">
        <f aca="true">TODAY()-27</f>
        <v>46224</v>
      </c>
      <c r="H21" s="73" t="n">
        <f aca="true">TODAY()-6</f>
        <v>46245</v>
      </c>
      <c r="I21" s="74" t="n">
        <f aca="false">IF(OR($C21="",$F21="",$G21=""),"",$G21+IF(LEFT($F21,2)="P1",Setup!$D$20,IF(LEFT($F21,2)="P2",Setup!$D$21,IF(LEFT($F21,2)="P3",Setup!$D$22,Setup!$D$23))))</f>
        <v>46234</v>
      </c>
      <c r="J21" s="73" t="n">
        <f aca="true">TODAY()-18</f>
        <v>46233</v>
      </c>
      <c r="K21" s="75" t="n">
        <f aca="false">IF(OR($C21="",$J21=""),"",$J21-$G21)</f>
        <v>9</v>
      </c>
      <c r="L21" s="72" t="s">
        <v>243</v>
      </c>
      <c r="M21" s="76"/>
      <c r="N21" s="77" t="str">
        <f aca="true">IF($C21="","",IF($M21="Yes","Void",IF($J21&lt;&gt;"",IF(AND($H21&lt;&gt;"",$J21&gt;$H21),"Answered - after it was needed",IF(AND($I21&lt;&gt;"",$J21&gt;$I21),"Answered - outside the period","Answered - in time")),IF(AND($H21&lt;&gt;"",TODAY()&gt;$H21),"OVERDUE - already needed",IF(AND($I21&lt;&gt;"",TODAY()&gt;$I21),"OVERDUE - outside the period",IF(AND($H21&lt;&gt;"",$H21-TODAY()&lt;=Setup!$D$24),"Due soon","Open"))))))</f>
        <v>Answered - in time</v>
      </c>
      <c r="O21" s="72"/>
    </row>
    <row r="22" customFormat="false" ht="46.5" hidden="false" customHeight="true" outlineLevel="0" collapsed="false">
      <c r="B22" s="71" t="str">
        <f aca="false">IF($C22="","","R"&amp;TEXT(ROW()-6,"000"))</f>
        <v>R016</v>
      </c>
      <c r="C22" s="78" t="s">
        <v>270</v>
      </c>
      <c r="D22" s="78" t="s">
        <v>180</v>
      </c>
      <c r="E22" s="78" t="s">
        <v>197</v>
      </c>
      <c r="F22" s="78" t="s">
        <v>253</v>
      </c>
      <c r="G22" s="79" t="n">
        <f aca="true">TODAY()-25</f>
        <v>46226</v>
      </c>
      <c r="H22" s="79" t="n">
        <f aca="true">TODAY()-4</f>
        <v>46247</v>
      </c>
      <c r="I22" s="74" t="n">
        <f aca="false">IF(OR($C22="",$F22="",$G22=""),"",$G22+IF(LEFT($F22,2)="P1",Setup!$D$20,IF(LEFT($F22,2)="P2",Setup!$D$21,IF(LEFT($F22,2)="P3",Setup!$D$22,Setup!$D$23))))</f>
        <v>46241</v>
      </c>
      <c r="J22" s="79" t="n">
        <f aca="true">TODAY()-11</f>
        <v>46240</v>
      </c>
      <c r="K22" s="75" t="n">
        <f aca="false">IF(OR($C22="",$J22=""),"",$J22-$G22)</f>
        <v>14</v>
      </c>
      <c r="L22" s="78" t="s">
        <v>240</v>
      </c>
      <c r="M22" s="80"/>
      <c r="N22" s="77" t="str">
        <f aca="true">IF($C22="","",IF($M22="Yes","Void",IF($J22&lt;&gt;"",IF(AND($H22&lt;&gt;"",$J22&gt;$H22),"Answered - after it was needed",IF(AND($I22&lt;&gt;"",$J22&gt;$I22),"Answered - outside the period","Answered - in time")),IF(AND($H22&lt;&gt;"",TODAY()&gt;$H22),"OVERDUE - already needed",IF(AND($I22&lt;&gt;"",TODAY()&gt;$I22),"OVERDUE - outside the period",IF(AND($H22&lt;&gt;"",$H22-TODAY()&lt;=Setup!$D$24),"Due soon","Open"))))))</f>
        <v>Answered - in time</v>
      </c>
      <c r="O22" s="78" t="s">
        <v>271</v>
      </c>
    </row>
    <row r="23" customFormat="false" ht="46.5" hidden="false" customHeight="true" outlineLevel="0" collapsed="false">
      <c r="B23" s="71" t="str">
        <f aca="false">IF($C23="","","R"&amp;TEXT(ROW()-6,"000"))</f>
        <v>R017</v>
      </c>
      <c r="C23" s="72" t="s">
        <v>272</v>
      </c>
      <c r="D23" s="72" t="s">
        <v>186</v>
      </c>
      <c r="E23" s="72" t="s">
        <v>257</v>
      </c>
      <c r="F23" s="72" t="s">
        <v>236</v>
      </c>
      <c r="G23" s="73" t="n">
        <f aca="true">TODAY()-22</f>
        <v>46229</v>
      </c>
      <c r="H23" s="73" t="n">
        <f aca="true">TODAY()-8</f>
        <v>46243</v>
      </c>
      <c r="I23" s="74" t="n">
        <f aca="false">IF(OR($C23="",$F23="",$G23=""),"",$G23+IF(LEFT($F23,2)="P1",Setup!$D$20,IF(LEFT($F23,2)="P2",Setup!$D$21,IF(LEFT($F23,2)="P3",Setup!$D$22,Setup!$D$23))))</f>
        <v>46234</v>
      </c>
      <c r="J23" s="73"/>
      <c r="K23" s="75" t="str">
        <f aca="false">IF(OR($C23="",$J23=""),"",$J23-$G23)</f>
        <v/>
      </c>
      <c r="L23" s="72" t="s">
        <v>120</v>
      </c>
      <c r="M23" s="76"/>
      <c r="N23" s="77" t="str">
        <f aca="true">IF($C23="","",IF($M23="Yes","Void",IF($J23&lt;&gt;"",IF(AND($H23&lt;&gt;"",$J23&gt;$H23),"Answered - after it was needed",IF(AND($I23&lt;&gt;"",$J23&gt;$I23),"Answered - outside the period","Answered - in time")),IF(AND($H23&lt;&gt;"",TODAY()&gt;$H23),"OVERDUE - already needed",IF(AND($I23&lt;&gt;"",TODAY()&gt;$I23),"OVERDUE - outside the period",IF(AND($H23&lt;&gt;"",$H23-TODAY()&lt;=Setup!$D$24),"Due soon","Open"))))))</f>
        <v>OVERDUE - already needed</v>
      </c>
      <c r="O23" s="72" t="s">
        <v>273</v>
      </c>
    </row>
    <row r="24" customFormat="false" ht="46.5" hidden="false" customHeight="true" outlineLevel="0" collapsed="false">
      <c r="B24" s="71" t="str">
        <f aca="false">IF($C24="","","R"&amp;TEXT(ROW()-6,"000"))</f>
        <v>R018</v>
      </c>
      <c r="C24" s="78" t="s">
        <v>274</v>
      </c>
      <c r="D24" s="78" t="s">
        <v>183</v>
      </c>
      <c r="E24" s="78" t="s">
        <v>257</v>
      </c>
      <c r="F24" s="78" t="s">
        <v>246</v>
      </c>
      <c r="G24" s="79" t="n">
        <f aca="true">TODAY()-19</f>
        <v>46232</v>
      </c>
      <c r="H24" s="79" t="n">
        <f aca="true">TODAY()-5</f>
        <v>46246</v>
      </c>
      <c r="I24" s="74" t="n">
        <f aca="false">IF(OR($C24="",$F24="",$G24=""),"",$G24+IF(LEFT($F24,2)="P1",Setup!$D$20,IF(LEFT($F24,2)="P2",Setup!$D$21,IF(LEFT($F24,2)="P3",Setup!$D$22,Setup!$D$23))))</f>
        <v>46234</v>
      </c>
      <c r="J24" s="79"/>
      <c r="K24" s="75" t="str">
        <f aca="false">IF(OR($C24="",$J24=""),"",$J24-$G24)</f>
        <v/>
      </c>
      <c r="L24" s="78" t="s">
        <v>243</v>
      </c>
      <c r="M24" s="80"/>
      <c r="N24" s="77" t="str">
        <f aca="true">IF($C24="","",IF($M24="Yes","Void",IF($J24&lt;&gt;"",IF(AND($H24&lt;&gt;"",$J24&gt;$H24),"Answered - after it was needed",IF(AND($I24&lt;&gt;"",$J24&gt;$I24),"Answered - outside the period","Answered - in time")),IF(AND($H24&lt;&gt;"",TODAY()&gt;$H24),"OVERDUE - already needed",IF(AND($I24&lt;&gt;"",TODAY()&gt;$I24),"OVERDUE - outside the period",IF(AND($H24&lt;&gt;"",$H24-TODAY()&lt;=Setup!$D$24),"Due soon","Open"))))))</f>
        <v>OVERDUE - already needed</v>
      </c>
      <c r="O24" s="78" t="s">
        <v>275</v>
      </c>
    </row>
    <row r="25" customFormat="false" ht="46.5" hidden="false" customHeight="true" outlineLevel="0" collapsed="false">
      <c r="B25" s="71" t="str">
        <f aca="false">IF($C25="","","R"&amp;TEXT(ROW()-6,"000"))</f>
        <v>R019</v>
      </c>
      <c r="C25" s="72" t="s">
        <v>276</v>
      </c>
      <c r="D25" s="72" t="s">
        <v>180</v>
      </c>
      <c r="E25" s="72" t="s">
        <v>252</v>
      </c>
      <c r="F25" s="72" t="s">
        <v>253</v>
      </c>
      <c r="G25" s="73" t="n">
        <f aca="true">TODAY()-17</f>
        <v>46234</v>
      </c>
      <c r="H25" s="73" t="n">
        <f aca="true">TODAY()+4</f>
        <v>46255</v>
      </c>
      <c r="I25" s="74" t="n">
        <f aca="false">IF(OR($C25="",$F25="",$G25=""),"",$G25+IF(LEFT($F25,2)="P1",Setup!$D$20,IF(LEFT($F25,2)="P2",Setup!$D$21,IF(LEFT($F25,2)="P3",Setup!$D$22,Setup!$D$23))))</f>
        <v>46249</v>
      </c>
      <c r="J25" s="73"/>
      <c r="K25" s="75" t="str">
        <f aca="false">IF(OR($C25="",$J25=""),"",$J25-$G25)</f>
        <v/>
      </c>
      <c r="L25" s="72" t="s">
        <v>240</v>
      </c>
      <c r="M25" s="76"/>
      <c r="N25" s="77" t="str">
        <f aca="true">IF($C25="","",IF($M25="Yes","Void",IF($J25&lt;&gt;"",IF(AND($H25&lt;&gt;"",$J25&gt;$H25),"Answered - after it was needed",IF(AND($I25&lt;&gt;"",$J25&gt;$I25),"Answered - outside the period","Answered - in time")),IF(AND($H25&lt;&gt;"",TODAY()&gt;$H25),"OVERDUE - already needed",IF(AND($I25&lt;&gt;"",TODAY()&gt;$I25),"OVERDUE - outside the period",IF(AND($H25&lt;&gt;"",$H25-TODAY()&lt;=Setup!$D$24),"Due soon","Open"))))))</f>
        <v>OVERDUE - outside the period</v>
      </c>
      <c r="O25" s="72"/>
    </row>
    <row r="26" customFormat="false" ht="46.5" hidden="false" customHeight="true" outlineLevel="0" collapsed="false">
      <c r="B26" s="71" t="str">
        <f aca="false">IF($C26="","","R"&amp;TEXT(ROW()-6,"000"))</f>
        <v>R020</v>
      </c>
      <c r="C26" s="78" t="s">
        <v>277</v>
      </c>
      <c r="D26" s="78" t="s">
        <v>182</v>
      </c>
      <c r="E26" s="78" t="s">
        <v>257</v>
      </c>
      <c r="F26" s="78" t="s">
        <v>239</v>
      </c>
      <c r="G26" s="79" t="n">
        <f aca="true">TODAY()-14</f>
        <v>46237</v>
      </c>
      <c r="H26" s="79" t="n">
        <f aca="true">TODAY()+6</f>
        <v>46257</v>
      </c>
      <c r="I26" s="74" t="n">
        <f aca="false">IF(OR($C26="",$F26="",$G26=""),"",$G26+IF(LEFT($F26,2)="P1",Setup!$D$20,IF(LEFT($F26,2)="P2",Setup!$D$21,IF(LEFT($F26,2)="P3",Setup!$D$22,Setup!$D$23))))</f>
        <v>46247</v>
      </c>
      <c r="J26" s="79"/>
      <c r="K26" s="75" t="str">
        <f aca="false">IF(OR($C26="",$J26=""),"",$J26-$G26)</f>
        <v/>
      </c>
      <c r="L26" s="78" t="s">
        <v>120</v>
      </c>
      <c r="M26" s="80"/>
      <c r="N26" s="77" t="str">
        <f aca="true">IF($C26="","",IF($M26="Yes","Void",IF($J26&lt;&gt;"",IF(AND($H26&lt;&gt;"",$J26&gt;$H26),"Answered - after it was needed",IF(AND($I26&lt;&gt;"",$J26&gt;$I26),"Answered - outside the period","Answered - in time")),IF(AND($H26&lt;&gt;"",TODAY()&gt;$H26),"OVERDUE - already needed",IF(AND($I26&lt;&gt;"",TODAY()&gt;$I26),"OVERDUE - outside the period",IF(AND($H26&lt;&gt;"",$H26-TODAY()&lt;=Setup!$D$24),"Due soon","Open"))))))</f>
        <v>OVERDUE - outside the period</v>
      </c>
      <c r="O26" s="78"/>
    </row>
    <row r="27" customFormat="false" ht="46.5" hidden="false" customHeight="true" outlineLevel="0" collapsed="false">
      <c r="B27" s="71" t="str">
        <f aca="false">IF($C27="","","R"&amp;TEXT(ROW()-6,"000"))</f>
        <v>R021</v>
      </c>
      <c r="C27" s="72" t="s">
        <v>278</v>
      </c>
      <c r="D27" s="72" t="s">
        <v>180</v>
      </c>
      <c r="E27" s="72" t="s">
        <v>249</v>
      </c>
      <c r="F27" s="72" t="s">
        <v>239</v>
      </c>
      <c r="G27" s="73" t="n">
        <f aca="true">TODAY()-11</f>
        <v>46240</v>
      </c>
      <c r="H27" s="73" t="n">
        <f aca="true">TODAY()+9</f>
        <v>46260</v>
      </c>
      <c r="I27" s="74" t="n">
        <f aca="false">IF(OR($C27="",$F27="",$G27=""),"",$G27+IF(LEFT($F27,2)="P1",Setup!$D$20,IF(LEFT($F27,2)="P2",Setup!$D$21,IF(LEFT($F27,2)="P3",Setup!$D$22,Setup!$D$23))))</f>
        <v>46250</v>
      </c>
      <c r="J27" s="73"/>
      <c r="K27" s="75" t="str">
        <f aca="false">IF(OR($C27="",$J27=""),"",$J27-$G27)</f>
        <v/>
      </c>
      <c r="L27" s="72" t="s">
        <v>240</v>
      </c>
      <c r="M27" s="76"/>
      <c r="N27" s="77" t="str">
        <f aca="true">IF($C27="","",IF($M27="Yes","Void",IF($J27&lt;&gt;"",IF(AND($H27&lt;&gt;"",$J27&gt;$H27),"Answered - after it was needed",IF(AND($I27&lt;&gt;"",$J27&gt;$I27),"Answered - outside the period","Answered - in time")),IF(AND($H27&lt;&gt;"",TODAY()&gt;$H27),"OVERDUE - already needed",IF(AND($I27&lt;&gt;"",TODAY()&gt;$I27),"OVERDUE - outside the period",IF(AND($H27&lt;&gt;"",$H27-TODAY()&lt;=Setup!$D$24),"Due soon","Open"))))))</f>
        <v>OVERDUE - outside the period</v>
      </c>
      <c r="O27" s="72"/>
    </row>
    <row r="28" customFormat="false" ht="46.5" hidden="false" customHeight="true" outlineLevel="0" collapsed="false">
      <c r="B28" s="71" t="str">
        <f aca="false">IF($C28="","","R"&amp;TEXT(ROW()-6,"000"))</f>
        <v>R022</v>
      </c>
      <c r="C28" s="78" t="s">
        <v>279</v>
      </c>
      <c r="D28" s="78" t="s">
        <v>187</v>
      </c>
      <c r="E28" s="78" t="s">
        <v>252</v>
      </c>
      <c r="F28" s="78" t="s">
        <v>253</v>
      </c>
      <c r="G28" s="79" t="n">
        <f aca="true">TODAY()-8</f>
        <v>46243</v>
      </c>
      <c r="H28" s="79" t="n">
        <f aca="true">TODAY()+16</f>
        <v>46267</v>
      </c>
      <c r="I28" s="74" t="n">
        <f aca="false">IF(OR($C28="",$F28="",$G28=""),"",$G28+IF(LEFT($F28,2)="P1",Setup!$D$20,IF(LEFT($F28,2)="P2",Setup!$D$21,IF(LEFT($F28,2)="P3",Setup!$D$22,Setup!$D$23))))</f>
        <v>46258</v>
      </c>
      <c r="J28" s="79"/>
      <c r="K28" s="75" t="str">
        <f aca="false">IF(OR($C28="",$J28=""),"",$J28-$G28)</f>
        <v/>
      </c>
      <c r="L28" s="78" t="s">
        <v>240</v>
      </c>
      <c r="M28" s="80"/>
      <c r="N28" s="77" t="str">
        <f aca="true">IF($C28="","",IF($M28="Yes","Void",IF($J28&lt;&gt;"",IF(AND($H28&lt;&gt;"",$J28&gt;$H28),"Answered - after it was needed",IF(AND($I28&lt;&gt;"",$J28&gt;$I28),"Answered - outside the period","Answered - in time")),IF(AND($H28&lt;&gt;"",TODAY()&gt;$H28),"OVERDUE - already needed",IF(AND($I28&lt;&gt;"",TODAY()&gt;$I28),"OVERDUE - outside the period",IF(AND($H28&lt;&gt;"",$H28-TODAY()&lt;=Setup!$D$24),"Due soon","Open"))))))</f>
        <v>Open</v>
      </c>
      <c r="O28" s="78"/>
    </row>
    <row r="29" customFormat="false" ht="46.5" hidden="false" customHeight="true" outlineLevel="0" collapsed="false">
      <c r="B29" s="71" t="str">
        <f aca="false">IF($C29="","","R"&amp;TEXT(ROW()-6,"000"))</f>
        <v>R023</v>
      </c>
      <c r="C29" s="72" t="s">
        <v>280</v>
      </c>
      <c r="D29" s="72" t="s">
        <v>185</v>
      </c>
      <c r="E29" s="72" t="s">
        <v>197</v>
      </c>
      <c r="F29" s="72" t="s">
        <v>239</v>
      </c>
      <c r="G29" s="73" t="n">
        <f aca="true">TODAY()-5</f>
        <v>46246</v>
      </c>
      <c r="H29" s="73" t="n">
        <f aca="true">TODAY()+5</f>
        <v>46256</v>
      </c>
      <c r="I29" s="74" t="n">
        <f aca="false">IF(OR($C29="",$F29="",$G29=""),"",$G29+IF(LEFT($F29,2)="P1",Setup!$D$20,IF(LEFT($F29,2)="P2",Setup!$D$21,IF(LEFT($F29,2)="P3",Setup!$D$22,Setup!$D$23))))</f>
        <v>46256</v>
      </c>
      <c r="J29" s="73"/>
      <c r="K29" s="75" t="str">
        <f aca="false">IF(OR($C29="",$J29=""),"",$J29-$G29)</f>
        <v/>
      </c>
      <c r="L29" s="72" t="s">
        <v>243</v>
      </c>
      <c r="M29" s="76"/>
      <c r="N29" s="77" t="str">
        <f aca="true">IF($C29="","",IF($M29="Yes","Void",IF($J29&lt;&gt;"",IF(AND($H29&lt;&gt;"",$J29&gt;$H29),"Answered - after it was needed",IF(AND($I29&lt;&gt;"",$J29&gt;$I29),"Answered - outside the period","Answered - in time")),IF(AND($H29&lt;&gt;"",TODAY()&gt;$H29),"OVERDUE - already needed",IF(AND($I29&lt;&gt;"",TODAY()&gt;$I29),"OVERDUE - outside the period",IF(AND($H29&lt;&gt;"",$H29-TODAY()&lt;=Setup!$D$24),"Due soon","Open"))))))</f>
        <v>Due soon</v>
      </c>
      <c r="O29" s="72"/>
    </row>
    <row r="30" customFormat="false" ht="46.5" hidden="false" customHeight="true" outlineLevel="0" collapsed="false">
      <c r="B30" s="71" t="str">
        <f aca="false">IF($C30="","","R"&amp;TEXT(ROW()-6,"000"))</f>
        <v>R024</v>
      </c>
      <c r="C30" s="78" t="s">
        <v>281</v>
      </c>
      <c r="D30" s="78" t="s">
        <v>183</v>
      </c>
      <c r="E30" s="78" t="s">
        <v>197</v>
      </c>
      <c r="F30" s="78" t="s">
        <v>253</v>
      </c>
      <c r="G30" s="79" t="n">
        <f aca="true">TODAY()-4</f>
        <v>46247</v>
      </c>
      <c r="H30" s="79" t="n">
        <f aca="true">TODAY()+20</f>
        <v>46271</v>
      </c>
      <c r="I30" s="74" t="n">
        <f aca="false">IF(OR($C30="",$F30="",$G30=""),"",$G30+IF(LEFT($F30,2)="P1",Setup!$D$20,IF(LEFT($F30,2)="P2",Setup!$D$21,IF(LEFT($F30,2)="P3",Setup!$D$22,Setup!$D$23))))</f>
        <v>46262</v>
      </c>
      <c r="J30" s="79"/>
      <c r="K30" s="75" t="str">
        <f aca="false">IF(OR($C30="",$J30=""),"",$J30-$G30)</f>
        <v/>
      </c>
      <c r="L30" s="78" t="s">
        <v>282</v>
      </c>
      <c r="M30" s="80" t="s">
        <v>283</v>
      </c>
      <c r="N30" s="77" t="str">
        <f aca="true">IF($C30="","",IF($M30="Yes","Void",IF($J30&lt;&gt;"",IF(AND($H30&lt;&gt;"",$J30&gt;$H30),"Answered - after it was needed",IF(AND($I30&lt;&gt;"",$J30&gt;$I30),"Answered - outside the period","Answered - in time")),IF(AND($H30&lt;&gt;"",TODAY()&gt;$H30),"OVERDUE - already needed",IF(AND($I30&lt;&gt;"",TODAY()&gt;$I30),"OVERDUE - outside the period",IF(AND($H30&lt;&gt;"",$H30-TODAY()&lt;=Setup!$D$24),"Due soon","Open"))))))</f>
        <v>Void</v>
      </c>
      <c r="O30" s="78" t="s">
        <v>284</v>
      </c>
    </row>
    <row r="31" customFormat="false" ht="46.5" hidden="false" customHeight="true" outlineLevel="0" collapsed="false">
      <c r="B31" s="71" t="str">
        <f aca="false">IF($C31="","","R"&amp;TEXT(ROW()-6,"000"))</f>
        <v/>
      </c>
      <c r="C31" s="72"/>
      <c r="D31" s="72"/>
      <c r="E31" s="72"/>
      <c r="F31" s="72"/>
      <c r="G31" s="73"/>
      <c r="H31" s="73"/>
      <c r="I31" s="74" t="str">
        <f aca="false">IF(OR($C31="",$F31="",$G31=""),"",$G31+IF(LEFT($F31,2)="P1",Setup!$D$20,IF(LEFT($F31,2)="P2",Setup!$D$21,IF(LEFT($F31,2)="P3",Setup!$D$22,Setup!$D$23))))</f>
        <v/>
      </c>
      <c r="J31" s="73"/>
      <c r="K31" s="75" t="str">
        <f aca="false">IF(OR($C31="",$J31=""),"",$J31-$G31)</f>
        <v/>
      </c>
      <c r="L31" s="72"/>
      <c r="M31" s="76"/>
      <c r="N31" s="77" t="str">
        <f aca="true">IF($C31="","",IF($M31="Yes","Void",IF($J31&lt;&gt;"",IF(AND($H31&lt;&gt;"",$J31&gt;$H31),"Answered - after it was needed",IF(AND($I31&lt;&gt;"",$J31&gt;$I31),"Answered - outside the period","Answered - in time")),IF(AND($H31&lt;&gt;"",TODAY()&gt;$H31),"OVERDUE - already needed",IF(AND($I31&lt;&gt;"",TODAY()&gt;$I31),"OVERDUE - outside the period",IF(AND($H31&lt;&gt;"",$H31-TODAY()&lt;=Setup!$D$24),"Due soon","Open"))))))</f>
        <v/>
      </c>
      <c r="O31" s="72"/>
    </row>
    <row r="32" customFormat="false" ht="46.5" hidden="false" customHeight="true" outlineLevel="0" collapsed="false">
      <c r="B32" s="71" t="str">
        <f aca="false">IF($C32="","","R"&amp;TEXT(ROW()-6,"000"))</f>
        <v/>
      </c>
      <c r="C32" s="78"/>
      <c r="D32" s="78"/>
      <c r="E32" s="78"/>
      <c r="F32" s="78"/>
      <c r="G32" s="79"/>
      <c r="H32" s="79"/>
      <c r="I32" s="74" t="str">
        <f aca="false">IF(OR($C32="",$F32="",$G32=""),"",$G32+IF(LEFT($F32,2)="P1",Setup!$D$20,IF(LEFT($F32,2)="P2",Setup!$D$21,IF(LEFT($F32,2)="P3",Setup!$D$22,Setup!$D$23))))</f>
        <v/>
      </c>
      <c r="J32" s="79"/>
      <c r="K32" s="75" t="str">
        <f aca="false">IF(OR($C32="",$J32=""),"",$J32-$G32)</f>
        <v/>
      </c>
      <c r="L32" s="78"/>
      <c r="M32" s="80"/>
      <c r="N32" s="77" t="str">
        <f aca="true">IF($C32="","",IF($M32="Yes","Void",IF($J32&lt;&gt;"",IF(AND($H32&lt;&gt;"",$J32&gt;$H32),"Answered - after it was needed",IF(AND($I32&lt;&gt;"",$J32&gt;$I32),"Answered - outside the period","Answered - in time")),IF(AND($H32&lt;&gt;"",TODAY()&gt;$H32),"OVERDUE - already needed",IF(AND($I32&lt;&gt;"",TODAY()&gt;$I32),"OVERDUE - outside the period",IF(AND($H32&lt;&gt;"",$H32-TODAY()&lt;=Setup!$D$24),"Due soon","Open"))))))</f>
        <v/>
      </c>
      <c r="O32" s="78"/>
    </row>
    <row r="33" customFormat="false" ht="46.5" hidden="false" customHeight="true" outlineLevel="0" collapsed="false">
      <c r="B33" s="71" t="str">
        <f aca="false">IF($C33="","","R"&amp;TEXT(ROW()-6,"000"))</f>
        <v/>
      </c>
      <c r="C33" s="72"/>
      <c r="D33" s="72"/>
      <c r="E33" s="72"/>
      <c r="F33" s="72"/>
      <c r="G33" s="73"/>
      <c r="H33" s="73"/>
      <c r="I33" s="74" t="str">
        <f aca="false">IF(OR($C33="",$F33="",$G33=""),"",$G33+IF(LEFT($F33,2)="P1",Setup!$D$20,IF(LEFT($F33,2)="P2",Setup!$D$21,IF(LEFT($F33,2)="P3",Setup!$D$22,Setup!$D$23))))</f>
        <v/>
      </c>
      <c r="J33" s="73"/>
      <c r="K33" s="75" t="str">
        <f aca="false">IF(OR($C33="",$J33=""),"",$J33-$G33)</f>
        <v/>
      </c>
      <c r="L33" s="72"/>
      <c r="M33" s="76"/>
      <c r="N33" s="77" t="str">
        <f aca="true">IF($C33="","",IF($M33="Yes","Void",IF($J33&lt;&gt;"",IF(AND($H33&lt;&gt;"",$J33&gt;$H33),"Answered - after it was needed",IF(AND($I33&lt;&gt;"",$J33&gt;$I33),"Answered - outside the period","Answered - in time")),IF(AND($H33&lt;&gt;"",TODAY()&gt;$H33),"OVERDUE - already needed",IF(AND($I33&lt;&gt;"",TODAY()&gt;$I33),"OVERDUE - outside the period",IF(AND($H33&lt;&gt;"",$H33-TODAY()&lt;=Setup!$D$24),"Due soon","Open"))))))</f>
        <v/>
      </c>
      <c r="O33" s="72"/>
    </row>
    <row r="34" customFormat="false" ht="46.5" hidden="false" customHeight="true" outlineLevel="0" collapsed="false">
      <c r="B34" s="71" t="str">
        <f aca="false">IF($C34="","","R"&amp;TEXT(ROW()-6,"000"))</f>
        <v/>
      </c>
      <c r="C34" s="78"/>
      <c r="D34" s="78"/>
      <c r="E34" s="78"/>
      <c r="F34" s="78"/>
      <c r="G34" s="79"/>
      <c r="H34" s="79"/>
      <c r="I34" s="74" t="str">
        <f aca="false">IF(OR($C34="",$F34="",$G34=""),"",$G34+IF(LEFT($F34,2)="P1",Setup!$D$20,IF(LEFT($F34,2)="P2",Setup!$D$21,IF(LEFT($F34,2)="P3",Setup!$D$22,Setup!$D$23))))</f>
        <v/>
      </c>
      <c r="J34" s="79"/>
      <c r="K34" s="75" t="str">
        <f aca="false">IF(OR($C34="",$J34=""),"",$J34-$G34)</f>
        <v/>
      </c>
      <c r="L34" s="78"/>
      <c r="M34" s="80"/>
      <c r="N34" s="77" t="str">
        <f aca="true">IF($C34="","",IF($M34="Yes","Void",IF($J34&lt;&gt;"",IF(AND($H34&lt;&gt;"",$J34&gt;$H34),"Answered - after it was needed",IF(AND($I34&lt;&gt;"",$J34&gt;$I34),"Answered - outside the period","Answered - in time")),IF(AND($H34&lt;&gt;"",TODAY()&gt;$H34),"OVERDUE - already needed",IF(AND($I34&lt;&gt;"",TODAY()&gt;$I34),"OVERDUE - outside the period",IF(AND($H34&lt;&gt;"",$H34-TODAY()&lt;=Setup!$D$24),"Due soon","Open"))))))</f>
        <v/>
      </c>
      <c r="O34" s="78"/>
    </row>
    <row r="35" customFormat="false" ht="46.5" hidden="false" customHeight="true" outlineLevel="0" collapsed="false">
      <c r="B35" s="71" t="str">
        <f aca="false">IF($C35="","","R"&amp;TEXT(ROW()-6,"000"))</f>
        <v/>
      </c>
      <c r="C35" s="72"/>
      <c r="D35" s="72"/>
      <c r="E35" s="72"/>
      <c r="F35" s="72"/>
      <c r="G35" s="73"/>
      <c r="H35" s="73"/>
      <c r="I35" s="74" t="str">
        <f aca="false">IF(OR($C35="",$F35="",$G35=""),"",$G35+IF(LEFT($F35,2)="P1",Setup!$D$20,IF(LEFT($F35,2)="P2",Setup!$D$21,IF(LEFT($F35,2)="P3",Setup!$D$22,Setup!$D$23))))</f>
        <v/>
      </c>
      <c r="J35" s="73"/>
      <c r="K35" s="75" t="str">
        <f aca="false">IF(OR($C35="",$J35=""),"",$J35-$G35)</f>
        <v/>
      </c>
      <c r="L35" s="72"/>
      <c r="M35" s="76"/>
      <c r="N35" s="77" t="str">
        <f aca="true">IF($C35="","",IF($M35="Yes","Void",IF($J35&lt;&gt;"",IF(AND($H35&lt;&gt;"",$J35&gt;$H35),"Answered - after it was needed",IF(AND($I35&lt;&gt;"",$J35&gt;$I35),"Answered - outside the period","Answered - in time")),IF(AND($H35&lt;&gt;"",TODAY()&gt;$H35),"OVERDUE - already needed",IF(AND($I35&lt;&gt;"",TODAY()&gt;$I35),"OVERDUE - outside the period",IF(AND($H35&lt;&gt;"",$H35-TODAY()&lt;=Setup!$D$24),"Due soon","Open"))))))</f>
        <v/>
      </c>
      <c r="O35" s="72"/>
    </row>
    <row r="36" customFormat="false" ht="46.5" hidden="false" customHeight="true" outlineLevel="0" collapsed="false">
      <c r="B36" s="71" t="str">
        <f aca="false">IF($C36="","","R"&amp;TEXT(ROW()-6,"000"))</f>
        <v/>
      </c>
      <c r="C36" s="78"/>
      <c r="D36" s="78"/>
      <c r="E36" s="78"/>
      <c r="F36" s="78"/>
      <c r="G36" s="79"/>
      <c r="H36" s="79"/>
      <c r="I36" s="74" t="str">
        <f aca="false">IF(OR($C36="",$F36="",$G36=""),"",$G36+IF(LEFT($F36,2)="P1",Setup!$D$20,IF(LEFT($F36,2)="P2",Setup!$D$21,IF(LEFT($F36,2)="P3",Setup!$D$22,Setup!$D$23))))</f>
        <v/>
      </c>
      <c r="J36" s="79"/>
      <c r="K36" s="75" t="str">
        <f aca="false">IF(OR($C36="",$J36=""),"",$J36-$G36)</f>
        <v/>
      </c>
      <c r="L36" s="78"/>
      <c r="M36" s="80"/>
      <c r="N36" s="77" t="str">
        <f aca="true">IF($C36="","",IF($M36="Yes","Void",IF($J36&lt;&gt;"",IF(AND($H36&lt;&gt;"",$J36&gt;$H36),"Answered - after it was needed",IF(AND($I36&lt;&gt;"",$J36&gt;$I36),"Answered - outside the period","Answered - in time")),IF(AND($H36&lt;&gt;"",TODAY()&gt;$H36),"OVERDUE - already needed",IF(AND($I36&lt;&gt;"",TODAY()&gt;$I36),"OVERDUE - outside the period",IF(AND($H36&lt;&gt;"",$H36-TODAY()&lt;=Setup!$D$24),"Due soon","Open"))))))</f>
        <v/>
      </c>
      <c r="O36" s="78"/>
    </row>
    <row r="38" customFormat="false" ht="15" hidden="false" customHeight="true" outlineLevel="0" collapsed="false">
      <c r="B38" s="40" t="s">
        <v>285</v>
      </c>
      <c r="C38" s="40"/>
      <c r="D38" s="40"/>
      <c r="E38" s="40"/>
      <c r="F38" s="40"/>
      <c r="G38" s="40"/>
      <c r="H38" s="40"/>
      <c r="I38" s="40"/>
      <c r="J38" s="40"/>
      <c r="K38" s="40"/>
      <c r="L38" s="40"/>
    </row>
    <row r="39" customFormat="false" ht="15" hidden="false" customHeight="true" outlineLevel="0" collapsed="false">
      <c r="B39" s="40"/>
      <c r="C39" s="40"/>
      <c r="D39" s="40"/>
      <c r="E39" s="40"/>
      <c r="F39" s="40"/>
      <c r="G39" s="40"/>
      <c r="H39" s="40"/>
      <c r="I39" s="40"/>
      <c r="J39" s="40"/>
      <c r="K39" s="40"/>
      <c r="L39" s="40"/>
    </row>
    <row r="40" customFormat="false" ht="18" hidden="false" customHeight="true" outlineLevel="0" collapsed="false">
      <c r="B40" s="48" t="s">
        <v>127</v>
      </c>
      <c r="C40" s="48"/>
      <c r="D40" s="48"/>
      <c r="E40" s="48"/>
      <c r="F40" s="48"/>
      <c r="G40" s="48"/>
      <c r="H40" s="48"/>
      <c r="I40" s="48"/>
      <c r="J40" s="48"/>
      <c r="K40" s="48"/>
      <c r="L40" s="48"/>
      <c r="M40" s="48"/>
      <c r="N40" s="48"/>
      <c r="O40" s="48"/>
    </row>
  </sheetData>
  <autoFilter ref="B6:O36"/>
  <mergeCells count="6">
    <mergeCell ref="B1:O1"/>
    <mergeCell ref="B2:O2"/>
    <mergeCell ref="B3:O3"/>
    <mergeCell ref="B4:O4"/>
    <mergeCell ref="B38:L39"/>
    <mergeCell ref="B40:O40"/>
  </mergeCells>
  <conditionalFormatting sqref="B3:O3">
    <cfRule type="expression" priority="2" aboveAverage="0" equalAverage="0" bottom="0" percent="0" rank="0" text="" dxfId="0">
      <formula>LEN($B$3)&gt;0</formula>
    </cfRule>
  </conditionalFormatting>
  <conditionalFormatting sqref="B7:O36">
    <cfRule type="expression" priority="3" aboveAverage="0" equalAverage="0" bottom="0" percent="0" rank="0" text="" dxfId="14">
      <formula>$N7="Void"</formula>
    </cfRule>
    <cfRule type="expression" priority="4" aboveAverage="0" equalAverage="0" bottom="0" percent="0" rank="0" text="" dxfId="1">
      <formula>$N7="OVERDUE - already needed"</formula>
    </cfRule>
    <cfRule type="expression" priority="5" aboveAverage="0" equalAverage="0" bottom="0" percent="0" rank="0" text="" dxfId="1">
      <formula>$N7="Answered - after it was needed"</formula>
    </cfRule>
    <cfRule type="expression" priority="6" aboveAverage="0" equalAverage="0" bottom="0" percent="0" rank="0" text="" dxfId="15">
      <formula>$N7="OVERDUE - outside the period"</formula>
    </cfRule>
    <cfRule type="expression" priority="7" aboveAverage="0" equalAverage="0" bottom="0" percent="0" rank="0" text="" dxfId="0">
      <formula>$N7="Due soon"</formula>
    </cfRule>
    <cfRule type="expression" priority="8" aboveAverage="0" equalAverage="0" bottom="0" percent="0" rank="0" text="" dxfId="0">
      <formula>$N7="Answered - outside the period"</formula>
    </cfRule>
    <cfRule type="expression" priority="9" aboveAverage="0" equalAverage="0" bottom="0" percent="0" rank="0" text="" dxfId="16">
      <formula>$N7="Answered - in time"</formula>
    </cfRule>
  </conditionalFormatting>
  <dataValidations count="151">
    <dataValidation allowBlank="true" errorStyle="stop" operator="between" showDropDown="false" showErrorMessage="false" showInputMessage="false" sqref="D7" type="list">
      <formula1>Reference!$D$107:$D$118</formula1>
      <formula2>0</formula2>
    </dataValidation>
    <dataValidation allowBlank="true" errorStyle="stop" operator="between" showDropDown="false" showErrorMessage="false" showInputMessage="false" sqref="E7" type="list">
      <formula1>Reference!$B$107:$B$114</formula1>
      <formula2>0</formula2>
    </dataValidation>
    <dataValidation allowBlank="true" errorStyle="stop" operator="between" showDropDown="false" showErrorMessage="false" showInputMessage="false" sqref="F7" type="list">
      <formula1>Reference!$E$107:$E$110</formula1>
      <formula2>0</formula2>
    </dataValidation>
    <dataValidation allowBlank="true" errorStyle="stop" operator="between" showDropDown="false" showErrorMessage="false" showInputMessage="false" sqref="L7" type="list">
      <formula1>Reference!$C$107:$C$113</formula1>
      <formula2>0</formula2>
    </dataValidation>
    <dataValidation allowBlank="true" errorStyle="stop" operator="between" showDropDown="false" showErrorMessage="false" showInputMessage="false" sqref="M7" type="list">
      <formula1>Reference!$F$107:$F$108</formula1>
      <formula2>0</formula2>
    </dataValidation>
    <dataValidation allowBlank="true" errorStyle="stop" operator="between" showDropDown="false" showErrorMessage="false" showInputMessage="false" sqref="D8" type="list">
      <formula1>Reference!$D$107:$D$118</formula1>
      <formula2>0</formula2>
    </dataValidation>
    <dataValidation allowBlank="true" errorStyle="stop" operator="between" showDropDown="false" showErrorMessage="false" showInputMessage="false" sqref="E8" type="list">
      <formula1>Reference!$B$107:$B$114</formula1>
      <formula2>0</formula2>
    </dataValidation>
    <dataValidation allowBlank="true" errorStyle="stop" operator="between" showDropDown="false" showErrorMessage="false" showInputMessage="false" sqref="F8" type="list">
      <formula1>Reference!$E$107:$E$110</formula1>
      <formula2>0</formula2>
    </dataValidation>
    <dataValidation allowBlank="true" errorStyle="stop" operator="between" showDropDown="false" showErrorMessage="false" showInputMessage="false" sqref="L8" type="list">
      <formula1>Reference!$C$107:$C$113</formula1>
      <formula2>0</formula2>
    </dataValidation>
    <dataValidation allowBlank="true" errorStyle="stop" operator="between" showDropDown="false" showErrorMessage="false" showInputMessage="false" sqref="M8" type="list">
      <formula1>Reference!$F$107:$F$108</formula1>
      <formula2>0</formula2>
    </dataValidation>
    <dataValidation allowBlank="true" errorStyle="stop" operator="between" showDropDown="false" showErrorMessage="false" showInputMessage="false" sqref="D9" type="list">
      <formula1>Reference!$D$107:$D$118</formula1>
      <formula2>0</formula2>
    </dataValidation>
    <dataValidation allowBlank="true" errorStyle="stop" operator="between" showDropDown="false" showErrorMessage="false" showInputMessage="false" sqref="E9" type="list">
      <formula1>Reference!$B$107:$B$114</formula1>
      <formula2>0</formula2>
    </dataValidation>
    <dataValidation allowBlank="true" errorStyle="stop" operator="between" showDropDown="false" showErrorMessage="false" showInputMessage="false" sqref="F9" type="list">
      <formula1>Reference!$E$107:$E$110</formula1>
      <formula2>0</formula2>
    </dataValidation>
    <dataValidation allowBlank="true" errorStyle="stop" operator="between" showDropDown="false" showErrorMessage="false" showInputMessage="false" sqref="L9" type="list">
      <formula1>Reference!$C$107:$C$113</formula1>
      <formula2>0</formula2>
    </dataValidation>
    <dataValidation allowBlank="true" errorStyle="stop" operator="between" showDropDown="false" showErrorMessage="false" showInputMessage="false" sqref="M9" type="list">
      <formula1>Reference!$F$107:$F$108</formula1>
      <formula2>0</formula2>
    </dataValidation>
    <dataValidation allowBlank="true" errorStyle="stop" operator="between" showDropDown="false" showErrorMessage="false" showInputMessage="false" sqref="D10" type="list">
      <formula1>Reference!$D$107:$D$118</formula1>
      <formula2>0</formula2>
    </dataValidation>
    <dataValidation allowBlank="true" errorStyle="stop" operator="between" showDropDown="false" showErrorMessage="false" showInputMessage="false" sqref="E10" type="list">
      <formula1>Reference!$B$107:$B$114</formula1>
      <formula2>0</formula2>
    </dataValidation>
    <dataValidation allowBlank="true" errorStyle="stop" operator="between" showDropDown="false" showErrorMessage="false" showInputMessage="false" sqref="F10" type="list">
      <formula1>Reference!$E$107:$E$110</formula1>
      <formula2>0</formula2>
    </dataValidation>
    <dataValidation allowBlank="true" errorStyle="stop" operator="between" showDropDown="false" showErrorMessage="false" showInputMessage="false" sqref="L10" type="list">
      <formula1>Reference!$C$107:$C$113</formula1>
      <formula2>0</formula2>
    </dataValidation>
    <dataValidation allowBlank="true" errorStyle="stop" operator="between" showDropDown="false" showErrorMessage="false" showInputMessage="false" sqref="M10" type="list">
      <formula1>Reference!$F$107:$F$108</formula1>
      <formula2>0</formula2>
    </dataValidation>
    <dataValidation allowBlank="true" errorStyle="stop" operator="between" showDropDown="false" showErrorMessage="false" showInputMessage="false" sqref="D11" type="list">
      <formula1>Reference!$D$107:$D$118</formula1>
      <formula2>0</formula2>
    </dataValidation>
    <dataValidation allowBlank="true" errorStyle="stop" operator="between" showDropDown="false" showErrorMessage="false" showInputMessage="false" sqref="E11" type="list">
      <formula1>Reference!$B$107:$B$114</formula1>
      <formula2>0</formula2>
    </dataValidation>
    <dataValidation allowBlank="true" errorStyle="stop" operator="between" showDropDown="false" showErrorMessage="false" showInputMessage="false" sqref="F11" type="list">
      <formula1>Reference!$E$107:$E$110</formula1>
      <formula2>0</formula2>
    </dataValidation>
    <dataValidation allowBlank="true" errorStyle="stop" operator="between" showDropDown="false" showErrorMessage="false" showInputMessage="false" sqref="L11" type="list">
      <formula1>Reference!$C$107:$C$113</formula1>
      <formula2>0</formula2>
    </dataValidation>
    <dataValidation allowBlank="true" errorStyle="stop" operator="between" showDropDown="false" showErrorMessage="false" showInputMessage="false" sqref="M11" type="list">
      <formula1>Reference!$F$107:$F$108</formula1>
      <formula2>0</formula2>
    </dataValidation>
    <dataValidation allowBlank="true" errorStyle="stop" operator="between" showDropDown="false" showErrorMessage="false" showInputMessage="false" sqref="D12" type="list">
      <formula1>Reference!$D$107:$D$118</formula1>
      <formula2>0</formula2>
    </dataValidation>
    <dataValidation allowBlank="true" errorStyle="stop" operator="between" showDropDown="false" showErrorMessage="false" showInputMessage="false" sqref="E12" type="list">
      <formula1>Reference!$B$107:$B$114</formula1>
      <formula2>0</formula2>
    </dataValidation>
    <dataValidation allowBlank="true" errorStyle="stop" operator="between" showDropDown="false" showErrorMessage="false" showInputMessage="false" sqref="F12" type="list">
      <formula1>Reference!$E$107:$E$110</formula1>
      <formula2>0</formula2>
    </dataValidation>
    <dataValidation allowBlank="true" errorStyle="stop" operator="between" showDropDown="false" showErrorMessage="false" showInputMessage="false" sqref="L12" type="list">
      <formula1>Reference!$C$107:$C$113</formula1>
      <formula2>0</formula2>
    </dataValidation>
    <dataValidation allowBlank="true" errorStyle="stop" operator="between" showDropDown="false" showErrorMessage="false" showInputMessage="false" sqref="M12" type="list">
      <formula1>Reference!$F$107:$F$108</formula1>
      <formula2>0</formula2>
    </dataValidation>
    <dataValidation allowBlank="true" errorStyle="stop" operator="between" showDropDown="false" showErrorMessage="false" showInputMessage="false" sqref="D13" type="list">
      <formula1>Reference!$D$107:$D$118</formula1>
      <formula2>0</formula2>
    </dataValidation>
    <dataValidation allowBlank="true" errorStyle="stop" operator="between" showDropDown="false" showErrorMessage="false" showInputMessage="false" sqref="E13" type="list">
      <formula1>Reference!$B$107:$B$114</formula1>
      <formula2>0</formula2>
    </dataValidation>
    <dataValidation allowBlank="true" errorStyle="stop" operator="between" showDropDown="false" showErrorMessage="false" showInputMessage="false" sqref="F13" type="list">
      <formula1>Reference!$E$107:$E$110</formula1>
      <formula2>0</formula2>
    </dataValidation>
    <dataValidation allowBlank="true" errorStyle="stop" operator="between" showDropDown="false" showErrorMessage="false" showInputMessage="false" sqref="L13" type="list">
      <formula1>Reference!$C$107:$C$113</formula1>
      <formula2>0</formula2>
    </dataValidation>
    <dataValidation allowBlank="true" errorStyle="stop" operator="between" showDropDown="false" showErrorMessage="false" showInputMessage="false" sqref="M13" type="list">
      <formula1>Reference!$F$107:$F$108</formula1>
      <formula2>0</formula2>
    </dataValidation>
    <dataValidation allowBlank="true" errorStyle="stop" operator="between" showDropDown="false" showErrorMessage="false" showInputMessage="false" sqref="D14" type="list">
      <formula1>Reference!$D$107:$D$118</formula1>
      <formula2>0</formula2>
    </dataValidation>
    <dataValidation allowBlank="true" errorStyle="stop" operator="between" showDropDown="false" showErrorMessage="false" showInputMessage="false" sqref="E14" type="list">
      <formula1>Reference!$B$107:$B$114</formula1>
      <formula2>0</formula2>
    </dataValidation>
    <dataValidation allowBlank="true" errorStyle="stop" operator="between" showDropDown="false" showErrorMessage="false" showInputMessage="false" sqref="F14" type="list">
      <formula1>Reference!$E$107:$E$110</formula1>
      <formula2>0</formula2>
    </dataValidation>
    <dataValidation allowBlank="true" errorStyle="stop" operator="between" showDropDown="false" showErrorMessage="false" showInputMessage="false" sqref="L14" type="list">
      <formula1>Reference!$C$107:$C$113</formula1>
      <formula2>0</formula2>
    </dataValidation>
    <dataValidation allowBlank="true" errorStyle="stop" operator="between" showDropDown="false" showErrorMessage="false" showInputMessage="false" sqref="M14" type="list">
      <formula1>Reference!$F$107:$F$108</formula1>
      <formula2>0</formula2>
    </dataValidation>
    <dataValidation allowBlank="true" errorStyle="stop" operator="between" showDropDown="false" showErrorMessage="false" showInputMessage="false" sqref="D15" type="list">
      <formula1>Reference!$D$107:$D$118</formula1>
      <formula2>0</formula2>
    </dataValidation>
    <dataValidation allowBlank="true" errorStyle="stop" operator="between" showDropDown="false" showErrorMessage="false" showInputMessage="false" sqref="E15" type="list">
      <formula1>Reference!$B$107:$B$114</formula1>
      <formula2>0</formula2>
    </dataValidation>
    <dataValidation allowBlank="true" errorStyle="stop" operator="between" showDropDown="false" showErrorMessage="false" showInputMessage="false" sqref="F15" type="list">
      <formula1>Reference!$E$107:$E$110</formula1>
      <formula2>0</formula2>
    </dataValidation>
    <dataValidation allowBlank="true" errorStyle="stop" operator="between" showDropDown="false" showErrorMessage="false" showInputMessage="false" sqref="L15" type="list">
      <formula1>Reference!$C$107:$C$113</formula1>
      <formula2>0</formula2>
    </dataValidation>
    <dataValidation allowBlank="true" errorStyle="stop" operator="between" showDropDown="false" showErrorMessage="false" showInputMessage="false" sqref="M15" type="list">
      <formula1>Reference!$F$107:$F$108</formula1>
      <formula2>0</formula2>
    </dataValidation>
    <dataValidation allowBlank="true" errorStyle="stop" operator="between" showDropDown="false" showErrorMessage="false" showInputMessage="false" sqref="D16" type="list">
      <formula1>Reference!$D$107:$D$118</formula1>
      <formula2>0</formula2>
    </dataValidation>
    <dataValidation allowBlank="true" errorStyle="stop" operator="between" showDropDown="false" showErrorMessage="false" showInputMessage="false" sqref="E16" type="list">
      <formula1>Reference!$B$107:$B$114</formula1>
      <formula2>0</formula2>
    </dataValidation>
    <dataValidation allowBlank="true" errorStyle="stop" operator="between" showDropDown="false" showErrorMessage="false" showInputMessage="false" sqref="F16" type="list">
      <formula1>Reference!$E$107:$E$110</formula1>
      <formula2>0</formula2>
    </dataValidation>
    <dataValidation allowBlank="true" errorStyle="stop" operator="between" showDropDown="false" showErrorMessage="false" showInputMessage="false" sqref="L16" type="list">
      <formula1>Reference!$C$107:$C$113</formula1>
      <formula2>0</formula2>
    </dataValidation>
    <dataValidation allowBlank="true" errorStyle="stop" operator="between" showDropDown="false" showErrorMessage="false" showInputMessage="false" sqref="M16" type="list">
      <formula1>Reference!$F$107:$F$108</formula1>
      <formula2>0</formula2>
    </dataValidation>
    <dataValidation allowBlank="true" errorStyle="stop" operator="between" showDropDown="false" showErrorMessage="false" showInputMessage="false" sqref="D17" type="list">
      <formula1>Reference!$D$107:$D$118</formula1>
      <formula2>0</formula2>
    </dataValidation>
    <dataValidation allowBlank="true" errorStyle="stop" operator="between" showDropDown="false" showErrorMessage="false" showInputMessage="false" sqref="E17" type="list">
      <formula1>Reference!$B$107:$B$114</formula1>
      <formula2>0</formula2>
    </dataValidation>
    <dataValidation allowBlank="true" errorStyle="stop" operator="between" showDropDown="false" showErrorMessage="false" showInputMessage="false" sqref="F17" type="list">
      <formula1>Reference!$E$107:$E$110</formula1>
      <formula2>0</formula2>
    </dataValidation>
    <dataValidation allowBlank="true" errorStyle="stop" operator="between" showDropDown="false" showErrorMessage="false" showInputMessage="false" sqref="L17" type="list">
      <formula1>Reference!$C$107:$C$113</formula1>
      <formula2>0</formula2>
    </dataValidation>
    <dataValidation allowBlank="true" errorStyle="stop" operator="between" showDropDown="false" showErrorMessage="false" showInputMessage="false" sqref="M17" type="list">
      <formula1>Reference!$F$107:$F$108</formula1>
      <formula2>0</formula2>
    </dataValidation>
    <dataValidation allowBlank="true" errorStyle="stop" operator="between" showDropDown="false" showErrorMessage="false" showInputMessage="false" sqref="D18" type="list">
      <formula1>Reference!$D$107:$D$118</formula1>
      <formula2>0</formula2>
    </dataValidation>
    <dataValidation allowBlank="true" errorStyle="stop" operator="between" showDropDown="false" showErrorMessage="false" showInputMessage="false" sqref="E18" type="list">
      <formula1>Reference!$B$107:$B$114</formula1>
      <formula2>0</formula2>
    </dataValidation>
    <dataValidation allowBlank="true" errorStyle="stop" operator="between" showDropDown="false" showErrorMessage="false" showInputMessage="false" sqref="F18" type="list">
      <formula1>Reference!$E$107:$E$110</formula1>
      <formula2>0</formula2>
    </dataValidation>
    <dataValidation allowBlank="true" errorStyle="stop" operator="between" showDropDown="false" showErrorMessage="false" showInputMessage="false" sqref="L18" type="list">
      <formula1>Reference!$C$107:$C$113</formula1>
      <formula2>0</formula2>
    </dataValidation>
    <dataValidation allowBlank="true" errorStyle="stop" operator="between" showDropDown="false" showErrorMessage="false" showInputMessage="false" sqref="M18" type="list">
      <formula1>Reference!$F$107:$F$108</formula1>
      <formula2>0</formula2>
    </dataValidation>
    <dataValidation allowBlank="true" errorStyle="stop" operator="between" showDropDown="false" showErrorMessage="false" showInputMessage="false" sqref="D19" type="list">
      <formula1>Reference!$D$107:$D$118</formula1>
      <formula2>0</formula2>
    </dataValidation>
    <dataValidation allowBlank="true" errorStyle="stop" operator="between" showDropDown="false" showErrorMessage="false" showInputMessage="false" sqref="E19" type="list">
      <formula1>Reference!$B$107:$B$114</formula1>
      <formula2>0</formula2>
    </dataValidation>
    <dataValidation allowBlank="true" errorStyle="stop" operator="between" showDropDown="false" showErrorMessage="false" showInputMessage="false" sqref="F19" type="list">
      <formula1>Reference!$E$107:$E$110</formula1>
      <formula2>0</formula2>
    </dataValidation>
    <dataValidation allowBlank="true" errorStyle="stop" operator="between" showDropDown="false" showErrorMessage="false" showInputMessage="false" sqref="L19" type="list">
      <formula1>Reference!$C$107:$C$113</formula1>
      <formula2>0</formula2>
    </dataValidation>
    <dataValidation allowBlank="true" errorStyle="stop" operator="between" showDropDown="false" showErrorMessage="false" showInputMessage="false" sqref="M19" type="list">
      <formula1>Reference!$F$107:$F$108</formula1>
      <formula2>0</formula2>
    </dataValidation>
    <dataValidation allowBlank="true" errorStyle="stop" operator="between" showDropDown="false" showErrorMessage="false" showInputMessage="false" sqref="D20" type="list">
      <formula1>Reference!$D$107:$D$118</formula1>
      <formula2>0</formula2>
    </dataValidation>
    <dataValidation allowBlank="true" errorStyle="stop" operator="between" showDropDown="false" showErrorMessage="false" showInputMessage="false" sqref="E20" type="list">
      <formula1>Reference!$B$107:$B$114</formula1>
      <formula2>0</formula2>
    </dataValidation>
    <dataValidation allowBlank="true" errorStyle="stop" operator="between" showDropDown="false" showErrorMessage="false" showInputMessage="false" sqref="F20" type="list">
      <formula1>Reference!$E$107:$E$110</formula1>
      <formula2>0</formula2>
    </dataValidation>
    <dataValidation allowBlank="true" errorStyle="stop" operator="between" showDropDown="false" showErrorMessage="false" showInputMessage="false" sqref="L20" type="list">
      <formula1>Reference!$C$107:$C$113</formula1>
      <formula2>0</formula2>
    </dataValidation>
    <dataValidation allowBlank="true" errorStyle="stop" operator="between" showDropDown="false" showErrorMessage="false" showInputMessage="false" sqref="M20" type="list">
      <formula1>Reference!$F$107:$F$108</formula1>
      <formula2>0</formula2>
    </dataValidation>
    <dataValidation allowBlank="true" errorStyle="stop" operator="between" showDropDown="false" showErrorMessage="false" showInputMessage="false" sqref="D21" type="list">
      <formula1>Reference!$D$107:$D$118</formula1>
      <formula2>0</formula2>
    </dataValidation>
    <dataValidation allowBlank="true" errorStyle="stop" operator="between" showDropDown="false" showErrorMessage="false" showInputMessage="false" sqref="E21" type="list">
      <formula1>Reference!$B$107:$B$114</formula1>
      <formula2>0</formula2>
    </dataValidation>
    <dataValidation allowBlank="true" errorStyle="stop" operator="between" showDropDown="false" showErrorMessage="false" showInputMessage="false" sqref="F21" type="list">
      <formula1>Reference!$E$107:$E$110</formula1>
      <formula2>0</formula2>
    </dataValidation>
    <dataValidation allowBlank="true" errorStyle="stop" operator="between" showDropDown="false" showErrorMessage="false" showInputMessage="false" sqref="L21" type="list">
      <formula1>Reference!$C$107:$C$113</formula1>
      <formula2>0</formula2>
    </dataValidation>
    <dataValidation allowBlank="true" errorStyle="stop" operator="between" showDropDown="false" showErrorMessage="false" showInputMessage="false" sqref="M21" type="list">
      <formula1>Reference!$F$107:$F$108</formula1>
      <formula2>0</formula2>
    </dataValidation>
    <dataValidation allowBlank="true" errorStyle="stop" operator="between" showDropDown="false" showErrorMessage="false" showInputMessage="false" sqref="D22" type="list">
      <formula1>Reference!$D$107:$D$118</formula1>
      <formula2>0</formula2>
    </dataValidation>
    <dataValidation allowBlank="true" errorStyle="stop" operator="between" showDropDown="false" showErrorMessage="false" showInputMessage="false" sqref="E22" type="list">
      <formula1>Reference!$B$107:$B$114</formula1>
      <formula2>0</formula2>
    </dataValidation>
    <dataValidation allowBlank="true" errorStyle="stop" operator="between" showDropDown="false" showErrorMessage="false" showInputMessage="false" sqref="F22" type="list">
      <formula1>Reference!$E$107:$E$110</formula1>
      <formula2>0</formula2>
    </dataValidation>
    <dataValidation allowBlank="true" errorStyle="stop" operator="between" showDropDown="false" showErrorMessage="false" showInputMessage="false" sqref="L22" type="list">
      <formula1>Reference!$C$107:$C$113</formula1>
      <formula2>0</formula2>
    </dataValidation>
    <dataValidation allowBlank="true" errorStyle="stop" operator="between" showDropDown="false" showErrorMessage="false" showInputMessage="false" sqref="M22" type="list">
      <formula1>Reference!$F$107:$F$108</formula1>
      <formula2>0</formula2>
    </dataValidation>
    <dataValidation allowBlank="true" errorStyle="stop" operator="between" showDropDown="false" showErrorMessage="false" showInputMessage="false" sqref="D23" type="list">
      <formula1>Reference!$D$107:$D$118</formula1>
      <formula2>0</formula2>
    </dataValidation>
    <dataValidation allowBlank="true" errorStyle="stop" operator="between" showDropDown="false" showErrorMessage="false" showInputMessage="false" sqref="E23" type="list">
      <formula1>Reference!$B$107:$B$114</formula1>
      <formula2>0</formula2>
    </dataValidation>
    <dataValidation allowBlank="true" errorStyle="stop" operator="between" showDropDown="false" showErrorMessage="false" showInputMessage="false" sqref="F23" type="list">
      <formula1>Reference!$E$107:$E$110</formula1>
      <formula2>0</formula2>
    </dataValidation>
    <dataValidation allowBlank="true" errorStyle="stop" operator="between" showDropDown="false" showErrorMessage="false" showInputMessage="false" sqref="L23" type="list">
      <formula1>Reference!$C$107:$C$113</formula1>
      <formula2>0</formula2>
    </dataValidation>
    <dataValidation allowBlank="true" errorStyle="stop" operator="between" showDropDown="false" showErrorMessage="false" showInputMessage="false" sqref="M23" type="list">
      <formula1>Reference!$F$107:$F$108</formula1>
      <formula2>0</formula2>
    </dataValidation>
    <dataValidation allowBlank="true" errorStyle="stop" operator="between" showDropDown="false" showErrorMessage="false" showInputMessage="false" sqref="D24" type="list">
      <formula1>Reference!$D$107:$D$118</formula1>
      <formula2>0</formula2>
    </dataValidation>
    <dataValidation allowBlank="true" errorStyle="stop" operator="between" showDropDown="false" showErrorMessage="false" showInputMessage="false" sqref="E24" type="list">
      <formula1>Reference!$B$107:$B$114</formula1>
      <formula2>0</formula2>
    </dataValidation>
    <dataValidation allowBlank="true" errorStyle="stop" operator="between" showDropDown="false" showErrorMessage="false" showInputMessage="false" sqref="F24" type="list">
      <formula1>Reference!$E$107:$E$110</formula1>
      <formula2>0</formula2>
    </dataValidation>
    <dataValidation allowBlank="true" errorStyle="stop" operator="between" showDropDown="false" showErrorMessage="false" showInputMessage="false" sqref="L24" type="list">
      <formula1>Reference!$C$107:$C$113</formula1>
      <formula2>0</formula2>
    </dataValidation>
    <dataValidation allowBlank="true" errorStyle="stop" operator="between" showDropDown="false" showErrorMessage="false" showInputMessage="false" sqref="M24" type="list">
      <formula1>Reference!$F$107:$F$108</formula1>
      <formula2>0</formula2>
    </dataValidation>
    <dataValidation allowBlank="true" errorStyle="stop" operator="between" showDropDown="false" showErrorMessage="false" showInputMessage="false" sqref="D25" type="list">
      <formula1>Reference!$D$107:$D$118</formula1>
      <formula2>0</formula2>
    </dataValidation>
    <dataValidation allowBlank="true" errorStyle="stop" operator="between" showDropDown="false" showErrorMessage="false" showInputMessage="false" sqref="E25" type="list">
      <formula1>Reference!$B$107:$B$114</formula1>
      <formula2>0</formula2>
    </dataValidation>
    <dataValidation allowBlank="true" errorStyle="stop" operator="between" showDropDown="false" showErrorMessage="false" showInputMessage="false" sqref="F25" type="list">
      <formula1>Reference!$E$107:$E$110</formula1>
      <formula2>0</formula2>
    </dataValidation>
    <dataValidation allowBlank="true" errorStyle="stop" operator="between" showDropDown="false" showErrorMessage="false" showInputMessage="false" sqref="L25" type="list">
      <formula1>Reference!$C$107:$C$113</formula1>
      <formula2>0</formula2>
    </dataValidation>
    <dataValidation allowBlank="true" errorStyle="stop" operator="between" showDropDown="false" showErrorMessage="false" showInputMessage="false" sqref="M25" type="list">
      <formula1>Reference!$F$107:$F$108</formula1>
      <formula2>0</formula2>
    </dataValidation>
    <dataValidation allowBlank="true" errorStyle="stop" operator="between" showDropDown="false" showErrorMessage="false" showInputMessage="false" sqref="D26" type="list">
      <formula1>Reference!$D$107:$D$118</formula1>
      <formula2>0</formula2>
    </dataValidation>
    <dataValidation allowBlank="true" errorStyle="stop" operator="between" showDropDown="false" showErrorMessage="false" showInputMessage="false" sqref="E26" type="list">
      <formula1>Reference!$B$107:$B$114</formula1>
      <formula2>0</formula2>
    </dataValidation>
    <dataValidation allowBlank="true" errorStyle="stop" operator="between" showDropDown="false" showErrorMessage="false" showInputMessage="false" sqref="F26" type="list">
      <formula1>Reference!$E$107:$E$110</formula1>
      <formula2>0</formula2>
    </dataValidation>
    <dataValidation allowBlank="true" errorStyle="stop" operator="between" showDropDown="false" showErrorMessage="false" showInputMessage="false" sqref="L26" type="list">
      <formula1>Reference!$C$107:$C$113</formula1>
      <formula2>0</formula2>
    </dataValidation>
    <dataValidation allowBlank="true" errorStyle="stop" operator="between" showDropDown="false" showErrorMessage="false" showInputMessage="false" sqref="M26" type="list">
      <formula1>Reference!$F$107:$F$108</formula1>
      <formula2>0</formula2>
    </dataValidation>
    <dataValidation allowBlank="true" errorStyle="stop" operator="between" showDropDown="false" showErrorMessage="false" showInputMessage="false" sqref="D27" type="list">
      <formula1>Reference!$D$107:$D$118</formula1>
      <formula2>0</formula2>
    </dataValidation>
    <dataValidation allowBlank="true" errorStyle="stop" operator="between" showDropDown="false" showErrorMessage="false" showInputMessage="false" sqref="E27" type="list">
      <formula1>Reference!$B$107:$B$114</formula1>
      <formula2>0</formula2>
    </dataValidation>
    <dataValidation allowBlank="true" errorStyle="stop" operator="between" showDropDown="false" showErrorMessage="false" showInputMessage="false" sqref="F27" type="list">
      <formula1>Reference!$E$107:$E$110</formula1>
      <formula2>0</formula2>
    </dataValidation>
    <dataValidation allowBlank="true" errorStyle="stop" operator="between" showDropDown="false" showErrorMessage="false" showInputMessage="false" sqref="L27" type="list">
      <formula1>Reference!$C$107:$C$113</formula1>
      <formula2>0</formula2>
    </dataValidation>
    <dataValidation allowBlank="true" errorStyle="stop" operator="between" showDropDown="false" showErrorMessage="false" showInputMessage="false" sqref="M27" type="list">
      <formula1>Reference!$F$107:$F$108</formula1>
      <formula2>0</formula2>
    </dataValidation>
    <dataValidation allowBlank="true" errorStyle="stop" operator="between" showDropDown="false" showErrorMessage="false" showInputMessage="false" sqref="D28" type="list">
      <formula1>Reference!$D$107:$D$118</formula1>
      <formula2>0</formula2>
    </dataValidation>
    <dataValidation allowBlank="true" errorStyle="stop" operator="between" showDropDown="false" showErrorMessage="false" showInputMessage="false" sqref="E28" type="list">
      <formula1>Reference!$B$107:$B$114</formula1>
      <formula2>0</formula2>
    </dataValidation>
    <dataValidation allowBlank="true" errorStyle="stop" operator="between" showDropDown="false" showErrorMessage="false" showInputMessage="false" sqref="F28" type="list">
      <formula1>Reference!$E$107:$E$110</formula1>
      <formula2>0</formula2>
    </dataValidation>
    <dataValidation allowBlank="true" errorStyle="stop" operator="between" showDropDown="false" showErrorMessage="false" showInputMessage="false" sqref="L28" type="list">
      <formula1>Reference!$C$107:$C$113</formula1>
      <formula2>0</formula2>
    </dataValidation>
    <dataValidation allowBlank="true" errorStyle="stop" operator="between" showDropDown="false" showErrorMessage="false" showInputMessage="false" sqref="M28" type="list">
      <formula1>Reference!$F$107:$F$108</formula1>
      <formula2>0</formula2>
    </dataValidation>
    <dataValidation allowBlank="true" errorStyle="stop" operator="between" showDropDown="false" showErrorMessage="false" showInputMessage="false" sqref="D29" type="list">
      <formula1>Reference!$D$107:$D$118</formula1>
      <formula2>0</formula2>
    </dataValidation>
    <dataValidation allowBlank="true" errorStyle="stop" operator="between" showDropDown="false" showErrorMessage="false" showInputMessage="false" sqref="E29" type="list">
      <formula1>Reference!$B$107:$B$114</formula1>
      <formula2>0</formula2>
    </dataValidation>
    <dataValidation allowBlank="true" errorStyle="stop" operator="between" showDropDown="false" showErrorMessage="false" showInputMessage="false" sqref="F29" type="list">
      <formula1>Reference!$E$107:$E$110</formula1>
      <formula2>0</formula2>
    </dataValidation>
    <dataValidation allowBlank="true" errorStyle="stop" operator="between" showDropDown="false" showErrorMessage="false" showInputMessage="false" sqref="L29" type="list">
      <formula1>Reference!$C$107:$C$113</formula1>
      <formula2>0</formula2>
    </dataValidation>
    <dataValidation allowBlank="true" errorStyle="stop" operator="between" showDropDown="false" showErrorMessage="false" showInputMessage="false" sqref="M29" type="list">
      <formula1>Reference!$F$107:$F$108</formula1>
      <formula2>0</formula2>
    </dataValidation>
    <dataValidation allowBlank="true" errorStyle="stop" operator="between" showDropDown="false" showErrorMessage="false" showInputMessage="false" sqref="D30" type="list">
      <formula1>Reference!$D$107:$D$118</formula1>
      <formula2>0</formula2>
    </dataValidation>
    <dataValidation allowBlank="true" errorStyle="stop" operator="between" showDropDown="false" showErrorMessage="false" showInputMessage="false" sqref="E30" type="list">
      <formula1>Reference!$B$107:$B$114</formula1>
      <formula2>0</formula2>
    </dataValidation>
    <dataValidation allowBlank="true" errorStyle="stop" operator="between" showDropDown="false" showErrorMessage="false" showInputMessage="false" sqref="F30" type="list">
      <formula1>Reference!$E$107:$E$110</formula1>
      <formula2>0</formula2>
    </dataValidation>
    <dataValidation allowBlank="true" errorStyle="stop" operator="between" showDropDown="false" showErrorMessage="false" showInputMessage="false" sqref="L30" type="list">
      <formula1>Reference!$C$107:$C$113</formula1>
      <formula2>0</formula2>
    </dataValidation>
    <dataValidation allowBlank="true" errorStyle="stop" operator="between" showDropDown="false" showErrorMessage="false" showInputMessage="false" sqref="M30" type="list">
      <formula1>Reference!$F$107:$F$108</formula1>
      <formula2>0</formula2>
    </dataValidation>
    <dataValidation allowBlank="true" errorStyle="stop" operator="between" showDropDown="false" showErrorMessage="false" showInputMessage="false" sqref="D31" type="list">
      <formula1>Reference!$D$107:$D$118</formula1>
      <formula2>0</formula2>
    </dataValidation>
    <dataValidation allowBlank="true" errorStyle="stop" operator="between" showDropDown="false" showErrorMessage="false" showInputMessage="false" sqref="E31" type="list">
      <formula1>Reference!$B$107:$B$114</formula1>
      <formula2>0</formula2>
    </dataValidation>
    <dataValidation allowBlank="true" errorStyle="stop" operator="between" showDropDown="false" showErrorMessage="false" showInputMessage="false" sqref="F31" type="list">
      <formula1>Reference!$E$107:$E$110</formula1>
      <formula2>0</formula2>
    </dataValidation>
    <dataValidation allowBlank="true" errorStyle="stop" operator="between" showDropDown="false" showErrorMessage="false" showInputMessage="false" sqref="L31" type="list">
      <formula1>Reference!$C$107:$C$113</formula1>
      <formula2>0</formula2>
    </dataValidation>
    <dataValidation allowBlank="true" errorStyle="stop" operator="between" showDropDown="false" showErrorMessage="false" showInputMessage="false" sqref="M31" type="list">
      <formula1>Reference!$F$107:$F$108</formula1>
      <formula2>0</formula2>
    </dataValidation>
    <dataValidation allowBlank="true" errorStyle="stop" operator="between" showDropDown="false" showErrorMessage="false" showInputMessage="false" sqref="D32" type="list">
      <formula1>Reference!$D$107:$D$118</formula1>
      <formula2>0</formula2>
    </dataValidation>
    <dataValidation allowBlank="true" errorStyle="stop" operator="between" showDropDown="false" showErrorMessage="false" showInputMessage="false" sqref="E32" type="list">
      <formula1>Reference!$B$107:$B$114</formula1>
      <formula2>0</formula2>
    </dataValidation>
    <dataValidation allowBlank="true" errorStyle="stop" operator="between" showDropDown="false" showErrorMessage="false" showInputMessage="false" sqref="F32" type="list">
      <formula1>Reference!$E$107:$E$110</formula1>
      <formula2>0</formula2>
    </dataValidation>
    <dataValidation allowBlank="true" errorStyle="stop" operator="between" showDropDown="false" showErrorMessage="false" showInputMessage="false" sqref="L32" type="list">
      <formula1>Reference!$C$107:$C$113</formula1>
      <formula2>0</formula2>
    </dataValidation>
    <dataValidation allowBlank="true" errorStyle="stop" operator="between" showDropDown="false" showErrorMessage="false" showInputMessage="false" sqref="M32" type="list">
      <formula1>Reference!$F$107:$F$108</formula1>
      <formula2>0</formula2>
    </dataValidation>
    <dataValidation allowBlank="true" errorStyle="stop" operator="between" showDropDown="false" showErrorMessage="false" showInputMessage="false" sqref="D33" type="list">
      <formula1>Reference!$D$107:$D$118</formula1>
      <formula2>0</formula2>
    </dataValidation>
    <dataValidation allowBlank="true" errorStyle="stop" operator="between" showDropDown="false" showErrorMessage="false" showInputMessage="false" sqref="E33" type="list">
      <formula1>Reference!$B$107:$B$114</formula1>
      <formula2>0</formula2>
    </dataValidation>
    <dataValidation allowBlank="true" errorStyle="stop" operator="between" showDropDown="false" showErrorMessage="false" showInputMessage="false" sqref="F33" type="list">
      <formula1>Reference!$E$107:$E$110</formula1>
      <formula2>0</formula2>
    </dataValidation>
    <dataValidation allowBlank="true" errorStyle="stop" operator="between" showDropDown="false" showErrorMessage="false" showInputMessage="false" sqref="L33" type="list">
      <formula1>Reference!$C$107:$C$113</formula1>
      <formula2>0</formula2>
    </dataValidation>
    <dataValidation allowBlank="true" errorStyle="stop" operator="between" showDropDown="false" showErrorMessage="false" showInputMessage="false" sqref="M33" type="list">
      <formula1>Reference!$F$107:$F$108</formula1>
      <formula2>0</formula2>
    </dataValidation>
    <dataValidation allowBlank="true" errorStyle="stop" operator="between" showDropDown="false" showErrorMessage="false" showInputMessage="false" sqref="D34" type="list">
      <formula1>Reference!$D$107:$D$118</formula1>
      <formula2>0</formula2>
    </dataValidation>
    <dataValidation allowBlank="true" errorStyle="stop" operator="between" showDropDown="false" showErrorMessage="false" showInputMessage="false" sqref="E34" type="list">
      <formula1>Reference!$B$107:$B$114</formula1>
      <formula2>0</formula2>
    </dataValidation>
    <dataValidation allowBlank="true" errorStyle="stop" operator="between" showDropDown="false" showErrorMessage="false" showInputMessage="false" sqref="F34" type="list">
      <formula1>Reference!$E$107:$E$110</formula1>
      <formula2>0</formula2>
    </dataValidation>
    <dataValidation allowBlank="true" errorStyle="stop" operator="between" showDropDown="false" showErrorMessage="false" showInputMessage="false" sqref="L34" type="list">
      <formula1>Reference!$C$107:$C$113</formula1>
      <formula2>0</formula2>
    </dataValidation>
    <dataValidation allowBlank="true" errorStyle="stop" operator="between" showDropDown="false" showErrorMessage="false" showInputMessage="false" sqref="M34" type="list">
      <formula1>Reference!$F$107:$F$108</formula1>
      <formula2>0</formula2>
    </dataValidation>
    <dataValidation allowBlank="true" errorStyle="stop" operator="between" showDropDown="false" showErrorMessage="false" showInputMessage="false" sqref="D35" type="list">
      <formula1>Reference!$D$107:$D$118</formula1>
      <formula2>0</formula2>
    </dataValidation>
    <dataValidation allowBlank="true" errorStyle="stop" operator="between" showDropDown="false" showErrorMessage="false" showInputMessage="false" sqref="E35" type="list">
      <formula1>Reference!$B$107:$B$114</formula1>
      <formula2>0</formula2>
    </dataValidation>
    <dataValidation allowBlank="true" errorStyle="stop" operator="between" showDropDown="false" showErrorMessage="false" showInputMessage="false" sqref="F35" type="list">
      <formula1>Reference!$E$107:$E$110</formula1>
      <formula2>0</formula2>
    </dataValidation>
    <dataValidation allowBlank="true" errorStyle="stop" operator="between" showDropDown="false" showErrorMessage="false" showInputMessage="false" sqref="L35" type="list">
      <formula1>Reference!$C$107:$C$113</formula1>
      <formula2>0</formula2>
    </dataValidation>
    <dataValidation allowBlank="true" errorStyle="stop" operator="between" showDropDown="false" showErrorMessage="false" showInputMessage="false" sqref="M35" type="list">
      <formula1>Reference!$F$107:$F$108</formula1>
      <formula2>0</formula2>
    </dataValidation>
    <dataValidation allowBlank="true" errorStyle="stop" operator="between" showDropDown="false" showErrorMessage="false" showInputMessage="false" sqref="D36" type="list">
      <formula1>Reference!$D$107:$D$118</formula1>
      <formula2>0</formula2>
    </dataValidation>
    <dataValidation allowBlank="true" errorStyle="stop" operator="between" showDropDown="false" showErrorMessage="false" showInputMessage="false" sqref="E36" type="list">
      <formula1>Reference!$B$107:$B$114</formula1>
      <formula2>0</formula2>
    </dataValidation>
    <dataValidation allowBlank="true" errorStyle="stop" operator="between" showDropDown="false" showErrorMessage="false" showInputMessage="false" sqref="F36" type="list">
      <formula1>Reference!$E$107:$E$110</formula1>
      <formula2>0</formula2>
    </dataValidation>
    <dataValidation allowBlank="true" errorStyle="stop" operator="between" showDropDown="false" showErrorMessage="false" showInputMessage="false" sqref="L36" type="list">
      <formula1>Reference!$C$107:$C$113</formula1>
      <formula2>0</formula2>
    </dataValidation>
    <dataValidation allowBlank="true" errorStyle="stop" operator="between" showDropDown="false" showErrorMessage="false" showInputMessage="false" sqref="M36" type="list">
      <formula1>Reference!$F$107:$F$108</formula1>
      <formula2>0</formula2>
    </dataValidation>
    <dataValidation allowBlank="false" errorStyle="stop" operator="between" prompt="The date the answer has to be in hand for the work to proceed as programmed. Not the due date. This is the one a delay claim turns on, so take it off the programme." promptTitle="Needed by" showDropDown="false" showErrorMessage="false" showInputMessage="true" sqref="H7:H36" type="none">
      <formula1>0</formula1>
      <formula2>0</formula2>
    </dataValidation>
  </dataValidations>
  <hyperlinks>
    <hyperlink ref="B40"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C6917"/>
    <pageSetUpPr fitToPage="true"/>
  </sheetPr>
  <dimension ref="B1:M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8"/>
    <col collapsed="false" customWidth="true" hidden="false" outlineLevel="0" max="3" min="3" style="0" width="24"/>
    <col collapsed="false" customWidth="true" hidden="false" outlineLevel="0" max="4" min="4" style="0" width="36"/>
    <col collapsed="false" customWidth="true" hidden="false" outlineLevel="0" max="6" min="5" style="0" width="20"/>
    <col collapsed="false" customWidth="true" hidden="false" outlineLevel="0" max="7" min="7" style="0" width="13"/>
    <col collapsed="false" customWidth="true" hidden="false" outlineLevel="0" max="8" min="8" style="0" width="14"/>
    <col collapsed="false" customWidth="true" hidden="false" outlineLevel="0" max="9" min="9" style="0" width="10"/>
    <col collapsed="false" customWidth="true" hidden="false" outlineLevel="0" max="10" min="10" style="0" width="16"/>
    <col collapsed="false" customWidth="true" hidden="false" outlineLevel="0" max="11" min="11" style="0" width="13"/>
    <col collapsed="false" customWidth="true" hidden="false" outlineLevel="0" max="12" min="12" style="0" width="10"/>
    <col collapsed="false" customWidth="true" hidden="false" outlineLevel="0" max="13" min="13" style="0" width="22"/>
    <col collapsed="false" customWidth="true" hidden="false" outlineLevel="0" max="14" min="14" style="0" width="2.2"/>
  </cols>
  <sheetData>
    <row r="1" customFormat="false" ht="33.75" hidden="false" customHeight="true" outlineLevel="0" collapsed="false">
      <c r="B1" s="37" t="s">
        <v>286</v>
      </c>
      <c r="C1" s="37"/>
      <c r="D1" s="37"/>
      <c r="E1" s="37"/>
      <c r="F1" s="37"/>
      <c r="G1" s="37"/>
      <c r="H1" s="37"/>
      <c r="I1" s="37"/>
      <c r="J1" s="37"/>
      <c r="K1" s="37"/>
      <c r="L1" s="37"/>
      <c r="M1" s="37"/>
    </row>
    <row r="2" customFormat="false" ht="4.5" hidden="false" customHeight="true" outlineLevel="0" collapsed="false">
      <c r="B2" s="81"/>
      <c r="C2" s="81"/>
      <c r="D2" s="81"/>
      <c r="E2" s="81"/>
      <c r="F2" s="81"/>
      <c r="G2" s="81"/>
      <c r="H2" s="81"/>
      <c r="I2" s="81"/>
      <c r="J2" s="81"/>
      <c r="K2" s="81"/>
      <c r="L2" s="81"/>
      <c r="M2" s="81"/>
    </row>
    <row r="3" customFormat="false" ht="16.5" hidden="false" customHeight="true" outlineLevel="0" collapsed="false">
      <c r="B3" s="39" t="str">
        <f aca="false">IF(LEFT(Setup!$D$7,7)&lt;&gt;"EXAMPLE","","EXAMPLE DATA - type your own project name on Setup to clear this.")</f>
        <v>EXAMPLE DATA - type your own project name on Setup to clear this.</v>
      </c>
      <c r="C3" s="39"/>
      <c r="D3" s="39"/>
      <c r="E3" s="39"/>
      <c r="F3" s="39"/>
      <c r="G3" s="39"/>
      <c r="H3" s="39"/>
      <c r="I3" s="39"/>
      <c r="J3" s="39"/>
      <c r="K3" s="39"/>
      <c r="L3" s="39"/>
      <c r="M3" s="39"/>
    </row>
    <row r="4" customFormat="false" ht="25.5" hidden="false" customHeight="true" outlineLevel="0" collapsed="false">
      <c r="B4" s="40" t="s">
        <v>287</v>
      </c>
      <c r="C4" s="40"/>
      <c r="D4" s="40"/>
      <c r="E4" s="40"/>
      <c r="F4" s="40"/>
      <c r="G4" s="40"/>
      <c r="H4" s="40"/>
      <c r="I4" s="40"/>
      <c r="J4" s="40"/>
      <c r="K4" s="40"/>
      <c r="L4" s="40"/>
      <c r="M4" s="40"/>
    </row>
    <row r="6" customFormat="false" ht="47.25" hidden="false" customHeight="true" outlineLevel="0" collapsed="false">
      <c r="B6" s="10" t="s">
        <v>223</v>
      </c>
      <c r="C6" s="70" t="s">
        <v>288</v>
      </c>
      <c r="D6" s="10" t="s">
        <v>289</v>
      </c>
      <c r="E6" s="10" t="s">
        <v>290</v>
      </c>
      <c r="F6" s="10" t="s">
        <v>291</v>
      </c>
      <c r="G6" s="10" t="s">
        <v>292</v>
      </c>
      <c r="H6" s="10" t="s">
        <v>293</v>
      </c>
      <c r="I6" s="10" t="s">
        <v>294</v>
      </c>
      <c r="J6" s="10" t="s">
        <v>295</v>
      </c>
      <c r="K6" s="70" t="s">
        <v>296</v>
      </c>
      <c r="L6" s="70" t="s">
        <v>297</v>
      </c>
      <c r="M6" s="70" t="s">
        <v>298</v>
      </c>
    </row>
    <row r="7" customFormat="false" ht="46.5" hidden="false" customHeight="true" outlineLevel="0" collapsed="false">
      <c r="B7" s="82" t="s">
        <v>299</v>
      </c>
      <c r="C7" s="77" t="str">
        <f aca="false">IF($B7="","",IFERROR(IF(LEN(VLOOKUP($B7,'RFI Register'!$B$7:$O$36,2,FALSE()))&gt;46,LEFT(VLOOKUP($B7,'RFI Register'!$B$7:$O$36,2,FALSE()),46)&amp;"...",VLOOKUP($B7,'RFI Register'!$B$7:$O$36,2,FALSE())),"Reference not found"))</f>
        <v>Medical gas riser penetration at level 2 is on...</v>
      </c>
      <c r="D7" s="72" t="s">
        <v>300</v>
      </c>
      <c r="E7" s="72" t="s">
        <v>301</v>
      </c>
      <c r="F7" s="72" t="s">
        <v>302</v>
      </c>
      <c r="G7" s="72"/>
      <c r="H7" s="83"/>
      <c r="I7" s="84"/>
      <c r="J7" s="72" t="s">
        <v>120</v>
      </c>
      <c r="K7" s="74" t="str">
        <f aca="false">IF(OR($B7="",$E7="",$E7="No - already in the documents",$E7="Not yet assessed"),"",IFERROR(VLOOKUP($B7,'RFI Register'!$B$7:$O$36,9,FALSE())+Setup!$D$25,""))</f>
        <v/>
      </c>
      <c r="L7" s="75" t="str">
        <f aca="true">IF($K7="","",$K7-TODAY())</f>
        <v/>
      </c>
      <c r="M7" s="77" t="str">
        <f aca="false">IF($B7="","",IF(COUNTIF('RFI Register'!$B$7:$B$36,$B7)=0,"Reference not found",IF(OR($E7="",$E7="Not yet assessed"),"Not yet assessed",IF($E7="Disputed","Disputed - not agreed",IF(OR($E7="Yes - the work changed",$E7="Partly - some of it changed"),IF(OR($F7="",$F7="Not yet decided"),"SCOPE MOVED - NOTHING INSTRUCTED IT",IF(AND($J7&lt;&gt;"",$J7&lt;&gt;Setup!$D$31),"INSTRUCTED OUTSIDE AUTHORITY",IF(AND($L7&lt;&gt;"",$L7&gt;=0,$L7&lt;=Setup!$D$24),"Claim window closing",IF(AND($L7&lt;&gt;"",$L7&lt;0),"Instructed - window closed","Instructed")))),"Clarification only")))))</f>
        <v>Clarification only</v>
      </c>
    </row>
    <row r="8" customFormat="false" ht="46.5" hidden="false" customHeight="true" outlineLevel="0" collapsed="false">
      <c r="B8" s="85" t="s">
        <v>303</v>
      </c>
      <c r="C8" s="77" t="str">
        <f aca="false">IF($B8="","",IFERROR(IF(LEN(VLOOKUP($B8,'RFI Register'!$B$7:$O$36,2,FALSE()))&gt;46,LEFT(VLOOKUP($B8,'RFI Register'!$B$7:$O$36,2,FALSE()),46)&amp;"...",VLOOKUP($B8,'RFI Register'!$B$7:$O$36,2,FALSE())),"Reference not found"))</f>
        <v>Ceiling height scales at 2,700; the room data ...</v>
      </c>
      <c r="D8" s="78" t="s">
        <v>304</v>
      </c>
      <c r="E8" s="78" t="s">
        <v>301</v>
      </c>
      <c r="F8" s="78" t="s">
        <v>302</v>
      </c>
      <c r="G8" s="78"/>
      <c r="H8" s="86"/>
      <c r="I8" s="87"/>
      <c r="J8" s="78" t="s">
        <v>240</v>
      </c>
      <c r="K8" s="74" t="str">
        <f aca="false">IF(OR($B8="",$E8="",$E8="No - already in the documents",$E8="Not yet assessed"),"",IFERROR(VLOOKUP($B8,'RFI Register'!$B$7:$O$36,9,FALSE())+Setup!$D$25,""))</f>
        <v/>
      </c>
      <c r="L8" s="75" t="str">
        <f aca="true">IF($K8="","",$K8-TODAY())</f>
        <v/>
      </c>
      <c r="M8" s="77" t="str">
        <f aca="false">IF($B8="","",IF(COUNTIF('RFI Register'!$B$7:$B$36,$B8)=0,"Reference not found",IF(OR($E8="",$E8="Not yet assessed"),"Not yet assessed",IF($E8="Disputed","Disputed - not agreed",IF(OR($E8="Yes - the work changed",$E8="Partly - some of it changed"),IF(OR($F8="",$F8="Not yet decided"),"SCOPE MOVED - NOTHING INSTRUCTED IT",IF(AND($J8&lt;&gt;"",$J8&lt;&gt;Setup!$D$31),"INSTRUCTED OUTSIDE AUTHORITY",IF(AND($L8&lt;&gt;"",$L8&gt;=0,$L8&lt;=Setup!$D$24),"Claim window closing",IF(AND($L8&lt;&gt;"",$L8&lt;0),"Instructed - window closed","Instructed")))),"Clarification only")))))</f>
        <v>Clarification only</v>
      </c>
    </row>
    <row r="9" customFormat="false" ht="46.5" hidden="false" customHeight="true" outlineLevel="0" collapsed="false">
      <c r="B9" s="82" t="s">
        <v>305</v>
      </c>
      <c r="C9" s="77" t="str">
        <f aca="false">IF($B9="","",IFERROR(IF(LEN(VLOOKUP($B9,'RFI Register'!$B$7:$O$36,2,FALSE()))&gt;46,LEFT(VLOOKUP($B9,'RFI Register'!$B$7:$O$36,2,FALSE()),46)&amp;"...",VLOOKUP($B9,'RFI Register'!$B$7:$O$36,2,FALSE())),"Reference not found"))</f>
        <v>The specified linear diffuser is no longer man...</v>
      </c>
      <c r="D9" s="72" t="s">
        <v>306</v>
      </c>
      <c r="E9" s="72" t="s">
        <v>307</v>
      </c>
      <c r="F9" s="72" t="s">
        <v>308</v>
      </c>
      <c r="G9" s="72"/>
      <c r="H9" s="83" t="n">
        <v>18400</v>
      </c>
      <c r="I9" s="84" t="n">
        <v>5</v>
      </c>
      <c r="J9" s="72" t="s">
        <v>243</v>
      </c>
      <c r="K9" s="74" t="n">
        <f aca="false">IF(OR($B9="",$E9="",$E9="No - already in the documents",$E9="Not yet assessed"),"",IFERROR(VLOOKUP($B9,'RFI Register'!$B$7:$O$36,9,FALSE())+Setup!$D$25,""))</f>
        <v>46226</v>
      </c>
      <c r="L9" s="75" t="n">
        <f aca="true">IF($K9="","",$K9-TODAY())</f>
        <v>-25</v>
      </c>
      <c r="M9" s="77" t="str">
        <f aca="false">IF($B9="","",IF(COUNTIF('RFI Register'!$B$7:$B$36,$B9)=0,"Reference not found",IF(OR($E9="",$E9="Not yet assessed"),"Not yet assessed",IF($E9="Disputed","Disputed - not agreed",IF(OR($E9="Yes - the work changed",$E9="Partly - some of it changed"),IF(OR($F9="",$F9="Not yet decided"),"SCOPE MOVED - NOTHING INSTRUCTED IT",IF(AND($J9&lt;&gt;"",$J9&lt;&gt;Setup!$D$31),"INSTRUCTED OUTSIDE AUTHORITY",IF(AND($L9&lt;&gt;"",$L9&gt;=0,$L9&lt;=Setup!$D$24),"Claim window closing",IF(AND($L9&lt;&gt;"",$L9&lt;0),"Instructed - window closed","Instructed")))),"Clarification only")))))</f>
        <v>SCOPE MOVED - NOTHING INSTRUCTED IT</v>
      </c>
    </row>
    <row r="10" customFormat="false" ht="46.5" hidden="false" customHeight="true" outlineLevel="0" collapsed="false">
      <c r="B10" s="85" t="s">
        <v>309</v>
      </c>
      <c r="C10" s="77" t="str">
        <f aca="false">IF($B10="","",IFERROR(IF(LEN(VLOOKUP($B10,'RFI Register'!$B$7:$O$36,2,FALSE()))&gt;46,LEFT(VLOOKUP($B10,'RFI Register'!$B$7:$O$36,2,FALSE()),46)&amp;"...",VLOOKUP($B10,'RFI Register'!$B$7:$O$36,2,FALSE())),"Reference not found"))</f>
        <v>Ground slab thickness differs from the survey....</v>
      </c>
      <c r="D10" s="78" t="s">
        <v>310</v>
      </c>
      <c r="E10" s="78" t="s">
        <v>307</v>
      </c>
      <c r="F10" s="78" t="s">
        <v>311</v>
      </c>
      <c r="G10" s="78" t="s">
        <v>312</v>
      </c>
      <c r="H10" s="86" t="n">
        <v>62700</v>
      </c>
      <c r="I10" s="87" t="n">
        <v>4</v>
      </c>
      <c r="J10" s="78" t="s">
        <v>120</v>
      </c>
      <c r="K10" s="74" t="n">
        <f aca="false">IF(OR($B10="",$E10="",$E10="No - already in the documents",$E10="Not yet assessed"),"",IFERROR(VLOOKUP($B10,'RFI Register'!$B$7:$O$36,9,FALSE())+Setup!$D$25,""))</f>
        <v>46228</v>
      </c>
      <c r="L10" s="75" t="n">
        <f aca="true">IF($K10="","",$K10-TODAY())</f>
        <v>-23</v>
      </c>
      <c r="M10" s="77" t="str">
        <f aca="false">IF($B10="","",IF(COUNTIF('RFI Register'!$B$7:$B$36,$B10)=0,"Reference not found",IF(OR($E10="",$E10="Not yet assessed"),"Not yet assessed",IF($E10="Disputed","Disputed - not agreed",IF(OR($E10="Yes - the work changed",$E10="Partly - some of it changed"),IF(OR($F10="",$F10="Not yet decided"),"SCOPE MOVED - NOTHING INSTRUCTED IT",IF(AND($J10&lt;&gt;"",$J10&lt;&gt;Setup!$D$31),"INSTRUCTED OUTSIDE AUTHORITY",IF(AND($L10&lt;&gt;"",$L10&gt;=0,$L10&lt;=Setup!$D$24),"Claim window closing",IF(AND($L10&lt;&gt;"",$L10&lt;0),"Instructed - window closed","Instructed")))),"Clarification only")))))</f>
        <v>Instructed - window closed</v>
      </c>
    </row>
    <row r="11" customFormat="false" ht="46.5" hidden="false" customHeight="true" outlineLevel="0" collapsed="false">
      <c r="B11" s="82" t="s">
        <v>313</v>
      </c>
      <c r="C11" s="77" t="str">
        <f aca="false">IF($B11="","",IFERROR(IF(LEN(VLOOKUP($B11,'RFI Register'!$B$7:$O$36,2,FALSE()))&gt;46,LEFT(VLOOKUP($B11,'RFI Register'!$B$7:$O$36,2,FALSE()),46)&amp;"...",VLOOKUP($B11,'RFI Register'!$B$7:$O$36,2,FALSE())),"Reference not found"))</f>
        <v>The damper schedule does not cover the four pe...</v>
      </c>
      <c r="D11" s="72" t="s">
        <v>314</v>
      </c>
      <c r="E11" s="72" t="s">
        <v>307</v>
      </c>
      <c r="F11" s="72" t="s">
        <v>311</v>
      </c>
      <c r="G11" s="72" t="s">
        <v>315</v>
      </c>
      <c r="H11" s="83" t="n">
        <v>9800</v>
      </c>
      <c r="I11" s="84"/>
      <c r="J11" s="72" t="s">
        <v>120</v>
      </c>
      <c r="K11" s="74" t="n">
        <f aca="false">IF(OR($B11="",$E11="",$E11="No - already in the documents",$E11="Not yet assessed"),"",IFERROR(VLOOKUP($B11,'RFI Register'!$B$7:$O$36,9,FALSE())+Setup!$D$25,""))</f>
        <v>46228</v>
      </c>
      <c r="L11" s="75" t="n">
        <f aca="true">IF($K11="","",$K11-TODAY())</f>
        <v>-23</v>
      </c>
      <c r="M11" s="77" t="str">
        <f aca="false">IF($B11="","",IF(COUNTIF('RFI Register'!$B$7:$B$36,$B11)=0,"Reference not found",IF(OR($E11="",$E11="Not yet assessed"),"Not yet assessed",IF($E11="Disputed","Disputed - not agreed",IF(OR($E11="Yes - the work changed",$E11="Partly - some of it changed"),IF(OR($F11="",$F11="Not yet decided"),"SCOPE MOVED - NOTHING INSTRUCTED IT",IF(AND($J11&lt;&gt;"",$J11&lt;&gt;Setup!$D$31),"INSTRUCTED OUTSIDE AUTHORITY",IF(AND($L11&lt;&gt;"",$L11&gt;=0,$L11&lt;=Setup!$D$24),"Claim window closing",IF(AND($L11&lt;&gt;"",$L11&lt;0),"Instructed - window closed","Instructed")))),"Clarification only")))))</f>
        <v>Instructed - window closed</v>
      </c>
    </row>
    <row r="12" customFormat="false" ht="46.5" hidden="false" customHeight="true" outlineLevel="0" collapsed="false">
      <c r="B12" s="85" t="s">
        <v>316</v>
      </c>
      <c r="C12" s="77" t="str">
        <f aca="false">IF($B12="","",IFERROR(IF(LEN(VLOOKUP($B12,'RFI Register'!$B$7:$O$36,2,FALSE()))&gt;46,LEFT(VLOOKUP($B12,'RFI Register'!$B$7:$O$36,2,FALSE()),46)&amp;"...",VLOOKUP($B12,'RFI Register'!$B$7:$O$36,2,FALSE())),"Reference not found"))</f>
        <v>Confirm the cable route for the theatre isolat...</v>
      </c>
      <c r="D12" s="78" t="s">
        <v>317</v>
      </c>
      <c r="E12" s="78" t="s">
        <v>301</v>
      </c>
      <c r="F12" s="78" t="s">
        <v>302</v>
      </c>
      <c r="G12" s="78"/>
      <c r="H12" s="86"/>
      <c r="I12" s="87"/>
      <c r="J12" s="78" t="s">
        <v>120</v>
      </c>
      <c r="K12" s="74" t="str">
        <f aca="false">IF(OR($B12="",$E12="",$E12="No - already in the documents",$E12="Not yet assessed"),"",IFERROR(VLOOKUP($B12,'RFI Register'!$B$7:$O$36,9,FALSE())+Setup!$D$25,""))</f>
        <v/>
      </c>
      <c r="L12" s="75" t="str">
        <f aca="true">IF($K12="","",$K12-TODAY())</f>
        <v/>
      </c>
      <c r="M12" s="77" t="str">
        <f aca="false">IF($B12="","",IF(COUNTIF('RFI Register'!$B$7:$B$36,$B12)=0,"Reference not found",IF(OR($E12="",$E12="Not yet assessed"),"Not yet assessed",IF($E12="Disputed","Disputed - not agreed",IF(OR($E12="Yes - the work changed",$E12="Partly - some of it changed"),IF(OR($F12="",$F12="Not yet decided"),"SCOPE MOVED - NOTHING INSTRUCTED IT",IF(AND($J12&lt;&gt;"",$J12&lt;&gt;Setup!$D$31),"INSTRUCTED OUTSIDE AUTHORITY",IF(AND($L12&lt;&gt;"",$L12&gt;=0,$L12&lt;=Setup!$D$24),"Claim window closing",IF(AND($L12&lt;&gt;"",$L12&lt;0),"Instructed - window closed","Instructed")))),"Clarification only")))))</f>
        <v>Clarification only</v>
      </c>
    </row>
    <row r="13" customFormat="false" ht="46.5" hidden="false" customHeight="true" outlineLevel="0" collapsed="false">
      <c r="B13" s="82" t="s">
        <v>318</v>
      </c>
      <c r="C13" s="77" t="str">
        <f aca="false">IF($B13="","",IFERROR(IF(LEN(VLOOKUP($B13,'RFI Register'!$B$7:$O$36,2,FALSE()))&gt;46,LEFT(VLOOKUP($B13,'RFI Register'!$B$7:$O$36,2,FALSE()),46)&amp;"...",VLOOKUP($B13,'RFI Register'!$B$7:$O$36,2,FALSE())),"Reference not found"))</f>
        <v>Which of the two door schedules issued on the ...</v>
      </c>
      <c r="D13" s="72" t="s">
        <v>319</v>
      </c>
      <c r="E13" s="72" t="s">
        <v>301</v>
      </c>
      <c r="F13" s="72" t="s">
        <v>302</v>
      </c>
      <c r="G13" s="72"/>
      <c r="H13" s="83"/>
      <c r="I13" s="84"/>
      <c r="J13" s="72" t="s">
        <v>240</v>
      </c>
      <c r="K13" s="74" t="str">
        <f aca="false">IF(OR($B13="",$E13="",$E13="No - already in the documents",$E13="Not yet assessed"),"",IFERROR(VLOOKUP($B13,'RFI Register'!$B$7:$O$36,9,FALSE())+Setup!$D$25,""))</f>
        <v/>
      </c>
      <c r="L13" s="75" t="str">
        <f aca="true">IF($K13="","",$K13-TODAY())</f>
        <v/>
      </c>
      <c r="M13" s="77" t="str">
        <f aca="false">IF($B13="","",IF(COUNTIF('RFI Register'!$B$7:$B$36,$B13)=0,"Reference not found",IF(OR($E13="",$E13="Not yet assessed"),"Not yet assessed",IF($E13="Disputed","Disputed - not agreed",IF(OR($E13="Yes - the work changed",$E13="Partly - some of it changed"),IF(OR($F13="",$F13="Not yet decided"),"SCOPE MOVED - NOTHING INSTRUCTED IT",IF(AND($J13&lt;&gt;"",$J13&lt;&gt;Setup!$D$31),"INSTRUCTED OUTSIDE AUTHORITY",IF(AND($L13&lt;&gt;"",$L13&gt;=0,$L13&lt;=Setup!$D$24),"Claim window closing",IF(AND($L13&lt;&gt;"",$L13&lt;0),"Instructed - window closed","Instructed")))),"Clarification only")))))</f>
        <v>Clarification only</v>
      </c>
    </row>
    <row r="14" customFormat="false" ht="46.5" hidden="false" customHeight="true" outlineLevel="0" collapsed="false">
      <c r="B14" s="85" t="s">
        <v>320</v>
      </c>
      <c r="C14" s="77" t="str">
        <f aca="false">IF($B14="","",IFERROR(IF(LEN(VLOOKUP($B14,'RFI Register'!$B$7:$O$36,2,FALSE()))&gt;46,LEFT(VLOOKUP($B14,'RFI Register'!$B$7:$O$36,2,FALSE()),46)&amp;"...",VLOOKUP($B14,'RFI Register'!$B$7:$O$36,2,FALSE())),"Reference not found"))</f>
        <v>Confirm the exposed soffit finish in the waiti...</v>
      </c>
      <c r="D14" s="78" t="s">
        <v>321</v>
      </c>
      <c r="E14" s="78" t="s">
        <v>301</v>
      </c>
      <c r="F14" s="78" t="s">
        <v>302</v>
      </c>
      <c r="G14" s="78"/>
      <c r="H14" s="86"/>
      <c r="I14" s="87"/>
      <c r="J14" s="78" t="s">
        <v>240</v>
      </c>
      <c r="K14" s="74" t="str">
        <f aca="false">IF(OR($B14="",$E14="",$E14="No - already in the documents",$E14="Not yet assessed"),"",IFERROR(VLOOKUP($B14,'RFI Register'!$B$7:$O$36,9,FALSE())+Setup!$D$25,""))</f>
        <v/>
      </c>
      <c r="L14" s="75" t="str">
        <f aca="true">IF($K14="","",$K14-TODAY())</f>
        <v/>
      </c>
      <c r="M14" s="77" t="str">
        <f aca="false">IF($B14="","",IF(COUNTIF('RFI Register'!$B$7:$B$36,$B14)=0,"Reference not found",IF(OR($E14="",$E14="Not yet assessed"),"Not yet assessed",IF($E14="Disputed","Disputed - not agreed",IF(OR($E14="Yes - the work changed",$E14="Partly - some of it changed"),IF(OR($F14="",$F14="Not yet decided"),"SCOPE MOVED - NOTHING INSTRUCTED IT",IF(AND($J14&lt;&gt;"",$J14&lt;&gt;Setup!$D$31),"INSTRUCTED OUTSIDE AUTHORITY",IF(AND($L14&lt;&gt;"",$L14&gt;=0,$L14&lt;=Setup!$D$24),"Claim window closing",IF(AND($L14&lt;&gt;"",$L14&lt;0),"Instructed - window closed","Instructed")))),"Clarification only")))))</f>
        <v>Clarification only</v>
      </c>
    </row>
    <row r="15" customFormat="false" ht="46.5" hidden="false" customHeight="true" outlineLevel="0" collapsed="false">
      <c r="B15" s="82" t="s">
        <v>322</v>
      </c>
      <c r="C15" s="77" t="str">
        <f aca="false">IF($B15="","",IFERROR(IF(LEN(VLOOKUP($B15,'RFI Register'!$B$7:$O$36,2,FALSE()))&gt;46,LEFT(VLOOKUP($B15,'RFI Register'!$B$7:$O$36,2,FALSE()),46)&amp;"...",VLOOKUP($B15,'RFI Register'!$B$7:$O$36,2,FALSE())),"Reference not found"))</f>
        <v>Stormwater invert at the eastern boundary clas...</v>
      </c>
      <c r="D15" s="72" t="s">
        <v>323</v>
      </c>
      <c r="E15" s="72" t="s">
        <v>307</v>
      </c>
      <c r="F15" s="72" t="s">
        <v>311</v>
      </c>
      <c r="G15" s="72" t="s">
        <v>324</v>
      </c>
      <c r="H15" s="83" t="n">
        <v>24300</v>
      </c>
      <c r="I15" s="84" t="n">
        <v>3</v>
      </c>
      <c r="J15" s="72" t="s">
        <v>120</v>
      </c>
      <c r="K15" s="74" t="n">
        <f aca="false">IF(OR($B15="",$E15="",$E15="No - already in the documents",$E15="Not yet assessed"),"",IFERROR(VLOOKUP($B15,'RFI Register'!$B$7:$O$36,9,FALSE())+Setup!$D$25,""))</f>
        <v>46253</v>
      </c>
      <c r="L15" s="75" t="n">
        <f aca="true">IF($K15="","",$K15-TODAY())</f>
        <v>2</v>
      </c>
      <c r="M15" s="77" t="str">
        <f aca="false">IF($B15="","",IF(COUNTIF('RFI Register'!$B$7:$B$36,$B15)=0,"Reference not found",IF(OR($E15="",$E15="Not yet assessed"),"Not yet assessed",IF($E15="Disputed","Disputed - not agreed",IF(OR($E15="Yes - the work changed",$E15="Partly - some of it changed"),IF(OR($F15="",$F15="Not yet decided"),"SCOPE MOVED - NOTHING INSTRUCTED IT",IF(AND($J15&lt;&gt;"",$J15&lt;&gt;Setup!$D$31),"INSTRUCTED OUTSIDE AUTHORITY",IF(AND($L15&lt;&gt;"",$L15&gt;=0,$L15&lt;=Setup!$D$24),"Claim window closing",IF(AND($L15&lt;&gt;"",$L15&lt;0),"Instructed - window closed","Instructed")))),"Clarification only")))))</f>
        <v>Claim window closing</v>
      </c>
    </row>
    <row r="16" customFormat="false" ht="46.5" hidden="false" customHeight="true" outlineLevel="0" collapsed="false">
      <c r="B16" s="85" t="s">
        <v>325</v>
      </c>
      <c r="C16" s="77" t="str">
        <f aca="false">IF($B16="","",IFERROR(IF(LEN(VLOOKUP($B16,'RFI Register'!$B$7:$O$36,2,FALSE()))&gt;46,LEFT(VLOOKUP($B16,'RFI Register'!$B$7:$O$36,2,FALSE()),46)&amp;"...",VLOOKUP($B16,'RFI Register'!$B$7:$O$36,2,FALSE())),"Reference not found"))</f>
        <v>Facade bracket setting-out does not suit the r...</v>
      </c>
      <c r="D16" s="78" t="s">
        <v>326</v>
      </c>
      <c r="E16" s="78" t="s">
        <v>327</v>
      </c>
      <c r="F16" s="78" t="s">
        <v>328</v>
      </c>
      <c r="G16" s="78"/>
      <c r="H16" s="86"/>
      <c r="I16" s="87"/>
      <c r="J16" s="78" t="s">
        <v>120</v>
      </c>
      <c r="K16" s="74" t="n">
        <f aca="false">IF(OR($B16="",$E16="",$E16="No - already in the documents",$E16="Not yet assessed"),"",IFERROR(VLOOKUP($B16,'RFI Register'!$B$7:$O$36,9,FALSE())+Setup!$D$25,""))</f>
        <v>46242</v>
      </c>
      <c r="L16" s="75" t="n">
        <f aca="true">IF($K16="","",$K16-TODAY())</f>
        <v>-9</v>
      </c>
      <c r="M16" s="77" t="str">
        <f aca="false">IF($B16="","",IF(COUNTIF('RFI Register'!$B$7:$B$36,$B16)=0,"Reference not found",IF(OR($E16="",$E16="Not yet assessed"),"Not yet assessed",IF($E16="Disputed","Disputed - not agreed",IF(OR($E16="Yes - the work changed",$E16="Partly - some of it changed"),IF(OR($F16="",$F16="Not yet decided"),"SCOPE MOVED - NOTHING INSTRUCTED IT",IF(AND($J16&lt;&gt;"",$J16&lt;&gt;Setup!$D$31),"INSTRUCTED OUTSIDE AUTHORITY",IF(AND($L16&lt;&gt;"",$L16&gt;=0,$L16&lt;=Setup!$D$24),"Claim window closing",IF(AND($L16&lt;&gt;"",$L16&lt;0),"Instructed - window closed","Instructed")))),"Clarification only")))))</f>
        <v>Instructed - window closed</v>
      </c>
    </row>
    <row r="17" customFormat="false" ht="46.5" hidden="false" customHeight="true" outlineLevel="0" collapsed="false">
      <c r="B17" s="82" t="s">
        <v>329</v>
      </c>
      <c r="C17" s="77" t="str">
        <f aca="false">IF($B17="","",IFERROR(IF(LEN(VLOOKUP($B17,'RFI Register'!$B$7:$O$36,2,FALSE()))&gt;46,LEFT(VLOOKUP($B17,'RFI Register'!$B$7:$O$36,2,FALSE()),46)&amp;"...",VLOOKUP($B17,'RFI Register'!$B$7:$O$36,2,FALSE())),"Reference not found"))</f>
        <v>Is the nurse call system in this contract or t...</v>
      </c>
      <c r="D17" s="72" t="s">
        <v>330</v>
      </c>
      <c r="E17" s="72" t="s">
        <v>307</v>
      </c>
      <c r="F17" s="72" t="s">
        <v>311</v>
      </c>
      <c r="G17" s="72" t="s">
        <v>331</v>
      </c>
      <c r="H17" s="83" t="n">
        <v>148000</v>
      </c>
      <c r="I17" s="84" t="n">
        <v>12</v>
      </c>
      <c r="J17" s="72" t="s">
        <v>262</v>
      </c>
      <c r="K17" s="74" t="n">
        <f aca="false">IF(OR($B17="",$E17="",$E17="No - already in the documents",$E17="Not yet assessed"),"",IFERROR(VLOOKUP($B17,'RFI Register'!$B$7:$O$36,9,FALSE())+Setup!$D$25,""))</f>
        <v>46257</v>
      </c>
      <c r="L17" s="75" t="n">
        <f aca="true">IF($K17="","",$K17-TODAY())</f>
        <v>6</v>
      </c>
      <c r="M17" s="77" t="str">
        <f aca="false">IF($B17="","",IF(COUNTIF('RFI Register'!$B$7:$B$36,$B17)=0,"Reference not found",IF(OR($E17="",$E17="Not yet assessed"),"Not yet assessed",IF($E17="Disputed","Disputed - not agreed",IF(OR($E17="Yes - the work changed",$E17="Partly - some of it changed"),IF(OR($F17="",$F17="Not yet decided"),"SCOPE MOVED - NOTHING INSTRUCTED IT",IF(AND($J17&lt;&gt;"",$J17&lt;&gt;Setup!$D$31),"INSTRUCTED OUTSIDE AUTHORITY",IF(AND($L17&lt;&gt;"",$L17&gt;=0,$L17&lt;=Setup!$D$24),"Claim window closing",IF(AND($L17&lt;&gt;"",$L17&lt;0),"Instructed - window closed","Instructed")))),"Clarification only")))))</f>
        <v>INSTRUCTED OUTSIDE AUTHORITY</v>
      </c>
    </row>
    <row r="18" customFormat="false" ht="46.5" hidden="false" customHeight="true" outlineLevel="0" collapsed="false">
      <c r="B18" s="85" t="s">
        <v>332</v>
      </c>
      <c r="C18" s="77" t="str">
        <f aca="false">IF($B18="","",IFERROR(IF(LEN(VLOOKUP($B18,'RFI Register'!$B$7:$O$36,2,FALSE()))&gt;46,LEFT(VLOOKUP($B18,'RFI Register'!$B$7:$O$36,2,FALSE()),46)&amp;"...",VLOOKUP($B18,'RFI Register'!$B$7:$O$36,2,FALSE())),"Reference not found"))</f>
        <v>Ceiling height in the assessment bays - please...</v>
      </c>
      <c r="D18" s="78" t="s">
        <v>333</v>
      </c>
      <c r="E18" s="78" t="s">
        <v>301</v>
      </c>
      <c r="F18" s="78" t="s">
        <v>302</v>
      </c>
      <c r="G18" s="78"/>
      <c r="H18" s="86"/>
      <c r="I18" s="87"/>
      <c r="J18" s="78" t="s">
        <v>240</v>
      </c>
      <c r="K18" s="74" t="str">
        <f aca="false">IF(OR($B18="",$E18="",$E18="No - already in the documents",$E18="Not yet assessed"),"",IFERROR(VLOOKUP($B18,'RFI Register'!$B$7:$O$36,9,FALSE())+Setup!$D$25,""))</f>
        <v/>
      </c>
      <c r="L18" s="75" t="str">
        <f aca="true">IF($K18="","",$K18-TODAY())</f>
        <v/>
      </c>
      <c r="M18" s="77" t="str">
        <f aca="false">IF($B18="","",IF(COUNTIF('RFI Register'!$B$7:$B$36,$B18)=0,"Reference not found",IF(OR($E18="",$E18="Not yet assessed"),"Not yet assessed",IF($E18="Disputed","Disputed - not agreed",IF(OR($E18="Yes - the work changed",$E18="Partly - some of it changed"),IF(OR($F18="",$F18="Not yet decided"),"SCOPE MOVED - NOTHING INSTRUCTED IT",IF(AND($J18&lt;&gt;"",$J18&lt;&gt;Setup!$D$31),"INSTRUCTED OUTSIDE AUTHORITY",IF(AND($L18&lt;&gt;"",$L18&gt;=0,$L18&lt;=Setup!$D$24),"Claim window closing",IF(AND($L18&lt;&gt;"",$L18&lt;0),"Instructed - window closed","Instructed")))),"Clarification only")))))</f>
        <v>Clarification only</v>
      </c>
    </row>
    <row r="19" customFormat="false" ht="46.5" hidden="false" customHeight="true" outlineLevel="0" collapsed="false">
      <c r="B19" s="82" t="s">
        <v>334</v>
      </c>
      <c r="C19" s="77" t="str">
        <f aca="false">IF($B19="","",IFERROR(IF(LEN(VLOOKUP($B19,'RFI Register'!$B$7:$O$36,2,FALSE()))&gt;46,LEFT(VLOOKUP($B19,'RFI Register'!$B$7:$O$36,2,FALSE()),46)&amp;"...",VLOOKUP($B19,'RFI Register'!$B$7:$O$36,2,FALSE())),"Reference not found"))</f>
        <v>No waterproofing detail is shown at the shower...</v>
      </c>
      <c r="D19" s="72" t="s">
        <v>335</v>
      </c>
      <c r="E19" s="72" t="s">
        <v>307</v>
      </c>
      <c r="F19" s="72" t="s">
        <v>311</v>
      </c>
      <c r="G19" s="72" t="s">
        <v>336</v>
      </c>
      <c r="H19" s="83" t="n">
        <v>7200</v>
      </c>
      <c r="I19" s="84"/>
      <c r="J19" s="72" t="s">
        <v>120</v>
      </c>
      <c r="K19" s="74" t="n">
        <f aca="false">IF(OR($B19="",$E19="",$E19="No - already in the documents",$E19="Not yet assessed"),"",IFERROR(VLOOKUP($B19,'RFI Register'!$B$7:$O$36,9,FALSE())+Setup!$D$25,""))</f>
        <v>46255</v>
      </c>
      <c r="L19" s="75" t="n">
        <f aca="true">IF($K19="","",$K19-TODAY())</f>
        <v>4</v>
      </c>
      <c r="M19" s="77" t="str">
        <f aca="false">IF($B19="","",IF(COUNTIF('RFI Register'!$B$7:$B$36,$B19)=0,"Reference not found",IF(OR($E19="",$E19="Not yet assessed"),"Not yet assessed",IF($E19="Disputed","Disputed - not agreed",IF(OR($E19="Yes - the work changed",$E19="Partly - some of it changed"),IF(OR($F19="",$F19="Not yet decided"),"SCOPE MOVED - NOTHING INSTRUCTED IT",IF(AND($J19&lt;&gt;"",$J19&lt;&gt;Setup!$D$31),"INSTRUCTED OUTSIDE AUTHORITY",IF(AND($L19&lt;&gt;"",$L19&gt;=0,$L19&lt;=Setup!$D$24),"Claim window closing",IF(AND($L19&lt;&gt;"",$L19&lt;0),"Instructed - window closed","Instructed")))),"Clarification only")))))</f>
        <v>Claim window closing</v>
      </c>
    </row>
    <row r="20" customFormat="false" ht="46.5" hidden="false" customHeight="true" outlineLevel="0" collapsed="false">
      <c r="B20" s="85" t="s">
        <v>337</v>
      </c>
      <c r="C20" s="77" t="str">
        <f aca="false">IF($B20="","",IFERROR(IF(LEN(VLOOKUP($B20,'RFI Register'!$B$7:$O$36,2,FALSE()))&gt;46,LEFT(VLOOKUP($B20,'RFI Register'!$B$7:$O$36,2,FALSE()),46)&amp;"...",VLOOKUP($B20,'RFI Register'!$B$7:$O$36,2,FALSE())),"Reference not found"))</f>
        <v>The plant deck steel connection cannot be buil...</v>
      </c>
      <c r="D20" s="78" t="s">
        <v>338</v>
      </c>
      <c r="E20" s="78" t="s">
        <v>307</v>
      </c>
      <c r="F20" s="78" t="s">
        <v>339</v>
      </c>
      <c r="G20" s="78" t="s">
        <v>340</v>
      </c>
      <c r="H20" s="86"/>
      <c r="I20" s="87" t="n">
        <v>6</v>
      </c>
      <c r="J20" s="78" t="s">
        <v>120</v>
      </c>
      <c r="K20" s="74" t="n">
        <f aca="false">IF(OR($B20="",$E20="",$E20="No - already in the documents",$E20="Not yet assessed"),"",IFERROR(VLOOKUP($B20,'RFI Register'!$B$7:$O$36,9,FALSE())+Setup!$D$25,""))</f>
        <v>46265</v>
      </c>
      <c r="L20" s="75" t="n">
        <f aca="true">IF($K20="","",$K20-TODAY())</f>
        <v>14</v>
      </c>
      <c r="M20" s="77" t="str">
        <f aca="false">IF($B20="","",IF(COUNTIF('RFI Register'!$B$7:$B$36,$B20)=0,"Reference not found",IF(OR($E20="",$E20="Not yet assessed"),"Not yet assessed",IF($E20="Disputed","Disputed - not agreed",IF(OR($E20="Yes - the work changed",$E20="Partly - some of it changed"),IF(OR($F20="",$F20="Not yet decided"),"SCOPE MOVED - NOTHING INSTRUCTED IT",IF(AND($J20&lt;&gt;"",$J20&lt;&gt;Setup!$D$31),"INSTRUCTED OUTSIDE AUTHORITY",IF(AND($L20&lt;&gt;"",$L20&gt;=0,$L20&lt;=Setup!$D$24),"Claim window closing",IF(AND($L20&lt;&gt;"",$L20&lt;0),"Instructed - window closed","Instructed")))),"Clarification only")))))</f>
        <v>Instructed</v>
      </c>
    </row>
    <row r="21" customFormat="false" ht="46.5" hidden="false" customHeight="true" outlineLevel="0" collapsed="false">
      <c r="B21" s="82" t="s">
        <v>341</v>
      </c>
      <c r="C21" s="77" t="str">
        <f aca="false">IF($B21="","",IFERROR(IF(LEN(VLOOKUP($B21,'RFI Register'!$B$7:$O$36,2,FALSE()))&gt;46,LEFT(VLOOKUP($B21,'RFI Register'!$B$7:$O$36,2,FALSE()),46)&amp;"...",VLOOKUP($B21,'RFI Register'!$B$7:$O$36,2,FALSE())),"Reference not found"))</f>
        <v>Confirm the switchboard schedule now the chill...</v>
      </c>
      <c r="D21" s="72" t="s">
        <v>342</v>
      </c>
      <c r="E21" s="72" t="s">
        <v>307</v>
      </c>
      <c r="F21" s="72" t="s">
        <v>311</v>
      </c>
      <c r="G21" s="72" t="s">
        <v>343</v>
      </c>
      <c r="H21" s="83" t="n">
        <v>31500</v>
      </c>
      <c r="I21" s="84"/>
      <c r="J21" s="72" t="s">
        <v>120</v>
      </c>
      <c r="K21" s="74" t="n">
        <f aca="false">IF(OR($B21="",$E21="",$E21="No - already in the documents",$E21="Not yet assessed"),"",IFERROR(VLOOKUP($B21,'RFI Register'!$B$7:$O$36,9,FALSE())+Setup!$D$25,""))</f>
        <v>46261</v>
      </c>
      <c r="L21" s="75" t="n">
        <f aca="true">IF($K21="","",$K21-TODAY())</f>
        <v>10</v>
      </c>
      <c r="M21" s="77" t="str">
        <f aca="false">IF($B21="","",IF(COUNTIF('RFI Register'!$B$7:$B$36,$B21)=0,"Reference not found",IF(OR($E21="",$E21="Not yet assessed"),"Not yet assessed",IF($E21="Disputed","Disputed - not agreed",IF(OR($E21="Yes - the work changed",$E21="Partly - some of it changed"),IF(OR($F21="",$F21="Not yet decided"),"SCOPE MOVED - NOTHING INSTRUCTED IT",IF(AND($J21&lt;&gt;"",$J21&lt;&gt;Setup!$D$31),"INSTRUCTED OUTSIDE AUTHORITY",IF(AND($L21&lt;&gt;"",$L21&gt;=0,$L21&lt;=Setup!$D$24),"Claim window closing",IF(AND($L21&lt;&gt;"",$L21&lt;0),"Instructed - window closed","Instructed")))),"Clarification only")))))</f>
        <v>Instructed</v>
      </c>
    </row>
    <row r="22" customFormat="false" ht="46.5" hidden="false" customHeight="true" outlineLevel="0" collapsed="false">
      <c r="B22" s="85" t="s">
        <v>344</v>
      </c>
      <c r="C22" s="77" t="str">
        <f aca="false">IF($B22="","",IFERROR(IF(LEN(VLOOKUP($B22,'RFI Register'!$B$7:$O$36,2,FALSE()))&gt;46,LEFT(VLOOKUP($B22,'RFI Register'!$B$7:$O$36,2,FALSE()),46)&amp;"...",VLOOKUP($B22,'RFI Register'!$B$7:$O$36,2,FALSE())),"Reference not found"))</f>
        <v>Can the corridor handrail be omitted where the...</v>
      </c>
      <c r="D22" s="78" t="s">
        <v>345</v>
      </c>
      <c r="E22" s="78" t="s">
        <v>307</v>
      </c>
      <c r="F22" s="78" t="s">
        <v>311</v>
      </c>
      <c r="G22" s="78" t="s">
        <v>346</v>
      </c>
      <c r="H22" s="86" t="n">
        <v>-8600</v>
      </c>
      <c r="I22" s="87"/>
      <c r="J22" s="78" t="s">
        <v>120</v>
      </c>
      <c r="K22" s="74" t="n">
        <f aca="false">IF(OR($B22="",$E22="",$E22="No - already in the documents",$E22="Not yet assessed"),"",IFERROR(VLOOKUP($B22,'RFI Register'!$B$7:$O$36,9,FALSE())+Setup!$D$25,""))</f>
        <v>46268</v>
      </c>
      <c r="L22" s="75" t="n">
        <f aca="true">IF($K22="","",$K22-TODAY())</f>
        <v>17</v>
      </c>
      <c r="M22" s="77" t="str">
        <f aca="false">IF($B22="","",IF(COUNTIF('RFI Register'!$B$7:$B$36,$B22)=0,"Reference not found",IF(OR($E22="",$E22="Not yet assessed"),"Not yet assessed",IF($E22="Disputed","Disputed - not agreed",IF(OR($E22="Yes - the work changed",$E22="Partly - some of it changed"),IF(OR($F22="",$F22="Not yet decided"),"SCOPE MOVED - NOTHING INSTRUCTED IT",IF(AND($J22&lt;&gt;"",$J22&lt;&gt;Setup!$D$31),"INSTRUCTED OUTSIDE AUTHORITY",IF(AND($L22&lt;&gt;"",$L22&gt;=0,$L22&lt;=Setup!$D$24),"Claim window closing",IF(AND($L22&lt;&gt;"",$L22&lt;0),"Instructed - window closed","Instructed")))),"Clarification only")))))</f>
        <v>Instructed</v>
      </c>
    </row>
    <row r="23" customFormat="false" ht="46.5" hidden="false" customHeight="true" outlineLevel="0" collapsed="false">
      <c r="B23" s="82"/>
      <c r="C23" s="77" t="str">
        <f aca="false">IF($B23="","",IFERROR(IF(LEN(VLOOKUP($B23,'RFI Register'!$B$7:$O$36,2,FALSE()))&gt;46,LEFT(VLOOKUP($B23,'RFI Register'!$B$7:$O$36,2,FALSE()),46)&amp;"...",VLOOKUP($B23,'RFI Register'!$B$7:$O$36,2,FALSE())),"Reference not found"))</f>
        <v/>
      </c>
      <c r="D23" s="72"/>
      <c r="E23" s="72"/>
      <c r="F23" s="72"/>
      <c r="G23" s="72"/>
      <c r="H23" s="83"/>
      <c r="I23" s="84"/>
      <c r="J23" s="72"/>
      <c r="K23" s="74" t="str">
        <f aca="false">IF(OR($B23="",$E23="",$E23="No - already in the documents",$E23="Not yet assessed"),"",IFERROR(VLOOKUP($B23,'RFI Register'!$B$7:$O$36,9,FALSE())+Setup!$D$25,""))</f>
        <v/>
      </c>
      <c r="L23" s="75" t="str">
        <f aca="true">IF($K23="","",$K23-TODAY())</f>
        <v/>
      </c>
      <c r="M23" s="77" t="str">
        <f aca="false">IF($B23="","",IF(COUNTIF('RFI Register'!$B$7:$B$36,$B23)=0,"Reference not found",IF(OR($E23="",$E23="Not yet assessed"),"Not yet assessed",IF($E23="Disputed","Disputed - not agreed",IF(OR($E23="Yes - the work changed",$E23="Partly - some of it changed"),IF(OR($F23="",$F23="Not yet decided"),"SCOPE MOVED - NOTHING INSTRUCTED IT",IF(AND($J23&lt;&gt;"",$J23&lt;&gt;Setup!$D$31),"INSTRUCTED OUTSIDE AUTHORITY",IF(AND($L23&lt;&gt;"",$L23&gt;=0,$L23&lt;=Setup!$D$24),"Claim window closing",IF(AND($L23&lt;&gt;"",$L23&lt;0),"Instructed - window closed","Instructed")))),"Clarification only")))))</f>
        <v/>
      </c>
    </row>
    <row r="24" customFormat="false" ht="46.5" hidden="false" customHeight="true" outlineLevel="0" collapsed="false">
      <c r="B24" s="85"/>
      <c r="C24" s="77" t="str">
        <f aca="false">IF($B24="","",IFERROR(IF(LEN(VLOOKUP($B24,'RFI Register'!$B$7:$O$36,2,FALSE()))&gt;46,LEFT(VLOOKUP($B24,'RFI Register'!$B$7:$O$36,2,FALSE()),46)&amp;"...",VLOOKUP($B24,'RFI Register'!$B$7:$O$36,2,FALSE())),"Reference not found"))</f>
        <v/>
      </c>
      <c r="D24" s="78"/>
      <c r="E24" s="78"/>
      <c r="F24" s="78"/>
      <c r="G24" s="78"/>
      <c r="H24" s="86"/>
      <c r="I24" s="87"/>
      <c r="J24" s="78"/>
      <c r="K24" s="74" t="str">
        <f aca="false">IF(OR($B24="",$E24="",$E24="No - already in the documents",$E24="Not yet assessed"),"",IFERROR(VLOOKUP($B24,'RFI Register'!$B$7:$O$36,9,FALSE())+Setup!$D$25,""))</f>
        <v/>
      </c>
      <c r="L24" s="75" t="str">
        <f aca="true">IF($K24="","",$K24-TODAY())</f>
        <v/>
      </c>
      <c r="M24" s="77" t="str">
        <f aca="false">IF($B24="","",IF(COUNTIF('RFI Register'!$B$7:$B$36,$B24)=0,"Reference not found",IF(OR($E24="",$E24="Not yet assessed"),"Not yet assessed",IF($E24="Disputed","Disputed - not agreed",IF(OR($E24="Yes - the work changed",$E24="Partly - some of it changed"),IF(OR($F24="",$F24="Not yet decided"),"SCOPE MOVED - NOTHING INSTRUCTED IT",IF(AND($J24&lt;&gt;"",$J24&lt;&gt;Setup!$D$31),"INSTRUCTED OUTSIDE AUTHORITY",IF(AND($L24&lt;&gt;"",$L24&gt;=0,$L24&lt;=Setup!$D$24),"Claim window closing",IF(AND($L24&lt;&gt;"",$L24&lt;0),"Instructed - window closed","Instructed")))),"Clarification only")))))</f>
        <v/>
      </c>
    </row>
    <row r="25" customFormat="false" ht="46.5" hidden="false" customHeight="true" outlineLevel="0" collapsed="false">
      <c r="B25" s="82"/>
      <c r="C25" s="77" t="str">
        <f aca="false">IF($B25="","",IFERROR(IF(LEN(VLOOKUP($B25,'RFI Register'!$B$7:$O$36,2,FALSE()))&gt;46,LEFT(VLOOKUP($B25,'RFI Register'!$B$7:$O$36,2,FALSE()),46)&amp;"...",VLOOKUP($B25,'RFI Register'!$B$7:$O$36,2,FALSE())),"Reference not found"))</f>
        <v/>
      </c>
      <c r="D25" s="72"/>
      <c r="E25" s="72"/>
      <c r="F25" s="72"/>
      <c r="G25" s="72"/>
      <c r="H25" s="83"/>
      <c r="I25" s="84"/>
      <c r="J25" s="72"/>
      <c r="K25" s="74" t="str">
        <f aca="false">IF(OR($B25="",$E25="",$E25="No - already in the documents",$E25="Not yet assessed"),"",IFERROR(VLOOKUP($B25,'RFI Register'!$B$7:$O$36,9,FALSE())+Setup!$D$25,""))</f>
        <v/>
      </c>
      <c r="L25" s="75" t="str">
        <f aca="true">IF($K25="","",$K25-TODAY())</f>
        <v/>
      </c>
      <c r="M25" s="77" t="str">
        <f aca="false">IF($B25="","",IF(COUNTIF('RFI Register'!$B$7:$B$36,$B25)=0,"Reference not found",IF(OR($E25="",$E25="Not yet assessed"),"Not yet assessed",IF($E25="Disputed","Disputed - not agreed",IF(OR($E25="Yes - the work changed",$E25="Partly - some of it changed"),IF(OR($F25="",$F25="Not yet decided"),"SCOPE MOVED - NOTHING INSTRUCTED IT",IF(AND($J25&lt;&gt;"",$J25&lt;&gt;Setup!$D$31),"INSTRUCTED OUTSIDE AUTHORITY",IF(AND($L25&lt;&gt;"",$L25&gt;=0,$L25&lt;=Setup!$D$24),"Claim window closing",IF(AND($L25&lt;&gt;"",$L25&lt;0),"Instructed - window closed","Instructed")))),"Clarification only")))))</f>
        <v/>
      </c>
    </row>
    <row r="26" customFormat="false" ht="46.5" hidden="false" customHeight="true" outlineLevel="0" collapsed="false">
      <c r="B26" s="85"/>
      <c r="C26" s="77" t="str">
        <f aca="false">IF($B26="","",IFERROR(IF(LEN(VLOOKUP($B26,'RFI Register'!$B$7:$O$36,2,FALSE()))&gt;46,LEFT(VLOOKUP($B26,'RFI Register'!$B$7:$O$36,2,FALSE()),46)&amp;"...",VLOOKUP($B26,'RFI Register'!$B$7:$O$36,2,FALSE())),"Reference not found"))</f>
        <v/>
      </c>
      <c r="D26" s="78"/>
      <c r="E26" s="78"/>
      <c r="F26" s="78"/>
      <c r="G26" s="78"/>
      <c r="H26" s="86"/>
      <c r="I26" s="87"/>
      <c r="J26" s="78"/>
      <c r="K26" s="74" t="str">
        <f aca="false">IF(OR($B26="",$E26="",$E26="No - already in the documents",$E26="Not yet assessed"),"",IFERROR(VLOOKUP($B26,'RFI Register'!$B$7:$O$36,9,FALSE())+Setup!$D$25,""))</f>
        <v/>
      </c>
      <c r="L26" s="75" t="str">
        <f aca="true">IF($K26="","",$K26-TODAY())</f>
        <v/>
      </c>
      <c r="M26" s="77" t="str">
        <f aca="false">IF($B26="","",IF(COUNTIF('RFI Register'!$B$7:$B$36,$B26)=0,"Reference not found",IF(OR($E26="",$E26="Not yet assessed"),"Not yet assessed",IF($E26="Disputed","Disputed - not agreed",IF(OR($E26="Yes - the work changed",$E26="Partly - some of it changed"),IF(OR($F26="",$F26="Not yet decided"),"SCOPE MOVED - NOTHING INSTRUCTED IT",IF(AND($J26&lt;&gt;"",$J26&lt;&gt;Setup!$D$31),"INSTRUCTED OUTSIDE AUTHORITY",IF(AND($L26&lt;&gt;"",$L26&gt;=0,$L26&lt;=Setup!$D$24),"Claim window closing",IF(AND($L26&lt;&gt;"",$L26&lt;0),"Instructed - window closed","Instructed")))),"Clarification only")))))</f>
        <v/>
      </c>
    </row>
    <row r="27" customFormat="false" ht="46.5" hidden="false" customHeight="true" outlineLevel="0" collapsed="false">
      <c r="B27" s="82"/>
      <c r="C27" s="77" t="str">
        <f aca="false">IF($B27="","",IFERROR(IF(LEN(VLOOKUP($B27,'RFI Register'!$B$7:$O$36,2,FALSE()))&gt;46,LEFT(VLOOKUP($B27,'RFI Register'!$B$7:$O$36,2,FALSE()),46)&amp;"...",VLOOKUP($B27,'RFI Register'!$B$7:$O$36,2,FALSE())),"Reference not found"))</f>
        <v/>
      </c>
      <c r="D27" s="72"/>
      <c r="E27" s="72"/>
      <c r="F27" s="72"/>
      <c r="G27" s="72"/>
      <c r="H27" s="83"/>
      <c r="I27" s="84"/>
      <c r="J27" s="72"/>
      <c r="K27" s="74" t="str">
        <f aca="false">IF(OR($B27="",$E27="",$E27="No - already in the documents",$E27="Not yet assessed"),"",IFERROR(VLOOKUP($B27,'RFI Register'!$B$7:$O$36,9,FALSE())+Setup!$D$25,""))</f>
        <v/>
      </c>
      <c r="L27" s="75" t="str">
        <f aca="true">IF($K27="","",$K27-TODAY())</f>
        <v/>
      </c>
      <c r="M27" s="77" t="str">
        <f aca="false">IF($B27="","",IF(COUNTIF('RFI Register'!$B$7:$B$36,$B27)=0,"Reference not found",IF(OR($E27="",$E27="Not yet assessed"),"Not yet assessed",IF($E27="Disputed","Disputed - not agreed",IF(OR($E27="Yes - the work changed",$E27="Partly - some of it changed"),IF(OR($F27="",$F27="Not yet decided"),"SCOPE MOVED - NOTHING INSTRUCTED IT",IF(AND($J27&lt;&gt;"",$J27&lt;&gt;Setup!$D$31),"INSTRUCTED OUTSIDE AUTHORITY",IF(AND($L27&lt;&gt;"",$L27&gt;=0,$L27&lt;=Setup!$D$24),"Claim window closing",IF(AND($L27&lt;&gt;"",$L27&lt;0),"Instructed - window closed","Instructed")))),"Clarification only")))))</f>
        <v/>
      </c>
    </row>
    <row r="28" customFormat="false" ht="46.5" hidden="false" customHeight="true" outlineLevel="0" collapsed="false">
      <c r="B28" s="85"/>
      <c r="C28" s="77" t="str">
        <f aca="false">IF($B28="","",IFERROR(IF(LEN(VLOOKUP($B28,'RFI Register'!$B$7:$O$36,2,FALSE()))&gt;46,LEFT(VLOOKUP($B28,'RFI Register'!$B$7:$O$36,2,FALSE()),46)&amp;"...",VLOOKUP($B28,'RFI Register'!$B$7:$O$36,2,FALSE())),"Reference not found"))</f>
        <v/>
      </c>
      <c r="D28" s="78"/>
      <c r="E28" s="78"/>
      <c r="F28" s="78"/>
      <c r="G28" s="78"/>
      <c r="H28" s="86"/>
      <c r="I28" s="87"/>
      <c r="J28" s="78"/>
      <c r="K28" s="74" t="str">
        <f aca="false">IF(OR($B28="",$E28="",$E28="No - already in the documents",$E28="Not yet assessed"),"",IFERROR(VLOOKUP($B28,'RFI Register'!$B$7:$O$36,9,FALSE())+Setup!$D$25,""))</f>
        <v/>
      </c>
      <c r="L28" s="75" t="str">
        <f aca="true">IF($K28="","",$K28-TODAY())</f>
        <v/>
      </c>
      <c r="M28" s="77" t="str">
        <f aca="false">IF($B28="","",IF(COUNTIF('RFI Register'!$B$7:$B$36,$B28)=0,"Reference not found",IF(OR($E28="",$E28="Not yet assessed"),"Not yet assessed",IF($E28="Disputed","Disputed - not agreed",IF(OR($E28="Yes - the work changed",$E28="Partly - some of it changed"),IF(OR($F28="",$F28="Not yet decided"),"SCOPE MOVED - NOTHING INSTRUCTED IT",IF(AND($J28&lt;&gt;"",$J28&lt;&gt;Setup!$D$31),"INSTRUCTED OUTSIDE AUTHORITY",IF(AND($L28&lt;&gt;"",$L28&gt;=0,$L28&lt;=Setup!$D$24),"Claim window closing",IF(AND($L28&lt;&gt;"",$L28&lt;0),"Instructed - window closed","Instructed")))),"Clarification only")))))</f>
        <v/>
      </c>
    </row>
    <row r="30" customFormat="false" ht="15" hidden="false" customHeight="true" outlineLevel="0" collapsed="false">
      <c r="B30" s="40" t="s">
        <v>347</v>
      </c>
      <c r="C30" s="40"/>
      <c r="D30" s="40"/>
      <c r="E30" s="40"/>
      <c r="F30" s="40"/>
      <c r="G30" s="40"/>
      <c r="H30" s="40"/>
      <c r="I30" s="40"/>
      <c r="J30" s="40"/>
      <c r="K30" s="40"/>
    </row>
    <row r="31" customFormat="false" ht="15" hidden="false" customHeight="true" outlineLevel="0" collapsed="false">
      <c r="B31" s="40"/>
      <c r="C31" s="40"/>
      <c r="D31" s="40"/>
      <c r="E31" s="40"/>
      <c r="F31" s="40"/>
      <c r="G31" s="40"/>
      <c r="H31" s="40"/>
      <c r="I31" s="40"/>
      <c r="J31" s="40"/>
      <c r="K31" s="40"/>
    </row>
    <row r="32" customFormat="false" ht="18" hidden="false" customHeight="true" outlineLevel="0" collapsed="false">
      <c r="B32" s="48" t="s">
        <v>127</v>
      </c>
      <c r="C32" s="48"/>
      <c r="D32" s="48"/>
      <c r="E32" s="48"/>
      <c r="F32" s="48"/>
      <c r="G32" s="48"/>
      <c r="H32" s="48"/>
      <c r="I32" s="48"/>
      <c r="J32" s="48"/>
      <c r="K32" s="48"/>
      <c r="L32" s="48"/>
      <c r="M32" s="48"/>
    </row>
  </sheetData>
  <autoFilter ref="B6:M28"/>
  <mergeCells count="6">
    <mergeCell ref="B1:M1"/>
    <mergeCell ref="B2:M2"/>
    <mergeCell ref="B3:M3"/>
    <mergeCell ref="B4:M4"/>
    <mergeCell ref="B30:K31"/>
    <mergeCell ref="B32:M32"/>
  </mergeCells>
  <conditionalFormatting sqref="B3:M3">
    <cfRule type="expression" priority="2" aboveAverage="0" equalAverage="0" bottom="0" percent="0" rank="0" text="" dxfId="0">
      <formula>LEN($B$3)&gt;0</formula>
    </cfRule>
  </conditionalFormatting>
  <conditionalFormatting sqref="B7:M28">
    <cfRule type="expression" priority="3" aboveAverage="0" equalAverage="0" bottom="0" percent="0" rank="0" text="" dxfId="1">
      <formula>$M7="SCOPE MOVED - NOTHING INSTRUCTED IT"</formula>
    </cfRule>
    <cfRule type="expression" priority="4" aboveAverage="0" equalAverage="0" bottom="0" percent="0" rank="0" text="" dxfId="1">
      <formula>$M7="INSTRUCTED OUTSIDE AUTHORITY"</formula>
    </cfRule>
    <cfRule type="expression" priority="5" aboveAverage="0" equalAverage="0" bottom="0" percent="0" rank="0" text="" dxfId="15">
      <formula>$M7="Disputed - not agreed"</formula>
    </cfRule>
    <cfRule type="expression" priority="6" aboveAverage="0" equalAverage="0" bottom="0" percent="0" rank="0" text="" dxfId="0">
      <formula>$M7="Claim window closing"</formula>
    </cfRule>
    <cfRule type="expression" priority="7" aboveAverage="0" equalAverage="0" bottom="0" percent="0" rank="0" text="" dxfId="0">
      <formula>$M7="Not yet assessed"</formula>
    </cfRule>
    <cfRule type="expression" priority="8" aboveAverage="0" equalAverage="0" bottom="0" percent="0" rank="0" text="" dxfId="16">
      <formula>$M7="Clarification only"</formula>
    </cfRule>
    <cfRule type="expression" priority="9" aboveAverage="0" equalAverage="0" bottom="0" percent="0" rank="0" text="" dxfId="18">
      <formula>$M7="Instructed"</formula>
    </cfRule>
    <cfRule type="expression" priority="10" aboveAverage="0" equalAverage="0" bottom="0" percent="0" rank="0" text="" dxfId="18">
      <formula>$M7="Instructed - window closed"</formula>
    </cfRule>
  </conditionalFormatting>
  <dataValidations count="66">
    <dataValidation allowBlank="true" errorStyle="stop" operator="between" showDropDown="false" showErrorMessage="false" showInputMessage="false" sqref="E7" type="list">
      <formula1>Reference!$E$121:$E$125</formula1>
      <formula2>0</formula2>
    </dataValidation>
    <dataValidation allowBlank="true" errorStyle="stop" operator="between" showDropDown="false" showErrorMessage="false" showInputMessage="false" sqref="F7" type="list">
      <formula1>Reference!$D$121:$D$129</formula1>
      <formula2>0</formula2>
    </dataValidation>
    <dataValidation allowBlank="true" errorStyle="stop" operator="between" showDropDown="false" showErrorMessage="false" showInputMessage="false" sqref="J7" type="list">
      <formula1>Reference!$C$107:$C$113</formula1>
      <formula2>0</formula2>
    </dataValidation>
    <dataValidation allowBlank="true" errorStyle="stop" operator="between" showDropDown="false" showErrorMessage="false" showInputMessage="false" sqref="E8" type="list">
      <formula1>Reference!$E$121:$E$125</formula1>
      <formula2>0</formula2>
    </dataValidation>
    <dataValidation allowBlank="true" errorStyle="stop" operator="between" showDropDown="false" showErrorMessage="false" showInputMessage="false" sqref="F8" type="list">
      <formula1>Reference!$D$121:$D$129</formula1>
      <formula2>0</formula2>
    </dataValidation>
    <dataValidation allowBlank="true" errorStyle="stop" operator="between" showDropDown="false" showErrorMessage="false" showInputMessage="false" sqref="J8" type="list">
      <formula1>Reference!$C$107:$C$113</formula1>
      <formula2>0</formula2>
    </dataValidation>
    <dataValidation allowBlank="true" errorStyle="stop" operator="between" showDropDown="false" showErrorMessage="false" showInputMessage="false" sqref="E9" type="list">
      <formula1>Reference!$E$121:$E$125</formula1>
      <formula2>0</formula2>
    </dataValidation>
    <dataValidation allowBlank="true" errorStyle="stop" operator="between" showDropDown="false" showErrorMessage="false" showInputMessage="false" sqref="F9" type="list">
      <formula1>Reference!$D$121:$D$129</formula1>
      <formula2>0</formula2>
    </dataValidation>
    <dataValidation allowBlank="true" errorStyle="stop" operator="between" showDropDown="false" showErrorMessage="false" showInputMessage="false" sqref="J9" type="list">
      <formula1>Reference!$C$107:$C$113</formula1>
      <formula2>0</formula2>
    </dataValidation>
    <dataValidation allowBlank="true" errorStyle="stop" operator="between" showDropDown="false" showErrorMessage="false" showInputMessage="false" sqref="E10" type="list">
      <formula1>Reference!$E$121:$E$125</formula1>
      <formula2>0</formula2>
    </dataValidation>
    <dataValidation allowBlank="true" errorStyle="stop" operator="between" showDropDown="false" showErrorMessage="false" showInputMessage="false" sqref="F10" type="list">
      <formula1>Reference!$D$121:$D$129</formula1>
      <formula2>0</formula2>
    </dataValidation>
    <dataValidation allowBlank="true" errorStyle="stop" operator="between" showDropDown="false" showErrorMessage="false" showInputMessage="false" sqref="J10" type="list">
      <formula1>Reference!$C$107:$C$113</formula1>
      <formula2>0</formula2>
    </dataValidation>
    <dataValidation allowBlank="true" errorStyle="stop" operator="between" showDropDown="false" showErrorMessage="false" showInputMessage="false" sqref="E11" type="list">
      <formula1>Reference!$E$121:$E$125</formula1>
      <formula2>0</formula2>
    </dataValidation>
    <dataValidation allowBlank="true" errorStyle="stop" operator="between" showDropDown="false" showErrorMessage="false" showInputMessage="false" sqref="F11" type="list">
      <formula1>Reference!$D$121:$D$129</formula1>
      <formula2>0</formula2>
    </dataValidation>
    <dataValidation allowBlank="true" errorStyle="stop" operator="between" showDropDown="false" showErrorMessage="false" showInputMessage="false" sqref="J11" type="list">
      <formula1>Reference!$C$107:$C$113</formula1>
      <formula2>0</formula2>
    </dataValidation>
    <dataValidation allowBlank="true" errorStyle="stop" operator="between" showDropDown="false" showErrorMessage="false" showInputMessage="false" sqref="E12" type="list">
      <formula1>Reference!$E$121:$E$125</formula1>
      <formula2>0</formula2>
    </dataValidation>
    <dataValidation allowBlank="true" errorStyle="stop" operator="between" showDropDown="false" showErrorMessage="false" showInputMessage="false" sqref="F12" type="list">
      <formula1>Reference!$D$121:$D$129</formula1>
      <formula2>0</formula2>
    </dataValidation>
    <dataValidation allowBlank="true" errorStyle="stop" operator="between" showDropDown="false" showErrorMessage="false" showInputMessage="false" sqref="J12" type="list">
      <formula1>Reference!$C$107:$C$113</formula1>
      <formula2>0</formula2>
    </dataValidation>
    <dataValidation allowBlank="true" errorStyle="stop" operator="between" showDropDown="false" showErrorMessage="false" showInputMessage="false" sqref="E13" type="list">
      <formula1>Reference!$E$121:$E$125</formula1>
      <formula2>0</formula2>
    </dataValidation>
    <dataValidation allowBlank="true" errorStyle="stop" operator="between" showDropDown="false" showErrorMessage="false" showInputMessage="false" sqref="F13" type="list">
      <formula1>Reference!$D$121:$D$129</formula1>
      <formula2>0</formula2>
    </dataValidation>
    <dataValidation allowBlank="true" errorStyle="stop" operator="between" showDropDown="false" showErrorMessage="false" showInputMessage="false" sqref="J13" type="list">
      <formula1>Reference!$C$107:$C$113</formula1>
      <formula2>0</formula2>
    </dataValidation>
    <dataValidation allowBlank="true" errorStyle="stop" operator="between" showDropDown="false" showErrorMessage="false" showInputMessage="false" sqref="E14" type="list">
      <formula1>Reference!$E$121:$E$125</formula1>
      <formula2>0</formula2>
    </dataValidation>
    <dataValidation allowBlank="true" errorStyle="stop" operator="between" showDropDown="false" showErrorMessage="false" showInputMessage="false" sqref="F14" type="list">
      <formula1>Reference!$D$121:$D$129</formula1>
      <formula2>0</formula2>
    </dataValidation>
    <dataValidation allowBlank="true" errorStyle="stop" operator="between" showDropDown="false" showErrorMessage="false" showInputMessage="false" sqref="J14" type="list">
      <formula1>Reference!$C$107:$C$113</formula1>
      <formula2>0</formula2>
    </dataValidation>
    <dataValidation allowBlank="true" errorStyle="stop" operator="between" showDropDown="false" showErrorMessage="false" showInputMessage="false" sqref="E15" type="list">
      <formula1>Reference!$E$121:$E$125</formula1>
      <formula2>0</formula2>
    </dataValidation>
    <dataValidation allowBlank="true" errorStyle="stop" operator="between" showDropDown="false" showErrorMessage="false" showInputMessage="false" sqref="F15" type="list">
      <formula1>Reference!$D$121:$D$129</formula1>
      <formula2>0</formula2>
    </dataValidation>
    <dataValidation allowBlank="true" errorStyle="stop" operator="between" showDropDown="false" showErrorMessage="false" showInputMessage="false" sqref="J15" type="list">
      <formula1>Reference!$C$107:$C$113</formula1>
      <formula2>0</formula2>
    </dataValidation>
    <dataValidation allowBlank="true" errorStyle="stop" operator="between" showDropDown="false" showErrorMessage="false" showInputMessage="false" sqref="E16" type="list">
      <formula1>Reference!$E$121:$E$125</formula1>
      <formula2>0</formula2>
    </dataValidation>
    <dataValidation allowBlank="true" errorStyle="stop" operator="between" showDropDown="false" showErrorMessage="false" showInputMessage="false" sqref="F16" type="list">
      <formula1>Reference!$D$121:$D$129</formula1>
      <formula2>0</formula2>
    </dataValidation>
    <dataValidation allowBlank="true" errorStyle="stop" operator="between" showDropDown="false" showErrorMessage="false" showInputMessage="false" sqref="J16" type="list">
      <formula1>Reference!$C$107:$C$113</formula1>
      <formula2>0</formula2>
    </dataValidation>
    <dataValidation allowBlank="true" errorStyle="stop" operator="between" showDropDown="false" showErrorMessage="false" showInputMessage="false" sqref="E17" type="list">
      <formula1>Reference!$E$121:$E$125</formula1>
      <formula2>0</formula2>
    </dataValidation>
    <dataValidation allowBlank="true" errorStyle="stop" operator="between" showDropDown="false" showErrorMessage="false" showInputMessage="false" sqref="F17" type="list">
      <formula1>Reference!$D$121:$D$129</formula1>
      <formula2>0</formula2>
    </dataValidation>
    <dataValidation allowBlank="true" errorStyle="stop" operator="between" showDropDown="false" showErrorMessage="false" showInputMessage="false" sqref="J17" type="list">
      <formula1>Reference!$C$107:$C$113</formula1>
      <formula2>0</formula2>
    </dataValidation>
    <dataValidation allowBlank="true" errorStyle="stop" operator="between" showDropDown="false" showErrorMessage="false" showInputMessage="false" sqref="E18" type="list">
      <formula1>Reference!$E$121:$E$125</formula1>
      <formula2>0</formula2>
    </dataValidation>
    <dataValidation allowBlank="true" errorStyle="stop" operator="between" showDropDown="false" showErrorMessage="false" showInputMessage="false" sqref="F18" type="list">
      <formula1>Reference!$D$121:$D$129</formula1>
      <formula2>0</formula2>
    </dataValidation>
    <dataValidation allowBlank="true" errorStyle="stop" operator="between" showDropDown="false" showErrorMessage="false" showInputMessage="false" sqref="J18" type="list">
      <formula1>Reference!$C$107:$C$113</formula1>
      <formula2>0</formula2>
    </dataValidation>
    <dataValidation allowBlank="true" errorStyle="stop" operator="between" showDropDown="false" showErrorMessage="false" showInputMessage="false" sqref="E19" type="list">
      <formula1>Reference!$E$121:$E$125</formula1>
      <formula2>0</formula2>
    </dataValidation>
    <dataValidation allowBlank="true" errorStyle="stop" operator="between" showDropDown="false" showErrorMessage="false" showInputMessage="false" sqref="F19" type="list">
      <formula1>Reference!$D$121:$D$129</formula1>
      <formula2>0</formula2>
    </dataValidation>
    <dataValidation allowBlank="true" errorStyle="stop" operator="between" showDropDown="false" showErrorMessage="false" showInputMessage="false" sqref="J19" type="list">
      <formula1>Reference!$C$107:$C$113</formula1>
      <formula2>0</formula2>
    </dataValidation>
    <dataValidation allowBlank="true" errorStyle="stop" operator="between" showDropDown="false" showErrorMessage="false" showInputMessage="false" sqref="E20" type="list">
      <formula1>Reference!$E$121:$E$125</formula1>
      <formula2>0</formula2>
    </dataValidation>
    <dataValidation allowBlank="true" errorStyle="stop" operator="between" showDropDown="false" showErrorMessage="false" showInputMessage="false" sqref="F20" type="list">
      <formula1>Reference!$D$121:$D$129</formula1>
      <formula2>0</formula2>
    </dataValidation>
    <dataValidation allowBlank="true" errorStyle="stop" operator="between" showDropDown="false" showErrorMessage="false" showInputMessage="false" sqref="J20" type="list">
      <formula1>Reference!$C$107:$C$113</formula1>
      <formula2>0</formula2>
    </dataValidation>
    <dataValidation allowBlank="true" errorStyle="stop" operator="between" showDropDown="false" showErrorMessage="false" showInputMessage="false" sqref="E21" type="list">
      <formula1>Reference!$E$121:$E$125</formula1>
      <formula2>0</formula2>
    </dataValidation>
    <dataValidation allowBlank="true" errorStyle="stop" operator="between" showDropDown="false" showErrorMessage="false" showInputMessage="false" sqref="F21" type="list">
      <formula1>Reference!$D$121:$D$129</formula1>
      <formula2>0</formula2>
    </dataValidation>
    <dataValidation allowBlank="true" errorStyle="stop" operator="between" showDropDown="false" showErrorMessage="false" showInputMessage="false" sqref="J21" type="list">
      <formula1>Reference!$C$107:$C$113</formula1>
      <formula2>0</formula2>
    </dataValidation>
    <dataValidation allowBlank="true" errorStyle="stop" operator="between" showDropDown="false" showErrorMessage="false" showInputMessage="false" sqref="E22" type="list">
      <formula1>Reference!$E$121:$E$125</formula1>
      <formula2>0</formula2>
    </dataValidation>
    <dataValidation allowBlank="true" errorStyle="stop" operator="between" showDropDown="false" showErrorMessage="false" showInputMessage="false" sqref="F22" type="list">
      <formula1>Reference!$D$121:$D$129</formula1>
      <formula2>0</formula2>
    </dataValidation>
    <dataValidation allowBlank="true" errorStyle="stop" operator="between" showDropDown="false" showErrorMessage="false" showInputMessage="false" sqref="J22" type="list">
      <formula1>Reference!$C$107:$C$113</formula1>
      <formula2>0</formula2>
    </dataValidation>
    <dataValidation allowBlank="true" errorStyle="stop" operator="between" showDropDown="false" showErrorMessage="false" showInputMessage="false" sqref="E23" type="list">
      <formula1>Reference!$E$121:$E$125</formula1>
      <formula2>0</formula2>
    </dataValidation>
    <dataValidation allowBlank="true" errorStyle="stop" operator="between" showDropDown="false" showErrorMessage="false" showInputMessage="false" sqref="F23" type="list">
      <formula1>Reference!$D$121:$D$129</formula1>
      <formula2>0</formula2>
    </dataValidation>
    <dataValidation allowBlank="true" errorStyle="stop" operator="between" showDropDown="false" showErrorMessage="false" showInputMessage="false" sqref="J23" type="list">
      <formula1>Reference!$C$107:$C$113</formula1>
      <formula2>0</formula2>
    </dataValidation>
    <dataValidation allowBlank="true" errorStyle="stop" operator="between" showDropDown="false" showErrorMessage="false" showInputMessage="false" sqref="E24" type="list">
      <formula1>Reference!$E$121:$E$125</formula1>
      <formula2>0</formula2>
    </dataValidation>
    <dataValidation allowBlank="true" errorStyle="stop" operator="between" showDropDown="false" showErrorMessage="false" showInputMessage="false" sqref="F24" type="list">
      <formula1>Reference!$D$121:$D$129</formula1>
      <formula2>0</formula2>
    </dataValidation>
    <dataValidation allowBlank="true" errorStyle="stop" operator="between" showDropDown="false" showErrorMessage="false" showInputMessage="false" sqref="J24" type="list">
      <formula1>Reference!$C$107:$C$113</formula1>
      <formula2>0</formula2>
    </dataValidation>
    <dataValidation allowBlank="true" errorStyle="stop" operator="between" showDropDown="false" showErrorMessage="false" showInputMessage="false" sqref="E25" type="list">
      <formula1>Reference!$E$121:$E$125</formula1>
      <formula2>0</formula2>
    </dataValidation>
    <dataValidation allowBlank="true" errorStyle="stop" operator="between" showDropDown="false" showErrorMessage="false" showInputMessage="false" sqref="F25" type="list">
      <formula1>Reference!$D$121:$D$129</formula1>
      <formula2>0</formula2>
    </dataValidation>
    <dataValidation allowBlank="true" errorStyle="stop" operator="between" showDropDown="false" showErrorMessage="false" showInputMessage="false" sqref="J25" type="list">
      <formula1>Reference!$C$107:$C$113</formula1>
      <formula2>0</formula2>
    </dataValidation>
    <dataValidation allowBlank="true" errorStyle="stop" operator="between" showDropDown="false" showErrorMessage="false" showInputMessage="false" sqref="E26" type="list">
      <formula1>Reference!$E$121:$E$125</formula1>
      <formula2>0</formula2>
    </dataValidation>
    <dataValidation allowBlank="true" errorStyle="stop" operator="between" showDropDown="false" showErrorMessage="false" showInputMessage="false" sqref="F26" type="list">
      <formula1>Reference!$D$121:$D$129</formula1>
      <formula2>0</formula2>
    </dataValidation>
    <dataValidation allowBlank="true" errorStyle="stop" operator="between" showDropDown="false" showErrorMessage="false" showInputMessage="false" sqref="J26" type="list">
      <formula1>Reference!$C$107:$C$113</formula1>
      <formula2>0</formula2>
    </dataValidation>
    <dataValidation allowBlank="true" errorStyle="stop" operator="between" showDropDown="false" showErrorMessage="false" showInputMessage="false" sqref="E27" type="list">
      <formula1>Reference!$E$121:$E$125</formula1>
      <formula2>0</formula2>
    </dataValidation>
    <dataValidation allowBlank="true" errorStyle="stop" operator="between" showDropDown="false" showErrorMessage="false" showInputMessage="false" sqref="F27" type="list">
      <formula1>Reference!$D$121:$D$129</formula1>
      <formula2>0</formula2>
    </dataValidation>
    <dataValidation allowBlank="true" errorStyle="stop" operator="between" showDropDown="false" showErrorMessage="false" showInputMessage="false" sqref="J27" type="list">
      <formula1>Reference!$C$107:$C$113</formula1>
      <formula2>0</formula2>
    </dataValidation>
    <dataValidation allowBlank="true" errorStyle="stop" operator="between" showDropDown="false" showErrorMessage="false" showInputMessage="false" sqref="E28" type="list">
      <formula1>Reference!$E$121:$E$125</formula1>
      <formula2>0</formula2>
    </dataValidation>
    <dataValidation allowBlank="true" errorStyle="stop" operator="between" showDropDown="false" showErrorMessage="false" showInputMessage="false" sqref="F28" type="list">
      <formula1>Reference!$D$121:$D$129</formula1>
      <formula2>0</formula2>
    </dataValidation>
    <dataValidation allowBlank="true" errorStyle="stop" operator="between" showDropDown="false" showErrorMessage="false" showInputMessage="false" sqref="J28" type="list">
      <formula1>Reference!$C$107:$C$113</formula1>
      <formula2>0</formula2>
    </dataValidation>
  </dataValidations>
  <hyperlinks>
    <hyperlink ref="B32"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31B0C"/>
    <pageSetUpPr fitToPage="true"/>
  </sheetPr>
  <dimension ref="B1:O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8"/>
    <col collapsed="false" customWidth="true" hidden="false" outlineLevel="0" max="3" min="3" style="0" width="24"/>
    <col collapsed="false" customWidth="true" hidden="false" outlineLevel="0" max="5" min="4" style="0" width="13"/>
    <col collapsed="false" customWidth="true" hidden="false" outlineLevel="0" max="6" min="6" style="0" width="10"/>
    <col collapsed="false" customWidth="true" hidden="false" outlineLevel="0" max="7" min="7" style="0" width="12"/>
    <col collapsed="false" customWidth="true" hidden="false" outlineLevel="0" max="8" min="8" style="0" width="19"/>
    <col collapsed="false" customWidth="true" hidden="false" outlineLevel="0" max="10" min="9" style="0" width="12"/>
    <col collapsed="false" customWidth="true" hidden="false" outlineLevel="0" max="11" min="11" style="0" width="15"/>
    <col collapsed="false" customWidth="true" hidden="false" outlineLevel="0" max="12" min="12" style="0" width="11"/>
    <col collapsed="false" customWidth="true" hidden="false" outlineLevel="0" max="13" min="13" style="0" width="16"/>
    <col collapsed="false" customWidth="true" hidden="false" outlineLevel="0" max="14" min="14" style="0" width="22"/>
    <col collapsed="false" customWidth="true" hidden="false" outlineLevel="0" max="15" min="15" style="0" width="24"/>
    <col collapsed="false" customWidth="true" hidden="false" outlineLevel="0" max="16" min="16" style="0" width="2.2"/>
  </cols>
  <sheetData>
    <row r="1" customFormat="false" ht="33.75" hidden="false" customHeight="true" outlineLevel="0" collapsed="false">
      <c r="B1" s="37" t="s">
        <v>348</v>
      </c>
      <c r="C1" s="37"/>
      <c r="D1" s="37"/>
      <c r="E1" s="37"/>
      <c r="F1" s="37"/>
      <c r="G1" s="37"/>
      <c r="H1" s="37"/>
      <c r="I1" s="37"/>
      <c r="J1" s="37"/>
      <c r="K1" s="37"/>
      <c r="L1" s="37"/>
      <c r="M1" s="37"/>
      <c r="N1" s="37"/>
      <c r="O1" s="37"/>
    </row>
    <row r="2" customFormat="false" ht="4.5" hidden="false" customHeight="true" outlineLevel="0" collapsed="false">
      <c r="B2" s="88"/>
      <c r="C2" s="88"/>
      <c r="D2" s="88"/>
      <c r="E2" s="88"/>
      <c r="F2" s="88"/>
      <c r="G2" s="88"/>
      <c r="H2" s="88"/>
      <c r="I2" s="88"/>
      <c r="J2" s="88"/>
      <c r="K2" s="88"/>
      <c r="L2" s="88"/>
      <c r="M2" s="88"/>
      <c r="N2" s="88"/>
      <c r="O2" s="88"/>
    </row>
    <row r="3" customFormat="false" ht="16.5" hidden="false" customHeight="true" outlineLevel="0" collapsed="false">
      <c r="B3" s="39" t="str">
        <f aca="false">IF(LEFT(Setup!$D$7,7)&lt;&gt;"EXAMPLE","","EXAMPLE DATA - type your own project name on Setup to clear this.")</f>
        <v>EXAMPLE DATA - type your own project name on Setup to clear this.</v>
      </c>
      <c r="C3" s="39"/>
      <c r="D3" s="39"/>
      <c r="E3" s="39"/>
      <c r="F3" s="39"/>
      <c r="G3" s="39"/>
      <c r="H3" s="39"/>
      <c r="I3" s="39"/>
      <c r="J3" s="39"/>
      <c r="K3" s="39"/>
      <c r="L3" s="39"/>
      <c r="M3" s="39"/>
      <c r="N3" s="39"/>
      <c r="O3" s="39"/>
    </row>
    <row r="4" customFormat="false" ht="25.5" hidden="false" customHeight="true" outlineLevel="0" collapsed="false">
      <c r="B4" s="40" t="s">
        <v>349</v>
      </c>
      <c r="C4" s="40"/>
      <c r="D4" s="40"/>
      <c r="E4" s="40"/>
      <c r="F4" s="40"/>
      <c r="G4" s="40"/>
      <c r="H4" s="40"/>
      <c r="I4" s="40"/>
      <c r="J4" s="40"/>
      <c r="K4" s="40"/>
      <c r="L4" s="40"/>
      <c r="M4" s="40"/>
      <c r="N4" s="40"/>
      <c r="O4" s="40"/>
    </row>
    <row r="6" customFormat="false" ht="47.25" hidden="false" customHeight="true" outlineLevel="0" collapsed="false">
      <c r="B6" s="10" t="s">
        <v>223</v>
      </c>
      <c r="C6" s="70" t="s">
        <v>288</v>
      </c>
      <c r="D6" s="70" t="s">
        <v>228</v>
      </c>
      <c r="E6" s="70" t="s">
        <v>230</v>
      </c>
      <c r="F6" s="70" t="s">
        <v>350</v>
      </c>
      <c r="G6" s="10" t="s">
        <v>351</v>
      </c>
      <c r="H6" s="10" t="s">
        <v>352</v>
      </c>
      <c r="I6" s="10" t="s">
        <v>353</v>
      </c>
      <c r="J6" s="10" t="s">
        <v>354</v>
      </c>
      <c r="K6" s="10" t="s">
        <v>355</v>
      </c>
      <c r="L6" s="10" t="s">
        <v>356</v>
      </c>
      <c r="M6" s="10" t="s">
        <v>357</v>
      </c>
      <c r="N6" s="70" t="s">
        <v>298</v>
      </c>
      <c r="O6" s="10" t="s">
        <v>233</v>
      </c>
    </row>
    <row r="7" customFormat="false" ht="46.5" hidden="false" customHeight="true" outlineLevel="0" collapsed="false">
      <c r="B7" s="82" t="s">
        <v>309</v>
      </c>
      <c r="C7" s="77" t="str">
        <f aca="false">IF($B7="","",IFERROR(IF(LEN(VLOOKUP($B7,'RFI Register'!$B$7:$O$36,2,FALSE()))&gt;44,LEFT(VLOOKUP($B7,'RFI Register'!$B$7:$O$36,2,FALSE()),44)&amp;"...",VLOOKUP($B7,'RFI Register'!$B$7:$O$36,2,FALSE())),"Reference not found"))</f>
        <v>Ground slab thickness differs from the surve...</v>
      </c>
      <c r="D7" s="74" t="n">
        <f aca="false">IF($B7="","",IFERROR(VLOOKUP($B7,'RFI Register'!$B$7:$O$36,7,FALSE()),""))</f>
        <v>46198</v>
      </c>
      <c r="E7" s="74" t="n">
        <f aca="false">IF($B7="","",IFERROR(VLOOKUP($B7,'RFI Register'!$B$7:$O$36,9,FALSE()),""))</f>
        <v>46200</v>
      </c>
      <c r="F7" s="75" t="n">
        <f aca="true">IF(OR($B7="",$D7=""),"",IF($E7="",MAX(0,TODAY()-$D7),MAX(0,$E7-$D7)))</f>
        <v>2</v>
      </c>
      <c r="G7" s="72" t="s">
        <v>358</v>
      </c>
      <c r="H7" s="72" t="s">
        <v>359</v>
      </c>
      <c r="I7" s="72" t="s">
        <v>283</v>
      </c>
      <c r="J7" s="72" t="s">
        <v>283</v>
      </c>
      <c r="K7" s="72" t="s">
        <v>283</v>
      </c>
      <c r="L7" s="84" t="n">
        <v>2</v>
      </c>
      <c r="M7" s="72" t="s">
        <v>360</v>
      </c>
      <c r="N7" s="77" t="str">
        <f aca="false">IF($B7="","",IF(COUNTIF('RFI Register'!$B$7:$B$36,$B7)=0,"Reference not found",IF($D7="","No needed-by date on the register",IF($F7=0,"Answered in time",IF(AND($J7="Yes",$M7=""),"WORK STOPPED - NO EVIDENCE RECORDED",IF($K7="No","Late, but no notice of the date needed",IF(AND($I7="Yes",$J7="Yes"),"Delay on the critical path - evidenced",IF($I7="Yes","Late on the critical path","Late - float absorbed it"))))))))</f>
        <v>Delay on the critical path - evidenced</v>
      </c>
      <c r="O7" s="72" t="s">
        <v>361</v>
      </c>
    </row>
    <row r="8" customFormat="false" ht="46.5" hidden="false" customHeight="true" outlineLevel="0" collapsed="false">
      <c r="B8" s="85" t="s">
        <v>322</v>
      </c>
      <c r="C8" s="77" t="str">
        <f aca="false">IF($B8="","",IFERROR(IF(LEN(VLOOKUP($B8,'RFI Register'!$B$7:$O$36,2,FALSE()))&gt;44,LEFT(VLOOKUP($B8,'RFI Register'!$B$7:$O$36,2,FALSE()),44)&amp;"...",VLOOKUP($B8,'RFI Register'!$B$7:$O$36,2,FALSE())),"Reference not found"))</f>
        <v>Stormwater invert at the eastern boundary cl...</v>
      </c>
      <c r="D8" s="74" t="n">
        <f aca="false">IF($B8="","",IFERROR(VLOOKUP($B8,'RFI Register'!$B$7:$O$36,7,FALSE()),""))</f>
        <v>46221</v>
      </c>
      <c r="E8" s="74" t="n">
        <f aca="false">IF($B8="","",IFERROR(VLOOKUP($B8,'RFI Register'!$B$7:$O$36,9,FALSE()),""))</f>
        <v>46225</v>
      </c>
      <c r="F8" s="75" t="n">
        <f aca="true">IF(OR($B8="",$D8=""),"",IF($E8="",MAX(0,TODAY()-$D8),MAX(0,$E8-$D8)))</f>
        <v>4</v>
      </c>
      <c r="G8" s="78" t="s">
        <v>362</v>
      </c>
      <c r="H8" s="78" t="s">
        <v>363</v>
      </c>
      <c r="I8" s="78" t="s">
        <v>364</v>
      </c>
      <c r="J8" s="78" t="s">
        <v>364</v>
      </c>
      <c r="K8" s="78" t="s">
        <v>283</v>
      </c>
      <c r="L8" s="87" t="n">
        <v>0</v>
      </c>
      <c r="M8" s="78" t="s">
        <v>365</v>
      </c>
      <c r="N8" s="77" t="str">
        <f aca="false">IF($B8="","",IF(COUNTIF('RFI Register'!$B$7:$B$36,$B8)=0,"Reference not found",IF($D8="","No needed-by date on the register",IF($F8=0,"Answered in time",IF(AND($J8="Yes",$M8=""),"WORK STOPPED - NO EVIDENCE RECORDED",IF($K8="No","Late, but no notice of the date needed",IF(AND($I8="Yes",$J8="Yes"),"Delay on the critical path - evidenced",IF($I8="Yes","Late on the critical path","Late - float absorbed it"))))))))</f>
        <v>Late - float absorbed it</v>
      </c>
      <c r="O8" s="78" t="s">
        <v>366</v>
      </c>
    </row>
    <row r="9" customFormat="false" ht="46.5" hidden="false" customHeight="true" outlineLevel="0" collapsed="false">
      <c r="B9" s="82" t="s">
        <v>337</v>
      </c>
      <c r="C9" s="77" t="str">
        <f aca="false">IF($B9="","",IFERROR(IF(LEN(VLOOKUP($B9,'RFI Register'!$B$7:$O$36,2,FALSE()))&gt;44,LEFT(VLOOKUP($B9,'RFI Register'!$B$7:$O$36,2,FALSE()),44)&amp;"...",VLOOKUP($B9,'RFI Register'!$B$7:$O$36,2,FALSE())),"Reference not found"))</f>
        <v>The plant deck steel connection cannot be bu...</v>
      </c>
      <c r="D9" s="74" t="n">
        <f aca="false">IF($B9="","",IFERROR(VLOOKUP($B9,'RFI Register'!$B$7:$O$36,7,FALSE()),""))</f>
        <v>46235</v>
      </c>
      <c r="E9" s="74" t="n">
        <f aca="false">IF($B9="","",IFERROR(VLOOKUP($B9,'RFI Register'!$B$7:$O$36,9,FALSE()),""))</f>
        <v>46237</v>
      </c>
      <c r="F9" s="75" t="n">
        <f aca="true">IF(OR($B9="",$D9=""),"",IF($E9="",MAX(0,TODAY()-$D9),MAX(0,$E9-$D9)))</f>
        <v>2</v>
      </c>
      <c r="G9" s="72" t="s">
        <v>367</v>
      </c>
      <c r="H9" s="72" t="s">
        <v>368</v>
      </c>
      <c r="I9" s="72" t="s">
        <v>283</v>
      </c>
      <c r="J9" s="72" t="s">
        <v>283</v>
      </c>
      <c r="K9" s="72" t="s">
        <v>283</v>
      </c>
      <c r="L9" s="84" t="n">
        <v>3</v>
      </c>
      <c r="M9" s="72" t="s">
        <v>369</v>
      </c>
      <c r="N9" s="77" t="str">
        <f aca="false">IF($B9="","",IF(COUNTIF('RFI Register'!$B$7:$B$36,$B9)=0,"Reference not found",IF($D9="","No needed-by date on the register",IF($F9=0,"Answered in time",IF(AND($J9="Yes",$M9=""),"WORK STOPPED - NO EVIDENCE RECORDED",IF($K9="No","Late, but no notice of the date needed",IF(AND($I9="Yes",$J9="Yes"),"Delay on the critical path - evidenced",IF($I9="Yes","Late on the critical path","Late - float absorbed it"))))))))</f>
        <v>Delay on the critical path - evidenced</v>
      </c>
      <c r="O9" s="72" t="s">
        <v>370</v>
      </c>
    </row>
    <row r="10" customFormat="false" ht="46.5" hidden="false" customHeight="true" outlineLevel="0" collapsed="false">
      <c r="B10" s="85" t="s">
        <v>371</v>
      </c>
      <c r="C10" s="77" t="str">
        <f aca="false">IF($B10="","",IFERROR(IF(LEN(VLOOKUP($B10,'RFI Register'!$B$7:$O$36,2,FALSE()))&gt;44,LEFT(VLOOKUP($B10,'RFI Register'!$B$7:$O$36,2,FALSE()),44)&amp;"...",VLOOKUP($B10,'RFI Register'!$B$7:$O$36,2,FALSE())),"Reference not found"))</f>
        <v>Confirm the staging for the switchover of th...</v>
      </c>
      <c r="D10" s="74" t="n">
        <f aca="false">IF($B10="","",IFERROR(VLOOKUP($B10,'RFI Register'!$B$7:$O$36,7,FALSE()),""))</f>
        <v>46243</v>
      </c>
      <c r="E10" s="74" t="n">
        <f aca="false">IF($B10="","",IFERROR(VLOOKUP($B10,'RFI Register'!$B$7:$O$36,9,FALSE()),""))</f>
        <v>0</v>
      </c>
      <c r="F10" s="75" t="n">
        <f aca="true">IF(OR($B10="",$D10=""),"",IF($E10="",MAX(0,TODAY()-$D10),MAX(0,$E10-$D10)))</f>
        <v>8</v>
      </c>
      <c r="G10" s="78" t="s">
        <v>372</v>
      </c>
      <c r="H10" s="78" t="s">
        <v>373</v>
      </c>
      <c r="I10" s="78" t="s">
        <v>283</v>
      </c>
      <c r="J10" s="78" t="s">
        <v>364</v>
      </c>
      <c r="K10" s="78" t="s">
        <v>283</v>
      </c>
      <c r="L10" s="87"/>
      <c r="M10" s="78"/>
      <c r="N10" s="77" t="str">
        <f aca="false">IF($B10="","",IF(COUNTIF('RFI Register'!$B$7:$B$36,$B10)=0,"Reference not found",IF($D10="","No needed-by date on the register",IF($F10=0,"Answered in time",IF(AND($J10="Yes",$M10=""),"WORK STOPPED - NO EVIDENCE RECORDED",IF($K10="No","Late, but no notice of the date needed",IF(AND($I10="Yes",$J10="Yes"),"Delay on the critical path - evidenced",IF($I10="Yes","Late on the critical path","Late - float absorbed it"))))))))</f>
        <v>Late on the critical path</v>
      </c>
      <c r="O10" s="78" t="s">
        <v>374</v>
      </c>
    </row>
    <row r="11" customFormat="false" ht="46.5" hidden="false" customHeight="true" outlineLevel="0" collapsed="false">
      <c r="B11" s="82" t="s">
        <v>375</v>
      </c>
      <c r="C11" s="77" t="str">
        <f aca="false">IF($B11="","",IFERROR(IF(LEN(VLOOKUP($B11,'RFI Register'!$B$7:$O$36,2,FALSE()))&gt;44,LEFT(VLOOKUP($B11,'RFI Register'!$B$7:$O$36,2,FALSE()),44)&amp;"...",VLOOKUP($B11,'RFI Register'!$B$7:$O$36,2,FALSE())),"Reference not found"))</f>
        <v>Ductwork cannot achieve the required fall ab...</v>
      </c>
      <c r="D11" s="74" t="n">
        <f aca="false">IF($B11="","",IFERROR(VLOOKUP($B11,'RFI Register'!$B$7:$O$36,7,FALSE()),""))</f>
        <v>46246</v>
      </c>
      <c r="E11" s="74" t="n">
        <f aca="false">IF($B11="","",IFERROR(VLOOKUP($B11,'RFI Register'!$B$7:$O$36,9,FALSE()),""))</f>
        <v>0</v>
      </c>
      <c r="F11" s="75" t="n">
        <f aca="true">IF(OR($B11="",$D11=""),"",IF($E11="",MAX(0,TODAY()-$D11),MAX(0,$E11-$D11)))</f>
        <v>5</v>
      </c>
      <c r="G11" s="72" t="s">
        <v>376</v>
      </c>
      <c r="H11" s="72" t="s">
        <v>377</v>
      </c>
      <c r="I11" s="72" t="s">
        <v>283</v>
      </c>
      <c r="J11" s="72" t="s">
        <v>283</v>
      </c>
      <c r="K11" s="72" t="s">
        <v>364</v>
      </c>
      <c r="L11" s="84"/>
      <c r="M11" s="72"/>
      <c r="N11" s="77" t="str">
        <f aca="false">IF($B11="","",IF(COUNTIF('RFI Register'!$B$7:$B$36,$B11)=0,"Reference not found",IF($D11="","No needed-by date on the register",IF($F11=0,"Answered in time",IF(AND($J11="Yes",$M11=""),"WORK STOPPED - NO EVIDENCE RECORDED",IF($K11="No","Late, but no notice of the date needed",IF(AND($I11="Yes",$J11="Yes"),"Delay on the critical path - evidenced",IF($I11="Yes","Late on the critical path","Late - float absorbed it"))))))))</f>
        <v>WORK STOPPED - NO EVIDENCE RECORDED</v>
      </c>
      <c r="O11" s="72" t="s">
        <v>378</v>
      </c>
    </row>
    <row r="12" customFormat="false" ht="46.5" hidden="false" customHeight="true" outlineLevel="0" collapsed="false">
      <c r="B12" s="85"/>
      <c r="C12" s="77" t="str">
        <f aca="false">IF($B12="","",IFERROR(IF(LEN(VLOOKUP($B12,'RFI Register'!$B$7:$O$36,2,FALSE()))&gt;44,LEFT(VLOOKUP($B12,'RFI Register'!$B$7:$O$36,2,FALSE()),44)&amp;"...",VLOOKUP($B12,'RFI Register'!$B$7:$O$36,2,FALSE())),"Reference not found"))</f>
        <v/>
      </c>
      <c r="D12" s="74" t="str">
        <f aca="false">IF($B12="","",IFERROR(VLOOKUP($B12,'RFI Register'!$B$7:$O$36,7,FALSE()),""))</f>
        <v/>
      </c>
      <c r="E12" s="74" t="str">
        <f aca="false">IF($B12="","",IFERROR(VLOOKUP($B12,'RFI Register'!$B$7:$O$36,9,FALSE()),""))</f>
        <v/>
      </c>
      <c r="F12" s="75" t="str">
        <f aca="true">IF(OR($B12="",$D12=""),"",IF($E12="",MAX(0,TODAY()-$D12),MAX(0,$E12-$D12)))</f>
        <v/>
      </c>
      <c r="G12" s="78"/>
      <c r="H12" s="78"/>
      <c r="I12" s="78"/>
      <c r="J12" s="78"/>
      <c r="K12" s="78"/>
      <c r="L12" s="87"/>
      <c r="M12" s="78"/>
      <c r="N12" s="77" t="str">
        <f aca="false">IF($B12="","",IF(COUNTIF('RFI Register'!$B$7:$B$36,$B12)=0,"Reference not found",IF($D12="","No needed-by date on the register",IF($F12=0,"Answered in time",IF(AND($J12="Yes",$M12=""),"WORK STOPPED - NO EVIDENCE RECORDED",IF($K12="No","Late, but no notice of the date needed",IF(AND($I12="Yes",$J12="Yes"),"Delay on the critical path - evidenced",IF($I12="Yes","Late on the critical path","Late - float absorbed it"))))))))</f>
        <v/>
      </c>
      <c r="O12" s="78"/>
    </row>
    <row r="13" customFormat="false" ht="46.5" hidden="false" customHeight="true" outlineLevel="0" collapsed="false">
      <c r="B13" s="82"/>
      <c r="C13" s="77" t="str">
        <f aca="false">IF($B13="","",IFERROR(IF(LEN(VLOOKUP($B13,'RFI Register'!$B$7:$O$36,2,FALSE()))&gt;44,LEFT(VLOOKUP($B13,'RFI Register'!$B$7:$O$36,2,FALSE()),44)&amp;"...",VLOOKUP($B13,'RFI Register'!$B$7:$O$36,2,FALSE())),"Reference not found"))</f>
        <v/>
      </c>
      <c r="D13" s="74" t="str">
        <f aca="false">IF($B13="","",IFERROR(VLOOKUP($B13,'RFI Register'!$B$7:$O$36,7,FALSE()),""))</f>
        <v/>
      </c>
      <c r="E13" s="74" t="str">
        <f aca="false">IF($B13="","",IFERROR(VLOOKUP($B13,'RFI Register'!$B$7:$O$36,9,FALSE()),""))</f>
        <v/>
      </c>
      <c r="F13" s="75" t="str">
        <f aca="true">IF(OR($B13="",$D13=""),"",IF($E13="",MAX(0,TODAY()-$D13),MAX(0,$E13-$D13)))</f>
        <v/>
      </c>
      <c r="G13" s="72"/>
      <c r="H13" s="72"/>
      <c r="I13" s="72"/>
      <c r="J13" s="72"/>
      <c r="K13" s="72"/>
      <c r="L13" s="84"/>
      <c r="M13" s="72"/>
      <c r="N13" s="77" t="str">
        <f aca="false">IF($B13="","",IF(COUNTIF('RFI Register'!$B$7:$B$36,$B13)=0,"Reference not found",IF($D13="","No needed-by date on the register",IF($F13=0,"Answered in time",IF(AND($J13="Yes",$M13=""),"WORK STOPPED - NO EVIDENCE RECORDED",IF($K13="No","Late, but no notice of the date needed",IF(AND($I13="Yes",$J13="Yes"),"Delay on the critical path - evidenced",IF($I13="Yes","Late on the critical path","Late - float absorbed it"))))))))</f>
        <v/>
      </c>
      <c r="O13" s="72"/>
    </row>
    <row r="14" customFormat="false" ht="46.5" hidden="false" customHeight="true" outlineLevel="0" collapsed="false">
      <c r="B14" s="85"/>
      <c r="C14" s="77" t="str">
        <f aca="false">IF($B14="","",IFERROR(IF(LEN(VLOOKUP($B14,'RFI Register'!$B$7:$O$36,2,FALSE()))&gt;44,LEFT(VLOOKUP($B14,'RFI Register'!$B$7:$O$36,2,FALSE()),44)&amp;"...",VLOOKUP($B14,'RFI Register'!$B$7:$O$36,2,FALSE())),"Reference not found"))</f>
        <v/>
      </c>
      <c r="D14" s="74" t="str">
        <f aca="false">IF($B14="","",IFERROR(VLOOKUP($B14,'RFI Register'!$B$7:$O$36,7,FALSE()),""))</f>
        <v/>
      </c>
      <c r="E14" s="74" t="str">
        <f aca="false">IF($B14="","",IFERROR(VLOOKUP($B14,'RFI Register'!$B$7:$O$36,9,FALSE()),""))</f>
        <v/>
      </c>
      <c r="F14" s="75" t="str">
        <f aca="true">IF(OR($B14="",$D14=""),"",IF($E14="",MAX(0,TODAY()-$D14),MAX(0,$E14-$D14)))</f>
        <v/>
      </c>
      <c r="G14" s="78"/>
      <c r="H14" s="78"/>
      <c r="I14" s="78"/>
      <c r="J14" s="78"/>
      <c r="K14" s="78"/>
      <c r="L14" s="87"/>
      <c r="M14" s="78"/>
      <c r="N14" s="77" t="str">
        <f aca="false">IF($B14="","",IF(COUNTIF('RFI Register'!$B$7:$B$36,$B14)=0,"Reference not found",IF($D14="","No needed-by date on the register",IF($F14=0,"Answered in time",IF(AND($J14="Yes",$M14=""),"WORK STOPPED - NO EVIDENCE RECORDED",IF($K14="No","Late, but no notice of the date needed",IF(AND($I14="Yes",$J14="Yes"),"Delay on the critical path - evidenced",IF($I14="Yes","Late on the critical path","Late - float absorbed it"))))))))</f>
        <v/>
      </c>
      <c r="O14" s="78"/>
    </row>
    <row r="15" customFormat="false" ht="46.5" hidden="false" customHeight="true" outlineLevel="0" collapsed="false">
      <c r="B15" s="82"/>
      <c r="C15" s="77" t="str">
        <f aca="false">IF($B15="","",IFERROR(IF(LEN(VLOOKUP($B15,'RFI Register'!$B$7:$O$36,2,FALSE()))&gt;44,LEFT(VLOOKUP($B15,'RFI Register'!$B$7:$O$36,2,FALSE()),44)&amp;"...",VLOOKUP($B15,'RFI Register'!$B$7:$O$36,2,FALSE())),"Reference not found"))</f>
        <v/>
      </c>
      <c r="D15" s="74" t="str">
        <f aca="false">IF($B15="","",IFERROR(VLOOKUP($B15,'RFI Register'!$B$7:$O$36,7,FALSE()),""))</f>
        <v/>
      </c>
      <c r="E15" s="74" t="str">
        <f aca="false">IF($B15="","",IFERROR(VLOOKUP($B15,'RFI Register'!$B$7:$O$36,9,FALSE()),""))</f>
        <v/>
      </c>
      <c r="F15" s="75" t="str">
        <f aca="true">IF(OR($B15="",$D15=""),"",IF($E15="",MAX(0,TODAY()-$D15),MAX(0,$E15-$D15)))</f>
        <v/>
      </c>
      <c r="G15" s="72"/>
      <c r="H15" s="72"/>
      <c r="I15" s="72"/>
      <c r="J15" s="72"/>
      <c r="K15" s="72"/>
      <c r="L15" s="84"/>
      <c r="M15" s="72"/>
      <c r="N15" s="77" t="str">
        <f aca="false">IF($B15="","",IF(COUNTIF('RFI Register'!$B$7:$B$36,$B15)=0,"Reference not found",IF($D15="","No needed-by date on the register",IF($F15=0,"Answered in time",IF(AND($J15="Yes",$M15=""),"WORK STOPPED - NO EVIDENCE RECORDED",IF($K15="No","Late, but no notice of the date needed",IF(AND($I15="Yes",$J15="Yes"),"Delay on the critical path - evidenced",IF($I15="Yes","Late on the critical path","Late - float absorbed it"))))))))</f>
        <v/>
      </c>
      <c r="O15" s="72"/>
    </row>
    <row r="16" customFormat="false" ht="46.5" hidden="false" customHeight="true" outlineLevel="0" collapsed="false">
      <c r="B16" s="85"/>
      <c r="C16" s="77" t="str">
        <f aca="false">IF($B16="","",IFERROR(IF(LEN(VLOOKUP($B16,'RFI Register'!$B$7:$O$36,2,FALSE()))&gt;44,LEFT(VLOOKUP($B16,'RFI Register'!$B$7:$O$36,2,FALSE()),44)&amp;"...",VLOOKUP($B16,'RFI Register'!$B$7:$O$36,2,FALSE())),"Reference not found"))</f>
        <v/>
      </c>
      <c r="D16" s="74" t="str">
        <f aca="false">IF($B16="","",IFERROR(VLOOKUP($B16,'RFI Register'!$B$7:$O$36,7,FALSE()),""))</f>
        <v/>
      </c>
      <c r="E16" s="74" t="str">
        <f aca="false">IF($B16="","",IFERROR(VLOOKUP($B16,'RFI Register'!$B$7:$O$36,9,FALSE()),""))</f>
        <v/>
      </c>
      <c r="F16" s="75" t="str">
        <f aca="true">IF(OR($B16="",$D16=""),"",IF($E16="",MAX(0,TODAY()-$D16),MAX(0,$E16-$D16)))</f>
        <v/>
      </c>
      <c r="G16" s="78"/>
      <c r="H16" s="78"/>
      <c r="I16" s="78"/>
      <c r="J16" s="78"/>
      <c r="K16" s="78"/>
      <c r="L16" s="87"/>
      <c r="M16" s="78"/>
      <c r="N16" s="77" t="str">
        <f aca="false">IF($B16="","",IF(COUNTIF('RFI Register'!$B$7:$B$36,$B16)=0,"Reference not found",IF($D16="","No needed-by date on the register",IF($F16=0,"Answered in time",IF(AND($J16="Yes",$M16=""),"WORK STOPPED - NO EVIDENCE RECORDED",IF($K16="No","Late, but no notice of the date needed",IF(AND($I16="Yes",$J16="Yes"),"Delay on the critical path - evidenced",IF($I16="Yes","Late on the critical path","Late - float absorbed it"))))))))</f>
        <v/>
      </c>
      <c r="O16" s="78"/>
    </row>
    <row r="17" customFormat="false" ht="46.5" hidden="false" customHeight="true" outlineLevel="0" collapsed="false">
      <c r="B17" s="82"/>
      <c r="C17" s="77" t="str">
        <f aca="false">IF($B17="","",IFERROR(IF(LEN(VLOOKUP($B17,'RFI Register'!$B$7:$O$36,2,FALSE()))&gt;44,LEFT(VLOOKUP($B17,'RFI Register'!$B$7:$O$36,2,FALSE()),44)&amp;"...",VLOOKUP($B17,'RFI Register'!$B$7:$O$36,2,FALSE())),"Reference not found"))</f>
        <v/>
      </c>
      <c r="D17" s="74" t="str">
        <f aca="false">IF($B17="","",IFERROR(VLOOKUP($B17,'RFI Register'!$B$7:$O$36,7,FALSE()),""))</f>
        <v/>
      </c>
      <c r="E17" s="74" t="str">
        <f aca="false">IF($B17="","",IFERROR(VLOOKUP($B17,'RFI Register'!$B$7:$O$36,9,FALSE()),""))</f>
        <v/>
      </c>
      <c r="F17" s="75" t="str">
        <f aca="true">IF(OR($B17="",$D17=""),"",IF($E17="",MAX(0,TODAY()-$D17),MAX(0,$E17-$D17)))</f>
        <v/>
      </c>
      <c r="G17" s="72"/>
      <c r="H17" s="72"/>
      <c r="I17" s="72"/>
      <c r="J17" s="72"/>
      <c r="K17" s="72"/>
      <c r="L17" s="84"/>
      <c r="M17" s="72"/>
      <c r="N17" s="77" t="str">
        <f aca="false">IF($B17="","",IF(COUNTIF('RFI Register'!$B$7:$B$36,$B17)=0,"Reference not found",IF($D17="","No needed-by date on the register",IF($F17=0,"Answered in time",IF(AND($J17="Yes",$M17=""),"WORK STOPPED - NO EVIDENCE RECORDED",IF($K17="No","Late, but no notice of the date needed",IF(AND($I17="Yes",$J17="Yes"),"Delay on the critical path - evidenced",IF($I17="Yes","Late on the critical path","Late - float absorbed it"))))))))</f>
        <v/>
      </c>
      <c r="O17" s="72"/>
    </row>
    <row r="18" customFormat="false" ht="46.5" hidden="false" customHeight="true" outlineLevel="0" collapsed="false">
      <c r="B18" s="85"/>
      <c r="C18" s="77" t="str">
        <f aca="false">IF($B18="","",IFERROR(IF(LEN(VLOOKUP($B18,'RFI Register'!$B$7:$O$36,2,FALSE()))&gt;44,LEFT(VLOOKUP($B18,'RFI Register'!$B$7:$O$36,2,FALSE()),44)&amp;"...",VLOOKUP($B18,'RFI Register'!$B$7:$O$36,2,FALSE())),"Reference not found"))</f>
        <v/>
      </c>
      <c r="D18" s="74" t="str">
        <f aca="false">IF($B18="","",IFERROR(VLOOKUP($B18,'RFI Register'!$B$7:$O$36,7,FALSE()),""))</f>
        <v/>
      </c>
      <c r="E18" s="74" t="str">
        <f aca="false">IF($B18="","",IFERROR(VLOOKUP($B18,'RFI Register'!$B$7:$O$36,9,FALSE()),""))</f>
        <v/>
      </c>
      <c r="F18" s="75" t="str">
        <f aca="true">IF(OR($B18="",$D18=""),"",IF($E18="",MAX(0,TODAY()-$D18),MAX(0,$E18-$D18)))</f>
        <v/>
      </c>
      <c r="G18" s="78"/>
      <c r="H18" s="78"/>
      <c r="I18" s="78"/>
      <c r="J18" s="78"/>
      <c r="K18" s="78"/>
      <c r="L18" s="87"/>
      <c r="M18" s="78"/>
      <c r="N18" s="77" t="str">
        <f aca="false">IF($B18="","",IF(COUNTIF('RFI Register'!$B$7:$B$36,$B18)=0,"Reference not found",IF($D18="","No needed-by date on the register",IF($F18=0,"Answered in time",IF(AND($J18="Yes",$M18=""),"WORK STOPPED - NO EVIDENCE RECORDED",IF($K18="No","Late, but no notice of the date needed",IF(AND($I18="Yes",$J18="Yes"),"Delay on the critical path - evidenced",IF($I18="Yes","Late on the critical path","Late - float absorbed it"))))))))</f>
        <v/>
      </c>
      <c r="O18" s="78"/>
    </row>
    <row r="20" customFormat="false" ht="15" hidden="false" customHeight="true" outlineLevel="0" collapsed="false">
      <c r="B20" s="40" t="s">
        <v>379</v>
      </c>
      <c r="C20" s="40"/>
      <c r="D20" s="40"/>
      <c r="E20" s="40"/>
      <c r="F20" s="40"/>
      <c r="G20" s="40"/>
      <c r="H20" s="40"/>
      <c r="I20" s="40"/>
      <c r="J20" s="40"/>
      <c r="K20" s="40"/>
      <c r="L20" s="40"/>
      <c r="M20" s="40"/>
    </row>
    <row r="21" customFormat="false" ht="15" hidden="false" customHeight="true" outlineLevel="0" collapsed="false">
      <c r="B21" s="40"/>
      <c r="C21" s="40"/>
      <c r="D21" s="40"/>
      <c r="E21" s="40"/>
      <c r="F21" s="40"/>
      <c r="G21" s="40"/>
      <c r="H21" s="40"/>
      <c r="I21" s="40"/>
      <c r="J21" s="40"/>
      <c r="K21" s="40"/>
      <c r="L21" s="40"/>
      <c r="M21" s="40"/>
    </row>
    <row r="22" customFormat="false" ht="18" hidden="false" customHeight="true" outlineLevel="0" collapsed="false">
      <c r="B22" s="48" t="s">
        <v>127</v>
      </c>
      <c r="C22" s="48"/>
      <c r="D22" s="48"/>
      <c r="E22" s="48"/>
      <c r="F22" s="48"/>
      <c r="G22" s="48"/>
      <c r="H22" s="48"/>
      <c r="I22" s="48"/>
      <c r="J22" s="48"/>
      <c r="K22" s="48"/>
      <c r="L22" s="48"/>
      <c r="M22" s="48"/>
      <c r="N22" s="48"/>
      <c r="O22" s="48"/>
    </row>
  </sheetData>
  <autoFilter ref="B6:O18"/>
  <mergeCells count="6">
    <mergeCell ref="B1:O1"/>
    <mergeCell ref="B2:O2"/>
    <mergeCell ref="B3:O3"/>
    <mergeCell ref="B4:O4"/>
    <mergeCell ref="B20:M21"/>
    <mergeCell ref="B22:O22"/>
  </mergeCells>
  <conditionalFormatting sqref="B3:O3">
    <cfRule type="expression" priority="2" aboveAverage="0" equalAverage="0" bottom="0" percent="0" rank="0" text="" dxfId="0">
      <formula>LEN($B$3)&gt;0</formula>
    </cfRule>
  </conditionalFormatting>
  <conditionalFormatting sqref="B7:O18">
    <cfRule type="expression" priority="3" aboveAverage="0" equalAverage="0" bottom="0" percent="0" rank="0" text="" dxfId="1">
      <formula>$N7="WORK STOPPED - NO EVIDENCE RECORDED"</formula>
    </cfRule>
    <cfRule type="expression" priority="4" aboveAverage="0" equalAverage="0" bottom="0" percent="0" rank="0" text="" dxfId="15">
      <formula>$N7="Late, but no notice of the date needed"</formula>
    </cfRule>
    <cfRule type="expression" priority="5" aboveAverage="0" equalAverage="0" bottom="0" percent="0" rank="0" text="" dxfId="15">
      <formula>$N7="Late on the critical path"</formula>
    </cfRule>
    <cfRule type="expression" priority="6" aboveAverage="0" equalAverage="0" bottom="0" percent="0" rank="0" text="" dxfId="0">
      <formula>$N7="Delay on the critical path - evidenced"</formula>
    </cfRule>
    <cfRule type="expression" priority="7" aboveAverage="0" equalAverage="0" bottom="0" percent="0" rank="0" text="" dxfId="18">
      <formula>$N7="Late - float absorbed it"</formula>
    </cfRule>
    <cfRule type="expression" priority="8" aboveAverage="0" equalAverage="0" bottom="0" percent="0" rank="0" text="" dxfId="16">
      <formula>$N7="Answered in time"</formula>
    </cfRule>
  </conditionalFormatting>
  <dataValidations count="37">
    <dataValidation allowBlank="true" errorStyle="stop" operator="between" showDropDown="false" showErrorMessage="false" showInputMessage="false" sqref="I7" type="list">
      <formula1>Reference!$F$107:$F$108</formula1>
      <formula2>0</formula2>
    </dataValidation>
    <dataValidation allowBlank="true" errorStyle="stop" operator="between" showDropDown="false" showErrorMessage="false" showInputMessage="false" sqref="J7" type="list">
      <formula1>Reference!$F$107:$F$108</formula1>
      <formula2>0</formula2>
    </dataValidation>
    <dataValidation allowBlank="true" errorStyle="stop" operator="between" showDropDown="false" showErrorMessage="false" showInputMessage="false" sqref="K7" type="list">
      <formula1>Reference!$F$107:$F$108</formula1>
      <formula2>0</formula2>
    </dataValidation>
    <dataValidation allowBlank="true" errorStyle="stop" operator="between" showDropDown="false" showErrorMessage="false" showInputMessage="false" sqref="I8" type="list">
      <formula1>Reference!$F$107:$F$108</formula1>
      <formula2>0</formula2>
    </dataValidation>
    <dataValidation allowBlank="true" errorStyle="stop" operator="between" showDropDown="false" showErrorMessage="false" showInputMessage="false" sqref="J8" type="list">
      <formula1>Reference!$F$107:$F$108</formula1>
      <formula2>0</formula2>
    </dataValidation>
    <dataValidation allowBlank="true" errorStyle="stop" operator="between" showDropDown="false" showErrorMessage="false" showInputMessage="false" sqref="K8" type="list">
      <formula1>Reference!$F$107:$F$108</formula1>
      <formula2>0</formula2>
    </dataValidation>
    <dataValidation allowBlank="true" errorStyle="stop" operator="between" showDropDown="false" showErrorMessage="false" showInputMessage="false" sqref="I9" type="list">
      <formula1>Reference!$F$107:$F$108</formula1>
      <formula2>0</formula2>
    </dataValidation>
    <dataValidation allowBlank="true" errorStyle="stop" operator="between" showDropDown="false" showErrorMessage="false" showInputMessage="false" sqref="J9" type="list">
      <formula1>Reference!$F$107:$F$108</formula1>
      <formula2>0</formula2>
    </dataValidation>
    <dataValidation allowBlank="true" errorStyle="stop" operator="between" showDropDown="false" showErrorMessage="false" showInputMessage="false" sqref="K9" type="list">
      <formula1>Reference!$F$107:$F$108</formula1>
      <formula2>0</formula2>
    </dataValidation>
    <dataValidation allowBlank="true" errorStyle="stop" operator="between" showDropDown="false" showErrorMessage="false" showInputMessage="false" sqref="I10" type="list">
      <formula1>Reference!$F$107:$F$108</formula1>
      <formula2>0</formula2>
    </dataValidation>
    <dataValidation allowBlank="true" errorStyle="stop" operator="between" showDropDown="false" showErrorMessage="false" showInputMessage="false" sqref="J10" type="list">
      <formula1>Reference!$F$107:$F$108</formula1>
      <formula2>0</formula2>
    </dataValidation>
    <dataValidation allowBlank="true" errorStyle="stop" operator="between" showDropDown="false" showErrorMessage="false" showInputMessage="false" sqref="K10" type="list">
      <formula1>Reference!$F$107:$F$108</formula1>
      <formula2>0</formula2>
    </dataValidation>
    <dataValidation allowBlank="true" errorStyle="stop" operator="between" showDropDown="false" showErrorMessage="false" showInputMessage="false" sqref="I11" type="list">
      <formula1>Reference!$F$107:$F$108</formula1>
      <formula2>0</formula2>
    </dataValidation>
    <dataValidation allowBlank="true" errorStyle="stop" operator="between" showDropDown="false" showErrorMessage="false" showInputMessage="false" sqref="J11" type="list">
      <formula1>Reference!$F$107:$F$108</formula1>
      <formula2>0</formula2>
    </dataValidation>
    <dataValidation allowBlank="true" errorStyle="stop" operator="between" showDropDown="false" showErrorMessage="false" showInputMessage="false" sqref="K11" type="list">
      <formula1>Reference!$F$107:$F$108</formula1>
      <formula2>0</formula2>
    </dataValidation>
    <dataValidation allowBlank="true" errorStyle="stop" operator="between" showDropDown="false" showErrorMessage="false" showInputMessage="false" sqref="I12" type="list">
      <formula1>Reference!$F$107:$F$108</formula1>
      <formula2>0</formula2>
    </dataValidation>
    <dataValidation allowBlank="true" errorStyle="stop" operator="between" showDropDown="false" showErrorMessage="false" showInputMessage="false" sqref="J12" type="list">
      <formula1>Reference!$F$107:$F$108</formula1>
      <formula2>0</formula2>
    </dataValidation>
    <dataValidation allowBlank="true" errorStyle="stop" operator="between" showDropDown="false" showErrorMessage="false" showInputMessage="false" sqref="K12" type="list">
      <formula1>Reference!$F$107:$F$108</formula1>
      <formula2>0</formula2>
    </dataValidation>
    <dataValidation allowBlank="true" errorStyle="stop" operator="between" showDropDown="false" showErrorMessage="false" showInputMessage="false" sqref="I13" type="list">
      <formula1>Reference!$F$107:$F$108</formula1>
      <formula2>0</formula2>
    </dataValidation>
    <dataValidation allowBlank="true" errorStyle="stop" operator="between" showDropDown="false" showErrorMessage="false" showInputMessage="false" sqref="J13" type="list">
      <formula1>Reference!$F$107:$F$108</formula1>
      <formula2>0</formula2>
    </dataValidation>
    <dataValidation allowBlank="true" errorStyle="stop" operator="between" showDropDown="false" showErrorMessage="false" showInputMessage="false" sqref="K13" type="list">
      <formula1>Reference!$F$107:$F$108</formula1>
      <formula2>0</formula2>
    </dataValidation>
    <dataValidation allowBlank="true" errorStyle="stop" operator="between" showDropDown="false" showErrorMessage="false" showInputMessage="false" sqref="I14" type="list">
      <formula1>Reference!$F$107:$F$108</formula1>
      <formula2>0</formula2>
    </dataValidation>
    <dataValidation allowBlank="true" errorStyle="stop" operator="between" showDropDown="false" showErrorMessage="false" showInputMessage="false" sqref="J14" type="list">
      <formula1>Reference!$F$107:$F$108</formula1>
      <formula2>0</formula2>
    </dataValidation>
    <dataValidation allowBlank="true" errorStyle="stop" operator="between" showDropDown="false" showErrorMessage="false" showInputMessage="false" sqref="K14" type="list">
      <formula1>Reference!$F$107:$F$108</formula1>
      <formula2>0</formula2>
    </dataValidation>
    <dataValidation allowBlank="true" errorStyle="stop" operator="between" showDropDown="false" showErrorMessage="false" showInputMessage="false" sqref="I15" type="list">
      <formula1>Reference!$F$107:$F$108</formula1>
      <formula2>0</formula2>
    </dataValidation>
    <dataValidation allowBlank="true" errorStyle="stop" operator="between" showDropDown="false" showErrorMessage="false" showInputMessage="false" sqref="J15" type="list">
      <formula1>Reference!$F$107:$F$108</formula1>
      <formula2>0</formula2>
    </dataValidation>
    <dataValidation allowBlank="true" errorStyle="stop" operator="between" showDropDown="false" showErrorMessage="false" showInputMessage="false" sqref="K15" type="list">
      <formula1>Reference!$F$107:$F$108</formula1>
      <formula2>0</formula2>
    </dataValidation>
    <dataValidation allowBlank="true" errorStyle="stop" operator="between" showDropDown="false" showErrorMessage="false" showInputMessage="false" sqref="I16" type="list">
      <formula1>Reference!$F$107:$F$108</formula1>
      <formula2>0</formula2>
    </dataValidation>
    <dataValidation allowBlank="true" errorStyle="stop" operator="between" showDropDown="false" showErrorMessage="false" showInputMessage="false" sqref="J16" type="list">
      <formula1>Reference!$F$107:$F$108</formula1>
      <formula2>0</formula2>
    </dataValidation>
    <dataValidation allowBlank="true" errorStyle="stop" operator="between" showDropDown="false" showErrorMessage="false" showInputMessage="false" sqref="K16" type="list">
      <formula1>Reference!$F$107:$F$108</formula1>
      <formula2>0</formula2>
    </dataValidation>
    <dataValidation allowBlank="true" errorStyle="stop" operator="between" showDropDown="false" showErrorMessage="false" showInputMessage="false" sqref="I17" type="list">
      <formula1>Reference!$F$107:$F$108</formula1>
      <formula2>0</formula2>
    </dataValidation>
    <dataValidation allowBlank="true" errorStyle="stop" operator="between" showDropDown="false" showErrorMessage="false" showInputMessage="false" sqref="J17" type="list">
      <formula1>Reference!$F$107:$F$108</formula1>
      <formula2>0</formula2>
    </dataValidation>
    <dataValidation allowBlank="true" errorStyle="stop" operator="between" showDropDown="false" showErrorMessage="false" showInputMessage="false" sqref="K17" type="list">
      <formula1>Reference!$F$107:$F$108</formula1>
      <formula2>0</formula2>
    </dataValidation>
    <dataValidation allowBlank="true" errorStyle="stop" operator="between" showDropDown="false" showErrorMessage="false" showInputMessage="false" sqref="I18" type="list">
      <formula1>Reference!$F$107:$F$108</formula1>
      <formula2>0</formula2>
    </dataValidation>
    <dataValidation allowBlank="true" errorStyle="stop" operator="between" showDropDown="false" showErrorMessage="false" showInputMessage="false" sqref="J18" type="list">
      <formula1>Reference!$F$107:$F$108</formula1>
      <formula2>0</formula2>
    </dataValidation>
    <dataValidation allowBlank="true" errorStyle="stop" operator="between" showDropDown="false" showErrorMessage="false" showInputMessage="false" sqref="K18" type="list">
      <formula1>Reference!$F$107:$F$108</formula1>
      <formula2>0</formula2>
    </dataValidation>
    <dataValidation allowBlank="false" errorStyle="stop" operator="between" prompt="Where the contemporaneous record lives - the diary entry, the photograph, the labour return, the email. A record made afterwards is not the same thing and will be read that way." promptTitle="Evidence" showDropDown="false" showErrorMessage="false" showInputMessage="true" sqref="M7:M18" type="none">
      <formula1>0</formula1>
      <formula2>0</formula2>
    </dataValidation>
  </dataValidations>
  <hyperlinks>
    <hyperlink ref="B22"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CAF50"/>
    <pageSetUpPr fitToPage="true"/>
  </sheetPr>
  <dimension ref="B1:M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8"/>
    <col collapsed="false" customWidth="true" hidden="false" outlineLevel="0" max="3" min="3" style="0" width="28"/>
    <col collapsed="false" customWidth="true" hidden="false" outlineLevel="0" max="4" min="4" style="0" width="13"/>
    <col collapsed="false" customWidth="true" hidden="false" outlineLevel="0" max="5" min="5" style="0" width="15"/>
    <col collapsed="false" customWidth="true" hidden="false" outlineLevel="0" max="7" min="6" style="0" width="22"/>
    <col collapsed="false" customWidth="true" hidden="false" outlineLevel="0" max="8" min="8" style="0" width="11"/>
    <col collapsed="false" customWidth="true" hidden="false" outlineLevel="0" max="9" min="9" style="0" width="21"/>
    <col collapsed="false" customWidth="true" hidden="false" outlineLevel="0" max="10" min="10" style="0" width="11"/>
    <col collapsed="false" customWidth="true" hidden="false" outlineLevel="0" max="11" min="11" style="0" width="13"/>
    <col collapsed="false" customWidth="true" hidden="false" outlineLevel="0" max="12" min="12" style="0" width="22"/>
    <col collapsed="false" customWidth="true" hidden="false" outlineLevel="0" max="13" min="13" style="0" width="24"/>
    <col collapsed="false" customWidth="true" hidden="false" outlineLevel="0" max="14" min="14" style="0" width="2.2"/>
  </cols>
  <sheetData>
    <row r="1" customFormat="false" ht="33.75" hidden="false" customHeight="true" outlineLevel="0" collapsed="false">
      <c r="B1" s="37" t="s">
        <v>380</v>
      </c>
      <c r="C1" s="37"/>
      <c r="D1" s="37"/>
      <c r="E1" s="37"/>
      <c r="F1" s="37"/>
      <c r="G1" s="37"/>
      <c r="H1" s="37"/>
      <c r="I1" s="37"/>
      <c r="J1" s="37"/>
      <c r="K1" s="37"/>
      <c r="L1" s="37"/>
      <c r="M1" s="37"/>
    </row>
    <row r="2" customFormat="false" ht="4.5" hidden="false" customHeight="true" outlineLevel="0" collapsed="false">
      <c r="B2" s="89"/>
      <c r="C2" s="89"/>
      <c r="D2" s="89"/>
      <c r="E2" s="89"/>
      <c r="F2" s="89"/>
      <c r="G2" s="89"/>
      <c r="H2" s="89"/>
      <c r="I2" s="89"/>
      <c r="J2" s="89"/>
      <c r="K2" s="89"/>
      <c r="L2" s="89"/>
      <c r="M2" s="89"/>
    </row>
    <row r="3" customFormat="false" ht="16.5" hidden="false" customHeight="true" outlineLevel="0" collapsed="false">
      <c r="B3" s="39" t="str">
        <f aca="false">IF(LEFT(Setup!$D$7,7)&lt;&gt;"EXAMPLE","","EXAMPLE DATA - type your own project name on Setup to clear this.")</f>
        <v>EXAMPLE DATA - type your own project name on Setup to clear this.</v>
      </c>
      <c r="C3" s="39"/>
      <c r="D3" s="39"/>
      <c r="E3" s="39"/>
      <c r="F3" s="39"/>
      <c r="G3" s="39"/>
      <c r="H3" s="39"/>
      <c r="I3" s="39"/>
      <c r="J3" s="39"/>
      <c r="K3" s="39"/>
      <c r="L3" s="39"/>
      <c r="M3" s="39"/>
    </row>
    <row r="4" customFormat="false" ht="25.5" hidden="false" customHeight="true" outlineLevel="0" collapsed="false">
      <c r="B4" s="40" t="s">
        <v>381</v>
      </c>
      <c r="C4" s="40"/>
      <c r="D4" s="40"/>
      <c r="E4" s="40"/>
      <c r="F4" s="40"/>
      <c r="G4" s="40"/>
      <c r="H4" s="40"/>
      <c r="I4" s="40"/>
      <c r="J4" s="40"/>
      <c r="K4" s="40"/>
      <c r="L4" s="40"/>
      <c r="M4" s="40"/>
    </row>
    <row r="6" customFormat="false" ht="47.25" hidden="false" customHeight="true" outlineLevel="0" collapsed="false">
      <c r="B6" s="10" t="s">
        <v>223</v>
      </c>
      <c r="C6" s="70" t="s">
        <v>288</v>
      </c>
      <c r="D6" s="70" t="s">
        <v>175</v>
      </c>
      <c r="E6" s="10" t="s">
        <v>382</v>
      </c>
      <c r="F6" s="10" t="s">
        <v>383</v>
      </c>
      <c r="G6" s="10" t="s">
        <v>384</v>
      </c>
      <c r="H6" s="10" t="s">
        <v>385</v>
      </c>
      <c r="I6" s="10" t="s">
        <v>386</v>
      </c>
      <c r="J6" s="10" t="s">
        <v>214</v>
      </c>
      <c r="K6" s="70" t="s">
        <v>215</v>
      </c>
      <c r="L6" s="70" t="s">
        <v>298</v>
      </c>
      <c r="M6" s="10" t="s">
        <v>233</v>
      </c>
    </row>
    <row r="7" customFormat="false" ht="46.5" hidden="false" customHeight="true" outlineLevel="0" collapsed="false">
      <c r="B7" s="82" t="s">
        <v>299</v>
      </c>
      <c r="C7" s="77" t="str">
        <f aca="false">IF($B7="","",IFERROR(IF(LEN(VLOOKUP($B7,'RFI Register'!$B$7:$O$36,2,FALSE()))&gt;44,LEFT(VLOOKUP($B7,'RFI Register'!$B$7:$O$36,2,FALSE()),44)&amp;"...",VLOOKUP($B7,'RFI Register'!$B$7:$O$36,2,FALSE())),"Reference not found"))</f>
        <v>Medical gas riser penetration at level 2 is ...</v>
      </c>
      <c r="D7" s="77" t="str">
        <f aca="false">IF($B7="","",IFERROR(VLOOKUP($B7,'RFI Register'!$B$7:$O$36,3,FALSE()),"Reference not found"))</f>
        <v>Structural</v>
      </c>
      <c r="E7" s="72" t="s">
        <v>98</v>
      </c>
      <c r="F7" s="72" t="s">
        <v>199</v>
      </c>
      <c r="G7" s="72" t="s">
        <v>387</v>
      </c>
      <c r="H7" s="76"/>
      <c r="I7" s="72" t="s">
        <v>217</v>
      </c>
      <c r="J7" s="90" t="n">
        <v>3</v>
      </c>
      <c r="K7" s="91" t="n">
        <f aca="false">IF(OR($B7="",$J7=""),"",$J7*Setup!$D$32)</f>
        <v>540</v>
      </c>
      <c r="L7" s="77" t="str">
        <f aca="false">IF($B7="","",IF(COUNTIF('RFI Register'!$B$7:$B$36,$B7)=0,"Reference not found",IF($H7&lt;&gt;"","Duplicate - see "&amp;$H7,IF(OR($G7="",$G7="Not assessed"),"Not yet assessed",IF($G7="Yes - it was in the documents","ANSWER WAS ALREADY ISSUED",IF($G7="Partly","Partly answerable already","Genuine gap in the documents"))))))</f>
        <v>Genuine gap in the documents</v>
      </c>
      <c r="M7" s="72"/>
    </row>
    <row r="8" customFormat="false" ht="46.5" hidden="false" customHeight="true" outlineLevel="0" collapsed="false">
      <c r="B8" s="85" t="s">
        <v>303</v>
      </c>
      <c r="C8" s="77" t="str">
        <f aca="false">IF($B8="","",IFERROR(IF(LEN(VLOOKUP($B8,'RFI Register'!$B$7:$O$36,2,FALSE()))&gt;44,LEFT(VLOOKUP($B8,'RFI Register'!$B$7:$O$36,2,FALSE()),44)&amp;"...",VLOOKUP($B8,'RFI Register'!$B$7:$O$36,2,FALSE())),"Reference not found"))</f>
        <v>Ceiling height scales at 2,700; the room dat...</v>
      </c>
      <c r="D8" s="77" t="str">
        <f aca="false">IF($B8="","",IFERROR(VLOOKUP($B8,'RFI Register'!$B$7:$O$36,3,FALSE()),"Reference not found"))</f>
        <v>Architectural</v>
      </c>
      <c r="E8" s="78" t="s">
        <v>98</v>
      </c>
      <c r="F8" s="78" t="s">
        <v>197</v>
      </c>
      <c r="G8" s="78" t="s">
        <v>388</v>
      </c>
      <c r="H8" s="80"/>
      <c r="I8" s="78" t="s">
        <v>218</v>
      </c>
      <c r="J8" s="92" t="n">
        <v>1.5</v>
      </c>
      <c r="K8" s="91" t="n">
        <f aca="false">IF(OR($B8="",$J8=""),"",$J8*Setup!$D$32)</f>
        <v>270</v>
      </c>
      <c r="L8" s="77" t="str">
        <f aca="false">IF($B8="","",IF(COUNTIF('RFI Register'!$B$7:$B$36,$B8)=0,"Reference not found",IF($H8&lt;&gt;"","Duplicate - see "&amp;$H8,IF(OR($G8="",$G8="Not assessed"),"Not yet assessed",IF($G8="Yes - it was in the documents","ANSWER WAS ALREADY ISSUED",IF($G8="Partly","Partly answerable already","Genuine gap in the documents"))))))</f>
        <v>ANSWER WAS ALREADY ISSUED</v>
      </c>
      <c r="M8" s="78" t="s">
        <v>389</v>
      </c>
    </row>
    <row r="9" customFormat="false" ht="46.5" hidden="false" customHeight="true" outlineLevel="0" collapsed="false">
      <c r="B9" s="82" t="s">
        <v>305</v>
      </c>
      <c r="C9" s="77" t="str">
        <f aca="false">IF($B9="","",IFERROR(IF(LEN(VLOOKUP($B9,'RFI Register'!$B$7:$O$36,2,FALSE()))&gt;44,LEFT(VLOOKUP($B9,'RFI Register'!$B$7:$O$36,2,FALSE()),44)&amp;"...",VLOOKUP($B9,'RFI Register'!$B$7:$O$36,2,FALSE())),"Reference not found"))</f>
        <v>The specified linear diffuser is no longer m...</v>
      </c>
      <c r="D9" s="77" t="str">
        <f aca="false">IF($B9="","",IFERROR(VLOOKUP($B9,'RFI Register'!$B$7:$O$36,3,FALSE()),"Reference not found"))</f>
        <v>Mechanical</v>
      </c>
      <c r="E9" s="72" t="s">
        <v>390</v>
      </c>
      <c r="F9" s="72" t="s">
        <v>204</v>
      </c>
      <c r="G9" s="72" t="s">
        <v>387</v>
      </c>
      <c r="H9" s="76"/>
      <c r="I9" s="72" t="s">
        <v>217</v>
      </c>
      <c r="J9" s="90" t="n">
        <v>4</v>
      </c>
      <c r="K9" s="91" t="n">
        <f aca="false">IF(OR($B9="",$J9=""),"",$J9*Setup!$D$32)</f>
        <v>720</v>
      </c>
      <c r="L9" s="77" t="str">
        <f aca="false">IF($B9="","",IF(COUNTIF('RFI Register'!$B$7:$B$36,$B9)=0,"Reference not found",IF($H9&lt;&gt;"","Duplicate - see "&amp;$H9,IF(OR($G9="",$G9="Not assessed"),"Not yet assessed",IF($G9="Yes - it was in the documents","ANSWER WAS ALREADY ISSUED",IF($G9="Partly","Partly answerable already","Genuine gap in the documents"))))))</f>
        <v>Genuine gap in the documents</v>
      </c>
      <c r="M9" s="72"/>
    </row>
    <row r="10" customFormat="false" ht="46.5" hidden="false" customHeight="true" outlineLevel="0" collapsed="false">
      <c r="B10" s="85" t="s">
        <v>309</v>
      </c>
      <c r="C10" s="77" t="str">
        <f aca="false">IF($B10="","",IFERROR(IF(LEN(VLOOKUP($B10,'RFI Register'!$B$7:$O$36,2,FALSE()))&gt;44,LEFT(VLOOKUP($B10,'RFI Register'!$B$7:$O$36,2,FALSE()),44)&amp;"...",VLOOKUP($B10,'RFI Register'!$B$7:$O$36,2,FALSE())),"Reference not found"))</f>
        <v>Ground slab thickness differs from the surve...</v>
      </c>
      <c r="D10" s="77" t="str">
        <f aca="false">IF($B10="","",IFERROR(VLOOKUP($B10,'RFI Register'!$B$7:$O$36,3,FALSE()),"Reference not found"))</f>
        <v>Structural</v>
      </c>
      <c r="E10" s="78" t="s">
        <v>98</v>
      </c>
      <c r="F10" s="78" t="s">
        <v>207</v>
      </c>
      <c r="G10" s="78" t="s">
        <v>387</v>
      </c>
      <c r="H10" s="80"/>
      <c r="I10" s="78" t="s">
        <v>219</v>
      </c>
      <c r="J10" s="92" t="n">
        <v>9</v>
      </c>
      <c r="K10" s="91" t="n">
        <f aca="false">IF(OR($B10="",$J10=""),"",$J10*Setup!$D$32)</f>
        <v>1620</v>
      </c>
      <c r="L10" s="77" t="str">
        <f aca="false">IF($B10="","",IF(COUNTIF('RFI Register'!$B$7:$B$36,$B10)=0,"Reference not found",IF($H10&lt;&gt;"","Duplicate - see "&amp;$H10,IF(OR($G10="",$G10="Not assessed"),"Not yet assessed",IF($G10="Yes - it was in the documents","ANSWER WAS ALREADY ISSUED",IF($G10="Partly","Partly answerable already","Genuine gap in the documents"))))))</f>
        <v>Genuine gap in the documents</v>
      </c>
      <c r="M10" s="78" t="s">
        <v>391</v>
      </c>
    </row>
    <row r="11" customFormat="false" ht="46.5" hidden="false" customHeight="true" outlineLevel="0" collapsed="false">
      <c r="B11" s="82" t="s">
        <v>313</v>
      </c>
      <c r="C11" s="77" t="str">
        <f aca="false">IF($B11="","",IFERROR(IF(LEN(VLOOKUP($B11,'RFI Register'!$B$7:$O$36,2,FALSE()))&gt;44,LEFT(VLOOKUP($B11,'RFI Register'!$B$7:$O$36,2,FALSE()),44)&amp;"...",VLOOKUP($B11,'RFI Register'!$B$7:$O$36,2,FALSE())),"Reference not found"))</f>
        <v>The damper schedule does not cover the four ...</v>
      </c>
      <c r="D11" s="77" t="str">
        <f aca="false">IF($B11="","",IFERROR(VLOOKUP($B11,'RFI Register'!$B$7:$O$36,3,FALSE()),"Reference not found"))</f>
        <v>Fire</v>
      </c>
      <c r="E11" s="72" t="s">
        <v>98</v>
      </c>
      <c r="F11" s="72" t="s">
        <v>198</v>
      </c>
      <c r="G11" s="72" t="s">
        <v>387</v>
      </c>
      <c r="H11" s="76"/>
      <c r="I11" s="72" t="s">
        <v>217</v>
      </c>
      <c r="J11" s="90" t="n">
        <v>5</v>
      </c>
      <c r="K11" s="91" t="n">
        <f aca="false">IF(OR($B11="",$J11=""),"",$J11*Setup!$D$32)</f>
        <v>900</v>
      </c>
      <c r="L11" s="77" t="str">
        <f aca="false">IF($B11="","",IF(COUNTIF('RFI Register'!$B$7:$B$36,$B11)=0,"Reference not found",IF($H11&lt;&gt;"","Duplicate - see "&amp;$H11,IF(OR($G11="",$G11="Not assessed"),"Not yet assessed",IF($G11="Yes - it was in the documents","ANSWER WAS ALREADY ISSUED",IF($G11="Partly","Partly answerable already","Genuine gap in the documents"))))))</f>
        <v>Genuine gap in the documents</v>
      </c>
      <c r="M11" s="72"/>
    </row>
    <row r="12" customFormat="false" ht="46.5" hidden="false" customHeight="true" outlineLevel="0" collapsed="false">
      <c r="B12" s="85" t="s">
        <v>316</v>
      </c>
      <c r="C12" s="77" t="str">
        <f aca="false">IF($B12="","",IFERROR(IF(LEN(VLOOKUP($B12,'RFI Register'!$B$7:$O$36,2,FALSE()))&gt;44,LEFT(VLOOKUP($B12,'RFI Register'!$B$7:$O$36,2,FALSE()),44)&amp;"...",VLOOKUP($B12,'RFI Register'!$B$7:$O$36,2,FALSE())),"Reference not found"))</f>
        <v>Confirm the cable route for the theatre isol...</v>
      </c>
      <c r="D12" s="77" t="str">
        <f aca="false">IF($B12="","",IFERROR(VLOOKUP($B12,'RFI Register'!$B$7:$O$36,3,FALSE()),"Reference not found"))</f>
        <v>Electrical</v>
      </c>
      <c r="E12" s="78" t="s">
        <v>98</v>
      </c>
      <c r="F12" s="78" t="s">
        <v>199</v>
      </c>
      <c r="G12" s="78" t="s">
        <v>392</v>
      </c>
      <c r="H12" s="80"/>
      <c r="I12" s="78" t="s">
        <v>217</v>
      </c>
      <c r="J12" s="92" t="n">
        <v>2.5</v>
      </c>
      <c r="K12" s="91" t="n">
        <f aca="false">IF(OR($B12="",$J12=""),"",$J12*Setup!$D$32)</f>
        <v>450</v>
      </c>
      <c r="L12" s="77" t="str">
        <f aca="false">IF($B12="","",IF(COUNTIF('RFI Register'!$B$7:$B$36,$B12)=0,"Reference not found",IF($H12&lt;&gt;"","Duplicate - see "&amp;$H12,IF(OR($G12="",$G12="Not assessed"),"Not yet assessed",IF($G12="Yes - it was in the documents","ANSWER WAS ALREADY ISSUED",IF($G12="Partly","Partly answerable already","Genuine gap in the documents"))))))</f>
        <v>Partly answerable already</v>
      </c>
      <c r="M12" s="78"/>
    </row>
    <row r="13" customFormat="false" ht="46.5" hidden="false" customHeight="true" outlineLevel="0" collapsed="false">
      <c r="B13" s="82" t="s">
        <v>318</v>
      </c>
      <c r="C13" s="77" t="str">
        <f aca="false">IF($B13="","",IFERROR(IF(LEN(VLOOKUP($B13,'RFI Register'!$B$7:$O$36,2,FALSE()))&gt;44,LEFT(VLOOKUP($B13,'RFI Register'!$B$7:$O$36,2,FALSE()),44)&amp;"...",VLOOKUP($B13,'RFI Register'!$B$7:$O$36,2,FALSE())),"Reference not found"))</f>
        <v>Which of the two door schedules issued on th...</v>
      </c>
      <c r="D13" s="77" t="str">
        <f aca="false">IF($B13="","",IFERROR(VLOOKUP($B13,'RFI Register'!$B$7:$O$36,3,FALSE()),"Reference not found"))</f>
        <v>Architectural</v>
      </c>
      <c r="E13" s="72" t="s">
        <v>98</v>
      </c>
      <c r="F13" s="72" t="s">
        <v>197</v>
      </c>
      <c r="G13" s="72" t="s">
        <v>388</v>
      </c>
      <c r="H13" s="76"/>
      <c r="I13" s="72" t="s">
        <v>218</v>
      </c>
      <c r="J13" s="90" t="n">
        <v>1</v>
      </c>
      <c r="K13" s="91" t="n">
        <f aca="false">IF(OR($B13="",$J13=""),"",$J13*Setup!$D$32)</f>
        <v>180</v>
      </c>
      <c r="L13" s="77" t="str">
        <f aca="false">IF($B13="","",IF(COUNTIF('RFI Register'!$B$7:$B$36,$B13)=0,"Reference not found",IF($H13&lt;&gt;"","Duplicate - see "&amp;$H13,IF(OR($G13="",$G13="Not assessed"),"Not yet assessed",IF($G13="Yes - it was in the documents","ANSWER WAS ALREADY ISSUED",IF($G13="Partly","Partly answerable already","Genuine gap in the documents"))))))</f>
        <v>ANSWER WAS ALREADY ISSUED</v>
      </c>
      <c r="M13" s="72" t="s">
        <v>393</v>
      </c>
    </row>
    <row r="14" customFormat="false" ht="46.5" hidden="false" customHeight="true" outlineLevel="0" collapsed="false">
      <c r="B14" s="85" t="s">
        <v>320</v>
      </c>
      <c r="C14" s="77" t="str">
        <f aca="false">IF($B14="","",IFERROR(IF(LEN(VLOOKUP($B14,'RFI Register'!$B$7:$O$36,2,FALSE()))&gt;44,LEFT(VLOOKUP($B14,'RFI Register'!$B$7:$O$36,2,FALSE()),44)&amp;"...",VLOOKUP($B14,'RFI Register'!$B$7:$O$36,2,FALSE())),"Reference not found"))</f>
        <v>Confirm the exposed soffit finish in the wai...</v>
      </c>
      <c r="D14" s="77" t="str">
        <f aca="false">IF($B14="","",IFERROR(VLOOKUP($B14,'RFI Register'!$B$7:$O$36,3,FALSE()),"Reference not found"))</f>
        <v>Architectural</v>
      </c>
      <c r="E14" s="78" t="s">
        <v>98</v>
      </c>
      <c r="F14" s="78" t="s">
        <v>197</v>
      </c>
      <c r="G14" s="78" t="s">
        <v>388</v>
      </c>
      <c r="H14" s="80"/>
      <c r="I14" s="78" t="s">
        <v>218</v>
      </c>
      <c r="J14" s="92" t="n">
        <v>1.5</v>
      </c>
      <c r="K14" s="91" t="n">
        <f aca="false">IF(OR($B14="",$J14=""),"",$J14*Setup!$D$32)</f>
        <v>270</v>
      </c>
      <c r="L14" s="77" t="str">
        <f aca="false">IF($B14="","",IF(COUNTIF('RFI Register'!$B$7:$B$36,$B14)=0,"Reference not found",IF($H14&lt;&gt;"","Duplicate - see "&amp;$H14,IF(OR($G14="",$G14="Not assessed"),"Not yet assessed",IF($G14="Yes - it was in the documents","ANSWER WAS ALREADY ISSUED",IF($G14="Partly","Partly answerable already","Genuine gap in the documents"))))))</f>
        <v>ANSWER WAS ALREADY ISSUED</v>
      </c>
      <c r="M14" s="78"/>
    </row>
    <row r="15" customFormat="false" ht="46.5" hidden="false" customHeight="true" outlineLevel="0" collapsed="false">
      <c r="B15" s="82" t="s">
        <v>322</v>
      </c>
      <c r="C15" s="77" t="str">
        <f aca="false">IF($B15="","",IFERROR(IF(LEN(VLOOKUP($B15,'RFI Register'!$B$7:$O$36,2,FALSE()))&gt;44,LEFT(VLOOKUP($B15,'RFI Register'!$B$7:$O$36,2,FALSE()),44)&amp;"...",VLOOKUP($B15,'RFI Register'!$B$7:$O$36,2,FALSE())),"Reference not found"))</f>
        <v>Stormwater invert at the eastern boundary cl...</v>
      </c>
      <c r="D15" s="77" t="str">
        <f aca="false">IF($B15="","",IFERROR(VLOOKUP($B15,'RFI Register'!$B$7:$O$36,3,FALSE()),"Reference not found"))</f>
        <v>Civil</v>
      </c>
      <c r="E15" s="72" t="s">
        <v>98</v>
      </c>
      <c r="F15" s="72" t="s">
        <v>208</v>
      </c>
      <c r="G15" s="72" t="s">
        <v>387</v>
      </c>
      <c r="H15" s="76"/>
      <c r="I15" s="72" t="s">
        <v>217</v>
      </c>
      <c r="J15" s="90" t="n">
        <v>6</v>
      </c>
      <c r="K15" s="91" t="n">
        <f aca="false">IF(OR($B15="",$J15=""),"",$J15*Setup!$D$32)</f>
        <v>1080</v>
      </c>
      <c r="L15" s="77" t="str">
        <f aca="false">IF($B15="","",IF(COUNTIF('RFI Register'!$B$7:$B$36,$B15)=0,"Reference not found",IF($H15&lt;&gt;"","Duplicate - see "&amp;$H15,IF(OR($G15="",$G15="Not assessed"),"Not yet assessed",IF($G15="Yes - it was in the documents","ANSWER WAS ALREADY ISSUED",IF($G15="Partly","Partly answerable already","Genuine gap in the documents"))))))</f>
        <v>Genuine gap in the documents</v>
      </c>
      <c r="M15" s="72"/>
    </row>
    <row r="16" customFormat="false" ht="46.5" hidden="false" customHeight="true" outlineLevel="0" collapsed="false">
      <c r="B16" s="85" t="s">
        <v>325</v>
      </c>
      <c r="C16" s="77" t="str">
        <f aca="false">IF($B16="","",IFERROR(IF(LEN(VLOOKUP($B16,'RFI Register'!$B$7:$O$36,2,FALSE()))&gt;44,LEFT(VLOOKUP($B16,'RFI Register'!$B$7:$O$36,2,FALSE()),44)&amp;"...",VLOOKUP($B16,'RFI Register'!$B$7:$O$36,2,FALSE())),"Reference not found"))</f>
        <v>Facade bracket setting-out does not suit the...</v>
      </c>
      <c r="D16" s="77" t="str">
        <f aca="false">IF($B16="","",IFERROR(VLOOKUP($B16,'RFI Register'!$B$7:$O$36,3,FALSE()),"Reference not found"))</f>
        <v>Facade</v>
      </c>
      <c r="E16" s="78" t="s">
        <v>390</v>
      </c>
      <c r="F16" s="78" t="s">
        <v>199</v>
      </c>
      <c r="G16" s="78" t="s">
        <v>387</v>
      </c>
      <c r="H16" s="80"/>
      <c r="I16" s="78" t="s">
        <v>217</v>
      </c>
      <c r="J16" s="92" t="n">
        <v>3.5</v>
      </c>
      <c r="K16" s="91" t="n">
        <f aca="false">IF(OR($B16="",$J16=""),"",$J16*Setup!$D$32)</f>
        <v>630</v>
      </c>
      <c r="L16" s="77" t="str">
        <f aca="false">IF($B16="","",IF(COUNTIF('RFI Register'!$B$7:$B$36,$B16)=0,"Reference not found",IF($H16&lt;&gt;"","Duplicate - see "&amp;$H16,IF(OR($G16="",$G16="Not assessed"),"Not yet assessed",IF($G16="Yes - it was in the documents","ANSWER WAS ALREADY ISSUED",IF($G16="Partly","Partly answerable already","Genuine gap in the documents"))))))</f>
        <v>Genuine gap in the documents</v>
      </c>
      <c r="M16" s="78"/>
    </row>
    <row r="17" customFormat="false" ht="46.5" hidden="false" customHeight="true" outlineLevel="0" collapsed="false">
      <c r="B17" s="82" t="s">
        <v>329</v>
      </c>
      <c r="C17" s="77" t="str">
        <f aca="false">IF($B17="","",IFERROR(IF(LEN(VLOOKUP($B17,'RFI Register'!$B$7:$O$36,2,FALSE()))&gt;44,LEFT(VLOOKUP($B17,'RFI Register'!$B$7:$O$36,2,FALSE()),44)&amp;"...",VLOOKUP($B17,'RFI Register'!$B$7:$O$36,2,FALSE())),"Reference not found"))</f>
        <v>Is the nurse call system in this contract or...</v>
      </c>
      <c r="D17" s="77" t="str">
        <f aca="false">IF($B17="","",IFERROR(VLOOKUP($B17,'RFI Register'!$B$7:$O$36,3,FALSE()),"Reference not found"))</f>
        <v>Specialist / user group</v>
      </c>
      <c r="E17" s="72" t="s">
        <v>98</v>
      </c>
      <c r="F17" s="72" t="s">
        <v>205</v>
      </c>
      <c r="G17" s="72" t="s">
        <v>392</v>
      </c>
      <c r="H17" s="76"/>
      <c r="I17" s="72" t="s">
        <v>219</v>
      </c>
      <c r="J17" s="90" t="n">
        <v>2</v>
      </c>
      <c r="K17" s="91" t="n">
        <f aca="false">IF(OR($B17="",$J17=""),"",$J17*Setup!$D$32)</f>
        <v>360</v>
      </c>
      <c r="L17" s="77" t="str">
        <f aca="false">IF($B17="","",IF(COUNTIF('RFI Register'!$B$7:$B$36,$B17)=0,"Reference not found",IF($H17&lt;&gt;"","Duplicate - see "&amp;$H17,IF(OR($G17="",$G17="Not assessed"),"Not yet assessed",IF($G17="Yes - it was in the documents","ANSWER WAS ALREADY ISSUED",IF($G17="Partly","Partly answerable already","Genuine gap in the documents"))))))</f>
        <v>Partly answerable already</v>
      </c>
      <c r="M17" s="72" t="s">
        <v>394</v>
      </c>
    </row>
    <row r="18" customFormat="false" ht="46.5" hidden="false" customHeight="true" outlineLevel="0" collapsed="false">
      <c r="B18" s="85" t="s">
        <v>332</v>
      </c>
      <c r="C18" s="77" t="str">
        <f aca="false">IF($B18="","",IFERROR(IF(LEN(VLOOKUP($B18,'RFI Register'!$B$7:$O$36,2,FALSE()))&gt;44,LEFT(VLOOKUP($B18,'RFI Register'!$B$7:$O$36,2,FALSE()),44)&amp;"...",VLOOKUP($B18,'RFI Register'!$B$7:$O$36,2,FALSE())),"Reference not found"))</f>
        <v>Ceiling height in the assessment bays - plea...</v>
      </c>
      <c r="D18" s="77" t="str">
        <f aca="false">IF($B18="","",IFERROR(VLOOKUP($B18,'RFI Register'!$B$7:$O$36,3,FALSE()),"Reference not found"))</f>
        <v>Architectural</v>
      </c>
      <c r="E18" s="78" t="s">
        <v>390</v>
      </c>
      <c r="F18" s="78" t="s">
        <v>197</v>
      </c>
      <c r="G18" s="78" t="s">
        <v>388</v>
      </c>
      <c r="H18" s="80" t="s">
        <v>303</v>
      </c>
      <c r="I18" s="78" t="s">
        <v>218</v>
      </c>
      <c r="J18" s="92" t="n">
        <v>0.5</v>
      </c>
      <c r="K18" s="91" t="n">
        <f aca="false">IF(OR($B18="",$J18=""),"",$J18*Setup!$D$32)</f>
        <v>90</v>
      </c>
      <c r="L18" s="77" t="str">
        <f aca="false">IF($B18="","",IF(COUNTIF('RFI Register'!$B$7:$B$36,$B18)=0,"Reference not found",IF($H18&lt;&gt;"","Duplicate - see "&amp;$H18,IF(OR($G18="",$G18="Not assessed"),"Not yet assessed",IF($G18="Yes - it was in the documents","ANSWER WAS ALREADY ISSUED",IF($G18="Partly","Partly answerable already","Genuine gap in the documents"))))))</f>
        <v>Duplicate - see R002</v>
      </c>
      <c r="M18" s="78" t="s">
        <v>395</v>
      </c>
    </row>
    <row r="19" customFormat="false" ht="46.5" hidden="false" customHeight="true" outlineLevel="0" collapsed="false">
      <c r="B19" s="82" t="s">
        <v>334</v>
      </c>
      <c r="C19" s="77" t="str">
        <f aca="false">IF($B19="","",IFERROR(IF(LEN(VLOOKUP($B19,'RFI Register'!$B$7:$O$36,2,FALSE()))&gt;44,LEFT(VLOOKUP($B19,'RFI Register'!$B$7:$O$36,2,FALSE()),44)&amp;"...",VLOOKUP($B19,'RFI Register'!$B$7:$O$36,2,FALSE())),"Reference not found"))</f>
        <v>No waterproofing detail is shown at the show...</v>
      </c>
      <c r="D19" s="77" t="str">
        <f aca="false">IF($B19="","",IFERROR(VLOOKUP($B19,'RFI Register'!$B$7:$O$36,3,FALSE()),"Reference not found"))</f>
        <v>Hydraulic</v>
      </c>
      <c r="E19" s="72" t="s">
        <v>98</v>
      </c>
      <c r="F19" s="72" t="s">
        <v>198</v>
      </c>
      <c r="G19" s="72" t="s">
        <v>387</v>
      </c>
      <c r="H19" s="76"/>
      <c r="I19" s="72" t="s">
        <v>217</v>
      </c>
      <c r="J19" s="90" t="n">
        <v>4</v>
      </c>
      <c r="K19" s="91" t="n">
        <f aca="false">IF(OR($B19="",$J19=""),"",$J19*Setup!$D$32)</f>
        <v>720</v>
      </c>
      <c r="L19" s="77" t="str">
        <f aca="false">IF($B19="","",IF(COUNTIF('RFI Register'!$B$7:$B$36,$B19)=0,"Reference not found",IF($H19&lt;&gt;"","Duplicate - see "&amp;$H19,IF(OR($G19="",$G19="Not assessed"),"Not yet assessed",IF($G19="Yes - it was in the documents","ANSWER WAS ALREADY ISSUED",IF($G19="Partly","Partly answerable already","Genuine gap in the documents"))))))</f>
        <v>Genuine gap in the documents</v>
      </c>
      <c r="M19" s="72"/>
    </row>
    <row r="20" customFormat="false" ht="46.5" hidden="false" customHeight="true" outlineLevel="0" collapsed="false">
      <c r="B20" s="85" t="s">
        <v>337</v>
      </c>
      <c r="C20" s="77" t="str">
        <f aca="false">IF($B20="","",IFERROR(IF(LEN(VLOOKUP($B20,'RFI Register'!$B$7:$O$36,2,FALSE()))&gt;44,LEFT(VLOOKUP($B20,'RFI Register'!$B$7:$O$36,2,FALSE()),44)&amp;"...",VLOOKUP($B20,'RFI Register'!$B$7:$O$36,2,FALSE())),"Reference not found"))</f>
        <v>The plant deck steel connection cannot be bu...</v>
      </c>
      <c r="D20" s="77" t="str">
        <f aca="false">IF($B20="","",IFERROR(VLOOKUP($B20,'RFI Register'!$B$7:$O$36,3,FALSE()),"Reference not found"))</f>
        <v>Structural</v>
      </c>
      <c r="E20" s="78" t="s">
        <v>98</v>
      </c>
      <c r="F20" s="78" t="s">
        <v>202</v>
      </c>
      <c r="G20" s="78" t="s">
        <v>387</v>
      </c>
      <c r="H20" s="80"/>
      <c r="I20" s="78" t="s">
        <v>217</v>
      </c>
      <c r="J20" s="92" t="n">
        <v>11</v>
      </c>
      <c r="K20" s="91" t="n">
        <f aca="false">IF(OR($B20="",$J20=""),"",$J20*Setup!$D$32)</f>
        <v>1980</v>
      </c>
      <c r="L20" s="77" t="str">
        <f aca="false">IF($B20="","",IF(COUNTIF('RFI Register'!$B$7:$B$36,$B20)=0,"Reference not found",IF($H20&lt;&gt;"","Duplicate - see "&amp;$H20,IF(OR($G20="",$G20="Not assessed"),"Not yet assessed",IF($G20="Yes - it was in the documents","ANSWER WAS ALREADY ISSUED",IF($G20="Partly","Partly answerable already","Genuine gap in the documents"))))))</f>
        <v>Genuine gap in the documents</v>
      </c>
      <c r="M20" s="78" t="s">
        <v>396</v>
      </c>
    </row>
    <row r="21" customFormat="false" ht="46.5" hidden="false" customHeight="true" outlineLevel="0" collapsed="false">
      <c r="B21" s="82" t="s">
        <v>341</v>
      </c>
      <c r="C21" s="77" t="str">
        <f aca="false">IF($B21="","",IFERROR(IF(LEN(VLOOKUP($B21,'RFI Register'!$B$7:$O$36,2,FALSE()))&gt;44,LEFT(VLOOKUP($B21,'RFI Register'!$B$7:$O$36,2,FALSE()),44)&amp;"...",VLOOKUP($B21,'RFI Register'!$B$7:$O$36,2,FALSE())),"Reference not found"))</f>
        <v>Confirm the switchboard schedule now the chi...</v>
      </c>
      <c r="D21" s="77" t="str">
        <f aca="false">IF($B21="","",IFERROR(VLOOKUP($B21,'RFI Register'!$B$7:$O$36,3,FALSE()),"Reference not found"))</f>
        <v>Electrical</v>
      </c>
      <c r="E21" s="72" t="s">
        <v>98</v>
      </c>
      <c r="F21" s="72" t="s">
        <v>200</v>
      </c>
      <c r="G21" s="72" t="s">
        <v>387</v>
      </c>
      <c r="H21" s="76"/>
      <c r="I21" s="72" t="s">
        <v>219</v>
      </c>
      <c r="J21" s="90" t="n">
        <v>5</v>
      </c>
      <c r="K21" s="91" t="n">
        <f aca="false">IF(OR($B21="",$J21=""),"",$J21*Setup!$D$32)</f>
        <v>900</v>
      </c>
      <c r="L21" s="77" t="str">
        <f aca="false">IF($B21="","",IF(COUNTIF('RFI Register'!$B$7:$B$36,$B21)=0,"Reference not found",IF($H21&lt;&gt;"","Duplicate - see "&amp;$H21,IF(OR($G21="",$G21="Not assessed"),"Not yet assessed",IF($G21="Yes - it was in the documents","ANSWER WAS ALREADY ISSUED",IF($G21="Partly","Partly answerable already","Genuine gap in the documents"))))))</f>
        <v>Genuine gap in the documents</v>
      </c>
      <c r="M21" s="72" t="s">
        <v>397</v>
      </c>
    </row>
    <row r="22" customFormat="false" ht="46.5" hidden="false" customHeight="true" outlineLevel="0" collapsed="false">
      <c r="B22" s="85" t="s">
        <v>344</v>
      </c>
      <c r="C22" s="77" t="str">
        <f aca="false">IF($B22="","",IFERROR(IF(LEN(VLOOKUP($B22,'RFI Register'!$B$7:$O$36,2,FALSE()))&gt;44,LEFT(VLOOKUP($B22,'RFI Register'!$B$7:$O$36,2,FALSE()),44)&amp;"...",VLOOKUP($B22,'RFI Register'!$B$7:$O$36,2,FALSE())),"Reference not found"))</f>
        <v>Can the corridor handrail be omitted where t...</v>
      </c>
      <c r="D22" s="77" t="str">
        <f aca="false">IF($B22="","",IFERROR(VLOOKUP($B22,'RFI Register'!$B$7:$O$36,3,FALSE()),"Reference not found"))</f>
        <v>Architectural</v>
      </c>
      <c r="E22" s="78" t="s">
        <v>98</v>
      </c>
      <c r="F22" s="78" t="s">
        <v>210</v>
      </c>
      <c r="G22" s="78" t="s">
        <v>387</v>
      </c>
      <c r="H22" s="80"/>
      <c r="I22" s="78" t="s">
        <v>217</v>
      </c>
      <c r="J22" s="92" t="n">
        <v>2</v>
      </c>
      <c r="K22" s="91" t="n">
        <f aca="false">IF(OR($B22="",$J22=""),"",$J22*Setup!$D$32)</f>
        <v>360</v>
      </c>
      <c r="L22" s="77" t="str">
        <f aca="false">IF($B22="","",IF(COUNTIF('RFI Register'!$B$7:$B$36,$B22)=0,"Reference not found",IF($H22&lt;&gt;"","Duplicate - see "&amp;$H22,IF(OR($G22="",$G22="Not assessed"),"Not yet assessed",IF($G22="Yes - it was in the documents","ANSWER WAS ALREADY ISSUED",IF($G22="Partly","Partly answerable already","Genuine gap in the documents"))))))</f>
        <v>Genuine gap in the documents</v>
      </c>
      <c r="M22" s="78"/>
    </row>
    <row r="23" customFormat="false" ht="46.5" hidden="false" customHeight="true" outlineLevel="0" collapsed="false">
      <c r="B23" s="82" t="s">
        <v>371</v>
      </c>
      <c r="C23" s="77" t="str">
        <f aca="false">IF($B23="","",IFERROR(IF(LEN(VLOOKUP($B23,'RFI Register'!$B$7:$O$36,2,FALSE()))&gt;44,LEFT(VLOOKUP($B23,'RFI Register'!$B$7:$O$36,2,FALSE()),44)&amp;"...",VLOOKUP($B23,'RFI Register'!$B$7:$O$36,2,FALSE())),"Reference not found"))</f>
        <v>Confirm the staging for the switchover of th...</v>
      </c>
      <c r="D23" s="77" t="str">
        <f aca="false">IF($B23="","",IFERROR(VLOOKUP($B23,'RFI Register'!$B$7:$O$36,3,FALSE()),"Reference not found"))</f>
        <v>Fire</v>
      </c>
      <c r="E23" s="72" t="s">
        <v>98</v>
      </c>
      <c r="F23" s="72" t="s">
        <v>209</v>
      </c>
      <c r="G23" s="72" t="s">
        <v>220</v>
      </c>
      <c r="H23" s="76"/>
      <c r="I23" s="72" t="s">
        <v>220</v>
      </c>
      <c r="J23" s="90"/>
      <c r="K23" s="91" t="str">
        <f aca="false">IF(OR($B23="",$J23=""),"",$J23*Setup!$D$32)</f>
        <v/>
      </c>
      <c r="L23" s="77" t="str">
        <f aca="false">IF($B23="","",IF(COUNTIF('RFI Register'!$B$7:$B$36,$B23)=0,"Reference not found",IF($H23&lt;&gt;"","Duplicate - see "&amp;$H23,IF(OR($G23="",$G23="Not assessed"),"Not yet assessed",IF($G23="Yes - it was in the documents","ANSWER WAS ALREADY ISSUED",IF($G23="Partly","Partly answerable already","Genuine gap in the documents"))))))</f>
        <v>Not yet assessed</v>
      </c>
      <c r="M23" s="72"/>
    </row>
    <row r="24" customFormat="false" ht="46.5" hidden="false" customHeight="true" outlineLevel="0" collapsed="false">
      <c r="B24" s="85" t="s">
        <v>375</v>
      </c>
      <c r="C24" s="77" t="str">
        <f aca="false">IF($B24="","",IFERROR(IF(LEN(VLOOKUP($B24,'RFI Register'!$B$7:$O$36,2,FALSE()))&gt;44,LEFT(VLOOKUP($B24,'RFI Register'!$B$7:$O$36,2,FALSE()),44)&amp;"...",VLOOKUP($B24,'RFI Register'!$B$7:$O$36,2,FALSE())),"Reference not found"))</f>
        <v>Ductwork cannot achieve the required fall ab...</v>
      </c>
      <c r="D24" s="77" t="str">
        <f aca="false">IF($B24="","",IFERROR(VLOOKUP($B24,'RFI Register'!$B$7:$O$36,3,FALSE()),"Reference not found"))</f>
        <v>Mechanical</v>
      </c>
      <c r="E24" s="78" t="s">
        <v>98</v>
      </c>
      <c r="F24" s="78" t="s">
        <v>199</v>
      </c>
      <c r="G24" s="78" t="s">
        <v>220</v>
      </c>
      <c r="H24" s="80"/>
      <c r="I24" s="78" t="s">
        <v>220</v>
      </c>
      <c r="J24" s="92"/>
      <c r="K24" s="91" t="str">
        <f aca="false">IF(OR($B24="",$J24=""),"",$J24*Setup!$D$32)</f>
        <v/>
      </c>
      <c r="L24" s="77" t="str">
        <f aca="false">IF($B24="","",IF(COUNTIF('RFI Register'!$B$7:$B$36,$B24)=0,"Reference not found",IF($H24&lt;&gt;"","Duplicate - see "&amp;$H24,IF(OR($G24="",$G24="Not assessed"),"Not yet assessed",IF($G24="Yes - it was in the documents","ANSWER WAS ALREADY ISSUED",IF($G24="Partly","Partly answerable already","Genuine gap in the documents"))))))</f>
        <v>Not yet assessed</v>
      </c>
      <c r="M24" s="78"/>
    </row>
    <row r="25" customFormat="false" ht="46.5" hidden="false" customHeight="true" outlineLevel="0" collapsed="false">
      <c r="B25" s="82"/>
      <c r="C25" s="77" t="str">
        <f aca="false">IF($B25="","",IFERROR(IF(LEN(VLOOKUP($B25,'RFI Register'!$B$7:$O$36,2,FALSE()))&gt;44,LEFT(VLOOKUP($B25,'RFI Register'!$B$7:$O$36,2,FALSE()),44)&amp;"...",VLOOKUP($B25,'RFI Register'!$B$7:$O$36,2,FALSE())),"Reference not found"))</f>
        <v/>
      </c>
      <c r="D25" s="77" t="str">
        <f aca="false">IF($B25="","",IFERROR(VLOOKUP($B25,'RFI Register'!$B$7:$O$36,3,FALSE()),"Reference not found"))</f>
        <v/>
      </c>
      <c r="E25" s="72"/>
      <c r="F25" s="72"/>
      <c r="G25" s="72"/>
      <c r="H25" s="76"/>
      <c r="I25" s="72"/>
      <c r="J25" s="90"/>
      <c r="K25" s="91" t="str">
        <f aca="false">IF(OR($B25="",$J25=""),"",$J25*Setup!$D$32)</f>
        <v/>
      </c>
      <c r="L25" s="77" t="str">
        <f aca="false">IF($B25="","",IF(COUNTIF('RFI Register'!$B$7:$B$36,$B25)=0,"Reference not found",IF($H25&lt;&gt;"","Duplicate - see "&amp;$H25,IF(OR($G25="",$G25="Not assessed"),"Not yet assessed",IF($G25="Yes - it was in the documents","ANSWER WAS ALREADY ISSUED",IF($G25="Partly","Partly answerable already","Genuine gap in the documents"))))))</f>
        <v/>
      </c>
      <c r="M25" s="72"/>
    </row>
    <row r="26" customFormat="false" ht="46.5" hidden="false" customHeight="true" outlineLevel="0" collapsed="false">
      <c r="B26" s="85"/>
      <c r="C26" s="77" t="str">
        <f aca="false">IF($B26="","",IFERROR(IF(LEN(VLOOKUP($B26,'RFI Register'!$B$7:$O$36,2,FALSE()))&gt;44,LEFT(VLOOKUP($B26,'RFI Register'!$B$7:$O$36,2,FALSE()),44)&amp;"...",VLOOKUP($B26,'RFI Register'!$B$7:$O$36,2,FALSE())),"Reference not found"))</f>
        <v/>
      </c>
      <c r="D26" s="77" t="str">
        <f aca="false">IF($B26="","",IFERROR(VLOOKUP($B26,'RFI Register'!$B$7:$O$36,3,FALSE()),"Reference not found"))</f>
        <v/>
      </c>
      <c r="E26" s="78"/>
      <c r="F26" s="78"/>
      <c r="G26" s="78"/>
      <c r="H26" s="80"/>
      <c r="I26" s="78"/>
      <c r="J26" s="92"/>
      <c r="K26" s="91" t="str">
        <f aca="false">IF(OR($B26="",$J26=""),"",$J26*Setup!$D$32)</f>
        <v/>
      </c>
      <c r="L26" s="77" t="str">
        <f aca="false">IF($B26="","",IF(COUNTIF('RFI Register'!$B$7:$B$36,$B26)=0,"Reference not found",IF($H26&lt;&gt;"","Duplicate - see "&amp;$H26,IF(OR($G26="",$G26="Not assessed"),"Not yet assessed",IF($G26="Yes - it was in the documents","ANSWER WAS ALREADY ISSUED",IF($G26="Partly","Partly answerable already","Genuine gap in the documents"))))))</f>
        <v/>
      </c>
      <c r="M26" s="78"/>
    </row>
    <row r="27" customFormat="false" ht="46.5" hidden="false" customHeight="true" outlineLevel="0" collapsed="false">
      <c r="B27" s="82"/>
      <c r="C27" s="77" t="str">
        <f aca="false">IF($B27="","",IFERROR(IF(LEN(VLOOKUP($B27,'RFI Register'!$B$7:$O$36,2,FALSE()))&gt;44,LEFT(VLOOKUP($B27,'RFI Register'!$B$7:$O$36,2,FALSE()),44)&amp;"...",VLOOKUP($B27,'RFI Register'!$B$7:$O$36,2,FALSE())),"Reference not found"))</f>
        <v/>
      </c>
      <c r="D27" s="77" t="str">
        <f aca="false">IF($B27="","",IFERROR(VLOOKUP($B27,'RFI Register'!$B$7:$O$36,3,FALSE()),"Reference not found"))</f>
        <v/>
      </c>
      <c r="E27" s="72"/>
      <c r="F27" s="72"/>
      <c r="G27" s="72"/>
      <c r="H27" s="76"/>
      <c r="I27" s="72"/>
      <c r="J27" s="90"/>
      <c r="K27" s="91" t="str">
        <f aca="false">IF(OR($B27="",$J27=""),"",$J27*Setup!$D$32)</f>
        <v/>
      </c>
      <c r="L27" s="77" t="str">
        <f aca="false">IF($B27="","",IF(COUNTIF('RFI Register'!$B$7:$B$36,$B27)=0,"Reference not found",IF($H27&lt;&gt;"","Duplicate - see "&amp;$H27,IF(OR($G27="",$G27="Not assessed"),"Not yet assessed",IF($G27="Yes - it was in the documents","ANSWER WAS ALREADY ISSUED",IF($G27="Partly","Partly answerable already","Genuine gap in the documents"))))))</f>
        <v/>
      </c>
      <c r="M27" s="72"/>
    </row>
    <row r="28" customFormat="false" ht="46.5" hidden="false" customHeight="true" outlineLevel="0" collapsed="false">
      <c r="B28" s="85"/>
      <c r="C28" s="77" t="str">
        <f aca="false">IF($B28="","",IFERROR(IF(LEN(VLOOKUP($B28,'RFI Register'!$B$7:$O$36,2,FALSE()))&gt;44,LEFT(VLOOKUP($B28,'RFI Register'!$B$7:$O$36,2,FALSE()),44)&amp;"...",VLOOKUP($B28,'RFI Register'!$B$7:$O$36,2,FALSE())),"Reference not found"))</f>
        <v/>
      </c>
      <c r="D28" s="77" t="str">
        <f aca="false">IF($B28="","",IFERROR(VLOOKUP($B28,'RFI Register'!$B$7:$O$36,3,FALSE()),"Reference not found"))</f>
        <v/>
      </c>
      <c r="E28" s="78"/>
      <c r="F28" s="78"/>
      <c r="G28" s="78"/>
      <c r="H28" s="80"/>
      <c r="I28" s="78"/>
      <c r="J28" s="92"/>
      <c r="K28" s="91" t="str">
        <f aca="false">IF(OR($B28="",$J28=""),"",$J28*Setup!$D$32)</f>
        <v/>
      </c>
      <c r="L28" s="77" t="str">
        <f aca="false">IF($B28="","",IF(COUNTIF('RFI Register'!$B$7:$B$36,$B28)=0,"Reference not found",IF($H28&lt;&gt;"","Duplicate - see "&amp;$H28,IF(OR($G28="",$G28="Not assessed"),"Not yet assessed",IF($G28="Yes - it was in the documents","ANSWER WAS ALREADY ISSUED",IF($G28="Partly","Partly answerable already","Genuine gap in the documents"))))))</f>
        <v/>
      </c>
      <c r="M28" s="78"/>
    </row>
    <row r="29" customFormat="false" ht="46.5" hidden="false" customHeight="true" outlineLevel="0" collapsed="false">
      <c r="B29" s="82"/>
      <c r="C29" s="77" t="str">
        <f aca="false">IF($B29="","",IFERROR(IF(LEN(VLOOKUP($B29,'RFI Register'!$B$7:$O$36,2,FALSE()))&gt;44,LEFT(VLOOKUP($B29,'RFI Register'!$B$7:$O$36,2,FALSE()),44)&amp;"...",VLOOKUP($B29,'RFI Register'!$B$7:$O$36,2,FALSE())),"Reference not found"))</f>
        <v/>
      </c>
      <c r="D29" s="77" t="str">
        <f aca="false">IF($B29="","",IFERROR(VLOOKUP($B29,'RFI Register'!$B$7:$O$36,3,FALSE()),"Reference not found"))</f>
        <v/>
      </c>
      <c r="E29" s="72"/>
      <c r="F29" s="72"/>
      <c r="G29" s="72"/>
      <c r="H29" s="76"/>
      <c r="I29" s="72"/>
      <c r="J29" s="90"/>
      <c r="K29" s="91" t="str">
        <f aca="false">IF(OR($B29="",$J29=""),"",$J29*Setup!$D$32)</f>
        <v/>
      </c>
      <c r="L29" s="77" t="str">
        <f aca="false">IF($B29="","",IF(COUNTIF('RFI Register'!$B$7:$B$36,$B29)=0,"Reference not found",IF($H29&lt;&gt;"","Duplicate - see "&amp;$H29,IF(OR($G29="",$G29="Not assessed"),"Not yet assessed",IF($G29="Yes - it was in the documents","ANSWER WAS ALREADY ISSUED",IF($G29="Partly","Partly answerable already","Genuine gap in the documents"))))))</f>
        <v/>
      </c>
      <c r="M29" s="72"/>
    </row>
    <row r="30" customFormat="false" ht="46.5" hidden="false" customHeight="true" outlineLevel="0" collapsed="false">
      <c r="B30" s="85"/>
      <c r="C30" s="77" t="str">
        <f aca="false">IF($B30="","",IFERROR(IF(LEN(VLOOKUP($B30,'RFI Register'!$B$7:$O$36,2,FALSE()))&gt;44,LEFT(VLOOKUP($B30,'RFI Register'!$B$7:$O$36,2,FALSE()),44)&amp;"...",VLOOKUP($B30,'RFI Register'!$B$7:$O$36,2,FALSE())),"Reference not found"))</f>
        <v/>
      </c>
      <c r="D30" s="77" t="str">
        <f aca="false">IF($B30="","",IFERROR(VLOOKUP($B30,'RFI Register'!$B$7:$O$36,3,FALSE()),"Reference not found"))</f>
        <v/>
      </c>
      <c r="E30" s="78"/>
      <c r="F30" s="78"/>
      <c r="G30" s="78"/>
      <c r="H30" s="80"/>
      <c r="I30" s="78"/>
      <c r="J30" s="92"/>
      <c r="K30" s="91" t="str">
        <f aca="false">IF(OR($B30="",$J30=""),"",$J30*Setup!$D$32)</f>
        <v/>
      </c>
      <c r="L30" s="77" t="str">
        <f aca="false">IF($B30="","",IF(COUNTIF('RFI Register'!$B$7:$B$36,$B30)=0,"Reference not found",IF($H30&lt;&gt;"","Duplicate - see "&amp;$H30,IF(OR($G30="",$G30="Not assessed"),"Not yet assessed",IF($G30="Yes - it was in the documents","ANSWER WAS ALREADY ISSUED",IF($G30="Partly","Partly answerable already","Genuine gap in the documents"))))))</f>
        <v/>
      </c>
      <c r="M30" s="78"/>
    </row>
    <row r="32" customFormat="false" ht="15" hidden="false" customHeight="true" outlineLevel="0" collapsed="false">
      <c r="B32" s="40" t="s">
        <v>398</v>
      </c>
      <c r="C32" s="40"/>
      <c r="D32" s="40"/>
      <c r="E32" s="40"/>
      <c r="F32" s="40"/>
      <c r="G32" s="40"/>
      <c r="H32" s="40"/>
      <c r="I32" s="40"/>
      <c r="J32" s="40"/>
      <c r="K32" s="40"/>
    </row>
    <row r="33" customFormat="false" ht="15" hidden="false" customHeight="true" outlineLevel="0" collapsed="false">
      <c r="B33" s="40"/>
      <c r="C33" s="40"/>
      <c r="D33" s="40"/>
      <c r="E33" s="40"/>
      <c r="F33" s="40"/>
      <c r="G33" s="40"/>
      <c r="H33" s="40"/>
      <c r="I33" s="40"/>
      <c r="J33" s="40"/>
      <c r="K33" s="40"/>
    </row>
    <row r="34" customFormat="false" ht="18" hidden="false" customHeight="true" outlineLevel="0" collapsed="false">
      <c r="B34" s="48" t="s">
        <v>127</v>
      </c>
      <c r="C34" s="48"/>
      <c r="D34" s="48"/>
      <c r="E34" s="48"/>
      <c r="F34" s="48"/>
      <c r="G34" s="48"/>
      <c r="H34" s="48"/>
      <c r="I34" s="48"/>
      <c r="J34" s="48"/>
      <c r="K34" s="48"/>
      <c r="L34" s="48"/>
      <c r="M34" s="48"/>
    </row>
  </sheetData>
  <autoFilter ref="B6:M30"/>
  <mergeCells count="6">
    <mergeCell ref="B1:M1"/>
    <mergeCell ref="B2:M2"/>
    <mergeCell ref="B3:M3"/>
    <mergeCell ref="B4:M4"/>
    <mergeCell ref="B32:K33"/>
    <mergeCell ref="B34:M34"/>
  </mergeCells>
  <conditionalFormatting sqref="B3:M3">
    <cfRule type="expression" priority="2" aboveAverage="0" equalAverage="0" bottom="0" percent="0" rank="0" text="" dxfId="0">
      <formula>LEN($B$3)&gt;0</formula>
    </cfRule>
  </conditionalFormatting>
  <conditionalFormatting sqref="B7:M30">
    <cfRule type="expression" priority="3" aboveAverage="0" equalAverage="0" bottom="0" percent="0" rank="0" text="" dxfId="1">
      <formula>$L7="ANSWER WAS ALREADY ISSUED"</formula>
    </cfRule>
    <cfRule type="expression" priority="4" aboveAverage="0" equalAverage="0" bottom="0" percent="0" rank="0" text="" dxfId="1">
      <formula>$L7=""&amp;"Duplicate - see "&amp;$H7</formula>
    </cfRule>
    <cfRule type="expression" priority="5" aboveAverage="0" equalAverage="0" bottom="0" percent="0" rank="0" text="" dxfId="0">
      <formula>$L7="Partly answerable already"</formula>
    </cfRule>
    <cfRule type="expression" priority="6" aboveAverage="0" equalAverage="0" bottom="0" percent="0" rank="0" text="" dxfId="15">
      <formula>$L7="Not yet assessed"</formula>
    </cfRule>
    <cfRule type="expression" priority="7" aboveAverage="0" equalAverage="0" bottom="0" percent="0" rank="0" text="" dxfId="18">
      <formula>$L7="Genuine gap in the documents"</formula>
    </cfRule>
  </conditionalFormatting>
  <dataValidations count="96">
    <dataValidation allowBlank="true" errorStyle="stop" operator="between" showDropDown="false" showErrorMessage="false" showInputMessage="false" sqref="E7" type="list">
      <formula1>Reference!$G$107:$G$112</formula1>
      <formula2>0</formula2>
    </dataValidation>
    <dataValidation allowBlank="true" errorStyle="stop" operator="between" showDropDown="false" showErrorMessage="false" showInputMessage="false" sqref="F7" type="list">
      <formula1>Reference!$G$121:$G$135</formula1>
      <formula2>0</formula2>
    </dataValidation>
    <dataValidation allowBlank="true" errorStyle="stop" operator="between" showDropDown="false" showErrorMessage="false" showInputMessage="false" sqref="G7" type="list">
      <formula1>Reference!$H$121:$H$124</formula1>
      <formula2>0</formula2>
    </dataValidation>
    <dataValidation allowBlank="true" errorStyle="stop" operator="between" showDropDown="false" showErrorMessage="false" showInputMessage="false" sqref="I7" type="list">
      <formula1>Reference!$F$121:$F$125</formula1>
      <formula2>0</formula2>
    </dataValidation>
    <dataValidation allowBlank="true" errorStyle="stop" operator="between" showDropDown="false" showErrorMessage="false" showInputMessage="false" sqref="E8" type="list">
      <formula1>Reference!$G$107:$G$112</formula1>
      <formula2>0</formula2>
    </dataValidation>
    <dataValidation allowBlank="true" errorStyle="stop" operator="between" showDropDown="false" showErrorMessage="false" showInputMessage="false" sqref="F8" type="list">
      <formula1>Reference!$G$121:$G$135</formula1>
      <formula2>0</formula2>
    </dataValidation>
    <dataValidation allowBlank="true" errorStyle="stop" operator="between" showDropDown="false" showErrorMessage="false" showInputMessage="false" sqref="G8" type="list">
      <formula1>Reference!$H$121:$H$124</formula1>
      <formula2>0</formula2>
    </dataValidation>
    <dataValidation allowBlank="true" errorStyle="stop" operator="between" showDropDown="false" showErrorMessage="false" showInputMessage="false" sqref="I8" type="list">
      <formula1>Reference!$F$121:$F$125</formula1>
      <formula2>0</formula2>
    </dataValidation>
    <dataValidation allowBlank="true" errorStyle="stop" operator="between" showDropDown="false" showErrorMessage="false" showInputMessage="false" sqref="E9" type="list">
      <formula1>Reference!$G$107:$G$112</formula1>
      <formula2>0</formula2>
    </dataValidation>
    <dataValidation allowBlank="true" errorStyle="stop" operator="between" showDropDown="false" showErrorMessage="false" showInputMessage="false" sqref="F9" type="list">
      <formula1>Reference!$G$121:$G$135</formula1>
      <formula2>0</formula2>
    </dataValidation>
    <dataValidation allowBlank="true" errorStyle="stop" operator="between" showDropDown="false" showErrorMessage="false" showInputMessage="false" sqref="G9" type="list">
      <formula1>Reference!$H$121:$H$124</formula1>
      <formula2>0</formula2>
    </dataValidation>
    <dataValidation allowBlank="true" errorStyle="stop" operator="between" showDropDown="false" showErrorMessage="false" showInputMessage="false" sqref="I9" type="list">
      <formula1>Reference!$F$121:$F$125</formula1>
      <formula2>0</formula2>
    </dataValidation>
    <dataValidation allowBlank="true" errorStyle="stop" operator="between" showDropDown="false" showErrorMessage="false" showInputMessage="false" sqref="E10" type="list">
      <formula1>Reference!$G$107:$G$112</formula1>
      <formula2>0</formula2>
    </dataValidation>
    <dataValidation allowBlank="true" errorStyle="stop" operator="between" showDropDown="false" showErrorMessage="false" showInputMessage="false" sqref="F10" type="list">
      <formula1>Reference!$G$121:$G$135</formula1>
      <formula2>0</formula2>
    </dataValidation>
    <dataValidation allowBlank="true" errorStyle="stop" operator="between" showDropDown="false" showErrorMessage="false" showInputMessage="false" sqref="G10" type="list">
      <formula1>Reference!$H$121:$H$124</formula1>
      <formula2>0</formula2>
    </dataValidation>
    <dataValidation allowBlank="true" errorStyle="stop" operator="between" showDropDown="false" showErrorMessage="false" showInputMessage="false" sqref="I10" type="list">
      <formula1>Reference!$F$121:$F$125</formula1>
      <formula2>0</formula2>
    </dataValidation>
    <dataValidation allowBlank="true" errorStyle="stop" operator="between" showDropDown="false" showErrorMessage="false" showInputMessage="false" sqref="E11" type="list">
      <formula1>Reference!$G$107:$G$112</formula1>
      <formula2>0</formula2>
    </dataValidation>
    <dataValidation allowBlank="true" errorStyle="stop" operator="between" showDropDown="false" showErrorMessage="false" showInputMessage="false" sqref="F11" type="list">
      <formula1>Reference!$G$121:$G$135</formula1>
      <formula2>0</formula2>
    </dataValidation>
    <dataValidation allowBlank="true" errorStyle="stop" operator="between" showDropDown="false" showErrorMessage="false" showInputMessage="false" sqref="G11" type="list">
      <formula1>Reference!$H$121:$H$124</formula1>
      <formula2>0</formula2>
    </dataValidation>
    <dataValidation allowBlank="true" errorStyle="stop" operator="between" showDropDown="false" showErrorMessage="false" showInputMessage="false" sqref="I11" type="list">
      <formula1>Reference!$F$121:$F$125</formula1>
      <formula2>0</formula2>
    </dataValidation>
    <dataValidation allowBlank="true" errorStyle="stop" operator="between" showDropDown="false" showErrorMessage="false" showInputMessage="false" sqref="E12" type="list">
      <formula1>Reference!$G$107:$G$112</formula1>
      <formula2>0</formula2>
    </dataValidation>
    <dataValidation allowBlank="true" errorStyle="stop" operator="between" showDropDown="false" showErrorMessage="false" showInputMessage="false" sqref="F12" type="list">
      <formula1>Reference!$G$121:$G$135</formula1>
      <formula2>0</formula2>
    </dataValidation>
    <dataValidation allowBlank="true" errorStyle="stop" operator="between" showDropDown="false" showErrorMessage="false" showInputMessage="false" sqref="G12" type="list">
      <formula1>Reference!$H$121:$H$124</formula1>
      <formula2>0</formula2>
    </dataValidation>
    <dataValidation allowBlank="true" errorStyle="stop" operator="between" showDropDown="false" showErrorMessage="false" showInputMessage="false" sqref="I12" type="list">
      <formula1>Reference!$F$121:$F$125</formula1>
      <formula2>0</formula2>
    </dataValidation>
    <dataValidation allowBlank="true" errorStyle="stop" operator="between" showDropDown="false" showErrorMessage="false" showInputMessage="false" sqref="E13" type="list">
      <formula1>Reference!$G$107:$G$112</formula1>
      <formula2>0</formula2>
    </dataValidation>
    <dataValidation allowBlank="true" errorStyle="stop" operator="between" showDropDown="false" showErrorMessage="false" showInputMessage="false" sqref="F13" type="list">
      <formula1>Reference!$G$121:$G$135</formula1>
      <formula2>0</formula2>
    </dataValidation>
    <dataValidation allowBlank="true" errorStyle="stop" operator="between" showDropDown="false" showErrorMessage="false" showInputMessage="false" sqref="G13" type="list">
      <formula1>Reference!$H$121:$H$124</formula1>
      <formula2>0</formula2>
    </dataValidation>
    <dataValidation allowBlank="true" errorStyle="stop" operator="between" showDropDown="false" showErrorMessage="false" showInputMessage="false" sqref="I13" type="list">
      <formula1>Reference!$F$121:$F$125</formula1>
      <formula2>0</formula2>
    </dataValidation>
    <dataValidation allowBlank="true" errorStyle="stop" operator="between" showDropDown="false" showErrorMessage="false" showInputMessage="false" sqref="E14" type="list">
      <formula1>Reference!$G$107:$G$112</formula1>
      <formula2>0</formula2>
    </dataValidation>
    <dataValidation allowBlank="true" errorStyle="stop" operator="between" showDropDown="false" showErrorMessage="false" showInputMessage="false" sqref="F14" type="list">
      <formula1>Reference!$G$121:$G$135</formula1>
      <formula2>0</formula2>
    </dataValidation>
    <dataValidation allowBlank="true" errorStyle="stop" operator="between" showDropDown="false" showErrorMessage="false" showInputMessage="false" sqref="G14" type="list">
      <formula1>Reference!$H$121:$H$124</formula1>
      <formula2>0</formula2>
    </dataValidation>
    <dataValidation allowBlank="true" errorStyle="stop" operator="between" showDropDown="false" showErrorMessage="false" showInputMessage="false" sqref="I14" type="list">
      <formula1>Reference!$F$121:$F$125</formula1>
      <formula2>0</formula2>
    </dataValidation>
    <dataValidation allowBlank="true" errorStyle="stop" operator="between" showDropDown="false" showErrorMessage="false" showInputMessage="false" sqref="E15" type="list">
      <formula1>Reference!$G$107:$G$112</formula1>
      <formula2>0</formula2>
    </dataValidation>
    <dataValidation allowBlank="true" errorStyle="stop" operator="between" showDropDown="false" showErrorMessage="false" showInputMessage="false" sqref="F15" type="list">
      <formula1>Reference!$G$121:$G$135</formula1>
      <formula2>0</formula2>
    </dataValidation>
    <dataValidation allowBlank="true" errorStyle="stop" operator="between" showDropDown="false" showErrorMessage="false" showInputMessage="false" sqref="G15" type="list">
      <formula1>Reference!$H$121:$H$124</formula1>
      <formula2>0</formula2>
    </dataValidation>
    <dataValidation allowBlank="true" errorStyle="stop" operator="between" showDropDown="false" showErrorMessage="false" showInputMessage="false" sqref="I15" type="list">
      <formula1>Reference!$F$121:$F$125</formula1>
      <formula2>0</formula2>
    </dataValidation>
    <dataValidation allowBlank="true" errorStyle="stop" operator="between" showDropDown="false" showErrorMessage="false" showInputMessage="false" sqref="E16" type="list">
      <formula1>Reference!$G$107:$G$112</formula1>
      <formula2>0</formula2>
    </dataValidation>
    <dataValidation allowBlank="true" errorStyle="stop" operator="between" showDropDown="false" showErrorMessage="false" showInputMessage="false" sqref="F16" type="list">
      <formula1>Reference!$G$121:$G$135</formula1>
      <formula2>0</formula2>
    </dataValidation>
    <dataValidation allowBlank="true" errorStyle="stop" operator="between" showDropDown="false" showErrorMessage="false" showInputMessage="false" sqref="G16" type="list">
      <formula1>Reference!$H$121:$H$124</formula1>
      <formula2>0</formula2>
    </dataValidation>
    <dataValidation allowBlank="true" errorStyle="stop" operator="between" showDropDown="false" showErrorMessage="false" showInputMessage="false" sqref="I16" type="list">
      <formula1>Reference!$F$121:$F$125</formula1>
      <formula2>0</formula2>
    </dataValidation>
    <dataValidation allowBlank="true" errorStyle="stop" operator="between" showDropDown="false" showErrorMessage="false" showInputMessage="false" sqref="E17" type="list">
      <formula1>Reference!$G$107:$G$112</formula1>
      <formula2>0</formula2>
    </dataValidation>
    <dataValidation allowBlank="true" errorStyle="stop" operator="between" showDropDown="false" showErrorMessage="false" showInputMessage="false" sqref="F17" type="list">
      <formula1>Reference!$G$121:$G$135</formula1>
      <formula2>0</formula2>
    </dataValidation>
    <dataValidation allowBlank="true" errorStyle="stop" operator="between" showDropDown="false" showErrorMessage="false" showInputMessage="false" sqref="G17" type="list">
      <formula1>Reference!$H$121:$H$124</formula1>
      <formula2>0</formula2>
    </dataValidation>
    <dataValidation allowBlank="true" errorStyle="stop" operator="between" showDropDown="false" showErrorMessage="false" showInputMessage="false" sqref="I17" type="list">
      <formula1>Reference!$F$121:$F$125</formula1>
      <formula2>0</formula2>
    </dataValidation>
    <dataValidation allowBlank="true" errorStyle="stop" operator="between" showDropDown="false" showErrorMessage="false" showInputMessage="false" sqref="E18" type="list">
      <formula1>Reference!$G$107:$G$112</formula1>
      <formula2>0</formula2>
    </dataValidation>
    <dataValidation allowBlank="true" errorStyle="stop" operator="between" showDropDown="false" showErrorMessage="false" showInputMessage="false" sqref="F18" type="list">
      <formula1>Reference!$G$121:$G$135</formula1>
      <formula2>0</formula2>
    </dataValidation>
    <dataValidation allowBlank="true" errorStyle="stop" operator="between" showDropDown="false" showErrorMessage="false" showInputMessage="false" sqref="G18" type="list">
      <formula1>Reference!$H$121:$H$124</formula1>
      <formula2>0</formula2>
    </dataValidation>
    <dataValidation allowBlank="true" errorStyle="stop" operator="between" showDropDown="false" showErrorMessage="false" showInputMessage="false" sqref="I18" type="list">
      <formula1>Reference!$F$121:$F$125</formula1>
      <formula2>0</formula2>
    </dataValidation>
    <dataValidation allowBlank="true" errorStyle="stop" operator="between" showDropDown="false" showErrorMessage="false" showInputMessage="false" sqref="E19" type="list">
      <formula1>Reference!$G$107:$G$112</formula1>
      <formula2>0</formula2>
    </dataValidation>
    <dataValidation allowBlank="true" errorStyle="stop" operator="between" showDropDown="false" showErrorMessage="false" showInputMessage="false" sqref="F19" type="list">
      <formula1>Reference!$G$121:$G$135</formula1>
      <formula2>0</formula2>
    </dataValidation>
    <dataValidation allowBlank="true" errorStyle="stop" operator="between" showDropDown="false" showErrorMessage="false" showInputMessage="false" sqref="G19" type="list">
      <formula1>Reference!$H$121:$H$124</formula1>
      <formula2>0</formula2>
    </dataValidation>
    <dataValidation allowBlank="true" errorStyle="stop" operator="between" showDropDown="false" showErrorMessage="false" showInputMessage="false" sqref="I19" type="list">
      <formula1>Reference!$F$121:$F$125</formula1>
      <formula2>0</formula2>
    </dataValidation>
    <dataValidation allowBlank="true" errorStyle="stop" operator="between" showDropDown="false" showErrorMessage="false" showInputMessage="false" sqref="E20" type="list">
      <formula1>Reference!$G$107:$G$112</formula1>
      <formula2>0</formula2>
    </dataValidation>
    <dataValidation allowBlank="true" errorStyle="stop" operator="between" showDropDown="false" showErrorMessage="false" showInputMessage="false" sqref="F20" type="list">
      <formula1>Reference!$G$121:$G$135</formula1>
      <formula2>0</formula2>
    </dataValidation>
    <dataValidation allowBlank="true" errorStyle="stop" operator="between" showDropDown="false" showErrorMessage="false" showInputMessage="false" sqref="G20" type="list">
      <formula1>Reference!$H$121:$H$124</formula1>
      <formula2>0</formula2>
    </dataValidation>
    <dataValidation allowBlank="true" errorStyle="stop" operator="between" showDropDown="false" showErrorMessage="false" showInputMessage="false" sqref="I20" type="list">
      <formula1>Reference!$F$121:$F$125</formula1>
      <formula2>0</formula2>
    </dataValidation>
    <dataValidation allowBlank="true" errorStyle="stop" operator="between" showDropDown="false" showErrorMessage="false" showInputMessage="false" sqref="E21" type="list">
      <formula1>Reference!$G$107:$G$112</formula1>
      <formula2>0</formula2>
    </dataValidation>
    <dataValidation allowBlank="true" errorStyle="stop" operator="between" showDropDown="false" showErrorMessage="false" showInputMessage="false" sqref="F21" type="list">
      <formula1>Reference!$G$121:$G$135</formula1>
      <formula2>0</formula2>
    </dataValidation>
    <dataValidation allowBlank="true" errorStyle="stop" operator="between" showDropDown="false" showErrorMessage="false" showInputMessage="false" sqref="G21" type="list">
      <formula1>Reference!$H$121:$H$124</formula1>
      <formula2>0</formula2>
    </dataValidation>
    <dataValidation allowBlank="true" errorStyle="stop" operator="between" showDropDown="false" showErrorMessage="false" showInputMessage="false" sqref="I21" type="list">
      <formula1>Reference!$F$121:$F$125</formula1>
      <formula2>0</formula2>
    </dataValidation>
    <dataValidation allowBlank="true" errorStyle="stop" operator="between" showDropDown="false" showErrorMessage="false" showInputMessage="false" sqref="E22" type="list">
      <formula1>Reference!$G$107:$G$112</formula1>
      <formula2>0</formula2>
    </dataValidation>
    <dataValidation allowBlank="true" errorStyle="stop" operator="between" showDropDown="false" showErrorMessage="false" showInputMessage="false" sqref="F22" type="list">
      <formula1>Reference!$G$121:$G$135</formula1>
      <formula2>0</formula2>
    </dataValidation>
    <dataValidation allowBlank="true" errorStyle="stop" operator="between" showDropDown="false" showErrorMessage="false" showInputMessage="false" sqref="G22" type="list">
      <formula1>Reference!$H$121:$H$124</formula1>
      <formula2>0</formula2>
    </dataValidation>
    <dataValidation allowBlank="true" errorStyle="stop" operator="between" showDropDown="false" showErrorMessage="false" showInputMessage="false" sqref="I22" type="list">
      <formula1>Reference!$F$121:$F$125</formula1>
      <formula2>0</formula2>
    </dataValidation>
    <dataValidation allowBlank="true" errorStyle="stop" operator="between" showDropDown="false" showErrorMessage="false" showInputMessage="false" sqref="E23" type="list">
      <formula1>Reference!$G$107:$G$112</formula1>
      <formula2>0</formula2>
    </dataValidation>
    <dataValidation allowBlank="true" errorStyle="stop" operator="between" showDropDown="false" showErrorMessage="false" showInputMessage="false" sqref="F23" type="list">
      <formula1>Reference!$G$121:$G$135</formula1>
      <formula2>0</formula2>
    </dataValidation>
    <dataValidation allowBlank="true" errorStyle="stop" operator="between" showDropDown="false" showErrorMessage="false" showInputMessage="false" sqref="G23" type="list">
      <formula1>Reference!$H$121:$H$124</formula1>
      <formula2>0</formula2>
    </dataValidation>
    <dataValidation allowBlank="true" errorStyle="stop" operator="between" showDropDown="false" showErrorMessage="false" showInputMessage="false" sqref="I23" type="list">
      <formula1>Reference!$F$121:$F$125</formula1>
      <formula2>0</formula2>
    </dataValidation>
    <dataValidation allowBlank="true" errorStyle="stop" operator="between" showDropDown="false" showErrorMessage="false" showInputMessage="false" sqref="E24" type="list">
      <formula1>Reference!$G$107:$G$112</formula1>
      <formula2>0</formula2>
    </dataValidation>
    <dataValidation allowBlank="true" errorStyle="stop" operator="between" showDropDown="false" showErrorMessage="false" showInputMessage="false" sqref="F24" type="list">
      <formula1>Reference!$G$121:$G$135</formula1>
      <formula2>0</formula2>
    </dataValidation>
    <dataValidation allowBlank="true" errorStyle="stop" operator="between" showDropDown="false" showErrorMessage="false" showInputMessage="false" sqref="G24" type="list">
      <formula1>Reference!$H$121:$H$124</formula1>
      <formula2>0</formula2>
    </dataValidation>
    <dataValidation allowBlank="true" errorStyle="stop" operator="between" showDropDown="false" showErrorMessage="false" showInputMessage="false" sqref="I24" type="list">
      <formula1>Reference!$F$121:$F$125</formula1>
      <formula2>0</formula2>
    </dataValidation>
    <dataValidation allowBlank="true" errorStyle="stop" operator="between" showDropDown="false" showErrorMessage="false" showInputMessage="false" sqref="E25" type="list">
      <formula1>Reference!$G$107:$G$112</formula1>
      <formula2>0</formula2>
    </dataValidation>
    <dataValidation allowBlank="true" errorStyle="stop" operator="between" showDropDown="false" showErrorMessage="false" showInputMessage="false" sqref="F25" type="list">
      <formula1>Reference!$G$121:$G$135</formula1>
      <formula2>0</formula2>
    </dataValidation>
    <dataValidation allowBlank="true" errorStyle="stop" operator="between" showDropDown="false" showErrorMessage="false" showInputMessage="false" sqref="G25" type="list">
      <formula1>Reference!$H$121:$H$124</formula1>
      <formula2>0</formula2>
    </dataValidation>
    <dataValidation allowBlank="true" errorStyle="stop" operator="between" showDropDown="false" showErrorMessage="false" showInputMessage="false" sqref="I25" type="list">
      <formula1>Reference!$F$121:$F$125</formula1>
      <formula2>0</formula2>
    </dataValidation>
    <dataValidation allowBlank="true" errorStyle="stop" operator="between" showDropDown="false" showErrorMessage="false" showInputMessage="false" sqref="E26" type="list">
      <formula1>Reference!$G$107:$G$112</formula1>
      <formula2>0</formula2>
    </dataValidation>
    <dataValidation allowBlank="true" errorStyle="stop" operator="between" showDropDown="false" showErrorMessage="false" showInputMessage="false" sqref="F26" type="list">
      <formula1>Reference!$G$121:$G$135</formula1>
      <formula2>0</formula2>
    </dataValidation>
    <dataValidation allowBlank="true" errorStyle="stop" operator="between" showDropDown="false" showErrorMessage="false" showInputMessage="false" sqref="G26" type="list">
      <formula1>Reference!$H$121:$H$124</formula1>
      <formula2>0</formula2>
    </dataValidation>
    <dataValidation allowBlank="true" errorStyle="stop" operator="between" showDropDown="false" showErrorMessage="false" showInputMessage="false" sqref="I26" type="list">
      <formula1>Reference!$F$121:$F$125</formula1>
      <formula2>0</formula2>
    </dataValidation>
    <dataValidation allowBlank="true" errorStyle="stop" operator="between" showDropDown="false" showErrorMessage="false" showInputMessage="false" sqref="E27" type="list">
      <formula1>Reference!$G$107:$G$112</formula1>
      <formula2>0</formula2>
    </dataValidation>
    <dataValidation allowBlank="true" errorStyle="stop" operator="between" showDropDown="false" showErrorMessage="false" showInputMessage="false" sqref="F27" type="list">
      <formula1>Reference!$G$121:$G$135</formula1>
      <formula2>0</formula2>
    </dataValidation>
    <dataValidation allowBlank="true" errorStyle="stop" operator="between" showDropDown="false" showErrorMessage="false" showInputMessage="false" sqref="G27" type="list">
      <formula1>Reference!$H$121:$H$124</formula1>
      <formula2>0</formula2>
    </dataValidation>
    <dataValidation allowBlank="true" errorStyle="stop" operator="between" showDropDown="false" showErrorMessage="false" showInputMessage="false" sqref="I27" type="list">
      <formula1>Reference!$F$121:$F$125</formula1>
      <formula2>0</formula2>
    </dataValidation>
    <dataValidation allowBlank="true" errorStyle="stop" operator="between" showDropDown="false" showErrorMessage="false" showInputMessage="false" sqref="E28" type="list">
      <formula1>Reference!$G$107:$G$112</formula1>
      <formula2>0</formula2>
    </dataValidation>
    <dataValidation allowBlank="true" errorStyle="stop" operator="between" showDropDown="false" showErrorMessage="false" showInputMessage="false" sqref="F28" type="list">
      <formula1>Reference!$G$121:$G$135</formula1>
      <formula2>0</formula2>
    </dataValidation>
    <dataValidation allowBlank="true" errorStyle="stop" operator="between" showDropDown="false" showErrorMessage="false" showInputMessage="false" sqref="G28" type="list">
      <formula1>Reference!$H$121:$H$124</formula1>
      <formula2>0</formula2>
    </dataValidation>
    <dataValidation allowBlank="true" errorStyle="stop" operator="between" showDropDown="false" showErrorMessage="false" showInputMessage="false" sqref="I28" type="list">
      <formula1>Reference!$F$121:$F$125</formula1>
      <formula2>0</formula2>
    </dataValidation>
    <dataValidation allowBlank="true" errorStyle="stop" operator="between" showDropDown="false" showErrorMessage="false" showInputMessage="false" sqref="E29" type="list">
      <formula1>Reference!$G$107:$G$112</formula1>
      <formula2>0</formula2>
    </dataValidation>
    <dataValidation allowBlank="true" errorStyle="stop" operator="between" showDropDown="false" showErrorMessage="false" showInputMessage="false" sqref="F29" type="list">
      <formula1>Reference!$G$121:$G$135</formula1>
      <formula2>0</formula2>
    </dataValidation>
    <dataValidation allowBlank="true" errorStyle="stop" operator="between" showDropDown="false" showErrorMessage="false" showInputMessage="false" sqref="G29" type="list">
      <formula1>Reference!$H$121:$H$124</formula1>
      <formula2>0</formula2>
    </dataValidation>
    <dataValidation allowBlank="true" errorStyle="stop" operator="between" showDropDown="false" showErrorMessage="false" showInputMessage="false" sqref="I29" type="list">
      <formula1>Reference!$F$121:$F$125</formula1>
      <formula2>0</formula2>
    </dataValidation>
    <dataValidation allowBlank="true" errorStyle="stop" operator="between" showDropDown="false" showErrorMessage="false" showInputMessage="false" sqref="E30" type="list">
      <formula1>Reference!$G$107:$G$112</formula1>
      <formula2>0</formula2>
    </dataValidation>
    <dataValidation allowBlank="true" errorStyle="stop" operator="between" showDropDown="false" showErrorMessage="false" showInputMessage="false" sqref="F30" type="list">
      <formula1>Reference!$G$121:$G$135</formula1>
      <formula2>0</formula2>
    </dataValidation>
    <dataValidation allowBlank="true" errorStyle="stop" operator="between" showDropDown="false" showErrorMessage="false" showInputMessage="false" sqref="G30" type="list">
      <formula1>Reference!$H$121:$H$124</formula1>
      <formula2>0</formula2>
    </dataValidation>
    <dataValidation allowBlank="true" errorStyle="stop" operator="between" showDropDown="false" showErrorMessage="false" showInputMessage="false" sqref="I30" type="list">
      <formula1>Reference!$F$121:$F$125</formula1>
      <formula2>0</formula2>
    </dataValidation>
  </dataValidations>
  <hyperlinks>
    <hyperlink ref="B34"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H1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4"/>
    <col collapsed="false" customWidth="true" hidden="false" outlineLevel="0" max="6" min="3" style="0" width="16"/>
    <col collapsed="false" customWidth="true" hidden="false" outlineLevel="0" max="7" min="7" style="0" width="38"/>
    <col collapsed="false" customWidth="true" hidden="false" outlineLevel="0" max="8" min="8" style="0" width="48"/>
    <col collapsed="false" customWidth="true" hidden="false" outlineLevel="0" max="9" min="9" style="0" width="2.2"/>
  </cols>
  <sheetData>
    <row r="1" customFormat="false" ht="33.75" hidden="false" customHeight="true" outlineLevel="0" collapsed="false">
      <c r="B1" s="37" t="s">
        <v>399</v>
      </c>
      <c r="C1" s="37"/>
      <c r="D1" s="37"/>
      <c r="E1" s="37"/>
      <c r="F1" s="37"/>
      <c r="G1" s="37"/>
      <c r="H1" s="37"/>
    </row>
    <row r="2" customFormat="false" ht="4.5" hidden="false" customHeight="true" outlineLevel="0" collapsed="false">
      <c r="B2" s="93"/>
      <c r="C2" s="93"/>
      <c r="D2" s="93"/>
      <c r="E2" s="93"/>
      <c r="F2" s="93"/>
      <c r="G2" s="93"/>
      <c r="H2" s="93"/>
    </row>
    <row r="4" customFormat="false" ht="25.5" hidden="false" customHeight="true" outlineLevel="0" collapsed="false">
      <c r="B4" s="40" t="s">
        <v>400</v>
      </c>
      <c r="C4" s="40"/>
      <c r="D4" s="40"/>
      <c r="E4" s="40"/>
      <c r="F4" s="40"/>
      <c r="G4" s="40"/>
      <c r="H4" s="40"/>
    </row>
    <row r="6" customFormat="false" ht="21.75" hidden="false" customHeight="true" outlineLevel="0" collapsed="false">
      <c r="B6" s="6" t="s">
        <v>401</v>
      </c>
      <c r="C6" s="6"/>
      <c r="D6" s="6"/>
      <c r="E6" s="6"/>
      <c r="F6" s="6"/>
      <c r="G6" s="6"/>
      <c r="H6" s="6"/>
    </row>
    <row r="7" customFormat="false" ht="19.5" hidden="false" customHeight="true" outlineLevel="0" collapsed="false">
      <c r="B7" s="10" t="s">
        <v>402</v>
      </c>
      <c r="C7" s="10" t="s">
        <v>403</v>
      </c>
      <c r="D7" s="10"/>
      <c r="E7" s="10"/>
      <c r="F7" s="10"/>
      <c r="G7" s="10" t="s">
        <v>404</v>
      </c>
      <c r="H7" s="10"/>
    </row>
    <row r="8" customFormat="false" ht="30" hidden="false" customHeight="true" outlineLevel="0" collapsed="false">
      <c r="B8" s="94" t="s">
        <v>405</v>
      </c>
      <c r="C8" s="23" t="s">
        <v>42</v>
      </c>
      <c r="D8" s="23"/>
      <c r="E8" s="23"/>
      <c r="F8" s="23"/>
      <c r="G8" s="65" t="s">
        <v>43</v>
      </c>
      <c r="H8" s="65"/>
    </row>
    <row r="9" customFormat="false" ht="30" hidden="false" customHeight="true" outlineLevel="0" collapsed="false">
      <c r="B9" s="95" t="s">
        <v>406</v>
      </c>
      <c r="C9" s="25" t="s">
        <v>44</v>
      </c>
      <c r="D9" s="25"/>
      <c r="E9" s="25"/>
      <c r="F9" s="25"/>
      <c r="G9" s="65" t="s">
        <v>45</v>
      </c>
      <c r="H9" s="65"/>
    </row>
    <row r="10" customFormat="false" ht="30" hidden="false" customHeight="true" outlineLevel="0" collapsed="false">
      <c r="B10" s="96" t="s">
        <v>407</v>
      </c>
      <c r="C10" s="27" t="s">
        <v>46</v>
      </c>
      <c r="D10" s="27"/>
      <c r="E10" s="27"/>
      <c r="F10" s="27"/>
      <c r="G10" s="65" t="s">
        <v>47</v>
      </c>
      <c r="H10" s="65"/>
    </row>
    <row r="11" customFormat="false" ht="30" hidden="false" customHeight="true" outlineLevel="0" collapsed="false">
      <c r="B11" s="97" t="s">
        <v>408</v>
      </c>
      <c r="C11" s="29" t="s">
        <v>48</v>
      </c>
      <c r="D11" s="29"/>
      <c r="E11" s="29"/>
      <c r="F11" s="29"/>
      <c r="G11" s="65" t="s">
        <v>49</v>
      </c>
      <c r="H11" s="65"/>
    </row>
    <row r="12" customFormat="false" ht="33.75" hidden="false" customHeight="true" outlineLevel="0" collapsed="false">
      <c r="B12" s="98" t="s">
        <v>409</v>
      </c>
      <c r="C12" s="31" t="s">
        <v>50</v>
      </c>
      <c r="D12" s="31"/>
      <c r="E12" s="31"/>
      <c r="F12" s="31"/>
      <c r="G12" s="65" t="s">
        <v>51</v>
      </c>
      <c r="H12" s="65"/>
    </row>
    <row r="13" customFormat="false" ht="30" hidden="false" customHeight="true" outlineLevel="0" collapsed="false">
      <c r="B13" s="99" t="s">
        <v>410</v>
      </c>
      <c r="C13" s="33" t="s">
        <v>52</v>
      </c>
      <c r="D13" s="33"/>
      <c r="E13" s="33"/>
      <c r="F13" s="33"/>
      <c r="G13" s="65" t="s">
        <v>53</v>
      </c>
      <c r="H13" s="65"/>
    </row>
    <row r="15" customFormat="false" ht="21.75" hidden="false" customHeight="true" outlineLevel="0" collapsed="false">
      <c r="B15" s="6" t="s">
        <v>411</v>
      </c>
      <c r="C15" s="6"/>
      <c r="D15" s="6"/>
      <c r="E15" s="6"/>
      <c r="F15" s="6"/>
      <c r="G15" s="6"/>
      <c r="H15" s="6"/>
    </row>
    <row r="16" customFormat="false" ht="13.5" hidden="false" customHeight="true" outlineLevel="0" collapsed="false">
      <c r="B16" s="35" t="s">
        <v>412</v>
      </c>
      <c r="C16" s="35"/>
      <c r="D16" s="35"/>
      <c r="E16" s="35"/>
      <c r="F16" s="35"/>
      <c r="G16" s="35"/>
      <c r="H16" s="35"/>
    </row>
    <row r="17" customFormat="false" ht="13.5" hidden="false" customHeight="true" outlineLevel="0" collapsed="false">
      <c r="B17" s="35"/>
      <c r="C17" s="35"/>
      <c r="D17" s="35"/>
      <c r="E17" s="35"/>
      <c r="F17" s="35"/>
      <c r="G17" s="35"/>
      <c r="H17" s="35"/>
    </row>
    <row r="18" customFormat="false" ht="13.5" hidden="false" customHeight="true" outlineLevel="0" collapsed="false">
      <c r="B18" s="35"/>
      <c r="C18" s="35"/>
      <c r="D18" s="35"/>
      <c r="E18" s="35"/>
      <c r="F18" s="35"/>
      <c r="G18" s="35"/>
      <c r="H18" s="35"/>
    </row>
    <row r="19" customFormat="false" ht="13.5" hidden="false" customHeight="true" outlineLevel="0" collapsed="false">
      <c r="B19" s="35"/>
      <c r="C19" s="35"/>
      <c r="D19" s="35"/>
      <c r="E19" s="35"/>
      <c r="F19" s="35"/>
      <c r="G19" s="35"/>
      <c r="H19" s="35"/>
    </row>
    <row r="20" customFormat="false" ht="13.5" hidden="false" customHeight="true" outlineLevel="0" collapsed="false">
      <c r="B20" s="35"/>
      <c r="C20" s="35"/>
      <c r="D20" s="35"/>
      <c r="E20" s="35"/>
      <c r="F20" s="35"/>
      <c r="G20" s="35"/>
      <c r="H20" s="35"/>
    </row>
    <row r="22" customFormat="false" ht="21.75" hidden="false" customHeight="true" outlineLevel="0" collapsed="false">
      <c r="B22" s="6" t="s">
        <v>413</v>
      </c>
      <c r="C22" s="6"/>
      <c r="D22" s="6"/>
      <c r="E22" s="6"/>
      <c r="F22" s="6"/>
      <c r="G22" s="6"/>
      <c r="H22" s="6"/>
    </row>
    <row r="23" customFormat="false" ht="13.5" hidden="false" customHeight="true" outlineLevel="0" collapsed="false">
      <c r="B23" s="100" t="s">
        <v>414</v>
      </c>
      <c r="C23" s="100"/>
      <c r="D23" s="100"/>
      <c r="E23" s="100"/>
      <c r="F23" s="100"/>
      <c r="G23" s="100"/>
      <c r="H23" s="100"/>
    </row>
    <row r="24" customFormat="false" ht="13.5" hidden="false" customHeight="true" outlineLevel="0" collapsed="false">
      <c r="B24" s="100"/>
      <c r="C24" s="100"/>
      <c r="D24" s="100"/>
      <c r="E24" s="100"/>
      <c r="F24" s="100"/>
      <c r="G24" s="100"/>
      <c r="H24" s="100"/>
    </row>
    <row r="25" customFormat="false" ht="13.5" hidden="false" customHeight="true" outlineLevel="0" collapsed="false">
      <c r="B25" s="100"/>
      <c r="C25" s="100"/>
      <c r="D25" s="100"/>
      <c r="E25" s="100"/>
      <c r="F25" s="100"/>
      <c r="G25" s="100"/>
      <c r="H25" s="100"/>
    </row>
    <row r="26" customFormat="false" ht="13.5" hidden="false" customHeight="true" outlineLevel="0" collapsed="false">
      <c r="B26" s="100"/>
      <c r="C26" s="100"/>
      <c r="D26" s="100"/>
      <c r="E26" s="100"/>
      <c r="F26" s="100"/>
      <c r="G26" s="100"/>
      <c r="H26" s="100"/>
    </row>
    <row r="27" customFormat="false" ht="13.5" hidden="false" customHeight="true" outlineLevel="0" collapsed="false">
      <c r="B27" s="100"/>
      <c r="C27" s="100"/>
      <c r="D27" s="100"/>
      <c r="E27" s="100"/>
      <c r="F27" s="100"/>
      <c r="G27" s="100"/>
      <c r="H27" s="100"/>
    </row>
    <row r="28" customFormat="false" ht="13.5" hidden="false" customHeight="true" outlineLevel="0" collapsed="false">
      <c r="B28" s="100"/>
      <c r="C28" s="100"/>
      <c r="D28" s="100"/>
      <c r="E28" s="100"/>
      <c r="F28" s="100"/>
      <c r="G28" s="100"/>
      <c r="H28" s="100"/>
    </row>
    <row r="29" customFormat="false" ht="13.5" hidden="false" customHeight="true" outlineLevel="0" collapsed="false">
      <c r="B29" s="100"/>
      <c r="C29" s="100"/>
      <c r="D29" s="100"/>
      <c r="E29" s="100"/>
      <c r="F29" s="100"/>
      <c r="G29" s="100"/>
      <c r="H29" s="100"/>
    </row>
    <row r="31" customFormat="false" ht="21.75" hidden="false" customHeight="true" outlineLevel="0" collapsed="false">
      <c r="B31" s="6" t="s">
        <v>415</v>
      </c>
      <c r="C31" s="6"/>
      <c r="D31" s="6"/>
      <c r="E31" s="6"/>
      <c r="F31" s="6"/>
      <c r="G31" s="6"/>
      <c r="H31" s="6"/>
    </row>
    <row r="32" customFormat="false" ht="13.5" hidden="false" customHeight="true" outlineLevel="0" collapsed="false">
      <c r="B32" s="101" t="s">
        <v>416</v>
      </c>
      <c r="C32" s="101"/>
      <c r="D32" s="101"/>
      <c r="E32" s="101"/>
      <c r="F32" s="101"/>
      <c r="G32" s="101"/>
      <c r="H32" s="101"/>
    </row>
    <row r="33" customFormat="false" ht="13.5" hidden="false" customHeight="true" outlineLevel="0" collapsed="false">
      <c r="B33" s="101"/>
      <c r="C33" s="101"/>
      <c r="D33" s="101"/>
      <c r="E33" s="101"/>
      <c r="F33" s="101"/>
      <c r="G33" s="101"/>
      <c r="H33" s="101"/>
    </row>
    <row r="34" customFormat="false" ht="13.5" hidden="false" customHeight="true" outlineLevel="0" collapsed="false">
      <c r="B34" s="101"/>
      <c r="C34" s="101"/>
      <c r="D34" s="101"/>
      <c r="E34" s="101"/>
      <c r="F34" s="101"/>
      <c r="G34" s="101"/>
      <c r="H34" s="101"/>
    </row>
    <row r="35" customFormat="false" ht="13.5" hidden="false" customHeight="true" outlineLevel="0" collapsed="false">
      <c r="B35" s="101"/>
      <c r="C35" s="101"/>
      <c r="D35" s="101"/>
      <c r="E35" s="101"/>
      <c r="F35" s="101"/>
      <c r="G35" s="101"/>
      <c r="H35" s="101"/>
    </row>
    <row r="36" customFormat="false" ht="13.5" hidden="false" customHeight="true" outlineLevel="0" collapsed="false">
      <c r="B36" s="101"/>
      <c r="C36" s="101"/>
      <c r="D36" s="101"/>
      <c r="E36" s="101"/>
      <c r="F36" s="101"/>
      <c r="G36" s="101"/>
      <c r="H36" s="101"/>
    </row>
    <row r="37" customFormat="false" ht="13.5" hidden="false" customHeight="true" outlineLevel="0" collapsed="false">
      <c r="B37" s="101"/>
      <c r="C37" s="101"/>
      <c r="D37" s="101"/>
      <c r="E37" s="101"/>
      <c r="F37" s="101"/>
      <c r="G37" s="101"/>
      <c r="H37" s="101"/>
    </row>
    <row r="38" customFormat="false" ht="13.5" hidden="false" customHeight="true" outlineLevel="0" collapsed="false">
      <c r="B38" s="101"/>
      <c r="C38" s="101"/>
      <c r="D38" s="101"/>
      <c r="E38" s="101"/>
      <c r="F38" s="101"/>
      <c r="G38" s="101"/>
      <c r="H38" s="101"/>
    </row>
    <row r="40" customFormat="false" ht="21.75" hidden="false" customHeight="true" outlineLevel="0" collapsed="false">
      <c r="B40" s="6" t="s">
        <v>417</v>
      </c>
      <c r="C40" s="6"/>
      <c r="D40" s="6"/>
      <c r="E40" s="6"/>
      <c r="F40" s="6"/>
      <c r="G40" s="6"/>
      <c r="H40" s="6"/>
    </row>
    <row r="41" customFormat="false" ht="19.5" hidden="false" customHeight="true" outlineLevel="0" collapsed="false">
      <c r="B41" s="10" t="s">
        <v>418</v>
      </c>
      <c r="C41" s="10" t="s">
        <v>419</v>
      </c>
      <c r="D41" s="10"/>
      <c r="E41" s="10"/>
      <c r="F41" s="10" t="s">
        <v>420</v>
      </c>
      <c r="G41" s="10"/>
      <c r="H41" s="10"/>
    </row>
    <row r="42" customFormat="false" ht="46.5" hidden="false" customHeight="true" outlineLevel="0" collapsed="false">
      <c r="B42" s="102" t="s">
        <v>421</v>
      </c>
      <c r="C42" s="103" t="s">
        <v>422</v>
      </c>
      <c r="D42" s="103"/>
      <c r="E42" s="103"/>
      <c r="F42" s="104" t="s">
        <v>423</v>
      </c>
      <c r="G42" s="104"/>
      <c r="H42" s="104"/>
    </row>
    <row r="43" customFormat="false" ht="60" hidden="false" customHeight="true" outlineLevel="0" collapsed="false">
      <c r="B43" s="105" t="s">
        <v>424</v>
      </c>
      <c r="C43" s="106" t="s">
        <v>425</v>
      </c>
      <c r="D43" s="106"/>
      <c r="E43" s="106"/>
      <c r="F43" s="107" t="s">
        <v>426</v>
      </c>
      <c r="G43" s="107"/>
      <c r="H43" s="107"/>
    </row>
    <row r="44" customFormat="false" ht="33.75" hidden="false" customHeight="true" outlineLevel="0" collapsed="false">
      <c r="B44" s="102" t="s">
        <v>427</v>
      </c>
      <c r="C44" s="108" t="s">
        <v>428</v>
      </c>
      <c r="D44" s="108"/>
      <c r="E44" s="108"/>
      <c r="F44" s="104" t="s">
        <v>429</v>
      </c>
      <c r="G44" s="104"/>
      <c r="H44" s="104"/>
    </row>
    <row r="45" customFormat="false" ht="33.75" hidden="false" customHeight="true" outlineLevel="0" collapsed="false">
      <c r="B45" s="105" t="s">
        <v>430</v>
      </c>
      <c r="C45" s="106" t="s">
        <v>431</v>
      </c>
      <c r="D45" s="106"/>
      <c r="E45" s="106"/>
      <c r="F45" s="107" t="s">
        <v>432</v>
      </c>
      <c r="G45" s="107"/>
      <c r="H45" s="107"/>
    </row>
    <row r="46" customFormat="false" ht="33.75" hidden="false" customHeight="true" outlineLevel="0" collapsed="false">
      <c r="B46" s="102" t="s">
        <v>433</v>
      </c>
      <c r="C46" s="108" t="s">
        <v>434</v>
      </c>
      <c r="D46" s="108"/>
      <c r="E46" s="108"/>
      <c r="F46" s="104" t="s">
        <v>435</v>
      </c>
      <c r="G46" s="104"/>
      <c r="H46" s="104"/>
    </row>
    <row r="47" customFormat="false" ht="33.75" hidden="false" customHeight="true" outlineLevel="0" collapsed="false">
      <c r="B47" s="105" t="s">
        <v>436</v>
      </c>
      <c r="C47" s="106" t="s">
        <v>437</v>
      </c>
      <c r="D47" s="106"/>
      <c r="E47" s="106"/>
      <c r="F47" s="107" t="s">
        <v>438</v>
      </c>
      <c r="G47" s="107"/>
      <c r="H47" s="107"/>
    </row>
    <row r="48" customFormat="false" ht="33.75" hidden="false" customHeight="true" outlineLevel="0" collapsed="false">
      <c r="B48" s="102" t="s">
        <v>439</v>
      </c>
      <c r="C48" s="108" t="s">
        <v>440</v>
      </c>
      <c r="D48" s="108"/>
      <c r="E48" s="108"/>
      <c r="F48" s="104" t="s">
        <v>441</v>
      </c>
      <c r="G48" s="104"/>
      <c r="H48" s="104"/>
    </row>
    <row r="49" customFormat="false" ht="33.75" hidden="false" customHeight="true" outlineLevel="0" collapsed="false">
      <c r="B49" s="105" t="s">
        <v>442</v>
      </c>
      <c r="C49" s="106" t="s">
        <v>443</v>
      </c>
      <c r="D49" s="106"/>
      <c r="E49" s="106"/>
      <c r="F49" s="107" t="s">
        <v>444</v>
      </c>
      <c r="G49" s="107"/>
      <c r="H49" s="107"/>
    </row>
    <row r="51" customFormat="false" ht="21.75" hidden="false" customHeight="true" outlineLevel="0" collapsed="false">
      <c r="B51" s="6" t="s">
        <v>445</v>
      </c>
      <c r="C51" s="6"/>
      <c r="D51" s="6"/>
      <c r="E51" s="6"/>
      <c r="F51" s="6"/>
      <c r="G51" s="6"/>
      <c r="H51" s="6"/>
    </row>
    <row r="52" customFormat="false" ht="12.75" hidden="false" customHeight="true" outlineLevel="0" collapsed="false">
      <c r="B52" s="40" t="s">
        <v>446</v>
      </c>
      <c r="C52" s="40"/>
      <c r="D52" s="40"/>
      <c r="E52" s="40"/>
      <c r="F52" s="40"/>
      <c r="G52" s="40"/>
      <c r="H52" s="40"/>
    </row>
    <row r="53" customFormat="false" ht="12.75" hidden="false" customHeight="true" outlineLevel="0" collapsed="false">
      <c r="B53" s="40"/>
      <c r="C53" s="40"/>
      <c r="D53" s="40"/>
      <c r="E53" s="40"/>
      <c r="F53" s="40"/>
      <c r="G53" s="40"/>
      <c r="H53" s="40"/>
    </row>
    <row r="55" customFormat="false" ht="19.5" hidden="false" customHeight="true" outlineLevel="0" collapsed="false">
      <c r="B55" s="10" t="s">
        <v>447</v>
      </c>
      <c r="C55" s="10" t="s">
        <v>157</v>
      </c>
      <c r="D55" s="10"/>
      <c r="E55" s="10"/>
      <c r="F55" s="10"/>
      <c r="G55" s="10"/>
      <c r="H55" s="10"/>
    </row>
    <row r="56" customFormat="false" ht="24" hidden="false" customHeight="true" outlineLevel="0" collapsed="false">
      <c r="B56" s="108" t="s">
        <v>197</v>
      </c>
      <c r="C56" s="104" t="s">
        <v>448</v>
      </c>
      <c r="D56" s="104"/>
      <c r="E56" s="104"/>
      <c r="F56" s="104"/>
      <c r="G56" s="104"/>
      <c r="H56" s="104"/>
    </row>
    <row r="57" customFormat="false" ht="24" hidden="false" customHeight="true" outlineLevel="0" collapsed="false">
      <c r="B57" s="106" t="s">
        <v>198</v>
      </c>
      <c r="C57" s="107" t="s">
        <v>449</v>
      </c>
      <c r="D57" s="107"/>
      <c r="E57" s="107"/>
      <c r="F57" s="107"/>
      <c r="G57" s="107"/>
      <c r="H57" s="107"/>
    </row>
    <row r="58" customFormat="false" ht="24" hidden="false" customHeight="true" outlineLevel="0" collapsed="false">
      <c r="B58" s="108" t="s">
        <v>199</v>
      </c>
      <c r="C58" s="104" t="s">
        <v>450</v>
      </c>
      <c r="D58" s="104"/>
      <c r="E58" s="104"/>
      <c r="F58" s="104"/>
      <c r="G58" s="104"/>
      <c r="H58" s="104"/>
    </row>
    <row r="59" customFormat="false" ht="24" hidden="false" customHeight="true" outlineLevel="0" collapsed="false">
      <c r="B59" s="106" t="s">
        <v>200</v>
      </c>
      <c r="C59" s="107" t="s">
        <v>451</v>
      </c>
      <c r="D59" s="107"/>
      <c r="E59" s="107"/>
      <c r="F59" s="107"/>
      <c r="G59" s="107"/>
      <c r="H59" s="107"/>
    </row>
    <row r="60" customFormat="false" ht="24" hidden="false" customHeight="true" outlineLevel="0" collapsed="false">
      <c r="B60" s="108" t="s">
        <v>201</v>
      </c>
      <c r="C60" s="104" t="s">
        <v>452</v>
      </c>
      <c r="D60" s="104"/>
      <c r="E60" s="104"/>
      <c r="F60" s="104"/>
      <c r="G60" s="104"/>
      <c r="H60" s="104"/>
    </row>
    <row r="61" customFormat="false" ht="24" hidden="false" customHeight="true" outlineLevel="0" collapsed="false">
      <c r="B61" s="106" t="s">
        <v>202</v>
      </c>
      <c r="C61" s="107" t="s">
        <v>453</v>
      </c>
      <c r="D61" s="107"/>
      <c r="E61" s="107"/>
      <c r="F61" s="107"/>
      <c r="G61" s="107"/>
      <c r="H61" s="107"/>
    </row>
    <row r="62" customFormat="false" ht="24" hidden="false" customHeight="true" outlineLevel="0" collapsed="false">
      <c r="B62" s="108" t="s">
        <v>203</v>
      </c>
      <c r="C62" s="104" t="s">
        <v>454</v>
      </c>
      <c r="D62" s="104"/>
      <c r="E62" s="104"/>
      <c r="F62" s="104"/>
      <c r="G62" s="104"/>
      <c r="H62" s="104"/>
    </row>
    <row r="63" customFormat="false" ht="24" hidden="false" customHeight="true" outlineLevel="0" collapsed="false">
      <c r="B63" s="106" t="s">
        <v>204</v>
      </c>
      <c r="C63" s="107" t="s">
        <v>455</v>
      </c>
      <c r="D63" s="107"/>
      <c r="E63" s="107"/>
      <c r="F63" s="107"/>
      <c r="G63" s="107"/>
      <c r="H63" s="107"/>
    </row>
    <row r="64" customFormat="false" ht="24" hidden="false" customHeight="true" outlineLevel="0" collapsed="false">
      <c r="B64" s="108" t="s">
        <v>205</v>
      </c>
      <c r="C64" s="104" t="s">
        <v>456</v>
      </c>
      <c r="D64" s="104"/>
      <c r="E64" s="104"/>
      <c r="F64" s="104"/>
      <c r="G64" s="104"/>
      <c r="H64" s="104"/>
    </row>
    <row r="65" customFormat="false" ht="24" hidden="false" customHeight="true" outlineLevel="0" collapsed="false">
      <c r="B65" s="106" t="s">
        <v>206</v>
      </c>
      <c r="C65" s="107" t="s">
        <v>457</v>
      </c>
      <c r="D65" s="107"/>
      <c r="E65" s="107"/>
      <c r="F65" s="107"/>
      <c r="G65" s="107"/>
      <c r="H65" s="107"/>
    </row>
    <row r="66" customFormat="false" ht="24" hidden="false" customHeight="true" outlineLevel="0" collapsed="false">
      <c r="B66" s="108" t="s">
        <v>207</v>
      </c>
      <c r="C66" s="104" t="s">
        <v>458</v>
      </c>
      <c r="D66" s="104"/>
      <c r="E66" s="104"/>
      <c r="F66" s="104"/>
      <c r="G66" s="104"/>
      <c r="H66" s="104"/>
    </row>
    <row r="67" customFormat="false" ht="24" hidden="false" customHeight="true" outlineLevel="0" collapsed="false">
      <c r="B67" s="106" t="s">
        <v>208</v>
      </c>
      <c r="C67" s="107" t="s">
        <v>459</v>
      </c>
      <c r="D67" s="107"/>
      <c r="E67" s="107"/>
      <c r="F67" s="107"/>
      <c r="G67" s="107"/>
      <c r="H67" s="107"/>
    </row>
    <row r="68" customFormat="false" ht="24" hidden="false" customHeight="true" outlineLevel="0" collapsed="false">
      <c r="B68" s="108" t="s">
        <v>209</v>
      </c>
      <c r="C68" s="104" t="s">
        <v>460</v>
      </c>
      <c r="D68" s="104"/>
      <c r="E68" s="104"/>
      <c r="F68" s="104"/>
      <c r="G68" s="104"/>
      <c r="H68" s="104"/>
    </row>
    <row r="69" customFormat="false" ht="24" hidden="false" customHeight="true" outlineLevel="0" collapsed="false">
      <c r="B69" s="106" t="s">
        <v>210</v>
      </c>
      <c r="C69" s="107" t="s">
        <v>461</v>
      </c>
      <c r="D69" s="107"/>
      <c r="E69" s="107"/>
      <c r="F69" s="107"/>
      <c r="G69" s="107"/>
      <c r="H69" s="107"/>
    </row>
    <row r="70" customFormat="false" ht="24" hidden="false" customHeight="true" outlineLevel="0" collapsed="false">
      <c r="B70" s="108" t="s">
        <v>211</v>
      </c>
      <c r="C70" s="104" t="s">
        <v>462</v>
      </c>
      <c r="D70" s="104"/>
      <c r="E70" s="104"/>
      <c r="F70" s="104"/>
      <c r="G70" s="104"/>
      <c r="H70" s="104"/>
    </row>
    <row r="72" customFormat="false" ht="21.75" hidden="false" customHeight="true" outlineLevel="0" collapsed="false">
      <c r="B72" s="6" t="s">
        <v>463</v>
      </c>
      <c r="C72" s="6"/>
      <c r="D72" s="6"/>
      <c r="E72" s="6"/>
      <c r="F72" s="6"/>
      <c r="G72" s="6"/>
      <c r="H72" s="6"/>
    </row>
    <row r="73" customFormat="false" ht="33.75" hidden="false" customHeight="true" outlineLevel="0" collapsed="false">
      <c r="B73" s="108" t="s">
        <v>464</v>
      </c>
      <c r="C73" s="104" t="s">
        <v>465</v>
      </c>
      <c r="D73" s="104"/>
      <c r="E73" s="104"/>
      <c r="F73" s="104"/>
      <c r="G73" s="104"/>
      <c r="H73" s="104"/>
    </row>
    <row r="74" customFormat="false" ht="33.75" hidden="false" customHeight="true" outlineLevel="0" collapsed="false">
      <c r="B74" s="106" t="s">
        <v>466</v>
      </c>
      <c r="C74" s="107" t="s">
        <v>467</v>
      </c>
      <c r="D74" s="107"/>
      <c r="E74" s="107"/>
      <c r="F74" s="107"/>
      <c r="G74" s="107"/>
      <c r="H74" s="107"/>
    </row>
    <row r="75" customFormat="false" ht="27.75" hidden="false" customHeight="true" outlineLevel="0" collapsed="false">
      <c r="B75" s="108" t="s">
        <v>468</v>
      </c>
      <c r="C75" s="104" t="s">
        <v>469</v>
      </c>
      <c r="D75" s="104"/>
      <c r="E75" s="104"/>
      <c r="F75" s="104"/>
      <c r="G75" s="104"/>
      <c r="H75" s="104"/>
    </row>
    <row r="76" customFormat="false" ht="33.75" hidden="false" customHeight="true" outlineLevel="0" collapsed="false">
      <c r="B76" s="106" t="s">
        <v>470</v>
      </c>
      <c r="C76" s="107" t="s">
        <v>471</v>
      </c>
      <c r="D76" s="107"/>
      <c r="E76" s="107"/>
      <c r="F76" s="107"/>
      <c r="G76" s="107"/>
      <c r="H76" s="107"/>
    </row>
    <row r="77" customFormat="false" ht="33.75" hidden="false" customHeight="true" outlineLevel="0" collapsed="false">
      <c r="B77" s="108" t="s">
        <v>120</v>
      </c>
      <c r="C77" s="104" t="s">
        <v>472</v>
      </c>
      <c r="D77" s="104"/>
      <c r="E77" s="104"/>
      <c r="F77" s="104"/>
      <c r="G77" s="104"/>
      <c r="H77" s="104"/>
    </row>
    <row r="78" customFormat="false" ht="33.75" hidden="false" customHeight="true" outlineLevel="0" collapsed="false">
      <c r="B78" s="106" t="s">
        <v>473</v>
      </c>
      <c r="C78" s="107" t="s">
        <v>474</v>
      </c>
      <c r="D78" s="107"/>
      <c r="E78" s="107"/>
      <c r="F78" s="107"/>
      <c r="G78" s="107"/>
      <c r="H78" s="107"/>
    </row>
    <row r="79" customFormat="false" ht="33.75" hidden="false" customHeight="true" outlineLevel="0" collapsed="false">
      <c r="B79" s="108" t="s">
        <v>475</v>
      </c>
      <c r="C79" s="104" t="s">
        <v>476</v>
      </c>
      <c r="D79" s="104"/>
      <c r="E79" s="104"/>
      <c r="F79" s="104"/>
      <c r="G79" s="104"/>
      <c r="H79" s="104"/>
    </row>
    <row r="80" customFormat="false" ht="27.75" hidden="false" customHeight="true" outlineLevel="0" collapsed="false">
      <c r="B80" s="106" t="s">
        <v>311</v>
      </c>
      <c r="C80" s="107" t="s">
        <v>477</v>
      </c>
      <c r="D80" s="107"/>
      <c r="E80" s="107"/>
      <c r="F80" s="107"/>
      <c r="G80" s="107"/>
      <c r="H80" s="107"/>
    </row>
    <row r="81" customFormat="false" ht="27.75" hidden="false" customHeight="true" outlineLevel="0" collapsed="false">
      <c r="B81" s="108" t="s">
        <v>478</v>
      </c>
      <c r="C81" s="104" t="s">
        <v>479</v>
      </c>
      <c r="D81" s="104"/>
      <c r="E81" s="104"/>
      <c r="F81" s="104"/>
      <c r="G81" s="104"/>
      <c r="H81" s="104"/>
    </row>
    <row r="82" customFormat="false" ht="33.75" hidden="false" customHeight="true" outlineLevel="0" collapsed="false">
      <c r="B82" s="106" t="s">
        <v>480</v>
      </c>
      <c r="C82" s="107" t="s">
        <v>481</v>
      </c>
      <c r="D82" s="107"/>
      <c r="E82" s="107"/>
      <c r="F82" s="107"/>
      <c r="G82" s="107"/>
      <c r="H82" s="107"/>
    </row>
    <row r="83" customFormat="false" ht="27.75" hidden="false" customHeight="true" outlineLevel="0" collapsed="false">
      <c r="B83" s="108" t="s">
        <v>482</v>
      </c>
      <c r="C83" s="104" t="s">
        <v>483</v>
      </c>
      <c r="D83" s="104"/>
      <c r="E83" s="104"/>
      <c r="F83" s="104"/>
      <c r="G83" s="104"/>
      <c r="H83" s="104"/>
    </row>
    <row r="84" customFormat="false" ht="33.75" hidden="false" customHeight="true" outlineLevel="0" collapsed="false">
      <c r="B84" s="106" t="s">
        <v>484</v>
      </c>
      <c r="C84" s="107" t="s">
        <v>485</v>
      </c>
      <c r="D84" s="107"/>
      <c r="E84" s="107"/>
      <c r="F84" s="107"/>
      <c r="G84" s="107"/>
      <c r="H84" s="107"/>
    </row>
    <row r="85" customFormat="false" ht="27.75" hidden="false" customHeight="true" outlineLevel="0" collapsed="false">
      <c r="B85" s="108" t="s">
        <v>486</v>
      </c>
      <c r="C85" s="104" t="s">
        <v>487</v>
      </c>
      <c r="D85" s="104"/>
      <c r="E85" s="104"/>
      <c r="F85" s="104"/>
      <c r="G85" s="104"/>
      <c r="H85" s="104"/>
    </row>
    <row r="86" customFormat="false" ht="33.75" hidden="false" customHeight="true" outlineLevel="0" collapsed="false">
      <c r="B86" s="106" t="s">
        <v>488</v>
      </c>
      <c r="C86" s="107" t="s">
        <v>489</v>
      </c>
      <c r="D86" s="107"/>
      <c r="E86" s="107"/>
      <c r="F86" s="107"/>
      <c r="G86" s="107"/>
      <c r="H86" s="107"/>
    </row>
    <row r="87" customFormat="false" ht="27.75" hidden="false" customHeight="true" outlineLevel="0" collapsed="false">
      <c r="B87" s="108" t="s">
        <v>490</v>
      </c>
      <c r="C87" s="104" t="s">
        <v>491</v>
      </c>
      <c r="D87" s="104"/>
      <c r="E87" s="104"/>
      <c r="F87" s="104"/>
      <c r="G87" s="104"/>
      <c r="H87" s="104"/>
    </row>
    <row r="88" customFormat="false" ht="27.75" hidden="false" customHeight="true" outlineLevel="0" collapsed="false">
      <c r="B88" s="106" t="s">
        <v>492</v>
      </c>
      <c r="C88" s="107" t="s">
        <v>493</v>
      </c>
      <c r="D88" s="107"/>
      <c r="E88" s="107"/>
      <c r="F88" s="107"/>
      <c r="G88" s="107"/>
      <c r="H88" s="107"/>
    </row>
    <row r="90" customFormat="false" ht="21.75" hidden="false" customHeight="true" outlineLevel="0" collapsed="false">
      <c r="B90" s="6" t="s">
        <v>494</v>
      </c>
      <c r="C90" s="6"/>
      <c r="D90" s="6"/>
      <c r="E90" s="6"/>
      <c r="F90" s="6"/>
      <c r="G90" s="6"/>
      <c r="H90" s="6"/>
    </row>
    <row r="91" customFormat="false" ht="19.5" hidden="false" customHeight="true" outlineLevel="0" collapsed="false">
      <c r="B91" s="10" t="s">
        <v>495</v>
      </c>
      <c r="C91" s="10" t="s">
        <v>496</v>
      </c>
      <c r="D91" s="10"/>
      <c r="E91" s="10"/>
      <c r="F91" s="10" t="s">
        <v>233</v>
      </c>
      <c r="G91" s="10"/>
      <c r="H91" s="10"/>
    </row>
    <row r="92" customFormat="false" ht="33.75" hidden="false" customHeight="true" outlineLevel="0" collapsed="false">
      <c r="B92" s="108" t="s">
        <v>497</v>
      </c>
      <c r="C92" s="104" t="s">
        <v>498</v>
      </c>
      <c r="D92" s="104"/>
      <c r="E92" s="104"/>
      <c r="F92" s="104" t="s">
        <v>499</v>
      </c>
      <c r="G92" s="104"/>
      <c r="H92" s="104"/>
    </row>
    <row r="93" customFormat="false" ht="33.75" hidden="false" customHeight="true" outlineLevel="0" collapsed="false">
      <c r="B93" s="106" t="s">
        <v>120</v>
      </c>
      <c r="C93" s="107" t="s">
        <v>500</v>
      </c>
      <c r="D93" s="107"/>
      <c r="E93" s="107"/>
      <c r="F93" s="107" t="s">
        <v>501</v>
      </c>
      <c r="G93" s="107"/>
      <c r="H93" s="107"/>
    </row>
    <row r="94" customFormat="false" ht="27.75" hidden="false" customHeight="true" outlineLevel="0" collapsed="false">
      <c r="B94" s="108" t="s">
        <v>311</v>
      </c>
      <c r="C94" s="104" t="s">
        <v>502</v>
      </c>
      <c r="D94" s="104"/>
      <c r="E94" s="104"/>
      <c r="F94" s="104" t="s">
        <v>503</v>
      </c>
      <c r="G94" s="104"/>
      <c r="H94" s="104"/>
    </row>
    <row r="95" customFormat="false" ht="33.75" hidden="false" customHeight="true" outlineLevel="0" collapsed="false">
      <c r="B95" s="106" t="s">
        <v>466</v>
      </c>
      <c r="C95" s="107" t="s">
        <v>504</v>
      </c>
      <c r="D95" s="107"/>
      <c r="E95" s="107"/>
      <c r="F95" s="107" t="s">
        <v>505</v>
      </c>
      <c r="G95" s="107"/>
      <c r="H95" s="107"/>
    </row>
    <row r="96" customFormat="false" ht="33.75" hidden="false" customHeight="true" outlineLevel="0" collapsed="false">
      <c r="B96" s="108" t="s">
        <v>484</v>
      </c>
      <c r="C96" s="104" t="s">
        <v>506</v>
      </c>
      <c r="D96" s="104"/>
      <c r="E96" s="104"/>
      <c r="F96" s="104" t="s">
        <v>507</v>
      </c>
      <c r="G96" s="104"/>
      <c r="H96" s="104"/>
    </row>
    <row r="97" customFormat="false" ht="27.75" hidden="false" customHeight="true" outlineLevel="0" collapsed="false">
      <c r="B97" s="106" t="s">
        <v>508</v>
      </c>
      <c r="C97" s="107" t="s">
        <v>509</v>
      </c>
      <c r="D97" s="107"/>
      <c r="E97" s="107"/>
      <c r="F97" s="107" t="s">
        <v>510</v>
      </c>
      <c r="G97" s="107"/>
      <c r="H97" s="107"/>
    </row>
    <row r="99" customFormat="false" ht="21.75" hidden="false" customHeight="true" outlineLevel="0" collapsed="false">
      <c r="B99" s="6" t="s">
        <v>511</v>
      </c>
      <c r="C99" s="6"/>
      <c r="D99" s="6"/>
      <c r="E99" s="6"/>
      <c r="F99" s="6"/>
      <c r="G99" s="6"/>
      <c r="H99" s="6"/>
    </row>
    <row r="100" customFormat="false" ht="18.75" hidden="false" customHeight="true" outlineLevel="0" collapsed="false">
      <c r="B100" s="109" t="s">
        <v>512</v>
      </c>
      <c r="C100" s="110" t="s">
        <v>513</v>
      </c>
      <c r="D100" s="110"/>
      <c r="E100" s="110"/>
      <c r="F100" s="110"/>
      <c r="G100" s="110"/>
      <c r="H100" s="110"/>
    </row>
    <row r="101" customFormat="false" ht="18.75" hidden="false" customHeight="true" outlineLevel="0" collapsed="false">
      <c r="B101" s="111" t="s">
        <v>514</v>
      </c>
      <c r="C101" s="110" t="s">
        <v>515</v>
      </c>
      <c r="D101" s="110"/>
      <c r="E101" s="110"/>
      <c r="F101" s="110"/>
      <c r="G101" s="110"/>
      <c r="H101" s="110"/>
    </row>
    <row r="102" customFormat="false" ht="18.75" hidden="false" customHeight="true" outlineLevel="0" collapsed="false">
      <c r="B102" s="112" t="s">
        <v>516</v>
      </c>
      <c r="C102" s="110" t="s">
        <v>517</v>
      </c>
      <c r="D102" s="110"/>
      <c r="E102" s="110"/>
      <c r="F102" s="110"/>
      <c r="G102" s="110"/>
      <c r="H102" s="110"/>
    </row>
    <row r="103" customFormat="false" ht="18.75" hidden="false" customHeight="true" outlineLevel="0" collapsed="false">
      <c r="B103" s="113" t="s">
        <v>518</v>
      </c>
      <c r="C103" s="110" t="s">
        <v>519</v>
      </c>
      <c r="D103" s="110"/>
      <c r="E103" s="110"/>
      <c r="F103" s="110"/>
      <c r="G103" s="110"/>
      <c r="H103" s="110"/>
    </row>
    <row r="105" customFormat="false" ht="21.75" hidden="false" customHeight="true" outlineLevel="0" collapsed="false">
      <c r="B105" s="6" t="s">
        <v>520</v>
      </c>
      <c r="C105" s="6"/>
      <c r="D105" s="6"/>
      <c r="E105" s="6"/>
      <c r="F105" s="6"/>
      <c r="G105" s="6"/>
      <c r="H105" s="6"/>
    </row>
    <row r="106" customFormat="false" ht="19.5" hidden="false" customHeight="true" outlineLevel="0" collapsed="false">
      <c r="B106" s="114" t="s">
        <v>521</v>
      </c>
      <c r="C106" s="114" t="s">
        <v>522</v>
      </c>
      <c r="D106" s="114" t="s">
        <v>175</v>
      </c>
      <c r="E106" s="114" t="s">
        <v>226</v>
      </c>
      <c r="F106" s="114" t="s">
        <v>523</v>
      </c>
      <c r="G106" s="114" t="s">
        <v>382</v>
      </c>
      <c r="H106" s="114" t="s">
        <v>524</v>
      </c>
    </row>
    <row r="107" customFormat="false" ht="46.5" hidden="false" customHeight="true" outlineLevel="0" collapsed="false">
      <c r="B107" s="13" t="s">
        <v>235</v>
      </c>
      <c r="C107" s="13" t="s">
        <v>120</v>
      </c>
      <c r="D107" s="13" t="s">
        <v>180</v>
      </c>
      <c r="E107" s="13" t="s">
        <v>246</v>
      </c>
      <c r="F107" s="13" t="s">
        <v>283</v>
      </c>
      <c r="G107" s="13" t="s">
        <v>98</v>
      </c>
      <c r="H107" s="13" t="s">
        <v>525</v>
      </c>
    </row>
    <row r="108" customFormat="false" ht="46.5" hidden="false" customHeight="true" outlineLevel="0" collapsed="false">
      <c r="B108" s="16" t="s">
        <v>252</v>
      </c>
      <c r="C108" s="16" t="s">
        <v>526</v>
      </c>
      <c r="D108" s="16" t="s">
        <v>181</v>
      </c>
      <c r="E108" s="16" t="s">
        <v>236</v>
      </c>
      <c r="F108" s="16" t="s">
        <v>364</v>
      </c>
      <c r="G108" s="16" t="s">
        <v>390</v>
      </c>
      <c r="H108" s="16" t="s">
        <v>107</v>
      </c>
    </row>
    <row r="109" customFormat="false" ht="46.5" hidden="false" customHeight="true" outlineLevel="0" collapsed="false">
      <c r="B109" s="13" t="s">
        <v>197</v>
      </c>
      <c r="C109" s="13" t="s">
        <v>240</v>
      </c>
      <c r="D109" s="13" t="s">
        <v>182</v>
      </c>
      <c r="E109" s="13" t="s">
        <v>239</v>
      </c>
      <c r="G109" s="13" t="s">
        <v>94</v>
      </c>
      <c r="H109" s="13" t="s">
        <v>527</v>
      </c>
    </row>
    <row r="110" customFormat="false" ht="46.5" hidden="false" customHeight="true" outlineLevel="0" collapsed="false">
      <c r="B110" s="16" t="s">
        <v>249</v>
      </c>
      <c r="C110" s="16" t="s">
        <v>243</v>
      </c>
      <c r="D110" s="16" t="s">
        <v>183</v>
      </c>
      <c r="E110" s="16" t="s">
        <v>253</v>
      </c>
      <c r="G110" s="16" t="s">
        <v>528</v>
      </c>
      <c r="H110" s="16" t="s">
        <v>529</v>
      </c>
    </row>
    <row r="111" customFormat="false" ht="46.5" hidden="false" customHeight="true" outlineLevel="0" collapsed="false">
      <c r="B111" s="13" t="s">
        <v>207</v>
      </c>
      <c r="C111" s="13" t="s">
        <v>262</v>
      </c>
      <c r="D111" s="13" t="s">
        <v>184</v>
      </c>
      <c r="G111" s="13" t="s">
        <v>120</v>
      </c>
    </row>
    <row r="112" customFormat="false" ht="46.5" hidden="false" customHeight="true" outlineLevel="0" collapsed="false">
      <c r="B112" s="16" t="s">
        <v>242</v>
      </c>
      <c r="C112" s="16" t="s">
        <v>530</v>
      </c>
      <c r="D112" s="16" t="s">
        <v>185</v>
      </c>
      <c r="G112" s="16" t="s">
        <v>211</v>
      </c>
    </row>
    <row r="113" customFormat="false" ht="46.5" hidden="false" customHeight="true" outlineLevel="0" collapsed="false">
      <c r="B113" s="13" t="s">
        <v>257</v>
      </c>
      <c r="C113" s="13" t="s">
        <v>282</v>
      </c>
      <c r="D113" s="13" t="s">
        <v>186</v>
      </c>
    </row>
    <row r="114" customFormat="false" ht="46.5" hidden="false" customHeight="true" outlineLevel="0" collapsed="false">
      <c r="B114" s="16" t="s">
        <v>261</v>
      </c>
      <c r="D114" s="16" t="s">
        <v>187</v>
      </c>
    </row>
    <row r="115" customFormat="false" ht="46.5" hidden="false" customHeight="true" outlineLevel="0" collapsed="false">
      <c r="D115" s="13" t="s">
        <v>188</v>
      </c>
    </row>
    <row r="116" customFormat="false" ht="46.5" hidden="false" customHeight="true" outlineLevel="0" collapsed="false">
      <c r="D116" s="16" t="s">
        <v>189</v>
      </c>
    </row>
    <row r="117" customFormat="false" ht="46.5" hidden="false" customHeight="true" outlineLevel="0" collapsed="false">
      <c r="D117" s="13" t="s">
        <v>190</v>
      </c>
    </row>
    <row r="118" customFormat="false" ht="46.5" hidden="false" customHeight="true" outlineLevel="0" collapsed="false">
      <c r="D118" s="16" t="s">
        <v>191</v>
      </c>
    </row>
    <row r="120" customFormat="false" ht="33" hidden="false" customHeight="true" outlineLevel="0" collapsed="false">
      <c r="D120" s="114" t="s">
        <v>531</v>
      </c>
      <c r="E120" s="114" t="s">
        <v>532</v>
      </c>
      <c r="F120" s="114" t="s">
        <v>533</v>
      </c>
      <c r="G120" s="114" t="s">
        <v>194</v>
      </c>
      <c r="H120" s="114" t="s">
        <v>534</v>
      </c>
    </row>
    <row r="121" customFormat="false" ht="46.5" hidden="false" customHeight="true" outlineLevel="0" collapsed="false">
      <c r="D121" s="13" t="s">
        <v>302</v>
      </c>
      <c r="E121" s="13" t="s">
        <v>301</v>
      </c>
      <c r="F121" s="13" t="s">
        <v>216</v>
      </c>
      <c r="G121" s="13" t="s">
        <v>197</v>
      </c>
      <c r="H121" s="13" t="s">
        <v>387</v>
      </c>
    </row>
    <row r="122" customFormat="false" ht="46.5" hidden="false" customHeight="true" outlineLevel="0" collapsed="false">
      <c r="D122" s="16" t="s">
        <v>328</v>
      </c>
      <c r="E122" s="16" t="s">
        <v>307</v>
      </c>
      <c r="F122" s="16" t="s">
        <v>217</v>
      </c>
      <c r="G122" s="16" t="s">
        <v>198</v>
      </c>
      <c r="H122" s="16" t="s">
        <v>388</v>
      </c>
    </row>
    <row r="123" customFormat="false" ht="46.5" hidden="false" customHeight="true" outlineLevel="0" collapsed="false">
      <c r="D123" s="13" t="s">
        <v>311</v>
      </c>
      <c r="E123" s="13" t="s">
        <v>327</v>
      </c>
      <c r="F123" s="13" t="s">
        <v>218</v>
      </c>
      <c r="G123" s="13" t="s">
        <v>199</v>
      </c>
      <c r="H123" s="13" t="s">
        <v>392</v>
      </c>
    </row>
    <row r="124" customFormat="false" ht="46.5" hidden="false" customHeight="true" outlineLevel="0" collapsed="false">
      <c r="D124" s="16" t="s">
        <v>535</v>
      </c>
      <c r="E124" s="16" t="s">
        <v>536</v>
      </c>
      <c r="F124" s="16" t="s">
        <v>219</v>
      </c>
      <c r="G124" s="16" t="s">
        <v>200</v>
      </c>
      <c r="H124" s="16" t="s">
        <v>220</v>
      </c>
    </row>
    <row r="125" customFormat="false" ht="46.5" hidden="false" customHeight="true" outlineLevel="0" collapsed="false">
      <c r="D125" s="13" t="s">
        <v>339</v>
      </c>
      <c r="E125" s="13" t="s">
        <v>537</v>
      </c>
      <c r="F125" s="13" t="s">
        <v>220</v>
      </c>
      <c r="G125" s="13" t="s">
        <v>201</v>
      </c>
    </row>
    <row r="126" customFormat="false" ht="46.5" hidden="false" customHeight="true" outlineLevel="0" collapsed="false">
      <c r="D126" s="16" t="s">
        <v>480</v>
      </c>
      <c r="G126" s="16" t="s">
        <v>202</v>
      </c>
    </row>
    <row r="127" customFormat="false" ht="46.5" hidden="false" customHeight="true" outlineLevel="0" collapsed="false">
      <c r="D127" s="13" t="s">
        <v>538</v>
      </c>
      <c r="G127" s="13" t="s">
        <v>203</v>
      </c>
    </row>
    <row r="128" customFormat="false" ht="46.5" hidden="false" customHeight="true" outlineLevel="0" collapsed="false">
      <c r="D128" s="16" t="s">
        <v>539</v>
      </c>
      <c r="G128" s="16" t="s">
        <v>204</v>
      </c>
    </row>
    <row r="129" customFormat="false" ht="46.5" hidden="false" customHeight="true" outlineLevel="0" collapsed="false">
      <c r="D129" s="13" t="s">
        <v>308</v>
      </c>
      <c r="G129" s="13" t="s">
        <v>205</v>
      </c>
    </row>
    <row r="130" customFormat="false" ht="46.5" hidden="false" customHeight="true" outlineLevel="0" collapsed="false">
      <c r="G130" s="16" t="s">
        <v>206</v>
      </c>
    </row>
    <row r="131" customFormat="false" ht="46.5" hidden="false" customHeight="true" outlineLevel="0" collapsed="false">
      <c r="G131" s="13" t="s">
        <v>207</v>
      </c>
    </row>
    <row r="132" customFormat="false" ht="46.5" hidden="false" customHeight="true" outlineLevel="0" collapsed="false">
      <c r="G132" s="16" t="s">
        <v>208</v>
      </c>
    </row>
    <row r="133" customFormat="false" ht="46.5" hidden="false" customHeight="true" outlineLevel="0" collapsed="false">
      <c r="G133" s="13" t="s">
        <v>209</v>
      </c>
    </row>
    <row r="134" customFormat="false" ht="46.5" hidden="false" customHeight="true" outlineLevel="0" collapsed="false">
      <c r="G134" s="16" t="s">
        <v>210</v>
      </c>
    </row>
    <row r="135" customFormat="false" ht="46.5" hidden="false" customHeight="true" outlineLevel="0" collapsed="false">
      <c r="G135" s="13" t="s">
        <v>211</v>
      </c>
    </row>
    <row r="136" customFormat="false" ht="18" hidden="false" customHeight="true" outlineLevel="0" collapsed="false">
      <c r="B136" s="48" t="s">
        <v>127</v>
      </c>
      <c r="C136" s="48"/>
      <c r="D136" s="48"/>
      <c r="E136" s="48"/>
      <c r="F136" s="48"/>
      <c r="G136" s="48"/>
      <c r="H136" s="48"/>
    </row>
  </sheetData>
  <mergeCells count="100">
    <mergeCell ref="B1:H1"/>
    <mergeCell ref="B2:H2"/>
    <mergeCell ref="B4:H4"/>
    <mergeCell ref="B6:H6"/>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B15:H15"/>
    <mergeCell ref="B16:H20"/>
    <mergeCell ref="B22:H22"/>
    <mergeCell ref="B23:H29"/>
    <mergeCell ref="B31:H31"/>
    <mergeCell ref="B32:H38"/>
    <mergeCell ref="B40:H40"/>
    <mergeCell ref="C41:E41"/>
    <mergeCell ref="F41:H41"/>
    <mergeCell ref="C42:E42"/>
    <mergeCell ref="F42:H42"/>
    <mergeCell ref="C43:E43"/>
    <mergeCell ref="F43:H43"/>
    <mergeCell ref="C44:E44"/>
    <mergeCell ref="F44:H44"/>
    <mergeCell ref="C45:E45"/>
    <mergeCell ref="F45:H45"/>
    <mergeCell ref="C46:E46"/>
    <mergeCell ref="F46:H46"/>
    <mergeCell ref="C47:E47"/>
    <mergeCell ref="F47:H47"/>
    <mergeCell ref="C48:E48"/>
    <mergeCell ref="F48:H48"/>
    <mergeCell ref="C49:E49"/>
    <mergeCell ref="F49:H49"/>
    <mergeCell ref="B51:H51"/>
    <mergeCell ref="B52:H53"/>
    <mergeCell ref="C55:H55"/>
    <mergeCell ref="C56:H56"/>
    <mergeCell ref="C57:H57"/>
    <mergeCell ref="C58:H58"/>
    <mergeCell ref="C59:H59"/>
    <mergeCell ref="C60:H60"/>
    <mergeCell ref="C61:H61"/>
    <mergeCell ref="C62:H62"/>
    <mergeCell ref="C63:H63"/>
    <mergeCell ref="C64:H64"/>
    <mergeCell ref="C65:H65"/>
    <mergeCell ref="C66:H66"/>
    <mergeCell ref="C67:H67"/>
    <mergeCell ref="C68:H68"/>
    <mergeCell ref="C69:H69"/>
    <mergeCell ref="C70:H70"/>
    <mergeCell ref="B72:H72"/>
    <mergeCell ref="C73:H73"/>
    <mergeCell ref="C74:H74"/>
    <mergeCell ref="C75:H75"/>
    <mergeCell ref="C76:H76"/>
    <mergeCell ref="C77:H77"/>
    <mergeCell ref="C78:H78"/>
    <mergeCell ref="C79:H79"/>
    <mergeCell ref="C80:H80"/>
    <mergeCell ref="C81:H81"/>
    <mergeCell ref="C82:H82"/>
    <mergeCell ref="C83:H83"/>
    <mergeCell ref="C84:H84"/>
    <mergeCell ref="C85:H85"/>
    <mergeCell ref="C86:H86"/>
    <mergeCell ref="C87:H87"/>
    <mergeCell ref="C88:H88"/>
    <mergeCell ref="B90:H90"/>
    <mergeCell ref="C91:E91"/>
    <mergeCell ref="F91:H91"/>
    <mergeCell ref="C92:E92"/>
    <mergeCell ref="F92:H92"/>
    <mergeCell ref="C93:E93"/>
    <mergeCell ref="F93:H93"/>
    <mergeCell ref="C94:E94"/>
    <mergeCell ref="F94:H94"/>
    <mergeCell ref="C95:E95"/>
    <mergeCell ref="F95:H95"/>
    <mergeCell ref="C96:E96"/>
    <mergeCell ref="F96:H96"/>
    <mergeCell ref="C97:E97"/>
    <mergeCell ref="F97:H97"/>
    <mergeCell ref="B99:H99"/>
    <mergeCell ref="C100:H100"/>
    <mergeCell ref="C101:H101"/>
    <mergeCell ref="C102:H102"/>
    <mergeCell ref="C103:H103"/>
    <mergeCell ref="B105:H105"/>
    <mergeCell ref="B136:H136"/>
  </mergeCells>
  <hyperlinks>
    <hyperlink ref="B136" r:id="rId1" display="Visit mastt.com"/>
  </hyperlink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6" manualBreakCount="6">
    <brk id="14" man="true" max="16383" min="0"/>
    <brk id="39" man="true" max="16383" min="0"/>
    <brk id="50" man="true" max="16383" min="0"/>
    <brk id="71" man="true" max="16383" min="0"/>
    <brk id="105" man="true" max="16383" min="0"/>
    <brk id="119" man="true" max="16383" min="0"/>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2026-08-17T08:01:18Z</dcterms:created>
  <dc:creator>openpyxl</dc:creator>
  <dc:description/>
  <dc:language>en-US</dc:language>
  <cp:lastModifiedBy/>
  <dcterms:modified xsi:type="dcterms:W3CDTF">2026-08-17T08:01:18Z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