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8.xml.rels" ContentType="application/vnd.openxmlformats-package.relationships+xml"/>
  <Override PartName="/xl/worksheets/_rels/sheet7.xml.rels" ContentType="application/vnd.openxmlformats-package.relationship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8.xml.rels" ContentType="application/vnd.openxmlformats-package.relationships+xml"/>
  <Override PartName="/xl/drawings/_rels/drawing7.xml.rels" ContentType="application/vnd.openxmlformats-package.relationships+xml"/>
  <Override PartName="/xl/drawings/_rels/drawing6.xml.rels" ContentType="application/vnd.openxmlformats-package.relationships+xml"/>
  <Override PartName="/xl/drawings/_rels/drawing5.xml.rels" ContentType="application/vnd.openxmlformats-package.relationships+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Setup" sheetId="2" state="visible" r:id="rId4"/>
    <sheet name="Portfolio Summary" sheetId="3" state="visible" r:id="rId5"/>
    <sheet name="Project List" sheetId="4" state="visible" r:id="rId6"/>
    <sheet name="Cost &amp; Benefits" sheetId="5" state="visible" r:id="rId7"/>
    <sheet name="Assurance" sheetId="6" state="visible" r:id="rId8"/>
    <sheet name="Contractor List" sheetId="7" state="visible" r:id="rId9"/>
    <sheet name="Reference" sheetId="8" state="visible" r:id="rId10"/>
  </sheets>
  <definedNames>
    <definedName function="false" hidden="false" localSheetId="5" name="_xlnm.Print_Area" vbProcedure="false">Assurance!$A$1:$N$32</definedName>
    <definedName function="false" hidden="false" localSheetId="5" name="_xlnm.Print_Titles" vbProcedure="false">Assurance!$6:$6</definedName>
    <definedName function="false" hidden="true" localSheetId="5" name="_xlnm._FilterDatabase" vbProcedure="false">Assurance!$B$6:$N$28</definedName>
    <definedName function="false" hidden="false" localSheetId="6" name="_xlnm.Print_Area" vbProcedure="false">'Contractor List'!$A$1:$P$25</definedName>
    <definedName function="false" hidden="false" localSheetId="6" name="_xlnm.Print_Titles" vbProcedure="false">'Contractor List'!$6:$6</definedName>
    <definedName function="false" hidden="true" localSheetId="6" name="_xlnm._FilterDatabase" vbProcedure="false">'Contractor List'!$B$6:$P$21</definedName>
    <definedName function="false" hidden="false" localSheetId="4" name="_xlnm.Print_Area" vbProcedure="false">'Cost &amp; Benefits'!$A$1:$O$32</definedName>
    <definedName function="false" hidden="false" localSheetId="4" name="_xlnm.Print_Titles" vbProcedure="false">'Cost &amp; Benefits'!$6:$6</definedName>
    <definedName function="false" hidden="true" localSheetId="4" name="_xlnm._FilterDatabase" vbProcedure="false">'Cost &amp; Benefits'!$B$6:$O$28</definedName>
    <definedName function="false" hidden="false" localSheetId="0" name="_xlnm.Print_Area" vbProcedure="false">Cover!$A$1:$G$194</definedName>
    <definedName function="false" hidden="false" localSheetId="2" name="_xlnm.Print_Area" vbProcedure="false">'Portfolio Summary'!$A$1:$I$79</definedName>
    <definedName function="false" hidden="false" localSheetId="3" name="_xlnm.Print_Area" vbProcedure="false">'Project List'!$A$1:$N$32</definedName>
    <definedName function="false" hidden="false" localSheetId="3" name="_xlnm.Print_Titles" vbProcedure="false">'Project List'!$6:$6</definedName>
    <definedName function="false" hidden="true" localSheetId="3" name="_xlnm._FilterDatabase" vbProcedure="false">'Project List'!$B$6:$N$28</definedName>
    <definedName function="false" hidden="false" localSheetId="7" name="_xlnm.Print_Area" vbProcedure="false">Reference!$A$1:$H$130</definedName>
    <definedName function="false" hidden="false" localSheetId="1" name="_xlnm.Print_Area" vbProcedure="false">Setup!$A$1:$H$32</definedName>
  </definedNames>
  <calcPr fullCalcOnLoad="1"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<sst xmlns="http://schemas.openxmlformats.org/spreadsheetml/2006/main" count="759" uniqueCount="498">
  <si>
    <t xml:space="preserve">Construction Project List</t>
  </si>
  <si>
    <t xml:space="preserve">For teams delivering capital projects, programs and portfolios</t>
  </si>
  <si>
    <t xml:space="preserve">Every project you are delivering, on one page, with the two things a portfolio register normally leaves out: a forecast beside the approved budget so a variance exists at all, and two delivery confidence ratings so the reviewer and the owner can visibly disagree. The contractor list is not a contact list - it sums what you have committed with each contractor across the whole register and sets it against the capacity they were assessed at.</t>
  </si>
  <si>
    <t xml:space="preserve">HOW TO USE IT</t>
  </si>
  <si>
    <t xml:space="preserve">1</t>
  </si>
  <si>
    <t xml:space="preserve">Fill in Setup, including the variance threshold and the slip tolerance.</t>
  </si>
  <si>
    <t xml:space="preserve">Two numbers do most of the work. The variance threshold decides when a cost movement has to be explained in writing rather than just reported, and the slip tolerance decides when a late project stops being a slip and becomes a problem. Both are yours to set, and every flag in the workbook derives from them.</t>
  </si>
  <si>
    <t xml:space="preserve">2</t>
  </si>
  <si>
    <t xml:space="preserve">List the projects, and name somebody accountable for each one.</t>
  </si>
  <si>
    <t xml:space="preserve">Not the project manager - the person answerable for whether the thing was worth doing. The published government portfolio names an accountable owner for its major projects in a list of its own, and a portfolio register that only names delivery staff cannot answer the question a board asks.</t>
  </si>
  <si>
    <t xml:space="preserve">3</t>
  </si>
  <si>
    <t xml:space="preserve">Record two delivery confidence ratings, not one.</t>
  </si>
  <si>
    <t xml:space="preserve">What an independent review says, and what the owner says. The published national portfolio carries one rating per project and states whose it is - an independent one where the project has had assurance or active support recently, the owner's own otherwise - so where the two disagree, the published number has already chosen between them. Keeping both is the only way to see the gap, and the row where the owner is the more confident of the two is the most useful row in the register.</t>
  </si>
  <si>
    <t xml:space="preserve">4</t>
  </si>
  <si>
    <t xml:space="preserve">Baseline the finish date and then leave it alone.</t>
  </si>
  <si>
    <t xml:space="preserve">The baseline is what you promised. The forecast is what you now think. Slip is the difference, and it only means anything if the baseline stops moving. Re-baseline deliberately, at a gate, and say so.</t>
  </si>
  <si>
    <t xml:space="preserve">5</t>
  </si>
  <si>
    <t xml:space="preserve">Let the sheet find the cost movements that need explaining.</t>
  </si>
  <si>
    <t xml:space="preserve">Enter approved budget and current forecast and it works out the variance, the percentage, and whether that percentage has crossed your threshold. If it has and the narrative cell is empty, the row goes red. Nobody has to remember the rule.</t>
  </si>
  <si>
    <t xml:space="preserve">6</t>
  </si>
  <si>
    <t xml:space="preserve">Keep the contractor list current, because the register reads from it.</t>
  </si>
  <si>
    <t xml:space="preserve">Contract values are summed by contractor across the whole portfolio, spread over the average contract length you set, and compared against the capacity their prequalification was assessed at - which the civil scheme states as a year of cash flow, so the comparison has to be annual to mean anything. It also checks whether a licence or an insurance certificate expires before the last project that contractor is on finishes.</t>
  </si>
  <si>
    <t xml:space="preserve">7</t>
  </si>
  <si>
    <t xml:space="preserve">Use the gates your framework actually uses.</t>
  </si>
  <si>
    <t xml:space="preserve">Gate names and counts differ - one national framework runs six gates ending at benefit realisation, a state one runs seven. The names shipped here are plain-language placeholders, not any framework's published titles. The list on Reference is editable and everything follows it. Do not adopt somebody else's numbering because a template shipped with it.</t>
  </si>
  <si>
    <t xml:space="preserve">WHAT IS IN THE WORKBOOK</t>
  </si>
  <si>
    <t xml:space="preserve">Sheet</t>
  </si>
  <si>
    <t xml:space="preserve">What it is for</t>
  </si>
  <si>
    <t xml:space="preserve">Setup</t>
  </si>
  <si>
    <t xml:space="preserve">The organisation, the reporting period and the thresholds. The variance threshold and the slip tolerance are the two fields every flag in the workbook derives from.</t>
  </si>
  <si>
    <t xml:space="preserve">Portfolio Summary</t>
  </si>
  <si>
    <t xml:space="preserve">The board read. What is late, where the two confidence ratings disagree, what has moved without an explanation, and which contractors are carrying more than they were assessed for.</t>
  </si>
  <si>
    <t xml:space="preserve">Project List</t>
  </si>
  <si>
    <t xml:space="preserve">One row per project: who owns it, which gate it has passed, who is building it, and whether the finish date has moved.</t>
  </si>
  <si>
    <t xml:space="preserve">Cost &amp; Benefits</t>
  </si>
  <si>
    <t xml:space="preserve">Approved against forecast, the variance and whether it needs explaining, whole-life cost, benefits, and how the movement compares with the published allowance for that kind of asset.</t>
  </si>
  <si>
    <t xml:space="preserve">Assurance</t>
  </si>
  <si>
    <t xml:space="preserve">The independent rating against the owner's own rating, when the last review was, when the next one is due, and what is still open from the last one.</t>
  </si>
  <si>
    <t xml:space="preserve">Contractor List</t>
  </si>
  <si>
    <t xml:space="preserve">Who is building what, what they were prequalified for, what they are carrying across your whole portfolio, and whether their licences and cover outlast the work.</t>
  </si>
  <si>
    <t xml:space="preserve">Reference</t>
  </si>
  <si>
    <t xml:space="preserve">The colour key, what the confidence ratings actually mean, where the cost allowance percentages come from and how old they are, definitions and every dropdown source.</t>
  </si>
  <si>
    <t xml:space="preserve">THE COLOUR KEY</t>
  </si>
  <si>
    <t xml:space="preserve">Done</t>
  </si>
  <si>
    <t xml:space="preserve">Complete, or within every threshold you set.</t>
  </si>
  <si>
    <t xml:space="preserve">On track</t>
  </si>
  <si>
    <t xml:space="preserve">Under way and forecast to land on its baseline.</t>
  </si>
  <si>
    <t xml:space="preserve">Watch</t>
  </si>
  <si>
    <t xml:space="preserve">Inside a warning window, or over a threshold and explained.</t>
  </si>
  <si>
    <t xml:space="preserve">Needs a decision</t>
  </si>
  <si>
    <t xml:space="preserve">Something has to be settled above the project.</t>
  </si>
  <si>
    <t xml:space="preserve">Blocking</t>
  </si>
  <si>
    <t xml:space="preserve">Late beyond tolerance, moved without an explanation, or a contractor carrying more than they were assessed for.</t>
  </si>
  <si>
    <t xml:space="preserve">Not applicable</t>
  </si>
  <si>
    <t xml:space="preserve">On hold, withdrawn, or out of scope for this row.</t>
  </si>
  <si>
    <t xml:space="preserve">WHAT MOST PROJECT LISTS GET WRONG</t>
  </si>
  <si>
    <t xml:space="preserve">One delivery confidence rating</t>
  </si>
  <si>
    <t xml:space="preserve">A single rating is the owner's rating whatever it is labelled. The published national portfolio prints one per project and swaps in the independent rating where there has been a recent review, so the disagreement between the two is settled before anybody outside sees it. A project the reviewer calls amber and the owner calls green is the one to look at first, and it only exists as a visible row if you keep both.</t>
  </si>
  <si>
    <t xml:space="preserve">A baseline that moves whenever the forecast does</t>
  </si>
  <si>
    <t xml:space="preserve">If the baseline finish is updated every time the forecast slips, slip is permanently zero and the register cannot tell you anything. The baseline is a commitment. Change it at a gate, deliberately, and record that you did. There is a published word for the severe case - a reset, meaning a programme with no credible route to what it promised - and it is worth keeping that word for that case rather than using it for every re-baseline.</t>
  </si>
  <si>
    <t xml:space="preserve">Approved budget with no forecast beside it</t>
  </si>
  <si>
    <t xml:space="preserve">Most project lists on the market carry an approved or estimated budget and nothing to compare it with, which means no variance can be computed and the register reports intentions rather than performance. Two columns and a subtraction is the whole fix.</t>
  </si>
  <si>
    <t xml:space="preserve">A variance threshold nobody wrote down</t>
  </si>
  <si>
    <t xml:space="preserve">Reporting a movement is not the same as explaining one. A published national portfolio return carries a departmental narrative field that applies wherever the in-year budget to forecast variance is more than five per cent - a real published rule rather than a colour somebody chose. Set your own number and let the sheet enforce it, so the explanation arrives with the number rather than after the meeting.</t>
  </si>
  <si>
    <t xml:space="preserve">Inventing a contingency rule</t>
  </si>
  <si>
    <t xml:space="preserve">There is a published table of cost uplifts by asset class, issued by a treasury, and it is the nearest thing to an authority on how wrong early estimates usually are. It is also based on fifty projects reviewed in 2002, has never been revised since, and other government bodies now publish their own newer uplifts on newer evidence - which is exactly why the workbook shows it as a starting point on an editable field rather than a rule.</t>
  </si>
  <si>
    <t xml:space="preserve">Treating the contractor list as a contact list</t>
  </si>
  <si>
    <t xml:space="preserve">Names, phones and addresses are the least useful thing you can hold. What matters is what they were prequalified for, what capacity that assessment was based on, what they are already carrying across your portfolio, and whether their cover and licences outlast the work. The civil prequalification scheme assesses capacity as an aggregate cash flow commitment across concurrent work over twelve months, and one national procurement rule requires the ability to perform to be judged against everything the contractor already holds.</t>
  </si>
  <si>
    <t xml:space="preserve">A portfolio register that stops at delivery</t>
  </si>
  <si>
    <t xml:space="preserve">The published portfolio return carries a benefits field and a benefits narrative against every project, and the published gateway frameworks end at benefit realisation rather than handover. A register that closes a row at practical completion has stopped one gate early.</t>
  </si>
  <si>
    <t xml:space="preserve">WHY IT IS BUILT THIS WAY</t>
  </si>
  <si>
    <t xml:space="preserve">Two ratings, because the published one has already chosen</t>
  </si>
  <si>
    <t xml:space="preserve">The independent assurance rating and the owner's own, in separate columns, with the sheet saying which way the gap runs. The published portfolio prints one number and replaces the owner's with an independent one where there has been a recent review, so the disagreement never reaches the page. Here it does.</t>
  </si>
  <si>
    <t xml:space="preserve">The variance threshold is a field, and it has a precedent</t>
  </si>
  <si>
    <t xml:space="preserve">A published portfolio return carries a narrative field that applies above five per cent in-year variance. Yours may differ; the point is that it is written down and the sheet enforces it rather than leaving it to whoever is presenting.</t>
  </si>
  <si>
    <t xml:space="preserve">The contractor sheet is a join, not a list</t>
  </si>
  <si>
    <t xml:space="preserve">Contract values summed by contractor across every project in the register, spread over the contract length you set, and put beside the capacity their prequalification was assessed at. The civil scheme states that capacity as a year of aggregate cash flow, so the sheet annualises before it compares - which is the comparison the scheme intended.</t>
  </si>
  <si>
    <t xml:space="preserve">Cover that lapses before the work ends</t>
  </si>
  <si>
    <t xml:space="preserve">The sheet takes the latest forecast finish of every project a contractor is on and checks it against their licence, insurance and prequalification expiry dates. An expiry date on its own tells you nothing; an expiry date against the work it has to cover tells you everything.</t>
  </si>
  <si>
    <t xml:space="preserve">Baseline and forecast kept apart</t>
  </si>
  <si>
    <t xml:space="preserve">Slip is a subtraction, and it is only honest if the baseline is a commitment rather than a rolling estimate. Both columns, both visible, and a reset recorded as an event.</t>
  </si>
  <si>
    <t xml:space="preserve">Cost allowances shown with their age</t>
  </si>
  <si>
    <t xml:space="preserve">The uplift percentages on Reference are a treasury's published indicative starting values for early estimates. They come from a review of fifty projects published in 2002 and have never been revised. Reference says so, and the field is editable.</t>
  </si>
  <si>
    <t xml:space="preserve">Gates you can change</t>
  </si>
  <si>
    <t xml:space="preserve">Six gates in one national framework, seven in a state one, none at all in plenty of private portfolios. The gate list is a dropdown source on Reference and every count follows it.</t>
  </si>
  <si>
    <t xml:space="preserve">IMPORTANT</t>
  </si>
  <si>
    <t xml:space="preserve">This is a reporting and record-keeping artefact, not advice. Assurance frameworks, gate definitions, confidence rating scales, prequalification schemes, licensing and insurance requirements and any obligation to report a project publicly are specific to your jurisdiction, your organisation and your contracts - take your own legal, procurement and probity advice. Where the workbook names a scheme, a rating or a gate it is naming the concept, not asserting what applies to you. A prequalification level is an assessment made at a point in time, not a contractual ceiling, and nothing here is a compliance determination.</t>
  </si>
  <si>
    <t xml:space="preserve">Built for teams delivering capital projects, programs and portfolios  ·  mastt.com</t>
  </si>
  <si>
    <t xml:space="preserve">PROJECT LIST     ·     SETUP</t>
  </si>
  <si>
    <t xml:space="preserve">The organisation, the reporting period and the thresholds. The two numbers in section 2 are what every flag in the workbook derives from - set them once and nothing has to be remembered again.</t>
  </si>
  <si>
    <t xml:space="preserve">1  ·  THE PORTFOLIO</t>
  </si>
  <si>
    <t xml:space="preserve">Organisation</t>
  </si>
  <si>
    <t xml:space="preserve">EXAMPLE - Carrowbrook Shire Council</t>
  </si>
  <si>
    <t xml:space="preserve">Portfolio or programme</t>
  </si>
  <si>
    <t xml:space="preserve">2026-27 capital programme</t>
  </si>
  <si>
    <t xml:space="preserve">Portfolio owner</t>
  </si>
  <si>
    <t xml:space="preserve">Chief Operating Officer</t>
  </si>
  <si>
    <t xml:space="preserve">Register maintained by</t>
  </si>
  <si>
    <t xml:space="preserve">H. Nakamura, PMO</t>
  </si>
  <si>
    <t xml:space="preserve">Reporting period</t>
  </si>
  <si>
    <t xml:space="preserve">Quarter ending 30 September 2026</t>
  </si>
  <si>
    <t xml:space="preserve">Today</t>
  </si>
  <si>
    <t xml:space="preserve">Every countdown, overdue flag and expiry check is measured against this.</t>
  </si>
  <si>
    <t xml:space="preserve">2  ·  THE TWO THRESHOLDS EVERYTHING DERIVES FROM</t>
  </si>
  <si>
    <t xml:space="preserve">Reporting a movement is not the same as explaining one. A published national portfolio return carries a narrative field that applies wherever the in-year budget to forecast variance is more than five per cent - a real threshold rather than a colour somebody chose. Set yours here. Slip tolerance does the same job for time: below it a project is slipping, above it the register calls it late.</t>
  </si>
  <si>
    <t xml:space="preserve">Explain a cost movement above this (%)</t>
  </si>
  <si>
    <t xml:space="preserve">Five per cent has a published precedent. Yours may differ; write it down either way.</t>
  </si>
  <si>
    <t xml:space="preserve">Slip tolerance before a project is late (days)</t>
  </si>
  <si>
    <t xml:space="preserve">Below this the register says slipping. Above it, late.</t>
  </si>
  <si>
    <t xml:space="preserve">Warn me this many days before a date</t>
  </si>
  <si>
    <t xml:space="preserve">Applies to review dates, finish dates, and every licence, insurance and prequalification expiry on the contractor list.</t>
  </si>
  <si>
    <t xml:space="preserve">3  ·  THE CONTRACTOR CHECK</t>
  </si>
  <si>
    <t xml:space="preserve">The contractor list sums what you have committed with each contractor across every project in this register and sets it against the capacity their prequalification was assessed at. The civil scheme states that capacity as a year of aggregate cash flow, so a multi-year commitment has to be spread over its length before the two can be compared - which is what the field below does. You can only see your own work, and the level is an assessment at a point in time rather than a contractual ceiling. Reference sets out all three cautions.</t>
  </si>
  <si>
    <t xml:space="preserve">Spread committed value over this many months</t>
  </si>
  <si>
    <t xml:space="preserve">The assessed level is a twelve-month cash flow figure, so committed value is divided over this many months before it is compared. Set it to your average contract length. Twelve compares totals instead, which overstates every multi-year contractor.</t>
  </si>
  <si>
    <t xml:space="preserve">Flag a contractor at this share of their assessed level (%)</t>
  </si>
  <si>
    <t xml:space="preserve">Below the level but close enough to matter before the next award.</t>
  </si>
  <si>
    <t xml:space="preserve">IS THE SHEET READY?</t>
  </si>
  <si>
    <t xml:space="preserve">Setup complete</t>
  </si>
  <si>
    <t xml:space="preserve">Everything above filled in.</t>
  </si>
  <si>
    <t xml:space="preserve">Visit mastt.com</t>
  </si>
  <si>
    <t xml:space="preserve">PROJECT LIST     ·     PORTFOLIO SUMMARY</t>
  </si>
  <si>
    <t xml:space="preserve">The board read. Every figure counts itself from the sheets behind it - none of it is typed.</t>
  </si>
  <si>
    <t xml:space="preserve">WHERE THE PORTFOLIO STANDS</t>
  </si>
  <si>
    <t xml:space="preserve">Projects in the portfolio</t>
  </si>
  <si>
    <t xml:space="preserve">Late beyond tolerance</t>
  </si>
  <si>
    <t xml:space="preserve">Owner rating ahead of the review</t>
  </si>
  <si>
    <t xml:space="preserve">Moved without an explanation</t>
  </si>
  <si>
    <t xml:space="preserve">Approved budget</t>
  </si>
  <si>
    <t xml:space="preserve">Current forecast</t>
  </si>
  <si>
    <t xml:space="preserve">Variance</t>
  </si>
  <si>
    <t xml:space="preserve">Variance %</t>
  </si>
  <si>
    <t xml:space="preserve">Contractors over the assessed level</t>
  </si>
  <si>
    <t xml:space="preserve">Assurance reviews overdue</t>
  </si>
  <si>
    <t xml:space="preserve">Assurance actions overdue</t>
  </si>
  <si>
    <t xml:space="preserve">Red independent ratings</t>
  </si>
  <si>
    <t xml:space="preserve">The reviewer's view, not the owner's. Read it beside the tile above - a portfolio with no reds and three owner-ahead rows is telling you something.</t>
  </si>
  <si>
    <t xml:space="preserve">Whole-life cost of the portfolio</t>
  </si>
  <si>
    <t xml:space="preserve">Capital plus the cost of owning and running the assets. It often exceeds the capital figure over the life of the asset, and it is the number a decision should turn on.</t>
  </si>
  <si>
    <t xml:space="preserve">Benefits claimed against these projects</t>
  </si>
  <si>
    <t xml:space="preserve">The published portfolio return carries a benefits field and a narrative against every project, and the published gateway frameworks end at benefit realisation, not handover.</t>
  </si>
  <si>
    <t xml:space="preserve">Committed with contractors</t>
  </si>
  <si>
    <t xml:space="preserve">Total value summed from the project register by contractor - not annualised, unlike the capacity check. The gap between this and the forecast total is the work that has no contractor against it yet.</t>
  </si>
  <si>
    <t xml:space="preserve">Projects with no contractor recorded</t>
  </si>
  <si>
    <t xml:space="preserve">Correct at an early gate and worth seeing at a late one.</t>
  </si>
  <si>
    <t xml:space="preserve">Rows pointing at a project not on the list</t>
  </si>
  <si>
    <t xml:space="preserve">Anything other than nought and the money above is wrong. A cost row whose reference no longer matches a project still adds its budget to these totals. Fix the reference or delete the row - the row itself is flagged red on the sheet it sits on.</t>
  </si>
  <si>
    <t xml:space="preserve">Projects on the list with no cost row</t>
  </si>
  <si>
    <t xml:space="preserve">Those projects contribute nothing to the budget, forecast and benefits totals above. Early in a programme that is honest; at a delivery gate it means the totals understate the portfolio.</t>
  </si>
  <si>
    <t xml:space="preserve">WHERE THE PROJECTS STAND</t>
  </si>
  <si>
    <t xml:space="preserve">Status</t>
  </si>
  <si>
    <t xml:space="preserve">Projects</t>
  </si>
  <si>
    <t xml:space="preserve">Share</t>
  </si>
  <si>
    <t xml:space="preserve">What it means</t>
  </si>
  <si>
    <t xml:space="preserve">On programme</t>
  </si>
  <si>
    <t xml:space="preserve">Under way and forecast to land on its baseline finish.</t>
  </si>
  <si>
    <t xml:space="preserve">Finishing soon</t>
  </si>
  <si>
    <t xml:space="preserve">Inside the warning window set on Setup.</t>
  </si>
  <si>
    <t xml:space="preserve">Slipping</t>
  </si>
  <si>
    <t xml:space="preserve">Forecast later than baseline, but inside the slip tolerance.</t>
  </si>
  <si>
    <t xml:space="preserve">LATE - beyond tolerance</t>
  </si>
  <si>
    <t xml:space="preserve">Slip past the tolerance on Setup. This is the list a board should be given.</t>
  </si>
  <si>
    <t xml:space="preserve">Overdue - not closed out</t>
  </si>
  <si>
    <t xml:space="preserve">The forecast finish has passed and nothing has been recorded against it.</t>
  </si>
  <si>
    <t xml:space="preserve">Complete</t>
  </si>
  <si>
    <t xml:space="preserve">At the benefits gate, not at handover.</t>
  </si>
  <si>
    <t xml:space="preserve">On hold</t>
  </si>
  <si>
    <t xml:space="preserve">Kept in the register so the count stays honest.</t>
  </si>
  <si>
    <t xml:space="preserve">No forecast finish</t>
  </si>
  <si>
    <t xml:space="preserve">Nothing to measure slip against yet.</t>
  </si>
  <si>
    <t xml:space="preserve">BY GATE</t>
  </si>
  <si>
    <t xml:space="preserve">Gate</t>
  </si>
  <si>
    <t xml:space="preserve">Approved</t>
  </si>
  <si>
    <t xml:space="preserve">Forecast</t>
  </si>
  <si>
    <t xml:space="preserve">Late</t>
  </si>
  <si>
    <t xml:space="preserve">Owner ahead</t>
  </si>
  <si>
    <t xml:space="preserve">Gate 0 - business need</t>
  </si>
  <si>
    <t xml:space="preserve">Gate 1 - business case</t>
  </si>
  <si>
    <t xml:space="preserve">Gate 2 - delivery strategy</t>
  </si>
  <si>
    <t xml:space="preserve">Gate 3 - investment decision</t>
  </si>
  <si>
    <t xml:space="preserve">Gate 4 - readiness for service</t>
  </si>
  <si>
    <t xml:space="preserve">Gate 5 - benefits realised</t>
  </si>
  <si>
    <t xml:space="preserve">Not gated</t>
  </si>
  <si>
    <t xml:space="preserve">BY PORTFOLIO</t>
  </si>
  <si>
    <t xml:space="preserve">Portfolio</t>
  </si>
  <si>
    <t xml:space="preserve">Whole-life</t>
  </si>
  <si>
    <t xml:space="preserve">Buildings</t>
  </si>
  <si>
    <t xml:space="preserve">Roads and bridges</t>
  </si>
  <si>
    <t xml:space="preserve">Water and wastewater</t>
  </si>
  <si>
    <t xml:space="preserve">Open space and recreation</t>
  </si>
  <si>
    <t xml:space="preserve">Fleet and plant</t>
  </si>
  <si>
    <t xml:space="preserve">Digital and technology</t>
  </si>
  <si>
    <t xml:space="preserve">Renewals programme</t>
  </si>
  <si>
    <t xml:space="preserve">THE TWO RATINGS, SIDE BY SIDE</t>
  </si>
  <si>
    <t xml:space="preserve">Rating</t>
  </si>
  <si>
    <t xml:space="preserve">Independent</t>
  </si>
  <si>
    <t xml:space="preserve">Owner's own</t>
  </si>
  <si>
    <t xml:space="preserve">What the gap says</t>
  </si>
  <si>
    <t xml:space="preserve">Green</t>
  </si>
  <si>
    <t xml:space="preserve">Delivery on time, budget and quality appears highly likely.</t>
  </si>
  <si>
    <t xml:space="preserve">Amber</t>
  </si>
  <si>
    <t xml:space="preserve">Feasible, but significant issues already exist and need attention.</t>
  </si>
  <si>
    <t xml:space="preserve">Red</t>
  </si>
  <si>
    <t xml:space="preserve">Delivery appears unachievable as things stand.</t>
  </si>
  <si>
    <t xml:space="preserve">Reset</t>
  </si>
  <si>
    <t xml:space="preserve">The baseline is being changed and a business case refreshed.</t>
  </si>
  <si>
    <t xml:space="preserve">Not rated</t>
  </si>
  <si>
    <t xml:space="preserve">No review has been done yet.</t>
  </si>
  <si>
    <t xml:space="preserve">Owner more confident than the reviewer</t>
  </si>
  <si>
    <t xml:space="preserve">Reviewer more confident than the owner</t>
  </si>
  <si>
    <t xml:space="preserve">The two agree</t>
  </si>
  <si>
    <t xml:space="preserve">BY CONTRACTOR</t>
  </si>
  <si>
    <t xml:space="preserve">Contractor</t>
  </si>
  <si>
    <t xml:space="preserve">Committed</t>
  </si>
  <si>
    <t xml:space="preserve">Assessed level</t>
  </si>
  <si>
    <t xml:space="preserve">Headroom</t>
  </si>
  <si>
    <t xml:space="preserve">Where they stand</t>
  </si>
  <si>
    <t xml:space="preserve">PROJECT LIST</t>
  </si>
  <si>
    <t xml:space="preserve">One row per project, present tense. The baseline finish is what you committed to and it should only move at a gate; the forecast is what you now think. Slip is the difference, and it is the only reason to keep both columns.</t>
  </si>
  <si>
    <t xml:space="preserve">Ref</t>
  </si>
  <si>
    <t xml:space="preserve">Project</t>
  </si>
  <si>
    <t xml:space="preserve">Asset class</t>
  </si>
  <si>
    <t xml:space="preserve">Gate passed</t>
  </si>
  <si>
    <t xml:space="preserve">Accountable owner</t>
  </si>
  <si>
    <t xml:space="preserve">Project manager</t>
  </si>
  <si>
    <t xml:space="preserve">Baseline finish</t>
  </si>
  <si>
    <t xml:space="preserve">Forecast finish</t>
  </si>
  <si>
    <t xml:space="preserve">Slip
(days)</t>
  </si>
  <si>
    <t xml:space="preserve">Note</t>
  </si>
  <si>
    <t xml:space="preserve">Riverton Library replacement</t>
  </si>
  <si>
    <t xml:space="preserve">Standard building</t>
  </si>
  <si>
    <t xml:space="preserve">Director Community</t>
  </si>
  <si>
    <t xml:space="preserve">T. Awuah</t>
  </si>
  <si>
    <t xml:space="preserve">Merrivale Construction</t>
  </si>
  <si>
    <t xml:space="preserve">On its baseline at the last gate.</t>
  </si>
  <si>
    <t xml:space="preserve">Depot workshop rebuild</t>
  </si>
  <si>
    <t xml:space="preserve">Director Operations</t>
  </si>
  <si>
    <t xml:space="preserve">Slipping, but inside tolerance. Reported as a slip.</t>
  </si>
  <si>
    <t xml:space="preserve">Kalinda Road duplication</t>
  </si>
  <si>
    <t xml:space="preserve">Standard civil engineering</t>
  </si>
  <si>
    <t xml:space="preserve">Director Infrastructure</t>
  </si>
  <si>
    <t xml:space="preserve">P. Sundaram</t>
  </si>
  <si>
    <t xml:space="preserve">Halverson Civil</t>
  </si>
  <si>
    <t xml:space="preserve">Late, and the two ratings do not agree either.</t>
  </si>
  <si>
    <t xml:space="preserve">Bridge 214 strengthening</t>
  </si>
  <si>
    <t xml:space="preserve">Non-standard civil engineering</t>
  </si>
  <si>
    <t xml:space="preserve">Wastewater treatment upgrade, stage 2</t>
  </si>
  <si>
    <t xml:space="preserve">Director Utilities</t>
  </si>
  <si>
    <t xml:space="preserve">L. Beaumont</t>
  </si>
  <si>
    <t xml:space="preserve">Cost has moved and nobody wrote down why.</t>
  </si>
  <si>
    <t xml:space="preserve">Trunk main renewal, northern sector</t>
  </si>
  <si>
    <t xml:space="preserve">Orne Pipeline Services</t>
  </si>
  <si>
    <t xml:space="preserve">Aquatic centre plant replacement</t>
  </si>
  <si>
    <t xml:space="preserve">Equipment or development</t>
  </si>
  <si>
    <t xml:space="preserve">Bellhaven Mechanical</t>
  </si>
  <si>
    <t xml:space="preserve">Sportsfield lighting, three reserves</t>
  </si>
  <si>
    <t xml:space="preserve">R. Okafor</t>
  </si>
  <si>
    <t xml:space="preserve">Closed at the benefits gate.</t>
  </si>
  <si>
    <t xml:space="preserve">Civic centre accessibility works</t>
  </si>
  <si>
    <t xml:space="preserve">Ardley Fitout Group</t>
  </si>
  <si>
    <t xml:space="preserve">The fitout contractor's cover runs out first.</t>
  </si>
  <si>
    <t xml:space="preserve">Heritage town hall restoration</t>
  </si>
  <si>
    <t xml:space="preserve">Non-standard building</t>
  </si>
  <si>
    <t xml:space="preserve">Vasari Heritage Works</t>
  </si>
  <si>
    <t xml:space="preserve">Sixty per cent over, past the published allowance.</t>
  </si>
  <si>
    <t xml:space="preserve">Fleet depot fuel system</t>
  </si>
  <si>
    <t xml:space="preserve">Asset management system replacement</t>
  </si>
  <si>
    <t xml:space="preserve">Director Corporate</t>
  </si>
  <si>
    <t xml:space="preserve">M. Ferreira</t>
  </si>
  <si>
    <t xml:space="preserve">Southgate Technology</t>
  </si>
  <si>
    <t xml:space="preserve">Depot yard resurfacing</t>
  </si>
  <si>
    <t xml:space="preserve">Tamarind Surfacing</t>
  </si>
  <si>
    <t xml:space="preserve">This contractor is suspended under their scheme.</t>
  </si>
  <si>
    <t xml:space="preserve">Footpath renewals, 2026-27 programme</t>
  </si>
  <si>
    <t xml:space="preserve">Stormwater harvesting scheme</t>
  </si>
  <si>
    <t xml:space="preserve">No manager and no contractor yet. Correct this early.</t>
  </si>
  <si>
    <t xml:space="preserve">Library forecourt upgrade</t>
  </si>
  <si>
    <t xml:space="preserve">On hold. Kept in the register so the count is honest.</t>
  </si>
  <si>
    <t xml:space="preserve">A project at the benefits gate reads as complete, and one on hold reads as on hold, because neither is usefully described as late. Everything else is measured against the slip tolerance on Setup. Keep a project on hold in the register rather than deleting it - a portfolio count that quietly drops the awkward ones is not a portfolio count.</t>
  </si>
  <si>
    <t xml:space="preserve">PROJECT LIST     ·     COST &amp; BENEFITS</t>
  </si>
  <si>
    <t xml:space="preserve">Approved against forecast, so a variance exists at all. Above the threshold on Setup the movement has to be explained in writing, and the row stays red until it is. The allowance is a published starting point for this asset class - see Reference for what it is and how old.</t>
  </si>
  <si>
    <t xml:space="preserve">Forecast cost</t>
  </si>
  <si>
    <t xml:space="preserve">Variance
%</t>
  </si>
  <si>
    <t xml:space="preserve">Explain?</t>
  </si>
  <si>
    <t xml:space="preserve">Why it moved</t>
  </si>
  <si>
    <t xml:space="preserve">Whole-life cost</t>
  </si>
  <si>
    <t xml:space="preserve">Benefits</t>
  </si>
  <si>
    <t xml:space="preserve">Allowance
%</t>
  </si>
  <si>
    <t xml:space="preserve">Indicated allowance</t>
  </si>
  <si>
    <t xml:space="preserve">Check</t>
  </si>
  <si>
    <t xml:space="preserve">P001</t>
  </si>
  <si>
    <t xml:space="preserve">P002</t>
  </si>
  <si>
    <t xml:space="preserve">Structural steel repriced after the tender period lapsed.</t>
  </si>
  <si>
    <t xml:space="preserve">P003</t>
  </si>
  <si>
    <t xml:space="preserve">Two service relocations were not in the reference design.</t>
  </si>
  <si>
    <t xml:space="preserve">P004</t>
  </si>
  <si>
    <t xml:space="preserve">P005</t>
  </si>
  <si>
    <t xml:space="preserve">P006</t>
  </si>
  <si>
    <t xml:space="preserve">P007</t>
  </si>
  <si>
    <t xml:space="preserve">Chiller selection changed after the energy review.</t>
  </si>
  <si>
    <t xml:space="preserve">P008</t>
  </si>
  <si>
    <t xml:space="preserve">P009</t>
  </si>
  <si>
    <t xml:space="preserve">P010</t>
  </si>
  <si>
    <t xml:space="preserve">Structure worse than the condition survey found.</t>
  </si>
  <si>
    <t xml:space="preserve">P011</t>
  </si>
  <si>
    <t xml:space="preserve">Bunded tank required after the environmental review.</t>
  </si>
  <si>
    <t xml:space="preserve">P012</t>
  </si>
  <si>
    <t xml:space="preserve">Integration scope grew after the discovery workshops.</t>
  </si>
  <si>
    <t xml:space="preserve">P013</t>
  </si>
  <si>
    <t xml:space="preserve">P014</t>
  </si>
  <si>
    <t xml:space="preserve">P015</t>
  </si>
  <si>
    <t xml:space="preserve">P016</t>
  </si>
  <si>
    <t xml:space="preserve">The indicated allowance is the approved budget times a published upper-bound uplift for that asset class. It is not a target and it is not a contingency you hold - it is a treasury's own indicative figure for how wrong early estimates of that kind of asset turn out to be. The treasury applies it at appraisal and expects it to have fallen to the lower bound by contract award, so on an approved budget read it as a sanity check on how far an early estimate could move rather than as a live allowance - and the table itself dates from 2002.</t>
  </si>
  <si>
    <t xml:space="preserve">PROJECT LIST     ·     ASSURANCE</t>
  </si>
  <si>
    <t xml:space="preserve">Two delivery confidence ratings, because they can disagree. The published national portfolio prints one per project - an independent rating where there has been a recent review, the senior owner's own otherwise - so it has already chosen between them. Keep both, and the row where the owner is the more confident is the row to read first.</t>
  </si>
  <si>
    <t xml:space="preserve">Independent rating</t>
  </si>
  <si>
    <t xml:space="preserve">Owner's own rating</t>
  </si>
  <si>
    <t xml:space="preserve">Which way the gap runs</t>
  </si>
  <si>
    <t xml:space="preserve">Last review</t>
  </si>
  <si>
    <t xml:space="preserve">Next review due</t>
  </si>
  <si>
    <t xml:space="preserve">Days
until</t>
  </si>
  <si>
    <t xml:space="preserve">Actions
open</t>
  </si>
  <si>
    <t xml:space="preserve">Actions
overdue</t>
  </si>
  <si>
    <t xml:space="preserve">Reviewer amber, owner green. Start here.</t>
  </si>
  <si>
    <t xml:space="preserve">Reviewer red, owner amber. Same direction.</t>
  </si>
  <si>
    <t xml:space="preserve">Complete. The overdue review is housekeeping, not risk.</t>
  </si>
  <si>
    <t xml:space="preserve">Review overdue, actions still open.</t>
  </si>
  <si>
    <t xml:space="preserve">Business case refreshed, so the baseline resets.</t>
  </si>
  <si>
    <t xml:space="preserve">Third row where the owner is the more confident.</t>
  </si>
  <si>
    <t xml:space="preserve">Not yet reviewed. Correct this early.</t>
  </si>
  <si>
    <t xml:space="preserve">On hold, so it reports as on hold rather than late.</t>
  </si>
  <si>
    <t xml:space="preserve">A single rating is the owner's rating whatever it is labelled - which is why the published return substitutes an independent one where a recent review exists, and why the disagreement never appears in it. Recording both, and the direction of the gap, is the one thing a single-column RAG can never say. An owner rating ahead of the reviewer is not misconduct - the owner knows things the reviewer does not - but it is the conversation worth having before the board reads the green light.</t>
  </si>
  <si>
    <t xml:space="preserve">PROJECT LIST     ·     CONTRACTOR LIST</t>
  </si>
  <si>
    <t xml:space="preserve">Who is building what, and whether they can carry it. Committed value is summed from the project register, not typed - so it moves when the portfolio does - and it is spread over the contract length on Setup before it is set against a level that was assessed as a year's cash flow. An expiry date on its own tells you nothing; an expiry date against the work it has to cover tells you everything.</t>
  </si>
  <si>
    <t xml:space="preserve">Prequal scheme</t>
  </si>
  <si>
    <t xml:space="preserve">Category</t>
  </si>
  <si>
    <t xml:space="preserve">Financial level</t>
  </si>
  <si>
    <t xml:space="preserve">Capacity a year</t>
  </si>
  <si>
    <t xml:space="preserve">Committed here</t>
  </si>
  <si>
    <t xml:space="preserve">Headroom for a year</t>
  </si>
  <si>
    <t xml:space="preserve">Licence expires</t>
  </si>
  <si>
    <t xml:space="preserve">Insurance expires</t>
  </si>
  <si>
    <t xml:space="preserve">Prequal expires</t>
  </si>
  <si>
    <t xml:space="preserve">National prequal - building</t>
  </si>
  <si>
    <t xml:space="preserve">Design and construct</t>
  </si>
  <si>
    <t xml:space="preserve">F25</t>
  </si>
  <si>
    <t xml:space="preserve">Current</t>
  </si>
  <si>
    <t xml:space="preserve">National prequal - civil</t>
  </si>
  <si>
    <t xml:space="preserve">R4</t>
  </si>
  <si>
    <t xml:space="preserve">A year of their work is twice the level.</t>
  </si>
  <si>
    <t xml:space="preserve">R3</t>
  </si>
  <si>
    <t xml:space="preserve">F10</t>
  </si>
  <si>
    <t xml:space="preserve">Prequalification expires soon.</t>
  </si>
  <si>
    <t xml:space="preserve">Agency panel</t>
  </si>
  <si>
    <t xml:space="preserve">Panel</t>
  </si>
  <si>
    <t xml:space="preserve">F5</t>
  </si>
  <si>
    <t xml:space="preserve">A year of their work is near the level.</t>
  </si>
  <si>
    <t xml:space="preserve">Cover runs out before the work does.</t>
  </si>
  <si>
    <t xml:space="preserve">Construct only</t>
  </si>
  <si>
    <t xml:space="preserve">Assessed in-house</t>
  </si>
  <si>
    <t xml:space="preserve">Not set</t>
  </si>
  <si>
    <t xml:space="preserve">Not assessed</t>
  </si>
  <si>
    <t xml:space="preserve">No assessed capacity, so no check runs.</t>
  </si>
  <si>
    <t xml:space="preserve">R2</t>
  </si>
  <si>
    <t xml:space="preserve">Suspended</t>
  </si>
  <si>
    <t xml:space="preserve">Suspended, and the licence has expired.</t>
  </si>
  <si>
    <t xml:space="preserve">Kestrel Demolition</t>
  </si>
  <si>
    <t xml:space="preserve">F2</t>
  </si>
  <si>
    <t xml:space="preserve">Prequalified and carrying nothing.</t>
  </si>
  <si>
    <t xml:space="preserve">Committed here is the total value of your work, and headroom is what is left of a year's capacity once that total is spread over the contract length on Setup. It is your work only: whatever this contractor is doing for everybody else is invisible to you, so a row inside its level is not proof of capacity - and a row over it is a conversation to have rather than a breach, because the level is an assessment made at a point in time. Where no capacity is recorded the check simply does not run, which is honest rather than silent.</t>
  </si>
  <si>
    <t xml:space="preserve">PROJECT LIST     ·     REFERENCE</t>
  </si>
  <si>
    <t xml:space="preserve">The colour key, what the delivery confidence ratings actually mean, where the cost allowance percentages come from and how old they are, what belongs here and what belongs somewhere else, definitions and every dropdown source.</t>
  </si>
  <si>
    <t xml:space="preserve">THE COLOUR KEY - THE SAME SIX MEANINGS ON EVERY SHEET</t>
  </si>
  <si>
    <t xml:space="preserve">Colour</t>
  </si>
  <si>
    <t xml:space="preserve">It means</t>
  </si>
  <si>
    <t xml:space="preserve">When you will see it</t>
  </si>
  <si>
    <t xml:space="preserve">DONE</t>
  </si>
  <si>
    <t xml:space="preserve">ON TRACK</t>
  </si>
  <si>
    <t xml:space="preserve">WATCH</t>
  </si>
  <si>
    <t xml:space="preserve">NEEDS A DECISION</t>
  </si>
  <si>
    <t xml:space="preserve">BLOCKING</t>
  </si>
  <si>
    <t xml:space="preserve">NOT APPLICABLE</t>
  </si>
  <si>
    <t xml:space="preserve">WHAT THE DELIVERY CONFIDENCE RATINGS MEAN</t>
  </si>
  <si>
    <t xml:space="preserve">Delivery confidence is a published rating and it is worth using the published wording. One national portfolio moved from a five-point scale to three points in 2021, deleting the two hybrid rungs. It publishes one rating per project and says whose it is: an independent rating where the project has had independent assurance or active support in the last six months, and the senior owner's own rating otherwise. The published wording runs like this. Green: successful delivery of the project on time, budget and quality appears highly likely and there are no major outstanding issues that at this stage appear to threaten delivery significantly. Amber: successful delivery appears feasible but significant issues already exist, requiring management attention - these appear resolvable at this stage and, if addressed promptly, should not present a cost or schedule overrun. Red: successful delivery of the project appears to be unachievable, with major issues of project definition, schedule, budget, quality or benefits delivery which at this stage do not appear to be manageable or resolvable, and the project may need re-scoping or its overall viability reassessed. Reset is the published term for a programme with no credible route to delivering what it promised, needing fundamental change to its objectives, approach, schedule or whole-life cost and ending in a new business case - it is not the word for a routine re-baseline at a gate. The scale is a dropdown source you can change. What matters is that both ratings are recorded and that the difference between them is visible, because the published return shows you only one of them.</t>
  </si>
  <si>
    <t xml:space="preserve">WHERE THE COST ALLOWANCE PERCENTAGES COME FROM</t>
  </si>
  <si>
    <t xml:space="preserve">There is a published table of cost uplifts by asset class, issued by a treasury as indicative starting values for early estimates, and the guidance that carries it says to start at the upper bound and reduce it as the causes are dealt with, ideally reaching the lower bound before contract award. The percentages below are those upper bounds for capital expenditure. Three things you should know before quoting them. They come from a review of fifty public projects over about twenty years, published in 2002, and the table has never been revised since, though the treasury still publishes it. The current edition of the main appraisal guidance requires the adjustment but publishes no numbers at all, while other government bodies - a transport department's own scheme appraisal guidance is the obvious one - now publish their own uplifts on newer evidence, so this is not the only or the latest table. And because the uplift is meant to have fallen to the lower bound by contract award, applying the upper bound to a budget that is already approved is a sanity check on how far an early estimate could move, not an allowance you hold. Use it as a starting point on an editable field, say where it came from, and do not present it as an estimate of your project.</t>
  </si>
  <si>
    <t xml:space="preserve">WHAT AN ASSESSED CAPACITY ACTUALLY MEASURES</t>
  </si>
  <si>
    <t xml:space="preserve">A prequalification financial level is not a limit on one contract, and it is not a stock of contract value either. The national civil scheme that publishes these levels describes the assessed capacity as the maximum additional aggregate contract cash flow commitment over a twelve-month period, assuming a relatively even spread of cash flow over that period. That is a rate, not a total: a three-year contract worth ninety million is roughly thirty million a year against the level, not ninety. So this sheet spreads your committed value over the average contract length you set on Setup before it compares - leave that field at twelve months and it compares totals instead, which overstates every contractor you use. A national procurement rule in another jurisdiction comes at the same idea from the other direction: the ability to perform must be judged taking into account all existing commercial and government commitments. Three cautions. The scheme documents themselves say the financial level is only indicative, reflecting capacity at a point in time, and the assessment already considers inter-company arrangements and existing commitments you cannot see. You can only sum what is in your own register - work they are doing for everybody else is invisible to you. And the category codes in the dropdown belong to that civil scheme, where R is roadworks and B is bridgeworks rather than building; the national building scheme works differently again, setting a limit on contract value from turnover and working capital and categorising by contract type, so if that is your scheme put its own values in the list and read the comparison as total exposure rather than a year's cash flow. Treat a flag here as a conversation to have, never as a breach.</t>
  </si>
  <si>
    <t xml:space="preserve">THE PUBLISHED COST ALLOWANCES, BY ASSET CLASS</t>
  </si>
  <si>
    <t xml:space="preserve">Start here</t>
  </si>
  <si>
    <t xml:space="preserve">By contract award</t>
  </si>
  <si>
    <t xml:space="preserve">What it is</t>
  </si>
  <si>
    <t xml:space="preserve">The published upper bound for this class, and the value the guidance says to work down to as the causes are dealt with.</t>
  </si>
  <si>
    <t xml:space="preserve">Not classified</t>
  </si>
  <si>
    <t xml:space="preserve">The pale blue column is editable. If your organisation publishes its own contingency guidance, put it here and every allowance in the workbook follows it.</t>
  </si>
  <si>
    <t xml:space="preserve">WHAT BELONGS HERE, AND WHAT BELONGS SOMEWHERE ELSE</t>
  </si>
  <si>
    <t xml:space="preserve">If it is...</t>
  </si>
  <si>
    <t xml:space="preserve">It goes in</t>
  </si>
  <si>
    <t xml:space="preserve">Why</t>
  </si>
  <si>
    <t xml:space="preserve">A list of the projects you are delivering, with delivery status and confidence</t>
  </si>
  <si>
    <t xml:space="preserve">Here</t>
  </si>
  <si>
    <t xml:space="preserve">This is the artefact. One row per project, present tense.</t>
  </si>
  <si>
    <t xml:space="preserve">What you intend to fund over the next five to ten years, and where the money comes from</t>
  </si>
  <si>
    <t xml:space="preserve">Capital improvement plan</t>
  </si>
  <si>
    <t xml:space="preserve">Forward-looking, multi-year, dollars by financial year. This register is present tense and asks whether what was approved is landing.</t>
  </si>
  <si>
    <t xml:space="preserve">The tasks inside one project</t>
  </si>
  <si>
    <t xml:space="preserve">A programme or a task list</t>
  </si>
  <si>
    <t xml:space="preserve">One row per project here, not one row per activity. A register that mixes the two can report neither.</t>
  </si>
  <si>
    <t xml:space="preserve">A month-by-month narrative on one project</t>
  </si>
  <si>
    <t xml:space="preserve">Monthly project report</t>
  </si>
  <si>
    <t xml:space="preserve">This register is the roll-up that report feeds, not a replacement for it.</t>
  </si>
  <si>
    <t xml:space="preserve">Every contract and its variations</t>
  </si>
  <si>
    <t xml:space="preserve">Contract register</t>
  </si>
  <si>
    <t xml:space="preserve">One row per contractor here, not one row per contract.</t>
  </si>
  <si>
    <t xml:space="preserve">What each contractor has been paid</t>
  </si>
  <si>
    <t xml:space="preserve">Payment register</t>
  </si>
  <si>
    <t xml:space="preserve">Committed value here, certified and paid elsewhere.</t>
  </si>
  <si>
    <t xml:space="preserve">Your list of projects delivered, for a tender submission or a CV</t>
  </si>
  <si>
    <t xml:space="preserve">Not this</t>
  </si>
  <si>
    <t xml:space="preserve">That is a credentials document. It shares the name and nothing else - it looks backwards at completed work and carries no forecast, no rating and no accountability.</t>
  </si>
  <si>
    <t xml:space="preserve">DEFINITIONS</t>
  </si>
  <si>
    <t xml:space="preserve">The collection of projects and programmes managed together to meet an organisation's objectives. Grouped to be managed, not just to be counted.</t>
  </si>
  <si>
    <t xml:space="preserve">A decision point where a project needs approval to continue. Frameworks differ on how many there are and what they are called - set yours on Reference.</t>
  </si>
  <si>
    <t xml:space="preserve">Baseline</t>
  </si>
  <si>
    <t xml:space="preserve">The date or cost you committed to. It changes at a gate, deliberately, and the change is recorded. If it moves whenever the forecast does, it is not a baseline.</t>
  </si>
  <si>
    <t xml:space="preserve">What you now expect. The difference between it and the baseline is the whole point of the register.</t>
  </si>
  <si>
    <t xml:space="preserve">Slip</t>
  </si>
  <si>
    <t xml:space="preserve">Forecast finish less baseline finish, in days. Positive means later.</t>
  </si>
  <si>
    <t xml:space="preserve">Slip tolerance</t>
  </si>
  <si>
    <t xml:space="preserve">How much slip you are prepared to absorb before a project stops being on programme and starts being late. Yours to set.</t>
  </si>
  <si>
    <t xml:space="preserve">Variance threshold</t>
  </si>
  <si>
    <t xml:space="preserve">The cost movement above which a written explanation is required rather than optional. A published portfolio return uses five per cent in-year; yours may differ.</t>
  </si>
  <si>
    <t xml:space="preserve">Delivery confidence</t>
  </si>
  <si>
    <t xml:space="preserve">A published rating of how likely successful delivery looks. See the block above for what each rating means and why this register keeps two of them.</t>
  </si>
  <si>
    <t xml:space="preserve">The published term for a programme with no credible route to delivering what it promised: fundamental change to objectives, approach, schedule or whole-life cost, ending in a new business case. Bigger than a re-baseline at a gate.</t>
  </si>
  <si>
    <t xml:space="preserve">The person answerable for whether the project was worth doing, as distinct from the person delivering it. The published portfolio names one for its major projects in a list of its own.</t>
  </si>
  <si>
    <t xml:space="preserve">Capital plus the cost of owning and operating the asset. It often exceeds the capital cost over the life of the asset, and it is the number a decision should turn on.</t>
  </si>
  <si>
    <t xml:space="preserve">The value the project is meant to produce, and the last gate in the published frameworks. A register that closes at handover has stopped a gate early.</t>
  </si>
  <si>
    <t xml:space="preserve">Prequalification</t>
  </si>
  <si>
    <t xml:space="preserve">An assessment that a contractor is capable of work of a given type and size. It has a category for the kind of work and a level for the financial capacity, it expires, and it can be suspended.</t>
  </si>
  <si>
    <t xml:space="preserve">Assessed capacity</t>
  </si>
  <si>
    <t xml:space="preserve">The value the financial level was set against. The civil scheme describes it as an aggregate cash flow commitment across concurrent work over twelve months, not a cap on a single contract.</t>
  </si>
  <si>
    <t xml:space="preserve">Committed value</t>
  </si>
  <si>
    <t xml:space="preserve">What you have with a contractor across this register. It is not what they are carrying in total, because their other clients are invisible to you.</t>
  </si>
  <si>
    <t xml:space="preserve">Certificate of currency</t>
  </si>
  <si>
    <t xml:space="preserve">Evidence that an insurance policy is in force now. A policy number is not evidence; a certificate with a date is.</t>
  </si>
  <si>
    <t xml:space="preserve">THE SAME THING, CALLED SOMETHING ELSE</t>
  </si>
  <si>
    <t xml:space="preserve">Used here</t>
  </si>
  <si>
    <t xml:space="preserve">Also called</t>
  </si>
  <si>
    <t xml:space="preserve">Project list</t>
  </si>
  <si>
    <t xml:space="preserve">Project register, portfolio register, project tracker, master project list</t>
  </si>
  <si>
    <t xml:space="preserve">Register and tracker are the same artefact. Note that a project list can also mean a credentials document for a CV or a tender - a different thing entirely.</t>
  </si>
  <si>
    <t xml:space="preserve">Senior responsible owner, SRO, project sponsor, executive sponsor</t>
  </si>
  <si>
    <t xml:space="preserve">One named person, answerable for the investment rather than the delivery.</t>
  </si>
  <si>
    <t xml:space="preserve">DCA, delivery confidence assessment, RAG rating, health rating</t>
  </si>
  <si>
    <t xml:space="preserve">A published rating with published definitions, not a colour somebody chose.</t>
  </si>
  <si>
    <t xml:space="preserve">Stage gate, gateway review, tollgate, decision point</t>
  </si>
  <si>
    <t xml:space="preserve">Numbering differs by framework. Six gates in one, seven in another.</t>
  </si>
  <si>
    <t xml:space="preserve">Prequal, panel, approved list, vendor list, capability assessment</t>
  </si>
  <si>
    <t xml:space="preserve">An assessment with a category, a level, an expiry and a status.</t>
  </si>
  <si>
    <t xml:space="preserve">Head contractor, main contractor, principal contractor, builder</t>
  </si>
  <si>
    <t xml:space="preserve">One row per organisation here, whatever your contracts call them.</t>
  </si>
  <si>
    <t xml:space="preserve">HOW TO READ A CELL</t>
  </si>
  <si>
    <t xml:space="preserve">Pale blue</t>
  </si>
  <si>
    <t xml:space="preserve">You type here.</t>
  </si>
  <si>
    <t xml:space="preserve">Off white</t>
  </si>
  <si>
    <t xml:space="preserve">Worked out for you. Do not type over it.</t>
  </si>
  <si>
    <t xml:space="preserve">Pale cyan</t>
  </si>
  <si>
    <t xml:space="preserve">Column heading.</t>
  </si>
  <si>
    <t xml:space="preserve">Grey</t>
  </si>
  <si>
    <t xml:space="preserve">Reference, or something that does not apply.</t>
  </si>
  <si>
    <t xml:space="preserve">DROPDOWN SOURCES - EDIT THESE AND EVERY LIST IN THE WORKBOOK FOLLOWS</t>
  </si>
  <si>
    <t xml:space="preserve">Yes or no</t>
  </si>
  <si>
    <t xml:space="preserve">Yes</t>
  </si>
  <si>
    <t xml:space="preserve">No</t>
  </si>
  <si>
    <t xml:space="preserve">Prequal status</t>
  </si>
  <si>
    <t xml:space="preserve">Scheme</t>
  </si>
  <si>
    <t xml:space="preserve">F0.25</t>
  </si>
  <si>
    <t xml:space="preserve">R1</t>
  </si>
  <si>
    <t xml:space="preserve">Under review</t>
  </si>
  <si>
    <t xml:space="preserve">F1</t>
  </si>
  <si>
    <t xml:space="preserve">Cancelled</t>
  </si>
  <si>
    <t xml:space="preserve">Common assessment standard</t>
  </si>
  <si>
    <t xml:space="preserve">Not prequalified</t>
  </si>
  <si>
    <t xml:space="preserve">R5</t>
  </si>
  <si>
    <t xml:space="preserve">F15</t>
  </si>
  <si>
    <t xml:space="preserve">B1</t>
  </si>
  <si>
    <t xml:space="preserve">F20</t>
  </si>
  <si>
    <t xml:space="preserve">B2</t>
  </si>
  <si>
    <t xml:space="preserve">B3</t>
  </si>
  <si>
    <t xml:space="preserve">F50</t>
  </si>
  <si>
    <t xml:space="preserve">B4</t>
  </si>
  <si>
    <t xml:space="preserve">F75</t>
  </si>
  <si>
    <t xml:space="preserve">F100</t>
  </si>
  <si>
    <t xml:space="preserve">F150</t>
  </si>
  <si>
    <t xml:space="preserve">Managing contractor</t>
  </si>
  <si>
    <t xml:space="preserve">F150 PLUS</t>
  </si>
  <si>
    <t xml:space="preserve">Relationship</t>
  </si>
</sst>
</file>

<file path=xl/styles.xml><?xml version="1.0" encoding="utf-8"?>
<styleSheet xmlns="http://schemas.openxmlformats.org/spreadsheetml/2006/main">
  <numFmts count="7">
    <numFmt numFmtId="164" formatCode="General"/>
    <numFmt numFmtId="165" formatCode="d\ mmm\ yyyy"/>
    <numFmt numFmtId="166" formatCode="0%;\-0%;\-"/>
    <numFmt numFmtId="167" formatCode="0"/>
    <numFmt numFmtId="168" formatCode="#,##0;\-#,##0;\-"/>
    <numFmt numFmtId="169" formatCode="\$#,##0;[RED]&quot;($&quot;#,##0\);\-"/>
    <numFmt numFmtId="170" formatCode="0.0%;\-0.0%;\-"/>
  </numFmts>
  <fonts count="32">
    <font>
      <sz val="11"/>
      <color theme="1"/>
      <name val="Calibri"/>
      <family val="2"/>
      <charset val="1"/>
    </font>
    <font>
      <sz val="10"/>
      <name val="Arial"/>
      <family val="0"/>
    </font>
    <font>
      <sz val="10"/>
      <name val="Arial"/>
      <family val="0"/>
    </font>
    <font>
      <sz val="10"/>
      <name val="Arial"/>
      <family val="0"/>
    </font>
    <font>
      <b val="true"/>
      <sz val="11"/>
      <color rgb="FFFFFFFF"/>
      <name val="Inter"/>
      <family val="0"/>
      <charset val="1"/>
    </font>
    <font>
      <b val="true"/>
      <sz val="24"/>
      <color rgb="FF1D3245"/>
      <name val="Inter"/>
      <family val="0"/>
      <charset val="1"/>
    </font>
    <font>
      <sz val="11"/>
      <color rgb="FF3480BC"/>
      <name val="Inter"/>
      <family val="0"/>
      <charset val="1"/>
    </font>
    <font>
      <sz val="10.5"/>
      <color rgb="FF1D3245"/>
      <name val="Inter"/>
      <family val="0"/>
      <charset val="1"/>
    </font>
    <font>
      <b val="true"/>
      <sz val="10"/>
      <color rgb="FF1D3245"/>
      <name val="Inter"/>
      <family val="0"/>
      <charset val="1"/>
    </font>
    <font>
      <b val="true"/>
      <sz val="10"/>
      <color rgb="FF0D3C61"/>
      <name val="Inter"/>
      <family val="0"/>
      <charset val="1"/>
    </font>
    <font>
      <sz val="9.5"/>
      <color rgb="FF1D3245"/>
      <name val="Inter"/>
      <family val="0"/>
      <charset val="1"/>
    </font>
    <font>
      <b val="true"/>
      <sz val="9.5"/>
      <color rgb="FF0D3C61"/>
      <name val="Inter"/>
      <family val="0"/>
      <charset val="1"/>
    </font>
    <font>
      <b val="true"/>
      <u val="single"/>
      <sz val="10"/>
      <color rgb="FF3480BC"/>
      <name val="Inter"/>
      <family val="0"/>
      <charset val="1"/>
    </font>
    <font>
      <b val="true"/>
      <sz val="9"/>
      <color rgb="FF1D3245"/>
      <name val="Inter"/>
      <family val="0"/>
      <charset val="1"/>
    </font>
    <font>
      <b val="true"/>
      <sz val="9.5"/>
      <color rgb="FF4CAF50"/>
      <name val="Inter"/>
      <family val="0"/>
      <charset val="1"/>
    </font>
    <font>
      <b val="true"/>
      <sz val="9.5"/>
      <color rgb="FF0B79D0"/>
      <name val="Inter"/>
      <family val="0"/>
      <charset val="1"/>
    </font>
    <font>
      <b val="true"/>
      <sz val="9.5"/>
      <color rgb="FFFFB547"/>
      <name val="Inter"/>
      <family val="0"/>
      <charset val="1"/>
    </font>
    <font>
      <b val="true"/>
      <sz val="9"/>
      <color rgb="FFFFFFFF"/>
      <name val="Inter"/>
      <family val="0"/>
      <charset val="1"/>
    </font>
    <font>
      <b val="true"/>
      <sz val="9.5"/>
      <color rgb="FFEC6917"/>
      <name val="Inter"/>
      <family val="0"/>
      <charset val="1"/>
    </font>
    <font>
      <b val="true"/>
      <sz val="9.5"/>
      <color rgb="FFE31B0C"/>
      <name val="Inter"/>
      <family val="0"/>
      <charset val="1"/>
    </font>
    <font>
      <b val="true"/>
      <sz val="9.5"/>
      <color rgb="FF8E98A2"/>
      <name val="Inter"/>
      <family val="0"/>
      <charset val="1"/>
    </font>
    <font>
      <u val="single"/>
      <sz val="9.5"/>
      <color rgb="FF3480BC"/>
      <name val="Inter"/>
      <family val="0"/>
      <charset val="1"/>
    </font>
    <font>
      <b val="true"/>
      <sz val="13"/>
      <color rgb="FFFFFFFF"/>
      <name val="Inter"/>
      <family val="0"/>
      <charset val="1"/>
    </font>
    <font>
      <b val="true"/>
      <sz val="9.5"/>
      <color rgb="FF1D3245"/>
      <name val="Inter"/>
      <family val="0"/>
      <charset val="1"/>
    </font>
    <font>
      <i val="true"/>
      <sz val="9"/>
      <color rgb="FF8E98A2"/>
      <name val="Inter"/>
      <family val="0"/>
      <charset val="1"/>
    </font>
    <font>
      <sz val="10"/>
      <color rgb="FF1D3245"/>
      <name val="Inter"/>
      <family val="0"/>
      <charset val="1"/>
    </font>
    <font>
      <sz val="10"/>
      <color rgb="FF0D3C61"/>
      <name val="Inter"/>
      <family val="0"/>
      <charset val="1"/>
    </font>
    <font>
      <b val="true"/>
      <sz val="19"/>
      <color rgb="FF0B79D0"/>
      <name val="Inter"/>
      <family val="0"/>
      <charset val="1"/>
    </font>
    <font>
      <b val="true"/>
      <sz val="19"/>
      <color rgb="FFE31B0C"/>
      <name val="Inter"/>
      <family val="0"/>
      <charset val="1"/>
    </font>
    <font>
      <b val="true"/>
      <sz val="19"/>
      <color rgb="FFEC6917"/>
      <name val="Inter"/>
      <family val="0"/>
      <charset val="1"/>
    </font>
    <font>
      <sz val="9.5"/>
      <color rgb="FF0D3C61"/>
      <name val="Inter"/>
      <family val="0"/>
      <charset val="1"/>
    </font>
    <font>
      <b val="true"/>
      <sz val="9.5"/>
      <color rgb="FFFFFFFF"/>
      <name val="Inter"/>
      <family val="0"/>
      <charset val="1"/>
    </font>
  </fonts>
  <fills count="25">
    <fill>
      <patternFill patternType="none"/>
    </fill>
    <fill>
      <patternFill patternType="gray125"/>
    </fill>
    <fill>
      <patternFill patternType="solid">
        <fgColor rgb="FF1D3245"/>
        <bgColor rgb="FF0D3C61"/>
      </patternFill>
    </fill>
    <fill>
      <patternFill patternType="solid">
        <fgColor rgb="FF3480BC"/>
        <bgColor rgb="FF0B79D0"/>
      </patternFill>
    </fill>
    <fill>
      <patternFill patternType="solid">
        <fgColor rgb="FF0D3C61"/>
        <bgColor rgb="FF1D3245"/>
      </patternFill>
    </fill>
    <fill>
      <patternFill patternType="solid">
        <fgColor rgb="FF64B6F7"/>
        <bgColor rgb="FF33CCCC"/>
      </patternFill>
    </fill>
    <fill>
      <patternFill patternType="solid">
        <fgColor rgb="FFDCE9F4"/>
        <bgColor rgb="FFE3F0FA"/>
      </patternFill>
    </fill>
    <fill>
      <patternFill patternType="solid">
        <fgColor rgb="FF215383"/>
        <bgColor rgb="FF0D3C61"/>
      </patternFill>
    </fill>
    <fill>
      <patternFill patternType="solid">
        <fgColor rgb="FFFFFFFF"/>
        <bgColor rgb="FFF6F9FC"/>
      </patternFill>
    </fill>
    <fill>
      <patternFill patternType="solid">
        <fgColor rgb="FFF5F5F5"/>
        <bgColor rgb="FFF6F9FC"/>
      </patternFill>
    </fill>
    <fill>
      <patternFill patternType="solid">
        <fgColor rgb="FF0B79D0"/>
        <bgColor rgb="FF3480BC"/>
      </patternFill>
    </fill>
    <fill>
      <patternFill patternType="solid">
        <fgColor rgb="FFEC6917"/>
        <bgColor rgb="FFFF9900"/>
      </patternFill>
    </fill>
    <fill>
      <patternFill patternType="solid">
        <fgColor rgb="FFE31B0C"/>
        <bgColor rgb="FF993300"/>
      </patternFill>
    </fill>
    <fill>
      <patternFill patternType="solid">
        <fgColor rgb="FF4CAF50"/>
        <bgColor rgb="FF8E98A2"/>
      </patternFill>
    </fill>
    <fill>
      <patternFill patternType="solid">
        <fgColor rgb="FF8E98A2"/>
        <bgColor rgb="FF808080"/>
      </patternFill>
    </fill>
    <fill>
      <patternFill patternType="solid">
        <fgColor rgb="FFE8F5E9"/>
        <bgColor rgb="FFEEEEEE"/>
      </patternFill>
    </fill>
    <fill>
      <patternFill patternType="solid">
        <fgColor rgb="FFE3F0FA"/>
        <bgColor rgb="FFDCE9F4"/>
      </patternFill>
    </fill>
    <fill>
      <patternFill patternType="solid">
        <fgColor rgb="FFFFB547"/>
        <bgColor rgb="FFFF9900"/>
      </patternFill>
    </fill>
    <fill>
      <patternFill patternType="solid">
        <fgColor rgb="FFFFF4E0"/>
        <bgColor rgb="FFFDEBE0"/>
      </patternFill>
    </fill>
    <fill>
      <patternFill patternType="solid">
        <fgColor rgb="FFFDEBE0"/>
        <bgColor rgb="FFFDEBE9"/>
      </patternFill>
    </fill>
    <fill>
      <patternFill patternType="solid">
        <fgColor rgb="FFFDEBE9"/>
        <bgColor rgb="FFFDEBE0"/>
      </patternFill>
    </fill>
    <fill>
      <patternFill patternType="solid">
        <fgColor rgb="FFE0E0E0"/>
        <bgColor rgb="FFD3DEE9"/>
      </patternFill>
    </fill>
    <fill>
      <patternFill patternType="solid">
        <fgColor rgb="FFEEEEEE"/>
        <bgColor rgb="FFE8F5E9"/>
      </patternFill>
    </fill>
    <fill>
      <patternFill patternType="solid">
        <fgColor rgb="FFF6F9FC"/>
        <bgColor rgb="FFF5F5F5"/>
      </patternFill>
    </fill>
    <fill>
      <patternFill patternType="solid">
        <fgColor rgb="FFD3DEE9"/>
        <bgColor rgb="FFE0E0E0"/>
      </patternFill>
    </fill>
  </fills>
  <borders count="3">
    <border diagonalUp="false" diagonalDown="false">
      <left/>
      <right/>
      <top/>
      <bottom/>
      <diagonal/>
    </border>
    <border diagonalUp="false" diagonalDown="false">
      <left style="thin">
        <color rgb="FFE0E0E0"/>
      </left>
      <right style="thin">
        <color rgb="FFE0E0E0"/>
      </right>
      <top style="thin">
        <color rgb="FFE0E0E0"/>
      </top>
      <bottom style="thin">
        <color rgb="FFE0E0E0"/>
      </bottom>
      <diagonal/>
    </border>
    <border diagonalUp="false" diagonalDown="false">
      <left style="thin">
        <color rgb="FFE0E0E0"/>
      </left>
      <right style="thin">
        <color rgb="FFE0E0E0"/>
      </right>
      <top style="thin">
        <color rgb="FFE0E0E0"/>
      </top>
      <bottom style="medium">
        <color rgb="FF3480B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1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1" shrinkToFit="false"/>
      <protection locked="true" hidden="false"/>
    </xf>
    <xf numFmtId="164" fontId="4" fillId="3" borderId="0" xfId="0" applyFont="true" applyBorder="true" applyAlignment="true" applyProtection="false">
      <alignment horizontal="left" vertical="center" textRotation="0" wrapText="false" indent="1" shrinkToFit="false"/>
      <protection locked="true" hidden="false"/>
    </xf>
    <xf numFmtId="164" fontId="5" fillId="0" borderId="0" xfId="0" applyFont="true" applyBorder="true" applyAlignment="true" applyProtection="false">
      <alignment horizontal="left" vertical="center" textRotation="0" wrapText="false" indent="1" shrinkToFit="false"/>
      <protection locked="true" hidden="false"/>
    </xf>
    <xf numFmtId="164" fontId="6" fillId="0" borderId="0" xfId="0" applyFont="true" applyBorder="true" applyAlignment="true" applyProtection="false">
      <alignment horizontal="left" vertical="center" textRotation="0" wrapText="false" indent="1" shrinkToFit="false"/>
      <protection locked="true" hidden="false"/>
    </xf>
    <xf numFmtId="164" fontId="7" fillId="0" borderId="0" xfId="0" applyFont="true" applyBorder="true" applyAlignment="true" applyProtection="false">
      <alignment horizontal="left" vertical="top" textRotation="0" wrapText="true" indent="1" shrinkToFit="false"/>
      <protection locked="true" hidden="false"/>
    </xf>
    <xf numFmtId="164" fontId="4" fillId="4" borderId="0" xfId="0" applyFont="true" applyBorder="true" applyAlignment="true" applyProtection="false">
      <alignment horizontal="left" vertical="center" textRotation="0" wrapText="false" indent="1" shrinkToFit="false"/>
      <protection locked="true" hidden="false"/>
    </xf>
    <xf numFmtId="164" fontId="8" fillId="5" borderId="1" xfId="0" applyFont="true" applyBorder="true" applyAlignment="true" applyProtection="false">
      <alignment horizontal="center" vertical="center" textRotation="0" wrapText="false" indent="0" shrinkToFit="false"/>
      <protection locked="true" hidden="false"/>
    </xf>
    <xf numFmtId="164" fontId="9" fillId="0" borderId="0" xfId="0" applyFont="true" applyBorder="true" applyAlignment="true" applyProtection="false">
      <alignment horizontal="left" vertical="top" textRotation="0" wrapText="true" indent="1" shrinkToFit="false"/>
      <protection locked="true" hidden="false"/>
    </xf>
    <xf numFmtId="164" fontId="10" fillId="0" borderId="0" xfId="0" applyFont="true" applyBorder="true" applyAlignment="true" applyProtection="false">
      <alignment horizontal="left" vertical="top" textRotation="0" wrapText="true" indent="1" shrinkToFit="false"/>
      <protection locked="true" hidden="false"/>
    </xf>
    <xf numFmtId="164" fontId="11" fillId="6" borderId="2" xfId="0" applyFont="true" applyBorder="true" applyAlignment="true" applyProtection="false">
      <alignment horizontal="center" vertical="center" textRotation="0" wrapText="true" indent="0" shrinkToFit="false"/>
      <protection locked="true" hidden="false"/>
    </xf>
    <xf numFmtId="164" fontId="0" fillId="7" borderId="1" xfId="0" applyFont="false" applyBorder="true" applyAlignment="false" applyProtection="false">
      <alignment horizontal="general" vertical="bottom" textRotation="0" wrapText="false" indent="0" shrinkToFit="false"/>
      <protection locked="true" hidden="false"/>
    </xf>
    <xf numFmtId="164" fontId="12" fillId="8" borderId="1" xfId="0" applyFont="true" applyBorder="true" applyAlignment="true" applyProtection="false">
      <alignment horizontal="left" vertical="center" textRotation="0" wrapText="true" indent="1" shrinkToFit="false"/>
      <protection locked="true" hidden="false"/>
    </xf>
    <xf numFmtId="164" fontId="10" fillId="8" borderId="1" xfId="0" applyFont="true" applyBorder="true" applyAlignment="true" applyProtection="false">
      <alignment horizontal="left" vertical="center" textRotation="0" wrapText="true" indent="1" shrinkToFit="false"/>
      <protection locked="true" hidden="false"/>
    </xf>
    <xf numFmtId="164" fontId="0" fillId="4" borderId="1" xfId="0" applyFont="false" applyBorder="true" applyAlignment="false" applyProtection="false">
      <alignment horizontal="general" vertical="bottom" textRotation="0" wrapText="false" indent="0" shrinkToFit="false"/>
      <protection locked="true" hidden="false"/>
    </xf>
    <xf numFmtId="164" fontId="12" fillId="9" borderId="1" xfId="0" applyFont="true" applyBorder="true" applyAlignment="true" applyProtection="false">
      <alignment horizontal="left" vertical="center" textRotation="0" wrapText="true" indent="1" shrinkToFit="false"/>
      <protection locked="true" hidden="false"/>
    </xf>
    <xf numFmtId="164" fontId="10" fillId="9" borderId="1" xfId="0" applyFont="true" applyBorder="true" applyAlignment="true" applyProtection="false">
      <alignment horizontal="left" vertical="center" textRotation="0" wrapText="true" indent="1" shrinkToFit="false"/>
      <protection locked="true" hidden="false"/>
    </xf>
    <xf numFmtId="164" fontId="0" fillId="10" borderId="1" xfId="0" applyFont="false" applyBorder="true" applyAlignment="false" applyProtection="false">
      <alignment horizontal="general" vertical="bottom" textRotation="0" wrapText="false" indent="0" shrinkToFit="false"/>
      <protection locked="true" hidden="false"/>
    </xf>
    <xf numFmtId="164" fontId="0" fillId="11" borderId="1" xfId="0" applyFont="false" applyBorder="true" applyAlignment="false" applyProtection="false">
      <alignment horizontal="general" vertical="bottom" textRotation="0" wrapText="false" indent="0" shrinkToFit="false"/>
      <protection locked="true" hidden="false"/>
    </xf>
    <xf numFmtId="164" fontId="0" fillId="12" borderId="1" xfId="0" applyFont="false" applyBorder="true" applyAlignment="false" applyProtection="false">
      <alignment horizontal="general" vertical="bottom" textRotation="0" wrapText="false" indent="0" shrinkToFit="false"/>
      <protection locked="true" hidden="false"/>
    </xf>
    <xf numFmtId="164" fontId="0" fillId="13" borderId="1" xfId="0" applyFont="false" applyBorder="true" applyAlignment="false" applyProtection="false">
      <alignment horizontal="general" vertical="bottom" textRotation="0" wrapText="false" indent="0" shrinkToFit="false"/>
      <protection locked="true" hidden="false"/>
    </xf>
    <xf numFmtId="164" fontId="0" fillId="14" borderId="1" xfId="0" applyFont="false" applyBorder="true" applyAlignment="false" applyProtection="false">
      <alignment horizontal="general" vertical="bottom" textRotation="0" wrapText="false" indent="0" shrinkToFit="false"/>
      <protection locked="true" hidden="false"/>
    </xf>
    <xf numFmtId="164" fontId="13" fillId="13" borderId="1" xfId="0" applyFont="true" applyBorder="true" applyAlignment="true" applyProtection="false">
      <alignment horizontal="center" vertical="center" textRotation="0" wrapText="false" indent="0" shrinkToFit="false"/>
      <protection locked="true" hidden="false"/>
    </xf>
    <xf numFmtId="164" fontId="14" fillId="15" borderId="1" xfId="0" applyFont="true" applyBorder="true" applyAlignment="true" applyProtection="false">
      <alignment horizontal="left" vertical="center" textRotation="0" wrapText="false" indent="1" shrinkToFit="false"/>
      <protection locked="true" hidden="false"/>
    </xf>
    <xf numFmtId="164" fontId="13" fillId="5" borderId="1" xfId="0" applyFont="true" applyBorder="true" applyAlignment="true" applyProtection="false">
      <alignment horizontal="center" vertical="center" textRotation="0" wrapText="false" indent="0" shrinkToFit="false"/>
      <protection locked="true" hidden="false"/>
    </xf>
    <xf numFmtId="164" fontId="15" fillId="16" borderId="1" xfId="0" applyFont="true" applyBorder="true" applyAlignment="true" applyProtection="false">
      <alignment horizontal="left" vertical="center" textRotation="0" wrapText="false" indent="1" shrinkToFit="false"/>
      <protection locked="true" hidden="false"/>
    </xf>
    <xf numFmtId="164" fontId="13" fillId="17" borderId="1" xfId="0" applyFont="true" applyBorder="true" applyAlignment="true" applyProtection="false">
      <alignment horizontal="center" vertical="center" textRotation="0" wrapText="false" indent="0" shrinkToFit="false"/>
      <protection locked="true" hidden="false"/>
    </xf>
    <xf numFmtId="164" fontId="16" fillId="18" borderId="1" xfId="0" applyFont="true" applyBorder="true" applyAlignment="true" applyProtection="false">
      <alignment horizontal="left" vertical="center" textRotation="0" wrapText="false" indent="1" shrinkToFit="false"/>
      <protection locked="true" hidden="false"/>
    </xf>
    <xf numFmtId="164" fontId="17" fillId="11" borderId="1" xfId="0" applyFont="true" applyBorder="true" applyAlignment="true" applyProtection="false">
      <alignment horizontal="center" vertical="center" textRotation="0" wrapText="false" indent="0" shrinkToFit="false"/>
      <protection locked="true" hidden="false"/>
    </xf>
    <xf numFmtId="164" fontId="18" fillId="19" borderId="1" xfId="0" applyFont="true" applyBorder="true" applyAlignment="true" applyProtection="false">
      <alignment horizontal="left" vertical="center" textRotation="0" wrapText="false" indent="1" shrinkToFit="false"/>
      <protection locked="true" hidden="false"/>
    </xf>
    <xf numFmtId="164" fontId="17" fillId="12" borderId="1" xfId="0" applyFont="true" applyBorder="true" applyAlignment="true" applyProtection="false">
      <alignment horizontal="center" vertical="center" textRotation="0" wrapText="false" indent="0" shrinkToFit="false"/>
      <protection locked="true" hidden="false"/>
    </xf>
    <xf numFmtId="164" fontId="19" fillId="20" borderId="1" xfId="0" applyFont="true" applyBorder="true" applyAlignment="true" applyProtection="false">
      <alignment horizontal="left" vertical="center" textRotation="0" wrapText="false" indent="1" shrinkToFit="false"/>
      <protection locked="true" hidden="false"/>
    </xf>
    <xf numFmtId="164" fontId="13" fillId="21" borderId="1" xfId="0" applyFont="true" applyBorder="true" applyAlignment="true" applyProtection="false">
      <alignment horizontal="center" vertical="center" textRotation="0" wrapText="false" indent="0" shrinkToFit="false"/>
      <protection locked="true" hidden="false"/>
    </xf>
    <xf numFmtId="164" fontId="20" fillId="22" borderId="1" xfId="0" applyFont="true" applyBorder="true" applyAlignment="true" applyProtection="false">
      <alignment horizontal="left" vertical="center" textRotation="0" wrapText="false" indent="1" shrinkToFit="false"/>
      <protection locked="true" hidden="false"/>
    </xf>
    <xf numFmtId="164" fontId="19" fillId="0" borderId="0" xfId="0" applyFont="true" applyBorder="true" applyAlignment="true" applyProtection="false">
      <alignment horizontal="left" vertical="center" textRotation="0" wrapText="false" indent="1" shrinkToFit="false"/>
      <protection locked="true" hidden="false"/>
    </xf>
    <xf numFmtId="164" fontId="10" fillId="18" borderId="1" xfId="0" applyFont="true" applyBorder="true" applyAlignment="true" applyProtection="false">
      <alignment horizontal="left" vertical="top" textRotation="0" wrapText="true" indent="1" shrinkToFit="false"/>
      <protection locked="true" hidden="false"/>
    </xf>
    <xf numFmtId="164" fontId="21" fillId="0" borderId="0" xfId="0" applyFont="true" applyBorder="true" applyAlignment="true" applyProtection="false">
      <alignment horizontal="left" vertical="center" textRotation="0" wrapText="false" indent="1" shrinkToFit="false"/>
      <protection locked="true" hidden="false"/>
    </xf>
    <xf numFmtId="164" fontId="22" fillId="2" borderId="0" xfId="0" applyFont="true" applyBorder="true" applyAlignment="true" applyProtection="false">
      <alignment horizontal="left" vertical="center" textRotation="0" wrapText="false" indent="15" shrinkToFit="false"/>
      <protection locked="true" hidden="false"/>
    </xf>
    <xf numFmtId="164" fontId="4" fillId="7" borderId="0" xfId="0" applyFont="true" applyBorder="true" applyAlignment="true" applyProtection="false">
      <alignment horizontal="left" vertical="center" textRotation="0" wrapText="false" indent="1" shrinkToFit="false"/>
      <protection locked="true" hidden="false"/>
    </xf>
    <xf numFmtId="164" fontId="23" fillId="0" borderId="0" xfId="0" applyFont="true" applyBorder="true" applyAlignment="true" applyProtection="false">
      <alignment horizontal="left" vertical="center" textRotation="0" wrapText="false" indent="1" shrinkToFit="false"/>
      <protection locked="true" hidden="false"/>
    </xf>
    <xf numFmtId="164" fontId="24" fillId="0" borderId="0" xfId="0" applyFont="true" applyBorder="true" applyAlignment="true" applyProtection="false">
      <alignment horizontal="left" vertical="top" textRotation="0" wrapText="true" indent="1" shrinkToFit="false"/>
      <protection locked="true" hidden="false"/>
    </xf>
    <xf numFmtId="164" fontId="25" fillId="0" borderId="0" xfId="0" applyFont="true" applyBorder="false" applyAlignment="true" applyProtection="false">
      <alignment horizontal="left" vertical="center" textRotation="0" wrapText="true" indent="1" shrinkToFit="false"/>
      <protection locked="true" hidden="false"/>
    </xf>
    <xf numFmtId="164" fontId="26" fillId="16" borderId="1" xfId="0" applyFont="true" applyBorder="true" applyAlignment="true" applyProtection="false">
      <alignment horizontal="left" vertical="center" textRotation="0" wrapText="false" indent="1" shrinkToFit="false"/>
      <protection locked="true" hidden="false"/>
    </xf>
    <xf numFmtId="165" fontId="26" fillId="16" borderId="1" xfId="0" applyFont="true" applyBorder="true" applyAlignment="true" applyProtection="false">
      <alignment horizontal="left" vertical="center" textRotation="0" wrapText="false" indent="1" shrinkToFit="false"/>
      <protection locked="true" hidden="false"/>
    </xf>
    <xf numFmtId="166" fontId="26" fillId="16" borderId="1" xfId="0" applyFont="true" applyBorder="true" applyAlignment="true" applyProtection="false">
      <alignment horizontal="left" vertical="center" textRotation="0" wrapText="false" indent="1" shrinkToFit="false"/>
      <protection locked="true" hidden="false"/>
    </xf>
    <xf numFmtId="167" fontId="26" fillId="16" borderId="1" xfId="0" applyFont="true" applyBorder="true" applyAlignment="true" applyProtection="false">
      <alignment horizontal="left" vertical="center" textRotation="0" wrapText="false" indent="1" shrinkToFit="false"/>
      <protection locked="true" hidden="false"/>
    </xf>
    <xf numFmtId="166" fontId="8" fillId="23" borderId="1" xfId="0" applyFont="true" applyBorder="true" applyAlignment="true" applyProtection="false">
      <alignment horizontal="center" vertical="center" textRotation="0" wrapText="false" indent="1" shrinkToFit="false"/>
      <protection locked="true" hidden="false"/>
    </xf>
    <xf numFmtId="164" fontId="21" fillId="0" borderId="0" xfId="0" applyFont="true" applyBorder="true" applyAlignment="true" applyProtection="false">
      <alignment horizontal="right" vertical="center" textRotation="0" wrapText="false" indent="1" shrinkToFit="false"/>
      <protection locked="true" hidden="false"/>
    </xf>
    <xf numFmtId="164" fontId="23" fillId="16" borderId="1" xfId="0" applyFont="true" applyBorder="true" applyAlignment="true" applyProtection="false">
      <alignment horizontal="center" vertical="center" textRotation="0" wrapText="true" indent="0" shrinkToFit="false"/>
      <protection locked="true" hidden="false"/>
    </xf>
    <xf numFmtId="164" fontId="23" fillId="20" borderId="1" xfId="0" applyFont="true" applyBorder="true" applyAlignment="true" applyProtection="false">
      <alignment horizontal="center" vertical="center" textRotation="0" wrapText="true" indent="0" shrinkToFit="false"/>
      <protection locked="true" hidden="false"/>
    </xf>
    <xf numFmtId="168" fontId="27" fillId="16" borderId="1" xfId="0" applyFont="true" applyBorder="true" applyAlignment="true" applyProtection="false">
      <alignment horizontal="center" vertical="center" textRotation="0" wrapText="false" indent="0" shrinkToFit="false"/>
      <protection locked="true" hidden="false"/>
    </xf>
    <xf numFmtId="168" fontId="28" fillId="20" borderId="1" xfId="0" applyFont="true" applyBorder="true" applyAlignment="true" applyProtection="false">
      <alignment horizontal="center" vertical="center" textRotation="0" wrapText="false" indent="0" shrinkToFit="false"/>
      <protection locked="true" hidden="false"/>
    </xf>
    <xf numFmtId="164" fontId="23" fillId="19" borderId="1" xfId="0" applyFont="true" applyBorder="true" applyAlignment="true" applyProtection="false">
      <alignment horizontal="center" vertical="center" textRotation="0" wrapText="true" indent="0" shrinkToFit="false"/>
      <protection locked="true" hidden="false"/>
    </xf>
    <xf numFmtId="169" fontId="27" fillId="16" borderId="1" xfId="0" applyFont="true" applyBorder="true" applyAlignment="true" applyProtection="false">
      <alignment horizontal="center" vertical="center" textRotation="0" wrapText="false" indent="0" shrinkToFit="false"/>
      <protection locked="true" hidden="false"/>
    </xf>
    <xf numFmtId="169" fontId="29" fillId="19" borderId="1" xfId="0" applyFont="true" applyBorder="true" applyAlignment="true" applyProtection="false">
      <alignment horizontal="center" vertical="center" textRotation="0" wrapText="false" indent="0" shrinkToFit="false"/>
      <protection locked="true" hidden="false"/>
    </xf>
    <xf numFmtId="170" fontId="29" fillId="19" borderId="1" xfId="0" applyFont="true" applyBorder="true" applyAlignment="true" applyProtection="false">
      <alignment horizontal="center" vertical="center" textRotation="0" wrapText="false" indent="0" shrinkToFit="false"/>
      <protection locked="true" hidden="false"/>
    </xf>
    <xf numFmtId="168" fontId="29" fillId="19" borderId="1" xfId="0" applyFont="true" applyBorder="true" applyAlignment="true" applyProtection="false">
      <alignment horizontal="center" vertical="center" textRotation="0" wrapText="false" indent="0" shrinkToFit="false"/>
      <protection locked="true" hidden="false"/>
    </xf>
    <xf numFmtId="168" fontId="8" fillId="23" borderId="1" xfId="0" applyFont="true" applyBorder="true" applyAlignment="true" applyProtection="false">
      <alignment horizontal="center" vertical="center" textRotation="0" wrapText="false" indent="1" shrinkToFit="false"/>
      <protection locked="true" hidden="false"/>
    </xf>
    <xf numFmtId="169" fontId="8" fillId="23" borderId="1" xfId="0" applyFont="true" applyBorder="true" applyAlignment="true" applyProtection="false">
      <alignment horizontal="center" vertical="center" textRotation="0" wrapText="false" indent="1" shrinkToFit="false"/>
      <protection locked="true" hidden="false"/>
    </xf>
    <xf numFmtId="168" fontId="25" fillId="23" borderId="1" xfId="0" applyFont="true" applyBorder="true" applyAlignment="true" applyProtection="false">
      <alignment horizontal="center" vertical="center" textRotation="0" wrapText="false" indent="1" shrinkToFit="false"/>
      <protection locked="true" hidden="false"/>
    </xf>
    <xf numFmtId="166" fontId="25" fillId="23" borderId="1" xfId="0" applyFont="true" applyBorder="true" applyAlignment="true" applyProtection="false">
      <alignment horizontal="center" vertical="center" textRotation="0" wrapText="false" indent="1" shrinkToFit="false"/>
      <protection locked="true" hidden="false"/>
    </xf>
    <xf numFmtId="164" fontId="10" fillId="0" borderId="1" xfId="0" applyFont="true" applyBorder="true" applyAlignment="true" applyProtection="false">
      <alignment horizontal="left" vertical="center" textRotation="0" wrapText="true" indent="1" shrinkToFit="false"/>
      <protection locked="true" hidden="false"/>
    </xf>
    <xf numFmtId="164" fontId="30" fillId="8" borderId="1" xfId="0" applyFont="true" applyBorder="true" applyAlignment="true" applyProtection="false">
      <alignment horizontal="left" vertical="center" textRotation="0" wrapText="false" indent="1" shrinkToFit="false"/>
      <protection locked="true" hidden="false"/>
    </xf>
    <xf numFmtId="169" fontId="25" fillId="23" borderId="1" xfId="0" applyFont="true" applyBorder="true" applyAlignment="true" applyProtection="false">
      <alignment horizontal="center" vertical="center" textRotation="0" wrapText="false" indent="1" shrinkToFit="false"/>
      <protection locked="true" hidden="false"/>
    </xf>
    <xf numFmtId="170" fontId="25" fillId="23" borderId="1" xfId="0" applyFont="true" applyBorder="true" applyAlignment="true" applyProtection="false">
      <alignment horizontal="center" vertical="center" textRotation="0" wrapText="false" indent="1" shrinkToFit="false"/>
      <protection locked="true" hidden="false"/>
    </xf>
    <xf numFmtId="164" fontId="11" fillId="9" borderId="1" xfId="0" applyFont="true" applyBorder="true" applyAlignment="true" applyProtection="false">
      <alignment horizontal="left" vertical="center" textRotation="0" wrapText="false" indent="1" shrinkToFit="false"/>
      <protection locked="true" hidden="false"/>
    </xf>
    <xf numFmtId="164" fontId="0" fillId="9" borderId="1" xfId="0" applyFont="false" applyBorder="true" applyAlignment="false" applyProtection="false">
      <alignment horizontal="general" vertical="bottom" textRotation="0" wrapText="false" indent="0" shrinkToFit="false"/>
      <protection locked="true" hidden="false"/>
    </xf>
    <xf numFmtId="164" fontId="25" fillId="23" borderId="1" xfId="0" applyFont="true" applyBorder="true" applyAlignment="true" applyProtection="false">
      <alignment horizontal="left" vertical="center" textRotation="0" wrapText="false" indent="1" shrinkToFit="false"/>
      <protection locked="true" hidden="false"/>
    </xf>
    <xf numFmtId="164" fontId="4" fillId="10" borderId="0" xfId="0" applyFont="true" applyBorder="true" applyAlignment="true" applyProtection="false">
      <alignment horizontal="left" vertical="center" textRotation="0" wrapText="false" indent="1" shrinkToFit="false"/>
      <protection locked="true" hidden="false"/>
    </xf>
    <xf numFmtId="164" fontId="11" fillId="24" borderId="2" xfId="0" applyFont="true" applyBorder="true" applyAlignment="true" applyProtection="false">
      <alignment horizontal="center" vertical="center" textRotation="0" wrapText="true" indent="0" shrinkToFit="false"/>
      <protection locked="true" hidden="false"/>
    </xf>
    <xf numFmtId="164" fontId="23" fillId="23" borderId="1" xfId="0" applyFont="true" applyBorder="true" applyAlignment="true" applyProtection="false">
      <alignment horizontal="center" vertical="center" textRotation="0" wrapText="false" indent="0" shrinkToFit="false"/>
      <protection locked="true" hidden="false"/>
    </xf>
    <xf numFmtId="164" fontId="30" fillId="8" borderId="1" xfId="0" applyFont="true" applyBorder="true" applyAlignment="true" applyProtection="false">
      <alignment horizontal="left" vertical="center" textRotation="0" wrapText="true" indent="1" shrinkToFit="false"/>
      <protection locked="true" hidden="false"/>
    </xf>
    <xf numFmtId="165" fontId="30" fillId="8" borderId="1" xfId="0" applyFont="true" applyBorder="true" applyAlignment="true" applyProtection="false">
      <alignment horizontal="center" vertical="center" textRotation="0" wrapText="false" indent="0" shrinkToFit="false"/>
      <protection locked="true" hidden="false"/>
    </xf>
    <xf numFmtId="168" fontId="10" fillId="23" borderId="1" xfId="0" applyFont="true" applyBorder="true" applyAlignment="true" applyProtection="false">
      <alignment horizontal="right" vertical="center" textRotation="0" wrapText="false" indent="1" shrinkToFit="false"/>
      <protection locked="true" hidden="false"/>
    </xf>
    <xf numFmtId="164" fontId="10" fillId="23" borderId="1" xfId="0" applyFont="true" applyBorder="true" applyAlignment="true" applyProtection="false">
      <alignment horizontal="left" vertical="center" textRotation="0" wrapText="true" indent="1" shrinkToFit="false"/>
      <protection locked="true" hidden="false"/>
    </xf>
    <xf numFmtId="164" fontId="30" fillId="9" borderId="1" xfId="0" applyFont="true" applyBorder="true" applyAlignment="true" applyProtection="false">
      <alignment horizontal="left" vertical="center" textRotation="0" wrapText="true" indent="1" shrinkToFit="false"/>
      <protection locked="true" hidden="false"/>
    </xf>
    <xf numFmtId="165" fontId="30" fillId="9" borderId="1" xfId="0" applyFont="true" applyBorder="true" applyAlignment="true" applyProtection="false">
      <alignment horizontal="center" vertical="center" textRotation="0" wrapText="false" indent="0" shrinkToFit="false"/>
      <protection locked="true" hidden="false"/>
    </xf>
    <xf numFmtId="164" fontId="4" fillId="11" borderId="0" xfId="0" applyFont="true" applyBorder="true" applyAlignment="true" applyProtection="false">
      <alignment horizontal="left" vertical="center" textRotation="0" wrapText="false" indent="1" shrinkToFit="false"/>
      <protection locked="true" hidden="false"/>
    </xf>
    <xf numFmtId="164" fontId="11" fillId="8" borderId="1" xfId="0" applyFont="true" applyBorder="true" applyAlignment="true" applyProtection="false">
      <alignment horizontal="center" vertical="center" textRotation="0" wrapText="false" indent="0" shrinkToFit="false"/>
      <protection locked="true" hidden="false"/>
    </xf>
    <xf numFmtId="169" fontId="30" fillId="8" borderId="1" xfId="0" applyFont="true" applyBorder="true" applyAlignment="true" applyProtection="false">
      <alignment horizontal="right" vertical="center" textRotation="0" wrapText="false" indent="1" shrinkToFit="false"/>
      <protection locked="true" hidden="false"/>
    </xf>
    <xf numFmtId="169" fontId="10" fillId="23" borderId="1" xfId="0" applyFont="true" applyBorder="true" applyAlignment="true" applyProtection="false">
      <alignment horizontal="right" vertical="center" textRotation="0" wrapText="false" indent="1" shrinkToFit="false"/>
      <protection locked="true" hidden="false"/>
    </xf>
    <xf numFmtId="170" fontId="10" fillId="23" borderId="1" xfId="0" applyFont="true" applyBorder="true" applyAlignment="true" applyProtection="false">
      <alignment horizontal="right" vertical="center" textRotation="0" wrapText="false" indent="1" shrinkToFit="false"/>
      <protection locked="true" hidden="false"/>
    </xf>
    <xf numFmtId="166" fontId="10" fillId="23" borderId="1" xfId="0" applyFont="true" applyBorder="true" applyAlignment="true" applyProtection="false">
      <alignment horizontal="right" vertical="center" textRotation="0" wrapText="false" indent="1" shrinkToFit="false"/>
      <protection locked="true" hidden="false"/>
    </xf>
    <xf numFmtId="164" fontId="11" fillId="9" borderId="1" xfId="0" applyFont="true" applyBorder="true" applyAlignment="true" applyProtection="false">
      <alignment horizontal="center" vertical="center" textRotation="0" wrapText="false" indent="0" shrinkToFit="false"/>
      <protection locked="true" hidden="false"/>
    </xf>
    <xf numFmtId="169" fontId="30" fillId="9" borderId="1" xfId="0" applyFont="true" applyBorder="true" applyAlignment="true" applyProtection="false">
      <alignment horizontal="right" vertical="center" textRotation="0" wrapText="false" indent="1" shrinkToFit="false"/>
      <protection locked="true" hidden="false"/>
    </xf>
    <xf numFmtId="164" fontId="4" fillId="12" borderId="0" xfId="0" applyFont="true" applyBorder="true" applyAlignment="true" applyProtection="false">
      <alignment horizontal="left" vertical="center" textRotation="0" wrapText="false" indent="1" shrinkToFit="false"/>
      <protection locked="true" hidden="false"/>
    </xf>
    <xf numFmtId="168" fontId="30" fillId="8" borderId="1" xfId="0" applyFont="true" applyBorder="true" applyAlignment="true" applyProtection="false">
      <alignment horizontal="right" vertical="center" textRotation="0" wrapText="false" indent="1" shrinkToFit="false"/>
      <protection locked="true" hidden="false"/>
    </xf>
    <xf numFmtId="168" fontId="30" fillId="9" borderId="1" xfId="0" applyFont="true" applyBorder="true" applyAlignment="true" applyProtection="false">
      <alignment horizontal="right" vertical="center" textRotation="0" wrapText="false" indent="1" shrinkToFit="false"/>
      <protection locked="true" hidden="false"/>
    </xf>
    <xf numFmtId="164" fontId="4" fillId="13" borderId="0" xfId="0" applyFont="true" applyBorder="true" applyAlignment="true" applyProtection="false">
      <alignment horizontal="left" vertical="center" textRotation="0" wrapText="false" indent="1" shrinkToFit="false"/>
      <protection locked="true" hidden="false"/>
    </xf>
    <xf numFmtId="164" fontId="4" fillId="14" borderId="0" xfId="0" applyFont="true" applyBorder="true" applyAlignment="true" applyProtection="false">
      <alignment horizontal="left" vertical="center" textRotation="0" wrapText="false" indent="1" shrinkToFit="false"/>
      <protection locked="true" hidden="false"/>
    </xf>
    <xf numFmtId="164" fontId="23" fillId="13" borderId="1" xfId="0" applyFont="true" applyBorder="true" applyAlignment="true" applyProtection="false">
      <alignment horizontal="center" vertical="center" textRotation="0" wrapText="false" indent="0" shrinkToFit="false"/>
      <protection locked="true" hidden="false"/>
    </xf>
    <xf numFmtId="164" fontId="23" fillId="5" borderId="1" xfId="0" applyFont="true" applyBorder="true" applyAlignment="true" applyProtection="false">
      <alignment horizontal="center" vertical="center" textRotation="0" wrapText="false" indent="0" shrinkToFit="false"/>
      <protection locked="true" hidden="false"/>
    </xf>
    <xf numFmtId="164" fontId="23" fillId="17" borderId="1" xfId="0" applyFont="true" applyBorder="true" applyAlignment="true" applyProtection="false">
      <alignment horizontal="center" vertical="center" textRotation="0" wrapText="false" indent="0" shrinkToFit="false"/>
      <protection locked="true" hidden="false"/>
    </xf>
    <xf numFmtId="164" fontId="31" fillId="11" borderId="1" xfId="0" applyFont="true" applyBorder="true" applyAlignment="true" applyProtection="false">
      <alignment horizontal="center" vertical="center" textRotation="0" wrapText="false" indent="0" shrinkToFit="false"/>
      <protection locked="true" hidden="false"/>
    </xf>
    <xf numFmtId="164" fontId="31" fillId="12" borderId="1" xfId="0" applyFont="true" applyBorder="true" applyAlignment="true" applyProtection="false">
      <alignment horizontal="center" vertical="center" textRotation="0" wrapText="false" indent="0" shrinkToFit="false"/>
      <protection locked="true" hidden="false"/>
    </xf>
    <xf numFmtId="164" fontId="23" fillId="21" borderId="1" xfId="0" applyFont="true" applyBorder="true" applyAlignment="true" applyProtection="false">
      <alignment horizontal="center" vertical="center" textRotation="0" wrapText="false" indent="0" shrinkToFit="false"/>
      <protection locked="true" hidden="false"/>
    </xf>
    <xf numFmtId="164" fontId="10" fillId="20" borderId="1" xfId="0" applyFont="true" applyBorder="true" applyAlignment="true" applyProtection="false">
      <alignment horizontal="left" vertical="top" textRotation="0" wrapText="true" indent="1" shrinkToFit="false"/>
      <protection locked="true" hidden="false"/>
    </xf>
    <xf numFmtId="164" fontId="10" fillId="19" borderId="1" xfId="0" applyFont="true" applyBorder="true" applyAlignment="true" applyProtection="false">
      <alignment horizontal="left" vertical="top" textRotation="0" wrapText="true" indent="1" shrinkToFit="false"/>
      <protection locked="true" hidden="false"/>
    </xf>
    <xf numFmtId="164" fontId="11" fillId="8" borderId="1" xfId="0" applyFont="true" applyBorder="true" applyAlignment="true" applyProtection="false">
      <alignment horizontal="left" vertical="center" textRotation="0" wrapText="false" indent="1" shrinkToFit="false"/>
      <protection locked="true" hidden="false"/>
    </xf>
    <xf numFmtId="166" fontId="23" fillId="16" borderId="1" xfId="0" applyFont="true" applyBorder="true" applyAlignment="true" applyProtection="false">
      <alignment horizontal="center" vertical="center" textRotation="0" wrapText="false" indent="0" shrinkToFit="false"/>
      <protection locked="true" hidden="false"/>
    </xf>
    <xf numFmtId="166" fontId="10" fillId="8" borderId="1" xfId="0" applyFont="true" applyBorder="true" applyAlignment="true" applyProtection="false">
      <alignment horizontal="center" vertical="center" textRotation="0" wrapText="false" indent="0" shrinkToFit="false"/>
      <protection locked="true" hidden="false"/>
    </xf>
    <xf numFmtId="166" fontId="10" fillId="9" borderId="1" xfId="0" applyFont="true" applyBorder="true" applyAlignment="true" applyProtection="false">
      <alignment horizontal="center" vertical="center" textRotation="0" wrapText="false" indent="0" shrinkToFit="false"/>
      <protection locked="true" hidden="false"/>
    </xf>
    <xf numFmtId="164" fontId="30" fillId="8" borderId="1" xfId="0" applyFont="true" applyBorder="true" applyAlignment="true" applyProtection="false">
      <alignment horizontal="left" vertical="top" textRotation="0" wrapText="true" indent="1" shrinkToFit="false"/>
      <protection locked="true" hidden="false"/>
    </xf>
    <xf numFmtId="164" fontId="23" fillId="15" borderId="1" xfId="0" applyFont="true" applyBorder="true" applyAlignment="true" applyProtection="false">
      <alignment horizontal="left" vertical="top" textRotation="0" wrapText="true" indent="1" shrinkToFit="false"/>
      <protection locked="true" hidden="false"/>
    </xf>
    <xf numFmtId="164" fontId="10" fillId="8" borderId="1" xfId="0" applyFont="true" applyBorder="true" applyAlignment="true" applyProtection="false">
      <alignment horizontal="left" vertical="top" textRotation="0" wrapText="true" indent="1" shrinkToFit="false"/>
      <protection locked="true" hidden="false"/>
    </xf>
    <xf numFmtId="164" fontId="30" fillId="9" borderId="1" xfId="0" applyFont="true" applyBorder="true" applyAlignment="true" applyProtection="false">
      <alignment horizontal="left" vertical="top" textRotation="0" wrapText="true" indent="1" shrinkToFit="false"/>
      <protection locked="true" hidden="false"/>
    </xf>
    <xf numFmtId="164" fontId="11" fillId="9" borderId="1" xfId="0" applyFont="true" applyBorder="true" applyAlignment="true" applyProtection="false">
      <alignment horizontal="left" vertical="top" textRotation="0" wrapText="true" indent="1" shrinkToFit="false"/>
      <protection locked="true" hidden="false"/>
    </xf>
    <xf numFmtId="164" fontId="10" fillId="9" borderId="1" xfId="0" applyFont="true" applyBorder="true" applyAlignment="true" applyProtection="false">
      <alignment horizontal="left" vertical="top" textRotation="0" wrapText="true" indent="1" shrinkToFit="false"/>
      <protection locked="true" hidden="false"/>
    </xf>
    <xf numFmtId="164" fontId="11" fillId="8" borderId="1" xfId="0" applyFont="true" applyBorder="true" applyAlignment="true" applyProtection="false">
      <alignment horizontal="left" vertical="top" textRotation="0" wrapText="true" indent="1" shrinkToFit="false"/>
      <protection locked="true" hidden="false"/>
    </xf>
    <xf numFmtId="164" fontId="11" fillId="16" borderId="1" xfId="0" applyFont="true" applyBorder="true" applyAlignment="true" applyProtection="false">
      <alignment horizontal="left" vertical="center" textRotation="0" wrapText="false" indent="1" shrinkToFit="false"/>
      <protection locked="true" hidden="false"/>
    </xf>
    <xf numFmtId="164" fontId="10" fillId="0" borderId="0" xfId="0" applyFont="true" applyBorder="true" applyAlignment="true" applyProtection="false">
      <alignment horizontal="left" vertical="center" textRotation="0" wrapText="false" indent="1" shrinkToFit="false"/>
      <protection locked="true" hidden="false"/>
    </xf>
    <xf numFmtId="164" fontId="11" fillId="23" borderId="1" xfId="0" applyFont="true" applyBorder="true" applyAlignment="true" applyProtection="false">
      <alignment horizontal="left" vertical="center" textRotation="0" wrapText="false" indent="1" shrinkToFit="false"/>
      <protection locked="true" hidden="false"/>
    </xf>
    <xf numFmtId="164" fontId="11" fillId="6" borderId="1" xfId="0" applyFont="true" applyBorder="true" applyAlignment="true" applyProtection="false">
      <alignment horizontal="left" vertical="center" textRotation="0" wrapText="false" indent="1" shrinkToFit="false"/>
      <protection locked="true" hidden="false"/>
    </xf>
    <xf numFmtId="164" fontId="11" fillId="22" borderId="1" xfId="0" applyFont="true" applyBorder="true" applyAlignment="true" applyProtection="false">
      <alignment horizontal="left" vertical="center" textRotation="0" wrapText="false" indent="1" shrinkToFit="false"/>
      <protection locked="true" hidden="false"/>
    </xf>
    <xf numFmtId="164" fontId="11" fillId="6" borderId="2" xfId="0" applyFont="true" applyBorder="true" applyAlignment="true" applyProtection="false">
      <alignment horizontal="left" vertical="center" textRotation="0" wrapText="true" indent="1"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1">
    <dxf>
      <fill>
        <patternFill>
          <bgColor rgb="FFFFF4E0"/>
        </patternFill>
      </fill>
    </dxf>
    <dxf>
      <fill>
        <patternFill>
          <bgColor rgb="FFFDEBE9"/>
        </patternFill>
      </fill>
    </dxf>
    <dxf>
      <fill>
        <patternFill>
          <bgColor rgb="FFFDEBE0"/>
        </patternFill>
      </fill>
    </dxf>
    <dxf>
      <fill>
        <patternFill patternType="solid">
          <fgColor rgb="FFD3DEE9"/>
          <bgColor rgb="FF000000"/>
        </patternFill>
      </fill>
    </dxf>
    <dxf>
      <fill>
        <patternFill patternType="solid">
          <fgColor rgb="FFE3F0FA"/>
          <bgColor rgb="FF000000"/>
        </patternFill>
      </fill>
    </dxf>
    <dxf>
      <fill>
        <patternFill patternType="solid">
          <fgColor rgb="FFE8F5E9"/>
          <bgColor rgb="FF000000"/>
        </patternFill>
      </fill>
    </dxf>
    <dxf>
      <fill>
        <patternFill patternType="solid">
          <fgColor rgb="FFEEEEEE"/>
          <bgColor rgb="FF000000"/>
        </patternFill>
      </fill>
    </dxf>
    <dxf>
      <fill>
        <patternFill patternType="solid">
          <fgColor rgb="FFF6F9FC"/>
          <bgColor rgb="FF000000"/>
        </patternFill>
      </fill>
    </dxf>
    <dxf>
      <fill>
        <patternFill patternType="solid">
          <fgColor rgb="FFFDEBE0"/>
          <bgColor rgb="FF000000"/>
        </patternFill>
      </fill>
    </dxf>
    <dxf>
      <fill>
        <patternFill patternType="solid">
          <fgColor rgb="FFFDEBE9"/>
          <bgColor rgb="FF000000"/>
        </patternFill>
      </fill>
    </dxf>
    <dxf>
      <fill>
        <patternFill patternType="solid">
          <fgColor rgb="FFFFF4E0"/>
          <bgColor rgb="FF000000"/>
        </patternFill>
      </fill>
    </dxf>
    <dxf>
      <fill>
        <patternFill patternType="solid">
          <fgColor rgb="FF0D3C61"/>
          <bgColor rgb="FF000000"/>
        </patternFill>
      </fill>
    </dxf>
    <dxf>
      <fill>
        <patternFill patternType="solid">
          <fgColor rgb="FF1D3245"/>
          <bgColor rgb="FF000000"/>
        </patternFill>
      </fill>
    </dxf>
    <dxf>
      <fill>
        <patternFill patternType="solid">
          <fgColor rgb="FFDCE9F4"/>
          <bgColor rgb="FF000000"/>
        </patternFill>
      </fill>
    </dxf>
    <dxf>
      <fill>
        <patternFill patternType="solid">
          <fgColor rgb="FFF5F5F5"/>
          <bgColor rgb="FF000000"/>
        </patternFill>
      </fill>
    </dxf>
    <dxf>
      <fill>
        <patternFill patternType="solid">
          <fgColor rgb="FFFFFFFF"/>
          <bgColor rgb="FF000000"/>
        </patternFill>
      </fill>
    </dxf>
    <dxf>
      <fill>
        <patternFill>
          <bgColor rgb="FFEEEEEE"/>
        </patternFill>
      </fill>
    </dxf>
    <dxf>
      <fill>
        <patternFill>
          <bgColor rgb="FFE8F5E9"/>
        </patternFill>
      </fill>
    </dxf>
    <dxf>
      <fill>
        <patternFill>
          <bgColor rgb="FFE3F0FA"/>
        </patternFill>
      </fill>
    </dxf>
    <dxf>
      <fill>
        <patternFill patternType="solid">
          <bgColor rgb="FF000000"/>
        </patternFill>
      </fill>
    </dxf>
    <dxf>
      <fill>
        <patternFill patternType="solid">
          <fgColor rgb="FF000000"/>
          <bgColor rgb="FF000000"/>
        </patternFill>
      </fill>
    </dxf>
  </dxfs>
  <colors>
    <indexedColors>
      <rgbColor rgb="FF000000"/>
      <rgbColor rgb="FFFFFFFF"/>
      <rgbColor rgb="FFE31B0C"/>
      <rgbColor rgb="FF00FF00"/>
      <rgbColor rgb="FF0000FF"/>
      <rgbColor rgb="FFF6F9FC"/>
      <rgbColor rgb="FFFF00FF"/>
      <rgbColor rgb="FF00FFFF"/>
      <rgbColor rgb="FF800000"/>
      <rgbColor rgb="FF008000"/>
      <rgbColor rgb="FF000080"/>
      <rgbColor rgb="FF808000"/>
      <rgbColor rgb="FF800080"/>
      <rgbColor rgb="FF008080"/>
      <rgbColor rgb="FFE0E0E0"/>
      <rgbColor rgb="FF808080"/>
      <rgbColor rgb="FF9999FF"/>
      <rgbColor rgb="FF993366"/>
      <rgbColor rgb="FFFFF4E0"/>
      <rgbColor rgb="FFE3F0FA"/>
      <rgbColor rgb="FF660066"/>
      <rgbColor rgb="FFFF8080"/>
      <rgbColor rgb="FF0B79D0"/>
      <rgbColor rgb="FFD3DEE9"/>
      <rgbColor rgb="FF000080"/>
      <rgbColor rgb="FFFF00FF"/>
      <rgbColor rgb="FFFFFF00"/>
      <rgbColor rgb="FF00FFFF"/>
      <rgbColor rgb="FF800080"/>
      <rgbColor rgb="FF800000"/>
      <rgbColor rgb="FF008080"/>
      <rgbColor rgb="FF0000FF"/>
      <rgbColor rgb="FF00CCFF"/>
      <rgbColor rgb="FFE8F5E9"/>
      <rgbColor rgb="FFDCE9F4"/>
      <rgbColor rgb="FFFDEBE0"/>
      <rgbColor rgb="FF64B6F7"/>
      <rgbColor rgb="FFEEEEEE"/>
      <rgbColor rgb="FFF5F5F5"/>
      <rgbColor rgb="FFFDEBE9"/>
      <rgbColor rgb="FF3480BC"/>
      <rgbColor rgb="FF33CCCC"/>
      <rgbColor rgb="FF99CC00"/>
      <rgbColor rgb="FFFFB547"/>
      <rgbColor rgb="FFFF9900"/>
      <rgbColor rgb="FFEC6917"/>
      <rgbColor rgb="FF666699"/>
      <rgbColor rgb="FF8E98A2"/>
      <rgbColor rgb="FF0D3C61"/>
      <rgbColor rgb="FF4CAF50"/>
      <rgbColor rgb="FF003300"/>
      <rgbColor rgb="FF333300"/>
      <rgbColor rgb="FF993300"/>
      <rgbColor rgb="FF993366"/>
      <rgbColor rgb="FF215383"/>
      <rgbColor rgb="FF1D3245"/>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2.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3.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4.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5.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6.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7.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8.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114480</xdr:colOff>
      <xdr:row>0</xdr:row>
      <xdr:rowOff>133200</xdr:rowOff>
    </xdr:from>
    <xdr:to>
      <xdr:col>2</xdr:col>
      <xdr:colOff>1432080</xdr:colOff>
      <xdr:row>0</xdr:row>
      <xdr:rowOff>609120</xdr:rowOff>
    </xdr:to>
    <xdr:pic>
      <xdr:nvPicPr>
        <xdr:cNvPr id="0"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69280" y="133200"/>
          <a:ext cx="1599840" cy="4759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1</xdr:col>
      <xdr:colOff>952200</xdr:colOff>
      <xdr:row>0</xdr:row>
      <xdr:rowOff>313920</xdr:rowOff>
    </xdr:to>
    <xdr:pic>
      <xdr:nvPicPr>
        <xdr:cNvPr id="1"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1</xdr:col>
      <xdr:colOff>952200</xdr:colOff>
      <xdr:row>0</xdr:row>
      <xdr:rowOff>313920</xdr:rowOff>
    </xdr:to>
    <xdr:pic>
      <xdr:nvPicPr>
        <xdr:cNvPr id="2"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2</xdr:col>
      <xdr:colOff>388080</xdr:colOff>
      <xdr:row>0</xdr:row>
      <xdr:rowOff>313920</xdr:rowOff>
    </xdr:to>
    <xdr:pic>
      <xdr:nvPicPr>
        <xdr:cNvPr id="3"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2</xdr:col>
      <xdr:colOff>388080</xdr:colOff>
      <xdr:row>0</xdr:row>
      <xdr:rowOff>313920</xdr:rowOff>
    </xdr:to>
    <xdr:pic>
      <xdr:nvPicPr>
        <xdr:cNvPr id="4"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2</xdr:col>
      <xdr:colOff>388080</xdr:colOff>
      <xdr:row>0</xdr:row>
      <xdr:rowOff>313920</xdr:rowOff>
    </xdr:to>
    <xdr:pic>
      <xdr:nvPicPr>
        <xdr:cNvPr id="5"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2</xdr:col>
      <xdr:colOff>388080</xdr:colOff>
      <xdr:row>0</xdr:row>
      <xdr:rowOff>313920</xdr:rowOff>
    </xdr:to>
    <xdr:pic>
      <xdr:nvPicPr>
        <xdr:cNvPr id="6"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1</xdr:col>
      <xdr:colOff>952200</xdr:colOff>
      <xdr:row>0</xdr:row>
      <xdr:rowOff>313920</xdr:rowOff>
    </xdr:to>
    <xdr:pic>
      <xdr:nvPicPr>
        <xdr:cNvPr id="7"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4.xml"/>
</Relationships>
</file>

<file path=xl/worksheets/_rels/sheet5.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5.xml"/>
</Relationships>
</file>

<file path=xl/worksheets/_rels/sheet6.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6.xml"/>
</Relationships>
</file>

<file path=xl/worksheets/_rels/sheet7.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7.xml"/>
</Relationships>
</file>

<file path=xl/worksheets/_rels/sheet8.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8.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3245"/>
    <pageSetUpPr fitToPage="true"/>
  </sheetPr>
  <dimension ref="B1:G19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4"/>
    <col collapsed="false" customWidth="true" hidden="false" outlineLevel="0" max="3" min="3" style="0" width="30"/>
    <col collapsed="false" customWidth="true" hidden="false" outlineLevel="0" max="4" min="4" style="0" width="22"/>
    <col collapsed="false" customWidth="true" hidden="false" outlineLevel="0" max="5" min="5" style="0" width="20"/>
    <col collapsed="false" customWidth="true" hidden="false" outlineLevel="0" max="6" min="6" style="0" width="16"/>
    <col collapsed="false" customWidth="true" hidden="false" outlineLevel="0" max="7" min="7" style="0" width="12"/>
    <col collapsed="false" customWidth="true" hidden="false" outlineLevel="0" max="8" min="8" style="0" width="2.2"/>
  </cols>
  <sheetData>
    <row r="1" customFormat="false" ht="51.75" hidden="false" customHeight="true" outlineLevel="0" collapsed="false">
      <c r="B1" s="1"/>
      <c r="C1" s="1"/>
      <c r="D1" s="1"/>
      <c r="E1" s="1"/>
      <c r="F1" s="1"/>
      <c r="G1" s="1"/>
    </row>
    <row r="2" customFormat="false" ht="4.5" hidden="false" customHeight="true" outlineLevel="0" collapsed="false">
      <c r="B2" s="2"/>
      <c r="C2" s="2"/>
      <c r="D2" s="2"/>
      <c r="E2" s="2"/>
      <c r="F2" s="2"/>
      <c r="G2" s="2"/>
    </row>
    <row r="4" customFormat="false" ht="37.5" hidden="false" customHeight="true" outlineLevel="0" collapsed="false">
      <c r="B4" s="3" t="s">
        <v>0</v>
      </c>
      <c r="C4" s="3"/>
      <c r="D4" s="3"/>
      <c r="E4" s="3"/>
      <c r="F4" s="3"/>
      <c r="G4" s="3"/>
    </row>
    <row r="5" customFormat="false" ht="21.75" hidden="false" customHeight="true" outlineLevel="0" collapsed="false">
      <c r="B5" s="4" t="s">
        <v>1</v>
      </c>
      <c r="C5" s="4"/>
      <c r="D5" s="4"/>
      <c r="E5" s="4"/>
      <c r="F5" s="4"/>
      <c r="G5" s="4"/>
    </row>
    <row r="7" customFormat="false" ht="15" hidden="false" customHeight="true" outlineLevel="0" collapsed="false">
      <c r="B7" s="5" t="s">
        <v>2</v>
      </c>
      <c r="C7" s="5"/>
      <c r="D7" s="5"/>
      <c r="E7" s="5"/>
      <c r="F7" s="5"/>
      <c r="G7" s="5"/>
    </row>
    <row r="8" customFormat="false" ht="15" hidden="false" customHeight="true" outlineLevel="0" collapsed="false">
      <c r="B8" s="5"/>
      <c r="C8" s="5"/>
      <c r="D8" s="5"/>
      <c r="E8" s="5"/>
      <c r="F8" s="5"/>
      <c r="G8" s="5"/>
    </row>
    <row r="9" customFormat="false" ht="15" hidden="false" customHeight="true" outlineLevel="0" collapsed="false">
      <c r="B9" s="5"/>
      <c r="C9" s="5"/>
      <c r="D9" s="5"/>
      <c r="E9" s="5"/>
      <c r="F9" s="5"/>
      <c r="G9" s="5"/>
    </row>
    <row r="10" customFormat="false" ht="15" hidden="false" customHeight="true" outlineLevel="0" collapsed="false">
      <c r="B10" s="5"/>
      <c r="C10" s="5"/>
      <c r="D10" s="5"/>
      <c r="E10" s="5"/>
      <c r="F10" s="5"/>
      <c r="G10" s="5"/>
    </row>
    <row r="11" customFormat="false" ht="15" hidden="false" customHeight="true" outlineLevel="0" collapsed="false">
      <c r="B11" s="5"/>
      <c r="C11" s="5"/>
      <c r="D11" s="5"/>
      <c r="E11" s="5"/>
      <c r="F11" s="5"/>
      <c r="G11" s="5"/>
    </row>
    <row r="12" customFormat="false" ht="15" hidden="false" customHeight="true" outlineLevel="0" collapsed="false">
      <c r="B12" s="5"/>
      <c r="C12" s="5"/>
      <c r="D12" s="5"/>
      <c r="E12" s="5"/>
      <c r="F12" s="5"/>
      <c r="G12" s="5"/>
    </row>
    <row r="14" customFormat="false" ht="24" hidden="false" customHeight="true" outlineLevel="0" collapsed="false">
      <c r="B14" s="6" t="s">
        <v>3</v>
      </c>
      <c r="C14" s="6"/>
      <c r="D14" s="6"/>
      <c r="E14" s="6"/>
      <c r="F14" s="6"/>
      <c r="G14" s="6"/>
    </row>
    <row r="15" customFormat="false" ht="13.5" hidden="false" customHeight="true" outlineLevel="0" collapsed="false">
      <c r="B15" s="7" t="s">
        <v>4</v>
      </c>
      <c r="C15" s="8" t="s">
        <v>5</v>
      </c>
      <c r="D15" s="9" t="s">
        <v>6</v>
      </c>
      <c r="E15" s="9"/>
      <c r="F15" s="9"/>
      <c r="G15" s="9"/>
    </row>
    <row r="16" customFormat="false" ht="13.5" hidden="false" customHeight="true" outlineLevel="0" collapsed="false">
      <c r="C16" s="8"/>
      <c r="D16" s="8"/>
      <c r="E16" s="9"/>
      <c r="F16" s="9"/>
      <c r="G16" s="9"/>
    </row>
    <row r="17" customFormat="false" ht="13.5" hidden="false" customHeight="true" outlineLevel="0" collapsed="false">
      <c r="C17" s="8"/>
      <c r="D17" s="8"/>
      <c r="E17" s="9"/>
      <c r="F17" s="9"/>
      <c r="G17" s="9"/>
    </row>
    <row r="18" customFormat="false" ht="13.5" hidden="false" customHeight="true" outlineLevel="0" collapsed="false">
      <c r="C18" s="8"/>
      <c r="D18" s="8"/>
      <c r="E18" s="9"/>
      <c r="F18" s="9"/>
      <c r="G18" s="9"/>
    </row>
    <row r="19" customFormat="false" ht="13.5" hidden="false" customHeight="true" outlineLevel="0" collapsed="false">
      <c r="C19" s="8"/>
      <c r="D19" s="8"/>
      <c r="E19" s="9"/>
      <c r="F19" s="9"/>
      <c r="G19" s="9"/>
    </row>
    <row r="20" customFormat="false" ht="13.5" hidden="false" customHeight="true" outlineLevel="0" collapsed="false">
      <c r="C20" s="8"/>
      <c r="D20" s="8"/>
      <c r="E20" s="9"/>
      <c r="F20" s="9"/>
      <c r="G20" s="9"/>
    </row>
    <row r="22" customFormat="false" ht="13.5" hidden="false" customHeight="true" outlineLevel="0" collapsed="false">
      <c r="B22" s="7" t="s">
        <v>7</v>
      </c>
      <c r="C22" s="8" t="s">
        <v>8</v>
      </c>
      <c r="D22" s="9" t="s">
        <v>9</v>
      </c>
      <c r="E22" s="9"/>
      <c r="F22" s="9"/>
      <c r="G22" s="9"/>
    </row>
    <row r="23" customFormat="false" ht="13.5" hidden="false" customHeight="true" outlineLevel="0" collapsed="false">
      <c r="C23" s="8"/>
      <c r="D23" s="8"/>
      <c r="E23" s="9"/>
      <c r="F23" s="9"/>
      <c r="G23" s="9"/>
    </row>
    <row r="24" customFormat="false" ht="13.5" hidden="false" customHeight="true" outlineLevel="0" collapsed="false">
      <c r="C24" s="8"/>
      <c r="D24" s="8"/>
      <c r="E24" s="9"/>
      <c r="F24" s="9"/>
      <c r="G24" s="9"/>
    </row>
    <row r="25" customFormat="false" ht="13.5" hidden="false" customHeight="true" outlineLevel="0" collapsed="false">
      <c r="C25" s="8"/>
      <c r="D25" s="8"/>
      <c r="E25" s="9"/>
      <c r="F25" s="9"/>
      <c r="G25" s="9"/>
    </row>
    <row r="26" customFormat="false" ht="13.5" hidden="false" customHeight="true" outlineLevel="0" collapsed="false">
      <c r="C26" s="8"/>
      <c r="D26" s="8"/>
      <c r="E26" s="9"/>
      <c r="F26" s="9"/>
      <c r="G26" s="9"/>
    </row>
    <row r="28" customFormat="false" ht="13.5" hidden="false" customHeight="true" outlineLevel="0" collapsed="false">
      <c r="B28" s="7" t="s">
        <v>10</v>
      </c>
      <c r="C28" s="8" t="s">
        <v>11</v>
      </c>
      <c r="D28" s="9" t="s">
        <v>12</v>
      </c>
      <c r="E28" s="9"/>
      <c r="F28" s="9"/>
      <c r="G28" s="9"/>
    </row>
    <row r="29" customFormat="false" ht="13.5" hidden="false" customHeight="true" outlineLevel="0" collapsed="false">
      <c r="C29" s="8"/>
      <c r="D29" s="8"/>
      <c r="E29" s="9"/>
      <c r="F29" s="9"/>
      <c r="G29" s="9"/>
    </row>
    <row r="30" customFormat="false" ht="13.5" hidden="false" customHeight="true" outlineLevel="0" collapsed="false">
      <c r="C30" s="8"/>
      <c r="D30" s="8"/>
      <c r="E30" s="9"/>
      <c r="F30" s="9"/>
      <c r="G30" s="9"/>
    </row>
    <row r="31" customFormat="false" ht="13.5" hidden="false" customHeight="true" outlineLevel="0" collapsed="false">
      <c r="C31" s="8"/>
      <c r="D31" s="8"/>
      <c r="E31" s="9"/>
      <c r="F31" s="9"/>
      <c r="G31" s="9"/>
    </row>
    <row r="32" customFormat="false" ht="13.5" hidden="false" customHeight="true" outlineLevel="0" collapsed="false">
      <c r="C32" s="8"/>
      <c r="D32" s="8"/>
      <c r="E32" s="9"/>
      <c r="F32" s="9"/>
      <c r="G32" s="9"/>
    </row>
    <row r="33" customFormat="false" ht="13.5" hidden="false" customHeight="true" outlineLevel="0" collapsed="false">
      <c r="C33" s="8"/>
      <c r="D33" s="8"/>
      <c r="E33" s="9"/>
      <c r="F33" s="9"/>
      <c r="G33" s="9"/>
    </row>
    <row r="34" customFormat="false" ht="13.5" hidden="false" customHeight="true" outlineLevel="0" collapsed="false">
      <c r="C34" s="8"/>
      <c r="D34" s="8"/>
      <c r="E34" s="9"/>
      <c r="F34" s="9"/>
      <c r="G34" s="9"/>
    </row>
    <row r="35" customFormat="false" ht="13.5" hidden="false" customHeight="true" outlineLevel="0" collapsed="false">
      <c r="C35" s="8"/>
      <c r="D35" s="8"/>
      <c r="E35" s="9"/>
      <c r="F35" s="9"/>
      <c r="G35" s="9"/>
    </row>
    <row r="37" customFormat="false" ht="13.5" hidden="false" customHeight="true" outlineLevel="0" collapsed="false">
      <c r="B37" s="7" t="s">
        <v>13</v>
      </c>
      <c r="C37" s="8" t="s">
        <v>14</v>
      </c>
      <c r="D37" s="9" t="s">
        <v>15</v>
      </c>
      <c r="E37" s="9"/>
      <c r="F37" s="9"/>
      <c r="G37" s="9"/>
    </row>
    <row r="38" customFormat="false" ht="13.5" hidden="false" customHeight="true" outlineLevel="0" collapsed="false">
      <c r="C38" s="8"/>
      <c r="D38" s="8"/>
      <c r="E38" s="9"/>
      <c r="F38" s="9"/>
      <c r="G38" s="9"/>
    </row>
    <row r="39" customFormat="false" ht="13.5" hidden="false" customHeight="true" outlineLevel="0" collapsed="false">
      <c r="C39" s="8"/>
      <c r="D39" s="8"/>
      <c r="E39" s="9"/>
      <c r="F39" s="9"/>
      <c r="G39" s="9"/>
    </row>
    <row r="40" customFormat="false" ht="13.5" hidden="false" customHeight="true" outlineLevel="0" collapsed="false">
      <c r="C40" s="8"/>
      <c r="D40" s="8"/>
      <c r="E40" s="9"/>
      <c r="F40" s="9"/>
      <c r="G40" s="9"/>
    </row>
    <row r="42" customFormat="false" ht="13.5" hidden="false" customHeight="true" outlineLevel="0" collapsed="false">
      <c r="B42" s="7" t="s">
        <v>16</v>
      </c>
      <c r="C42" s="8" t="s">
        <v>17</v>
      </c>
      <c r="D42" s="9" t="s">
        <v>18</v>
      </c>
      <c r="E42" s="9"/>
      <c r="F42" s="9"/>
      <c r="G42" s="9"/>
    </row>
    <row r="43" customFormat="false" ht="13.5" hidden="false" customHeight="true" outlineLevel="0" collapsed="false">
      <c r="C43" s="8"/>
      <c r="D43" s="8"/>
      <c r="E43" s="9"/>
      <c r="F43" s="9"/>
      <c r="G43" s="9"/>
    </row>
    <row r="44" customFormat="false" ht="13.5" hidden="false" customHeight="true" outlineLevel="0" collapsed="false">
      <c r="C44" s="8"/>
      <c r="D44" s="8"/>
      <c r="E44" s="9"/>
      <c r="F44" s="9"/>
      <c r="G44" s="9"/>
    </row>
    <row r="45" customFormat="false" ht="13.5" hidden="false" customHeight="true" outlineLevel="0" collapsed="false">
      <c r="C45" s="8"/>
      <c r="D45" s="8"/>
      <c r="E45" s="9"/>
      <c r="F45" s="9"/>
      <c r="G45" s="9"/>
    </row>
    <row r="47" customFormat="false" ht="13.5" hidden="false" customHeight="true" outlineLevel="0" collapsed="false">
      <c r="B47" s="7" t="s">
        <v>19</v>
      </c>
      <c r="C47" s="8" t="s">
        <v>20</v>
      </c>
      <c r="D47" s="9" t="s">
        <v>21</v>
      </c>
      <c r="E47" s="9"/>
      <c r="F47" s="9"/>
      <c r="G47" s="9"/>
    </row>
    <row r="48" customFormat="false" ht="13.5" hidden="false" customHeight="true" outlineLevel="0" collapsed="false">
      <c r="C48" s="8"/>
      <c r="D48" s="8"/>
      <c r="E48" s="9"/>
      <c r="F48" s="9"/>
      <c r="G48" s="9"/>
    </row>
    <row r="49" customFormat="false" ht="13.5" hidden="false" customHeight="true" outlineLevel="0" collapsed="false">
      <c r="C49" s="8"/>
      <c r="D49" s="8"/>
      <c r="E49" s="9"/>
      <c r="F49" s="9"/>
      <c r="G49" s="9"/>
    </row>
    <row r="50" customFormat="false" ht="13.5" hidden="false" customHeight="true" outlineLevel="0" collapsed="false">
      <c r="C50" s="8"/>
      <c r="D50" s="8"/>
      <c r="E50" s="9"/>
      <c r="F50" s="9"/>
      <c r="G50" s="9"/>
    </row>
    <row r="51" customFormat="false" ht="13.5" hidden="false" customHeight="true" outlineLevel="0" collapsed="false">
      <c r="C51" s="8"/>
      <c r="D51" s="8"/>
      <c r="E51" s="9"/>
      <c r="F51" s="9"/>
      <c r="G51" s="9"/>
    </row>
    <row r="52" customFormat="false" ht="13.5" hidden="false" customHeight="true" outlineLevel="0" collapsed="false">
      <c r="C52" s="8"/>
      <c r="D52" s="8"/>
      <c r="E52" s="9"/>
      <c r="F52" s="9"/>
      <c r="G52" s="9"/>
    </row>
    <row r="53" customFormat="false" ht="13.5" hidden="false" customHeight="true" outlineLevel="0" collapsed="false">
      <c r="C53" s="8"/>
      <c r="D53" s="8"/>
      <c r="E53" s="9"/>
      <c r="F53" s="9"/>
      <c r="G53" s="9"/>
    </row>
    <row r="54" customFormat="false" ht="13.5" hidden="false" customHeight="true" outlineLevel="0" collapsed="false">
      <c r="C54" s="8"/>
      <c r="D54" s="8"/>
      <c r="E54" s="9"/>
      <c r="F54" s="9"/>
      <c r="G54" s="9"/>
    </row>
    <row r="56" customFormat="false" ht="13.5" hidden="false" customHeight="true" outlineLevel="0" collapsed="false">
      <c r="B56" s="7" t="s">
        <v>22</v>
      </c>
      <c r="C56" s="8" t="s">
        <v>23</v>
      </c>
      <c r="D56" s="9" t="s">
        <v>24</v>
      </c>
      <c r="E56" s="9"/>
      <c r="F56" s="9"/>
      <c r="G56" s="9"/>
    </row>
    <row r="57" customFormat="false" ht="13.5" hidden="false" customHeight="true" outlineLevel="0" collapsed="false">
      <c r="C57" s="8"/>
      <c r="D57" s="8"/>
      <c r="E57" s="9"/>
      <c r="F57" s="9"/>
      <c r="G57" s="9"/>
    </row>
    <row r="58" customFormat="false" ht="13.5" hidden="false" customHeight="true" outlineLevel="0" collapsed="false">
      <c r="C58" s="8"/>
      <c r="D58" s="8"/>
      <c r="E58" s="9"/>
      <c r="F58" s="9"/>
      <c r="G58" s="9"/>
    </row>
    <row r="59" customFormat="false" ht="13.5" hidden="false" customHeight="true" outlineLevel="0" collapsed="false">
      <c r="C59" s="8"/>
      <c r="D59" s="8"/>
      <c r="E59" s="9"/>
      <c r="F59" s="9"/>
      <c r="G59" s="9"/>
    </row>
    <row r="60" customFormat="false" ht="13.5" hidden="false" customHeight="true" outlineLevel="0" collapsed="false">
      <c r="C60" s="8"/>
      <c r="D60" s="8"/>
      <c r="E60" s="9"/>
      <c r="F60" s="9"/>
      <c r="G60" s="9"/>
    </row>
    <row r="61" customFormat="false" ht="13.5" hidden="false" customHeight="true" outlineLevel="0" collapsed="false">
      <c r="C61" s="8"/>
      <c r="D61" s="8"/>
      <c r="E61" s="9"/>
      <c r="F61" s="9"/>
      <c r="G61" s="9"/>
    </row>
    <row r="64" customFormat="false" ht="24" hidden="false" customHeight="true" outlineLevel="0" collapsed="false">
      <c r="B64" s="6" t="s">
        <v>25</v>
      </c>
      <c r="C64" s="6"/>
      <c r="D64" s="6"/>
      <c r="E64" s="6"/>
      <c r="F64" s="6"/>
      <c r="G64" s="6"/>
    </row>
    <row r="65" customFormat="false" ht="18.75" hidden="false" customHeight="true" outlineLevel="0" collapsed="false">
      <c r="B65" s="10"/>
      <c r="C65" s="10" t="s">
        <v>26</v>
      </c>
      <c r="D65" s="10" t="s">
        <v>27</v>
      </c>
      <c r="E65" s="10"/>
      <c r="F65" s="10"/>
      <c r="G65" s="10"/>
    </row>
    <row r="66" customFormat="false" ht="46.5" hidden="false" customHeight="true" outlineLevel="0" collapsed="false">
      <c r="B66" s="11"/>
      <c r="C66" s="12" t="s">
        <v>28</v>
      </c>
      <c r="D66" s="13" t="s">
        <v>29</v>
      </c>
      <c r="E66" s="13"/>
      <c r="F66" s="13"/>
      <c r="G66" s="13"/>
    </row>
    <row r="67" customFormat="false" ht="46.5" hidden="false" customHeight="true" outlineLevel="0" collapsed="false">
      <c r="B67" s="14"/>
      <c r="C67" s="15" t="s">
        <v>30</v>
      </c>
      <c r="D67" s="16" t="s">
        <v>31</v>
      </c>
      <c r="E67" s="16"/>
      <c r="F67" s="16"/>
      <c r="G67" s="16"/>
    </row>
    <row r="68" customFormat="false" ht="33.75" hidden="false" customHeight="true" outlineLevel="0" collapsed="false">
      <c r="B68" s="17"/>
      <c r="C68" s="12" t="s">
        <v>32</v>
      </c>
      <c r="D68" s="13" t="s">
        <v>33</v>
      </c>
      <c r="E68" s="13"/>
      <c r="F68" s="13"/>
      <c r="G68" s="13"/>
    </row>
    <row r="69" customFormat="false" ht="46.5" hidden="false" customHeight="true" outlineLevel="0" collapsed="false">
      <c r="B69" s="18"/>
      <c r="C69" s="15" t="s">
        <v>34</v>
      </c>
      <c r="D69" s="16" t="s">
        <v>35</v>
      </c>
      <c r="E69" s="16"/>
      <c r="F69" s="16"/>
      <c r="G69" s="16"/>
    </row>
    <row r="70" customFormat="false" ht="46.5" hidden="false" customHeight="true" outlineLevel="0" collapsed="false">
      <c r="B70" s="19"/>
      <c r="C70" s="12" t="s">
        <v>36</v>
      </c>
      <c r="D70" s="13" t="s">
        <v>37</v>
      </c>
      <c r="E70" s="13"/>
      <c r="F70" s="13"/>
      <c r="G70" s="13"/>
    </row>
    <row r="71" customFormat="false" ht="46.5" hidden="false" customHeight="true" outlineLevel="0" collapsed="false">
      <c r="B71" s="20"/>
      <c r="C71" s="15" t="s">
        <v>38</v>
      </c>
      <c r="D71" s="16" t="s">
        <v>39</v>
      </c>
      <c r="E71" s="16"/>
      <c r="F71" s="16"/>
      <c r="G71" s="16"/>
    </row>
    <row r="72" customFormat="false" ht="46.5" hidden="false" customHeight="true" outlineLevel="0" collapsed="false">
      <c r="B72" s="21"/>
      <c r="C72" s="12" t="s">
        <v>40</v>
      </c>
      <c r="D72" s="13" t="s">
        <v>41</v>
      </c>
      <c r="E72" s="13"/>
      <c r="F72" s="13"/>
      <c r="G72" s="13"/>
    </row>
    <row r="74" customFormat="false" ht="24" hidden="false" customHeight="true" outlineLevel="0" collapsed="false">
      <c r="B74" s="6" t="s">
        <v>42</v>
      </c>
      <c r="C74" s="6"/>
      <c r="D74" s="6"/>
      <c r="E74" s="6"/>
      <c r="F74" s="6"/>
      <c r="G74" s="6"/>
    </row>
    <row r="75" customFormat="false" ht="13.5" hidden="false" customHeight="true" outlineLevel="0" collapsed="false">
      <c r="B75" s="22"/>
      <c r="C75" s="23" t="s">
        <v>43</v>
      </c>
      <c r="D75" s="9" t="s">
        <v>44</v>
      </c>
      <c r="E75" s="9"/>
      <c r="F75" s="9"/>
      <c r="G75" s="9"/>
    </row>
    <row r="76" customFormat="false" ht="13.5" hidden="false" customHeight="true" outlineLevel="0" collapsed="false">
      <c r="D76" s="9"/>
      <c r="E76" s="9"/>
      <c r="F76" s="9"/>
      <c r="G76" s="9"/>
    </row>
    <row r="77" customFormat="false" ht="13.5" hidden="false" customHeight="true" outlineLevel="0" collapsed="false">
      <c r="B77" s="24"/>
      <c r="C77" s="25" t="s">
        <v>45</v>
      </c>
      <c r="D77" s="9" t="s">
        <v>46</v>
      </c>
      <c r="E77" s="9"/>
      <c r="F77" s="9"/>
      <c r="G77" s="9"/>
    </row>
    <row r="78" customFormat="false" ht="13.5" hidden="false" customHeight="true" outlineLevel="0" collapsed="false">
      <c r="D78" s="9"/>
      <c r="E78" s="9"/>
      <c r="F78" s="9"/>
      <c r="G78" s="9"/>
    </row>
    <row r="79" customFormat="false" ht="13.5" hidden="false" customHeight="true" outlineLevel="0" collapsed="false">
      <c r="B79" s="26"/>
      <c r="C79" s="27" t="s">
        <v>47</v>
      </c>
      <c r="D79" s="9" t="s">
        <v>48</v>
      </c>
      <c r="E79" s="9"/>
      <c r="F79" s="9"/>
      <c r="G79" s="9"/>
    </row>
    <row r="80" customFormat="false" ht="13.5" hidden="false" customHeight="true" outlineLevel="0" collapsed="false">
      <c r="D80" s="9"/>
      <c r="E80" s="9"/>
      <c r="F80" s="9"/>
      <c r="G80" s="9"/>
    </row>
    <row r="81" customFormat="false" ht="13.5" hidden="false" customHeight="true" outlineLevel="0" collapsed="false">
      <c r="B81" s="28"/>
      <c r="C81" s="29" t="s">
        <v>49</v>
      </c>
      <c r="D81" s="9" t="s">
        <v>50</v>
      </c>
      <c r="E81" s="9"/>
      <c r="F81" s="9"/>
      <c r="G81" s="9"/>
    </row>
    <row r="82" customFormat="false" ht="13.5" hidden="false" customHeight="true" outlineLevel="0" collapsed="false">
      <c r="D82" s="9"/>
      <c r="E82" s="9"/>
      <c r="F82" s="9"/>
      <c r="G82" s="9"/>
    </row>
    <row r="83" customFormat="false" ht="13.5" hidden="false" customHeight="true" outlineLevel="0" collapsed="false">
      <c r="B83" s="30"/>
      <c r="C83" s="31" t="s">
        <v>51</v>
      </c>
      <c r="D83" s="9" t="s">
        <v>52</v>
      </c>
      <c r="E83" s="9"/>
      <c r="F83" s="9"/>
      <c r="G83" s="9"/>
    </row>
    <row r="84" customFormat="false" ht="13.5" hidden="false" customHeight="true" outlineLevel="0" collapsed="false">
      <c r="D84" s="9"/>
      <c r="E84" s="9"/>
      <c r="F84" s="9"/>
      <c r="G84" s="9"/>
    </row>
    <row r="85" customFormat="false" ht="13.5" hidden="false" customHeight="true" outlineLevel="0" collapsed="false">
      <c r="B85" s="32"/>
      <c r="C85" s="33" t="s">
        <v>53</v>
      </c>
      <c r="D85" s="9" t="s">
        <v>54</v>
      </c>
      <c r="E85" s="9"/>
      <c r="F85" s="9"/>
      <c r="G85" s="9"/>
    </row>
    <row r="86" customFormat="false" ht="13.5" hidden="false" customHeight="true" outlineLevel="0" collapsed="false">
      <c r="D86" s="9"/>
      <c r="E86" s="9"/>
      <c r="F86" s="9"/>
      <c r="G86" s="9"/>
    </row>
    <row r="88" customFormat="false" ht="24" hidden="false" customHeight="true" outlineLevel="0" collapsed="false">
      <c r="B88" s="6" t="s">
        <v>55</v>
      </c>
      <c r="C88" s="6"/>
      <c r="D88" s="6"/>
      <c r="E88" s="6"/>
      <c r="F88" s="6"/>
      <c r="G88" s="6"/>
    </row>
    <row r="89" customFormat="false" ht="13.5" hidden="false" customHeight="true" outlineLevel="0" collapsed="false">
      <c r="C89" s="8" t="s">
        <v>56</v>
      </c>
      <c r="D89" s="9" t="s">
        <v>57</v>
      </c>
      <c r="E89" s="9"/>
      <c r="F89" s="9"/>
      <c r="G89" s="9"/>
    </row>
    <row r="90" customFormat="false" ht="13.5" hidden="false" customHeight="true" outlineLevel="0" collapsed="false">
      <c r="C90" s="8"/>
      <c r="D90" s="8"/>
      <c r="E90" s="9"/>
      <c r="F90" s="9"/>
      <c r="G90" s="9"/>
    </row>
    <row r="91" customFormat="false" ht="13.5" hidden="false" customHeight="true" outlineLevel="0" collapsed="false">
      <c r="C91" s="8"/>
      <c r="D91" s="8"/>
      <c r="E91" s="9"/>
      <c r="F91" s="9"/>
      <c r="G91" s="9"/>
    </row>
    <row r="92" customFormat="false" ht="13.5" hidden="false" customHeight="true" outlineLevel="0" collapsed="false">
      <c r="C92" s="8"/>
      <c r="D92" s="8"/>
      <c r="E92" s="9"/>
      <c r="F92" s="9"/>
      <c r="G92" s="9"/>
    </row>
    <row r="93" customFormat="false" ht="13.5" hidden="false" customHeight="true" outlineLevel="0" collapsed="false">
      <c r="C93" s="8"/>
      <c r="D93" s="8"/>
      <c r="E93" s="9"/>
      <c r="F93" s="9"/>
      <c r="G93" s="9"/>
    </row>
    <row r="94" customFormat="false" ht="13.5" hidden="false" customHeight="true" outlineLevel="0" collapsed="false">
      <c r="C94" s="8"/>
      <c r="D94" s="8"/>
      <c r="E94" s="9"/>
      <c r="F94" s="9"/>
      <c r="G94" s="9"/>
    </row>
    <row r="95" customFormat="false" ht="13.5" hidden="false" customHeight="true" outlineLevel="0" collapsed="false">
      <c r="C95" s="8"/>
      <c r="D95" s="8"/>
      <c r="E95" s="9"/>
      <c r="F95" s="9"/>
      <c r="G95" s="9"/>
    </row>
    <row r="97" customFormat="false" ht="13.5" hidden="false" customHeight="true" outlineLevel="0" collapsed="false">
      <c r="C97" s="8" t="s">
        <v>58</v>
      </c>
      <c r="D97" s="9" t="s">
        <v>59</v>
      </c>
      <c r="E97" s="9"/>
      <c r="F97" s="9"/>
      <c r="G97" s="9"/>
    </row>
    <row r="98" customFormat="false" ht="13.5" hidden="false" customHeight="true" outlineLevel="0" collapsed="false">
      <c r="C98" s="8"/>
      <c r="D98" s="8"/>
      <c r="E98" s="9"/>
      <c r="F98" s="9"/>
      <c r="G98" s="9"/>
    </row>
    <row r="99" customFormat="false" ht="13.5" hidden="false" customHeight="true" outlineLevel="0" collapsed="false">
      <c r="C99" s="8"/>
      <c r="D99" s="8"/>
      <c r="E99" s="9"/>
      <c r="F99" s="9"/>
      <c r="G99" s="9"/>
    </row>
    <row r="100" customFormat="false" ht="13.5" hidden="false" customHeight="true" outlineLevel="0" collapsed="false">
      <c r="C100" s="8"/>
      <c r="D100" s="8"/>
      <c r="E100" s="9"/>
      <c r="F100" s="9"/>
      <c r="G100" s="9"/>
    </row>
    <row r="101" customFormat="false" ht="13.5" hidden="false" customHeight="true" outlineLevel="0" collapsed="false">
      <c r="C101" s="8"/>
      <c r="D101" s="8"/>
      <c r="E101" s="9"/>
      <c r="F101" s="9"/>
      <c r="G101" s="9"/>
    </row>
    <row r="102" customFormat="false" ht="13.5" hidden="false" customHeight="true" outlineLevel="0" collapsed="false">
      <c r="C102" s="8"/>
      <c r="D102" s="8"/>
      <c r="E102" s="9"/>
      <c r="F102" s="9"/>
      <c r="G102" s="9"/>
    </row>
    <row r="103" customFormat="false" ht="13.5" hidden="false" customHeight="true" outlineLevel="0" collapsed="false">
      <c r="C103" s="8"/>
      <c r="D103" s="8"/>
      <c r="E103" s="9"/>
      <c r="F103" s="9"/>
      <c r="G103" s="9"/>
    </row>
    <row r="104" customFormat="false" ht="13.5" hidden="false" customHeight="true" outlineLevel="0" collapsed="false">
      <c r="C104" s="8"/>
      <c r="D104" s="8"/>
      <c r="E104" s="9"/>
      <c r="F104" s="9"/>
      <c r="G104" s="9"/>
    </row>
    <row r="106" customFormat="false" ht="13.5" hidden="false" customHeight="true" outlineLevel="0" collapsed="false">
      <c r="C106" s="8" t="s">
        <v>60</v>
      </c>
      <c r="D106" s="9" t="s">
        <v>61</v>
      </c>
      <c r="E106" s="9"/>
      <c r="F106" s="9"/>
      <c r="G106" s="9"/>
    </row>
    <row r="107" customFormat="false" ht="13.5" hidden="false" customHeight="true" outlineLevel="0" collapsed="false">
      <c r="C107" s="8"/>
      <c r="D107" s="8"/>
      <c r="E107" s="9"/>
      <c r="F107" s="9"/>
      <c r="G107" s="9"/>
    </row>
    <row r="108" customFormat="false" ht="13.5" hidden="false" customHeight="true" outlineLevel="0" collapsed="false">
      <c r="C108" s="8"/>
      <c r="D108" s="8"/>
      <c r="E108" s="9"/>
      <c r="F108" s="9"/>
      <c r="G108" s="9"/>
    </row>
    <row r="109" customFormat="false" ht="13.5" hidden="false" customHeight="true" outlineLevel="0" collapsed="false">
      <c r="C109" s="8"/>
      <c r="D109" s="8"/>
      <c r="E109" s="9"/>
      <c r="F109" s="9"/>
      <c r="G109" s="9"/>
    </row>
    <row r="110" customFormat="false" ht="13.5" hidden="false" customHeight="true" outlineLevel="0" collapsed="false">
      <c r="C110" s="8"/>
      <c r="D110" s="8"/>
      <c r="E110" s="9"/>
      <c r="F110" s="9"/>
      <c r="G110" s="9"/>
    </row>
    <row r="112" customFormat="false" ht="13.5" hidden="false" customHeight="true" outlineLevel="0" collapsed="false">
      <c r="C112" s="8" t="s">
        <v>62</v>
      </c>
      <c r="D112" s="9" t="s">
        <v>63</v>
      </c>
      <c r="E112" s="9"/>
      <c r="F112" s="9"/>
      <c r="G112" s="9"/>
    </row>
    <row r="113" customFormat="false" ht="13.5" hidden="false" customHeight="true" outlineLevel="0" collapsed="false">
      <c r="C113" s="8"/>
      <c r="D113" s="8"/>
      <c r="E113" s="9"/>
      <c r="F113" s="9"/>
      <c r="G113" s="9"/>
    </row>
    <row r="114" customFormat="false" ht="13.5" hidden="false" customHeight="true" outlineLevel="0" collapsed="false">
      <c r="C114" s="8"/>
      <c r="D114" s="8"/>
      <c r="E114" s="9"/>
      <c r="F114" s="9"/>
      <c r="G114" s="9"/>
    </row>
    <row r="115" customFormat="false" ht="13.5" hidden="false" customHeight="true" outlineLevel="0" collapsed="false">
      <c r="C115" s="8"/>
      <c r="D115" s="8"/>
      <c r="E115" s="9"/>
      <c r="F115" s="9"/>
      <c r="G115" s="9"/>
    </row>
    <row r="116" customFormat="false" ht="13.5" hidden="false" customHeight="true" outlineLevel="0" collapsed="false">
      <c r="C116" s="8"/>
      <c r="D116" s="8"/>
      <c r="E116" s="9"/>
      <c r="F116" s="9"/>
      <c r="G116" s="9"/>
    </row>
    <row r="117" customFormat="false" ht="13.5" hidden="false" customHeight="true" outlineLevel="0" collapsed="false">
      <c r="C117" s="8"/>
      <c r="D117" s="8"/>
      <c r="E117" s="9"/>
      <c r="F117" s="9"/>
      <c r="G117" s="9"/>
    </row>
    <row r="118" customFormat="false" ht="13.5" hidden="false" customHeight="true" outlineLevel="0" collapsed="false">
      <c r="C118" s="8"/>
      <c r="D118" s="8"/>
      <c r="E118" s="9"/>
      <c r="F118" s="9"/>
      <c r="G118" s="9"/>
    </row>
    <row r="120" customFormat="false" ht="13.5" hidden="false" customHeight="true" outlineLevel="0" collapsed="false">
      <c r="C120" s="8" t="s">
        <v>64</v>
      </c>
      <c r="D120" s="9" t="s">
        <v>65</v>
      </c>
      <c r="E120" s="9"/>
      <c r="F120" s="9"/>
      <c r="G120" s="9"/>
    </row>
    <row r="121" customFormat="false" ht="13.5" hidden="false" customHeight="true" outlineLevel="0" collapsed="false">
      <c r="C121" s="8"/>
      <c r="D121" s="8"/>
      <c r="E121" s="9"/>
      <c r="F121" s="9"/>
      <c r="G121" s="9"/>
    </row>
    <row r="122" customFormat="false" ht="13.5" hidden="false" customHeight="true" outlineLevel="0" collapsed="false">
      <c r="C122" s="8"/>
      <c r="D122" s="8"/>
      <c r="E122" s="9"/>
      <c r="F122" s="9"/>
      <c r="G122" s="9"/>
    </row>
    <row r="123" customFormat="false" ht="13.5" hidden="false" customHeight="true" outlineLevel="0" collapsed="false">
      <c r="C123" s="8"/>
      <c r="D123" s="8"/>
      <c r="E123" s="9"/>
      <c r="F123" s="9"/>
      <c r="G123" s="9"/>
    </row>
    <row r="124" customFormat="false" ht="13.5" hidden="false" customHeight="true" outlineLevel="0" collapsed="false">
      <c r="C124" s="8"/>
      <c r="D124" s="8"/>
      <c r="E124" s="9"/>
      <c r="F124" s="9"/>
      <c r="G124" s="9"/>
    </row>
    <row r="125" customFormat="false" ht="13.5" hidden="false" customHeight="true" outlineLevel="0" collapsed="false">
      <c r="C125" s="8"/>
      <c r="D125" s="8"/>
      <c r="E125" s="9"/>
      <c r="F125" s="9"/>
      <c r="G125" s="9"/>
    </row>
    <row r="126" customFormat="false" ht="13.5" hidden="false" customHeight="true" outlineLevel="0" collapsed="false">
      <c r="C126" s="8"/>
      <c r="D126" s="8"/>
      <c r="E126" s="9"/>
      <c r="F126" s="9"/>
      <c r="G126" s="9"/>
    </row>
    <row r="127" customFormat="false" ht="13.5" hidden="false" customHeight="true" outlineLevel="0" collapsed="false">
      <c r="C127" s="8"/>
      <c r="D127" s="8"/>
      <c r="E127" s="9"/>
      <c r="F127" s="9"/>
      <c r="G127" s="9"/>
    </row>
    <row r="129" customFormat="false" ht="13.5" hidden="false" customHeight="true" outlineLevel="0" collapsed="false">
      <c r="C129" s="8" t="s">
        <v>66</v>
      </c>
      <c r="D129" s="9" t="s">
        <v>67</v>
      </c>
      <c r="E129" s="9"/>
      <c r="F129" s="9"/>
      <c r="G129" s="9"/>
    </row>
    <row r="130" customFormat="false" ht="13.5" hidden="false" customHeight="true" outlineLevel="0" collapsed="false">
      <c r="C130" s="8"/>
      <c r="D130" s="8"/>
      <c r="E130" s="9"/>
      <c r="F130" s="9"/>
      <c r="G130" s="9"/>
    </row>
    <row r="131" customFormat="false" ht="13.5" hidden="false" customHeight="true" outlineLevel="0" collapsed="false">
      <c r="C131" s="8"/>
      <c r="D131" s="8"/>
      <c r="E131" s="9"/>
      <c r="F131" s="9"/>
      <c r="G131" s="9"/>
    </row>
    <row r="132" customFormat="false" ht="13.5" hidden="false" customHeight="true" outlineLevel="0" collapsed="false">
      <c r="C132" s="8"/>
      <c r="D132" s="8"/>
      <c r="E132" s="9"/>
      <c r="F132" s="9"/>
      <c r="G132" s="9"/>
    </row>
    <row r="133" customFormat="false" ht="13.5" hidden="false" customHeight="true" outlineLevel="0" collapsed="false">
      <c r="C133" s="8"/>
      <c r="D133" s="8"/>
      <c r="E133" s="9"/>
      <c r="F133" s="9"/>
      <c r="G133" s="9"/>
    </row>
    <row r="134" customFormat="false" ht="13.5" hidden="false" customHeight="true" outlineLevel="0" collapsed="false">
      <c r="C134" s="8"/>
      <c r="D134" s="8"/>
      <c r="E134" s="9"/>
      <c r="F134" s="9"/>
      <c r="G134" s="9"/>
    </row>
    <row r="135" customFormat="false" ht="13.5" hidden="false" customHeight="true" outlineLevel="0" collapsed="false">
      <c r="C135" s="8"/>
      <c r="D135" s="8"/>
      <c r="E135" s="9"/>
      <c r="F135" s="9"/>
      <c r="G135" s="9"/>
    </row>
    <row r="136" customFormat="false" ht="13.5" hidden="false" customHeight="true" outlineLevel="0" collapsed="false">
      <c r="C136" s="8"/>
      <c r="D136" s="8"/>
      <c r="E136" s="9"/>
      <c r="F136" s="9"/>
      <c r="G136" s="9"/>
    </row>
    <row r="137" customFormat="false" ht="13.5" hidden="false" customHeight="true" outlineLevel="0" collapsed="false">
      <c r="C137" s="8"/>
      <c r="D137" s="8"/>
      <c r="E137" s="9"/>
      <c r="F137" s="9"/>
      <c r="G137" s="9"/>
    </row>
    <row r="139" customFormat="false" ht="13.5" hidden="false" customHeight="true" outlineLevel="0" collapsed="false">
      <c r="C139" s="8" t="s">
        <v>68</v>
      </c>
      <c r="D139" s="9" t="s">
        <v>69</v>
      </c>
      <c r="E139" s="9"/>
      <c r="F139" s="9"/>
      <c r="G139" s="9"/>
    </row>
    <row r="140" customFormat="false" ht="13.5" hidden="false" customHeight="true" outlineLevel="0" collapsed="false">
      <c r="C140" s="8"/>
      <c r="D140" s="8"/>
      <c r="E140" s="9"/>
      <c r="F140" s="9"/>
      <c r="G140" s="9"/>
    </row>
    <row r="141" customFormat="false" ht="13.5" hidden="false" customHeight="true" outlineLevel="0" collapsed="false">
      <c r="C141" s="8"/>
      <c r="D141" s="8"/>
      <c r="E141" s="9"/>
      <c r="F141" s="9"/>
      <c r="G141" s="9"/>
    </row>
    <row r="142" customFormat="false" ht="13.5" hidden="false" customHeight="true" outlineLevel="0" collapsed="false">
      <c r="C142" s="8"/>
      <c r="D142" s="8"/>
      <c r="E142" s="9"/>
      <c r="F142" s="9"/>
      <c r="G142" s="9"/>
    </row>
    <row r="143" customFormat="false" ht="13.5" hidden="false" customHeight="true" outlineLevel="0" collapsed="false">
      <c r="C143" s="8"/>
      <c r="D143" s="8"/>
      <c r="E143" s="9"/>
      <c r="F143" s="9"/>
      <c r="G143" s="9"/>
    </row>
    <row r="145" customFormat="false" ht="24" hidden="false" customHeight="true" outlineLevel="0" collapsed="false">
      <c r="B145" s="6" t="s">
        <v>70</v>
      </c>
      <c r="C145" s="6"/>
      <c r="D145" s="6"/>
      <c r="E145" s="6"/>
      <c r="F145" s="6"/>
      <c r="G145" s="6"/>
    </row>
    <row r="146" customFormat="false" ht="13.5" hidden="false" customHeight="true" outlineLevel="0" collapsed="false">
      <c r="C146" s="8" t="s">
        <v>71</v>
      </c>
      <c r="D146" s="9" t="s">
        <v>72</v>
      </c>
      <c r="E146" s="9"/>
      <c r="F146" s="9"/>
      <c r="G146" s="9"/>
    </row>
    <row r="147" customFormat="false" ht="13.5" hidden="false" customHeight="true" outlineLevel="0" collapsed="false">
      <c r="C147" s="8"/>
      <c r="D147" s="8"/>
      <c r="E147" s="9"/>
      <c r="F147" s="9"/>
      <c r="G147" s="9"/>
    </row>
    <row r="148" customFormat="false" ht="13.5" hidden="false" customHeight="true" outlineLevel="0" collapsed="false">
      <c r="C148" s="8"/>
      <c r="D148" s="8"/>
      <c r="E148" s="9"/>
      <c r="F148" s="9"/>
      <c r="G148" s="9"/>
    </row>
    <row r="149" customFormat="false" ht="13.5" hidden="false" customHeight="true" outlineLevel="0" collapsed="false">
      <c r="C149" s="8"/>
      <c r="D149" s="8"/>
      <c r="E149" s="9"/>
      <c r="F149" s="9"/>
      <c r="G149" s="9"/>
    </row>
    <row r="150" customFormat="false" ht="13.5" hidden="false" customHeight="true" outlineLevel="0" collapsed="false">
      <c r="C150" s="8"/>
      <c r="D150" s="8"/>
      <c r="E150" s="9"/>
      <c r="F150" s="9"/>
      <c r="G150" s="9"/>
    </row>
    <row r="151" customFormat="false" ht="13.5" hidden="false" customHeight="true" outlineLevel="0" collapsed="false">
      <c r="C151" s="8"/>
      <c r="D151" s="8"/>
      <c r="E151" s="9"/>
      <c r="F151" s="9"/>
      <c r="G151" s="9"/>
    </row>
    <row r="153" customFormat="false" ht="13.5" hidden="false" customHeight="true" outlineLevel="0" collapsed="false">
      <c r="C153" s="8" t="s">
        <v>73</v>
      </c>
      <c r="D153" s="9" t="s">
        <v>74</v>
      </c>
      <c r="E153" s="9"/>
      <c r="F153" s="9"/>
      <c r="G153" s="9"/>
    </row>
    <row r="154" customFormat="false" ht="13.5" hidden="false" customHeight="true" outlineLevel="0" collapsed="false">
      <c r="C154" s="8"/>
      <c r="D154" s="8"/>
      <c r="E154" s="9"/>
      <c r="F154" s="9"/>
      <c r="G154" s="9"/>
    </row>
    <row r="155" customFormat="false" ht="13.5" hidden="false" customHeight="true" outlineLevel="0" collapsed="false">
      <c r="C155" s="8"/>
      <c r="D155" s="8"/>
      <c r="E155" s="9"/>
      <c r="F155" s="9"/>
      <c r="G155" s="9"/>
    </row>
    <row r="156" customFormat="false" ht="13.5" hidden="false" customHeight="true" outlineLevel="0" collapsed="false">
      <c r="C156" s="8"/>
      <c r="D156" s="8"/>
      <c r="E156" s="9"/>
      <c r="F156" s="9"/>
      <c r="G156" s="9"/>
    </row>
    <row r="158" customFormat="false" ht="13.5" hidden="false" customHeight="true" outlineLevel="0" collapsed="false">
      <c r="C158" s="8" t="s">
        <v>75</v>
      </c>
      <c r="D158" s="9" t="s">
        <v>76</v>
      </c>
      <c r="E158" s="9"/>
      <c r="F158" s="9"/>
      <c r="G158" s="9"/>
    </row>
    <row r="159" customFormat="false" ht="13.5" hidden="false" customHeight="true" outlineLevel="0" collapsed="false">
      <c r="C159" s="8"/>
      <c r="D159" s="8"/>
      <c r="E159" s="9"/>
      <c r="F159" s="9"/>
      <c r="G159" s="9"/>
    </row>
    <row r="160" customFormat="false" ht="13.5" hidden="false" customHeight="true" outlineLevel="0" collapsed="false">
      <c r="C160" s="8"/>
      <c r="D160" s="8"/>
      <c r="E160" s="9"/>
      <c r="F160" s="9"/>
      <c r="G160" s="9"/>
    </row>
    <row r="161" customFormat="false" ht="13.5" hidden="false" customHeight="true" outlineLevel="0" collapsed="false">
      <c r="C161" s="8"/>
      <c r="D161" s="8"/>
      <c r="E161" s="9"/>
      <c r="F161" s="9"/>
      <c r="G161" s="9"/>
    </row>
    <row r="162" customFormat="false" ht="13.5" hidden="false" customHeight="true" outlineLevel="0" collapsed="false">
      <c r="C162" s="8"/>
      <c r="D162" s="8"/>
      <c r="E162" s="9"/>
      <c r="F162" s="9"/>
      <c r="G162" s="9"/>
    </row>
    <row r="163" customFormat="false" ht="13.5" hidden="false" customHeight="true" outlineLevel="0" collapsed="false">
      <c r="C163" s="8"/>
      <c r="D163" s="8"/>
      <c r="E163" s="9"/>
      <c r="F163" s="9"/>
      <c r="G163" s="9"/>
    </row>
    <row r="165" customFormat="false" ht="13.5" hidden="false" customHeight="true" outlineLevel="0" collapsed="false">
      <c r="C165" s="8" t="s">
        <v>77</v>
      </c>
      <c r="D165" s="9" t="s">
        <v>78</v>
      </c>
      <c r="E165" s="9"/>
      <c r="F165" s="9"/>
      <c r="G165" s="9"/>
    </row>
    <row r="166" customFormat="false" ht="13.5" hidden="false" customHeight="true" outlineLevel="0" collapsed="false">
      <c r="C166" s="8"/>
      <c r="D166" s="8"/>
      <c r="E166" s="9"/>
      <c r="F166" s="9"/>
      <c r="G166" s="9"/>
    </row>
    <row r="167" customFormat="false" ht="13.5" hidden="false" customHeight="true" outlineLevel="0" collapsed="false">
      <c r="C167" s="8"/>
      <c r="D167" s="8"/>
      <c r="E167" s="9"/>
      <c r="F167" s="9"/>
      <c r="G167" s="9"/>
    </row>
    <row r="168" customFormat="false" ht="13.5" hidden="false" customHeight="true" outlineLevel="0" collapsed="false">
      <c r="C168" s="8"/>
      <c r="D168" s="8"/>
      <c r="E168" s="9"/>
      <c r="F168" s="9"/>
      <c r="G168" s="9"/>
    </row>
    <row r="169" customFormat="false" ht="13.5" hidden="false" customHeight="true" outlineLevel="0" collapsed="false">
      <c r="C169" s="8"/>
      <c r="D169" s="8"/>
      <c r="E169" s="9"/>
      <c r="F169" s="9"/>
      <c r="G169" s="9"/>
    </row>
    <row r="171" customFormat="false" ht="13.5" hidden="false" customHeight="true" outlineLevel="0" collapsed="false">
      <c r="C171" s="8" t="s">
        <v>79</v>
      </c>
      <c r="D171" s="9" t="s">
        <v>80</v>
      </c>
      <c r="E171" s="9"/>
      <c r="F171" s="9"/>
      <c r="G171" s="9"/>
    </row>
    <row r="172" customFormat="false" ht="13.5" hidden="false" customHeight="true" outlineLevel="0" collapsed="false">
      <c r="C172" s="8"/>
      <c r="D172" s="8"/>
      <c r="E172" s="9"/>
      <c r="F172" s="9"/>
      <c r="G172" s="9"/>
    </row>
    <row r="173" customFormat="false" ht="13.5" hidden="false" customHeight="true" outlineLevel="0" collapsed="false">
      <c r="C173" s="8"/>
      <c r="D173" s="8"/>
      <c r="E173" s="9"/>
      <c r="F173" s="9"/>
      <c r="G173" s="9"/>
    </row>
    <row r="175" customFormat="false" ht="13.5" hidden="false" customHeight="true" outlineLevel="0" collapsed="false">
      <c r="C175" s="8" t="s">
        <v>81</v>
      </c>
      <c r="D175" s="9" t="s">
        <v>82</v>
      </c>
      <c r="E175" s="9"/>
      <c r="F175" s="9"/>
      <c r="G175" s="9"/>
    </row>
    <row r="176" customFormat="false" ht="13.5" hidden="false" customHeight="true" outlineLevel="0" collapsed="false">
      <c r="C176" s="8"/>
      <c r="D176" s="8"/>
      <c r="E176" s="9"/>
      <c r="F176" s="9"/>
      <c r="G176" s="9"/>
    </row>
    <row r="177" customFormat="false" ht="13.5" hidden="false" customHeight="true" outlineLevel="0" collapsed="false">
      <c r="C177" s="8"/>
      <c r="D177" s="8"/>
      <c r="E177" s="9"/>
      <c r="F177" s="9"/>
      <c r="G177" s="9"/>
    </row>
    <row r="178" customFormat="false" ht="13.5" hidden="false" customHeight="true" outlineLevel="0" collapsed="false">
      <c r="C178" s="8"/>
      <c r="D178" s="8"/>
      <c r="E178" s="9"/>
      <c r="F178" s="9"/>
      <c r="G178" s="9"/>
    </row>
    <row r="180" customFormat="false" ht="13.5" hidden="false" customHeight="true" outlineLevel="0" collapsed="false">
      <c r="C180" s="8" t="s">
        <v>83</v>
      </c>
      <c r="D180" s="9" t="s">
        <v>84</v>
      </c>
      <c r="E180" s="9"/>
      <c r="F180" s="9"/>
      <c r="G180" s="9"/>
    </row>
    <row r="181" customFormat="false" ht="13.5" hidden="false" customHeight="true" outlineLevel="0" collapsed="false">
      <c r="C181" s="8"/>
      <c r="D181" s="8"/>
      <c r="E181" s="9"/>
      <c r="F181" s="9"/>
      <c r="G181" s="9"/>
    </row>
    <row r="182" customFormat="false" ht="13.5" hidden="false" customHeight="true" outlineLevel="0" collapsed="false">
      <c r="C182" s="8"/>
      <c r="D182" s="8"/>
      <c r="E182" s="9"/>
      <c r="F182" s="9"/>
      <c r="G182" s="9"/>
    </row>
    <row r="184" customFormat="false" ht="15" hidden="false" customHeight="false" outlineLevel="0" collapsed="false">
      <c r="B184" s="34" t="s">
        <v>85</v>
      </c>
      <c r="C184" s="34"/>
      <c r="D184" s="34"/>
      <c r="E184" s="34"/>
      <c r="F184" s="34"/>
      <c r="G184" s="34"/>
    </row>
    <row r="185" customFormat="false" ht="13.5" hidden="false" customHeight="true" outlineLevel="0" collapsed="false">
      <c r="B185" s="35" t="s">
        <v>86</v>
      </c>
      <c r="C185" s="35"/>
      <c r="D185" s="35"/>
      <c r="E185" s="35"/>
      <c r="F185" s="35"/>
      <c r="G185" s="35"/>
    </row>
    <row r="186" customFormat="false" ht="13.5" hidden="false" customHeight="true" outlineLevel="0" collapsed="false">
      <c r="B186" s="35"/>
      <c r="C186" s="35"/>
      <c r="D186" s="35"/>
      <c r="E186" s="35"/>
      <c r="F186" s="35"/>
      <c r="G186" s="35"/>
    </row>
    <row r="187" customFormat="false" ht="13.5" hidden="false" customHeight="true" outlineLevel="0" collapsed="false">
      <c r="B187" s="35"/>
      <c r="C187" s="35"/>
      <c r="D187" s="35"/>
      <c r="E187" s="35"/>
      <c r="F187" s="35"/>
      <c r="G187" s="35"/>
    </row>
    <row r="188" customFormat="false" ht="13.5" hidden="false" customHeight="true" outlineLevel="0" collapsed="false">
      <c r="B188" s="35"/>
      <c r="C188" s="35"/>
      <c r="D188" s="35"/>
      <c r="E188" s="35"/>
      <c r="F188" s="35"/>
      <c r="G188" s="35"/>
    </row>
    <row r="189" customFormat="false" ht="13.5" hidden="false" customHeight="true" outlineLevel="0" collapsed="false">
      <c r="B189" s="35"/>
      <c r="C189" s="35"/>
      <c r="D189" s="35"/>
      <c r="E189" s="35"/>
      <c r="F189" s="35"/>
      <c r="G189" s="35"/>
    </row>
    <row r="190" customFormat="false" ht="13.5" hidden="false" customHeight="true" outlineLevel="0" collapsed="false">
      <c r="B190" s="35"/>
      <c r="C190" s="35"/>
      <c r="D190" s="35"/>
      <c r="E190" s="35"/>
      <c r="F190" s="35"/>
      <c r="G190" s="35"/>
    </row>
    <row r="191" customFormat="false" ht="13.5" hidden="false" customHeight="true" outlineLevel="0" collapsed="false">
      <c r="B191" s="35"/>
      <c r="C191" s="35"/>
      <c r="D191" s="35"/>
      <c r="E191" s="35"/>
      <c r="F191" s="35"/>
      <c r="G191" s="35"/>
    </row>
    <row r="192" customFormat="false" ht="13.5" hidden="false" customHeight="true" outlineLevel="0" collapsed="false">
      <c r="B192" s="35"/>
      <c r="C192" s="35"/>
      <c r="D192" s="35"/>
      <c r="E192" s="35"/>
      <c r="F192" s="35"/>
      <c r="G192" s="35"/>
    </row>
    <row r="194" customFormat="false" ht="19.5" hidden="false" customHeight="true" outlineLevel="0" collapsed="false">
      <c r="B194" s="36" t="s">
        <v>87</v>
      </c>
      <c r="C194" s="36"/>
      <c r="D194" s="36"/>
      <c r="E194" s="36"/>
      <c r="F194" s="36"/>
      <c r="G194" s="36"/>
    </row>
  </sheetData>
  <mergeCells count="69">
    <mergeCell ref="B1:G1"/>
    <mergeCell ref="B2:G2"/>
    <mergeCell ref="B4:G4"/>
    <mergeCell ref="B5:G5"/>
    <mergeCell ref="B7:G12"/>
    <mergeCell ref="B14:G14"/>
    <mergeCell ref="C15:C20"/>
    <mergeCell ref="D15:G20"/>
    <mergeCell ref="C22:C26"/>
    <mergeCell ref="D22:G26"/>
    <mergeCell ref="C28:C35"/>
    <mergeCell ref="D28:G35"/>
    <mergeCell ref="C37:C40"/>
    <mergeCell ref="D37:G40"/>
    <mergeCell ref="C42:C45"/>
    <mergeCell ref="D42:G45"/>
    <mergeCell ref="C47:C54"/>
    <mergeCell ref="D47:G54"/>
    <mergeCell ref="C56:C61"/>
    <mergeCell ref="D56:G61"/>
    <mergeCell ref="B64:G64"/>
    <mergeCell ref="D65:G65"/>
    <mergeCell ref="D66:G66"/>
    <mergeCell ref="D67:G67"/>
    <mergeCell ref="D68:G68"/>
    <mergeCell ref="D69:G69"/>
    <mergeCell ref="D70:G70"/>
    <mergeCell ref="D71:G71"/>
    <mergeCell ref="D72:G72"/>
    <mergeCell ref="B74:G74"/>
    <mergeCell ref="D75:G76"/>
    <mergeCell ref="D77:G78"/>
    <mergeCell ref="D79:G80"/>
    <mergeCell ref="D81:G82"/>
    <mergeCell ref="D83:G84"/>
    <mergeCell ref="D85:G86"/>
    <mergeCell ref="B88:G88"/>
    <mergeCell ref="C89:C95"/>
    <mergeCell ref="D89:G95"/>
    <mergeCell ref="C97:C104"/>
    <mergeCell ref="D97:G104"/>
    <mergeCell ref="C106:C110"/>
    <mergeCell ref="D106:G110"/>
    <mergeCell ref="C112:C118"/>
    <mergeCell ref="D112:G118"/>
    <mergeCell ref="C120:C127"/>
    <mergeCell ref="D120:G127"/>
    <mergeCell ref="C129:C137"/>
    <mergeCell ref="D129:G137"/>
    <mergeCell ref="C139:C143"/>
    <mergeCell ref="D139:G143"/>
    <mergeCell ref="B145:G145"/>
    <mergeCell ref="C146:C151"/>
    <mergeCell ref="D146:G151"/>
    <mergeCell ref="C153:C156"/>
    <mergeCell ref="D153:G156"/>
    <mergeCell ref="C158:C163"/>
    <mergeCell ref="D158:G163"/>
    <mergeCell ref="C165:C169"/>
    <mergeCell ref="D165:G169"/>
    <mergeCell ref="C171:C173"/>
    <mergeCell ref="D171:G173"/>
    <mergeCell ref="C175:C178"/>
    <mergeCell ref="D175:G178"/>
    <mergeCell ref="C180:C182"/>
    <mergeCell ref="D180:G182"/>
    <mergeCell ref="B184:G184"/>
    <mergeCell ref="B185:G192"/>
    <mergeCell ref="B194:G194"/>
  </mergeCells>
  <hyperlinks>
    <hyperlink ref="C66" location="'Setup'!A1" display="Setup"/>
    <hyperlink ref="C67" location="'Portfolio Summary'!A1" display="Portfolio Summary"/>
    <hyperlink ref="C68" location="'Project List'!A1" display="Project List"/>
    <hyperlink ref="C69" location="'Cost &amp; Benefits'!A1" display="Cost &amp; Benefits"/>
    <hyperlink ref="C70" location="'Assurance'!A1" display="Assurance"/>
    <hyperlink ref="C71" location="'Contractor List'!A1" display="Contractor List"/>
    <hyperlink ref="C72" location="'Reference'!A1" display="Reference"/>
    <hyperlink ref="B194" r:id="rId1" display="Built for teams delivering capital projects, programs and portfolios  ·  mastt.com"/>
  </hyperlinks>
  <printOptions headings="false" gridLines="false" gridLinesSet="true" horizontalCentered="false" verticalCentered="false"/>
  <pageMargins left="0.3" right="0.3" top="0.5" bottom="0.5"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rowBreaks count="5" manualBreakCount="5">
    <brk id="46" man="true" max="16383" min="0"/>
    <brk id="63" man="true" max="16383" min="0"/>
    <brk id="87" man="true" max="16383" min="0"/>
    <brk id="128" man="true" max="16383" min="0"/>
    <brk id="144" man="true" max="16383" min="0"/>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15383"/>
    <pageSetUpPr fitToPage="true"/>
  </sheetPr>
  <dimension ref="B1:H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42"/>
    <col collapsed="false" customWidth="true" hidden="false" outlineLevel="0" max="3" min="3" style="0" width="4"/>
    <col collapsed="false" customWidth="true" hidden="false" outlineLevel="0" max="4" min="4" style="0" width="26"/>
    <col collapsed="false" customWidth="true" hidden="false" outlineLevel="0" max="5" min="5" style="0" width="24"/>
    <col collapsed="false" customWidth="true" hidden="false" outlineLevel="0" max="7" min="6" style="0" width="22"/>
    <col collapsed="false" customWidth="true" hidden="false" outlineLevel="0" max="8" min="8" style="0" width="42"/>
    <col collapsed="false" customWidth="true" hidden="false" outlineLevel="0" max="9" min="9" style="0" width="2.2"/>
  </cols>
  <sheetData>
    <row r="1" customFormat="false" ht="33.75" hidden="false" customHeight="true" outlineLevel="0" collapsed="false">
      <c r="B1" s="37" t="s">
        <v>88</v>
      </c>
      <c r="C1" s="37"/>
      <c r="D1" s="37"/>
      <c r="E1" s="37"/>
      <c r="F1" s="37"/>
      <c r="G1" s="37"/>
      <c r="H1" s="37"/>
    </row>
    <row r="2" customFormat="false" ht="4.5" hidden="false" customHeight="true" outlineLevel="0" collapsed="false">
      <c r="B2" s="38"/>
      <c r="C2" s="38"/>
      <c r="D2" s="38"/>
      <c r="E2" s="38"/>
      <c r="F2" s="38"/>
      <c r="G2" s="38"/>
      <c r="H2" s="38"/>
    </row>
    <row r="3" customFormat="false" ht="16.5" hidden="false" customHeight="true" outlineLevel="0" collapsed="false">
      <c r="B3" s="39" t="str">
        <f aca="false">IF(LEFT(Setup!$D$7,7)&lt;&gt;"EXAMPLE","","EXAMPLE DATA - type your own organisation name on Setup to clear this.")</f>
        <v>EXAMPLE DATA - type your own organisation name on Setup to clear this.</v>
      </c>
      <c r="C3" s="39"/>
      <c r="D3" s="39"/>
      <c r="E3" s="39"/>
      <c r="F3" s="39"/>
      <c r="G3" s="39"/>
      <c r="H3" s="39"/>
    </row>
    <row r="4" customFormat="false" ht="25.5" hidden="false" customHeight="true" outlineLevel="0" collapsed="false">
      <c r="B4" s="40" t="s">
        <v>89</v>
      </c>
      <c r="C4" s="40"/>
      <c r="D4" s="40"/>
      <c r="E4" s="40"/>
      <c r="F4" s="40"/>
      <c r="G4" s="40"/>
      <c r="H4" s="40"/>
    </row>
    <row r="6" customFormat="false" ht="21.75" hidden="false" customHeight="true" outlineLevel="0" collapsed="false">
      <c r="B6" s="6" t="s">
        <v>90</v>
      </c>
      <c r="C6" s="6"/>
      <c r="D6" s="6"/>
      <c r="E6" s="6"/>
      <c r="F6" s="6"/>
      <c r="G6" s="6"/>
      <c r="H6" s="6"/>
    </row>
    <row r="7" customFormat="false" ht="21.75" hidden="false" customHeight="true" outlineLevel="0" collapsed="false">
      <c r="B7" s="41" t="s">
        <v>91</v>
      </c>
      <c r="D7" s="42" t="s">
        <v>92</v>
      </c>
      <c r="E7" s="42"/>
    </row>
    <row r="8" customFormat="false" ht="21.75" hidden="false" customHeight="true" outlineLevel="0" collapsed="false">
      <c r="B8" s="41" t="s">
        <v>93</v>
      </c>
      <c r="D8" s="42" t="s">
        <v>94</v>
      </c>
      <c r="E8" s="42"/>
    </row>
    <row r="9" customFormat="false" ht="21.75" hidden="false" customHeight="true" outlineLevel="0" collapsed="false">
      <c r="B9" s="41" t="s">
        <v>95</v>
      </c>
      <c r="D9" s="42" t="s">
        <v>96</v>
      </c>
      <c r="E9" s="42"/>
    </row>
    <row r="10" customFormat="false" ht="21.75" hidden="false" customHeight="true" outlineLevel="0" collapsed="false">
      <c r="B10" s="41" t="s">
        <v>97</v>
      </c>
      <c r="D10" s="42" t="s">
        <v>98</v>
      </c>
      <c r="E10" s="42"/>
    </row>
    <row r="11" customFormat="false" ht="21.75" hidden="false" customHeight="true" outlineLevel="0" collapsed="false">
      <c r="B11" s="41" t="s">
        <v>99</v>
      </c>
      <c r="D11" s="42" t="s">
        <v>100</v>
      </c>
      <c r="E11" s="42"/>
    </row>
    <row r="12" customFormat="false" ht="21.75" hidden="false" customHeight="true" outlineLevel="0" collapsed="false">
      <c r="B12" s="41" t="s">
        <v>101</v>
      </c>
      <c r="D12" s="43" t="n">
        <f aca="true">TODAY()</f>
        <v>46252</v>
      </c>
      <c r="E12" s="43"/>
      <c r="F12" s="40" t="s">
        <v>102</v>
      </c>
      <c r="G12" s="40"/>
      <c r="H12" s="40"/>
    </row>
    <row r="14" customFormat="false" ht="21.75" hidden="false" customHeight="true" outlineLevel="0" collapsed="false">
      <c r="B14" s="6" t="s">
        <v>103</v>
      </c>
      <c r="C14" s="6"/>
      <c r="D14" s="6"/>
      <c r="E14" s="6"/>
      <c r="F14" s="6"/>
      <c r="G14" s="6"/>
      <c r="H14" s="6"/>
    </row>
    <row r="15" customFormat="false" ht="12.75" hidden="false" customHeight="true" outlineLevel="0" collapsed="false">
      <c r="B15" s="40" t="s">
        <v>104</v>
      </c>
      <c r="C15" s="40"/>
      <c r="D15" s="40"/>
      <c r="E15" s="40"/>
      <c r="F15" s="40"/>
      <c r="G15" s="40"/>
      <c r="H15" s="40"/>
    </row>
    <row r="16" customFormat="false" ht="12.75" hidden="false" customHeight="true" outlineLevel="0" collapsed="false">
      <c r="B16" s="40"/>
      <c r="C16" s="40"/>
      <c r="D16" s="40"/>
      <c r="E16" s="40"/>
      <c r="F16" s="40"/>
      <c r="G16" s="40"/>
      <c r="H16" s="40"/>
    </row>
    <row r="17" customFormat="false" ht="12.75" hidden="false" customHeight="true" outlineLevel="0" collapsed="false">
      <c r="B17" s="40"/>
      <c r="C17" s="40"/>
      <c r="D17" s="40"/>
      <c r="E17" s="40"/>
      <c r="F17" s="40"/>
      <c r="G17" s="40"/>
      <c r="H17" s="40"/>
    </row>
    <row r="18" customFormat="false" ht="31.5" hidden="false" customHeight="true" outlineLevel="0" collapsed="false">
      <c r="B18" s="41" t="s">
        <v>105</v>
      </c>
      <c r="D18" s="44" t="n">
        <v>0.05</v>
      </c>
      <c r="E18" s="44"/>
      <c r="F18" s="40" t="s">
        <v>106</v>
      </c>
      <c r="G18" s="40"/>
      <c r="H18" s="40"/>
    </row>
    <row r="19" customFormat="false" ht="31.5" hidden="false" customHeight="true" outlineLevel="0" collapsed="false">
      <c r="B19" s="41" t="s">
        <v>107</v>
      </c>
      <c r="D19" s="45" t="n">
        <v>21</v>
      </c>
      <c r="E19" s="45"/>
      <c r="F19" s="40" t="s">
        <v>108</v>
      </c>
      <c r="G19" s="40"/>
      <c r="H19" s="40"/>
    </row>
    <row r="20" customFormat="false" ht="31.5" hidden="false" customHeight="true" outlineLevel="0" collapsed="false">
      <c r="B20" s="41" t="s">
        <v>109</v>
      </c>
      <c r="D20" s="45" t="n">
        <v>30</v>
      </c>
      <c r="E20" s="45"/>
      <c r="F20" s="40" t="s">
        <v>110</v>
      </c>
      <c r="G20" s="40"/>
      <c r="H20" s="40"/>
    </row>
    <row r="22" customFormat="false" ht="21.75" hidden="false" customHeight="true" outlineLevel="0" collapsed="false">
      <c r="B22" s="6" t="s">
        <v>111</v>
      </c>
      <c r="C22" s="6"/>
      <c r="D22" s="6"/>
      <c r="E22" s="6"/>
      <c r="F22" s="6"/>
      <c r="G22" s="6"/>
      <c r="H22" s="6"/>
    </row>
    <row r="23" customFormat="false" ht="12.75" hidden="false" customHeight="true" outlineLevel="0" collapsed="false">
      <c r="B23" s="40" t="s">
        <v>112</v>
      </c>
      <c r="C23" s="40"/>
      <c r="D23" s="40"/>
      <c r="E23" s="40"/>
      <c r="F23" s="40"/>
      <c r="G23" s="40"/>
      <c r="H23" s="40"/>
    </row>
    <row r="24" customFormat="false" ht="12.75" hidden="false" customHeight="true" outlineLevel="0" collapsed="false">
      <c r="B24" s="40"/>
      <c r="C24" s="40"/>
      <c r="D24" s="40"/>
      <c r="E24" s="40"/>
      <c r="F24" s="40"/>
      <c r="G24" s="40"/>
      <c r="H24" s="40"/>
    </row>
    <row r="25" customFormat="false" ht="12.75" hidden="false" customHeight="true" outlineLevel="0" collapsed="false">
      <c r="B25" s="40"/>
      <c r="C25" s="40"/>
      <c r="D25" s="40"/>
      <c r="E25" s="40"/>
      <c r="F25" s="40"/>
      <c r="G25" s="40"/>
      <c r="H25" s="40"/>
    </row>
    <row r="26" customFormat="false" ht="55.5" hidden="false" customHeight="true" outlineLevel="0" collapsed="false">
      <c r="B26" s="41" t="s">
        <v>113</v>
      </c>
      <c r="D26" s="45" t="n">
        <v>24</v>
      </c>
      <c r="E26" s="45"/>
      <c r="F26" s="40" t="s">
        <v>114</v>
      </c>
      <c r="G26" s="40"/>
      <c r="H26" s="40"/>
    </row>
    <row r="27" customFormat="false" ht="31.5" hidden="false" customHeight="true" outlineLevel="0" collapsed="false">
      <c r="B27" s="41" t="s">
        <v>115</v>
      </c>
      <c r="D27" s="44" t="n">
        <v>0.9</v>
      </c>
      <c r="E27" s="44"/>
      <c r="F27" s="40" t="s">
        <v>116</v>
      </c>
      <c r="G27" s="40"/>
      <c r="H27" s="40"/>
    </row>
    <row r="29" customFormat="false" ht="21.75" hidden="false" customHeight="true" outlineLevel="0" collapsed="false">
      <c r="B29" s="6" t="s">
        <v>117</v>
      </c>
      <c r="C29" s="6"/>
      <c r="D29" s="6"/>
      <c r="E29" s="6"/>
      <c r="F29" s="6"/>
      <c r="G29" s="6"/>
      <c r="H29" s="6"/>
    </row>
    <row r="30" customFormat="false" ht="21.75" hidden="false" customHeight="true" outlineLevel="0" collapsed="false">
      <c r="B30" s="41" t="s">
        <v>118</v>
      </c>
      <c r="D30" s="46" t="n">
        <f aca="false">(IF(Setup!$D$7="",0,1)+IF(Setup!$D$8="",0,1)+IF(Setup!$D$9="",0,1)+IF(Setup!$D$11="",0,1)+IF(Setup!$D$12="",0,1)+IF(Setup!$D$18="",0,1)+IF(Setup!$D$19="",0,1)+IF(Setup!$D$20="",0,1)+IF(Setup!$D$26="",0,1)+IF(Setup!$D$27="",0,1))/10</f>
        <v>1</v>
      </c>
      <c r="E30" s="46"/>
      <c r="F30" s="40" t="s">
        <v>119</v>
      </c>
      <c r="G30" s="40"/>
      <c r="H30" s="40"/>
    </row>
    <row r="32" customFormat="false" ht="18" hidden="false" customHeight="true" outlineLevel="0" collapsed="false">
      <c r="B32" s="47" t="s">
        <v>120</v>
      </c>
      <c r="C32" s="47"/>
      <c r="D32" s="47"/>
      <c r="E32" s="47"/>
      <c r="F32" s="47"/>
      <c r="G32" s="47"/>
      <c r="H32" s="47"/>
    </row>
  </sheetData>
  <mergeCells count="30">
    <mergeCell ref="B1:H1"/>
    <mergeCell ref="B2:H2"/>
    <mergeCell ref="B3:H3"/>
    <mergeCell ref="B4:H4"/>
    <mergeCell ref="B6:H6"/>
    <mergeCell ref="D7:E7"/>
    <mergeCell ref="D8:E8"/>
    <mergeCell ref="D9:E9"/>
    <mergeCell ref="D10:E10"/>
    <mergeCell ref="D11:E11"/>
    <mergeCell ref="D12:E12"/>
    <mergeCell ref="F12:H12"/>
    <mergeCell ref="B14:H14"/>
    <mergeCell ref="B15:H17"/>
    <mergeCell ref="D18:E18"/>
    <mergeCell ref="F18:H18"/>
    <mergeCell ref="D19:E19"/>
    <mergeCell ref="F19:H19"/>
    <mergeCell ref="D20:E20"/>
    <mergeCell ref="F20:H20"/>
    <mergeCell ref="B22:H22"/>
    <mergeCell ref="B23:H25"/>
    <mergeCell ref="D26:E26"/>
    <mergeCell ref="F26:H26"/>
    <mergeCell ref="D27:E27"/>
    <mergeCell ref="F27:H27"/>
    <mergeCell ref="B29:H29"/>
    <mergeCell ref="D30:E30"/>
    <mergeCell ref="F30:H30"/>
    <mergeCell ref="B32:H32"/>
  </mergeCells>
  <conditionalFormatting sqref="B3:H3">
    <cfRule type="expression" priority="2" aboveAverage="0" equalAverage="0" bottom="0" percent="0" rank="0" text="" dxfId="0">
      <formula>LEN($B$3)&gt;0</formula>
    </cfRule>
  </conditionalFormatting>
  <hyperlinks>
    <hyperlink ref="B32" r:id="rId1" display="Visit mastt.com"/>
  </hyperlinks>
  <printOptions headings="false" gridLines="false" gridLinesSet="true" horizontalCentered="false" verticalCentered="false"/>
  <pageMargins left="0.3" right="0.3" top="0.5" bottom="0.5" header="0.511811023622047" footer="0.511811023622047"/>
  <pageSetup paperSize="8" scale="100" fitToWidth="1" fitToHeight="0" pageOrder="downThenOver" orientation="landscape" blackAndWhite="false" draft="false" cellComments="none" horizontalDpi="300" verticalDpi="300" copies="1"/>
  <headerFooter differentFirst="false" differentOddEven="false">
    <oddHeader/>
    <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D3C61"/>
    <pageSetUpPr fitToPage="true"/>
  </sheetPr>
  <dimension ref="B1:I7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8"/>
    <col collapsed="false" customWidth="true" hidden="false" outlineLevel="0" max="8" min="3" style="0" width="20"/>
    <col collapsed="false" customWidth="true" hidden="false" outlineLevel="0" max="9" min="9" style="0" width="24"/>
    <col collapsed="false" customWidth="true" hidden="false" outlineLevel="0" max="10" min="10" style="0" width="2.2"/>
  </cols>
  <sheetData>
    <row r="1" customFormat="false" ht="33.75" hidden="false" customHeight="true" outlineLevel="0" collapsed="false">
      <c r="B1" s="37" t="s">
        <v>121</v>
      </c>
      <c r="C1" s="37"/>
      <c r="D1" s="37"/>
      <c r="E1" s="37"/>
      <c r="F1" s="37"/>
      <c r="G1" s="37"/>
      <c r="H1" s="37"/>
      <c r="I1" s="37"/>
    </row>
    <row r="2" customFormat="false" ht="4.5" hidden="false" customHeight="true" outlineLevel="0" collapsed="false">
      <c r="B2" s="6"/>
      <c r="C2" s="6"/>
      <c r="D2" s="6"/>
      <c r="E2" s="6"/>
      <c r="F2" s="6"/>
      <c r="G2" s="6"/>
      <c r="H2" s="6"/>
      <c r="I2" s="6"/>
    </row>
    <row r="3" customFormat="false" ht="16.5" hidden="false" customHeight="true" outlineLevel="0" collapsed="false">
      <c r="B3" s="39" t="str">
        <f aca="false">IF(LEFT(Setup!$D$7,7)&lt;&gt;"EXAMPLE","","EXAMPLE DATA - type your own organisation name on Setup to clear this.")</f>
        <v>EXAMPLE DATA - type your own organisation name on Setup to clear this.</v>
      </c>
      <c r="C3" s="39"/>
      <c r="D3" s="39"/>
      <c r="E3" s="39"/>
      <c r="F3" s="39"/>
      <c r="G3" s="39"/>
      <c r="H3" s="39"/>
      <c r="I3" s="39"/>
    </row>
    <row r="4" customFormat="false" ht="25.5" hidden="false" customHeight="true" outlineLevel="0" collapsed="false">
      <c r="B4" s="40" t="s">
        <v>122</v>
      </c>
      <c r="C4" s="40"/>
      <c r="D4" s="40"/>
      <c r="E4" s="40"/>
      <c r="F4" s="40"/>
      <c r="G4" s="40"/>
      <c r="H4" s="40"/>
      <c r="I4" s="40"/>
    </row>
    <row r="6" customFormat="false" ht="21.75" hidden="false" customHeight="true" outlineLevel="0" collapsed="false">
      <c r="B6" s="6" t="s">
        <v>123</v>
      </c>
      <c r="C6" s="6"/>
      <c r="D6" s="6"/>
      <c r="E6" s="6"/>
      <c r="F6" s="6"/>
      <c r="G6" s="6"/>
      <c r="H6" s="6"/>
      <c r="I6" s="6"/>
    </row>
    <row r="7" customFormat="false" ht="30" hidden="false" customHeight="true" outlineLevel="0" collapsed="false">
      <c r="B7" s="48" t="s">
        <v>124</v>
      </c>
      <c r="C7" s="48"/>
      <c r="D7" s="49" t="s">
        <v>125</v>
      </c>
      <c r="E7" s="49"/>
      <c r="F7" s="49" t="s">
        <v>126</v>
      </c>
      <c r="G7" s="49"/>
      <c r="H7" s="49" t="s">
        <v>127</v>
      </c>
      <c r="I7" s="49"/>
    </row>
    <row r="8" customFormat="false" ht="33.75" hidden="false" customHeight="true" outlineLevel="0" collapsed="false">
      <c r="B8" s="50" t="n">
        <f aca="false">COUNTIF('Project List'!$C$7:$C$28,"&lt;&gt;")</f>
        <v>16</v>
      </c>
      <c r="C8" s="50"/>
      <c r="D8" s="51" t="n">
        <f aca="false">COUNTIF('Project List'!$M$7:$M$28,"LATE - beyond tolerance")+COUNTIF('Project List'!$M$7:$M$28,"Overdue - not closed out")</f>
        <v>2</v>
      </c>
      <c r="E8" s="51"/>
      <c r="F8" s="51" t="n">
        <f aca="false">COUNTIF(Assurance!$M$7:$M$28,"OWNER AHEAD OF THE REVIEW")</f>
        <v>3</v>
      </c>
      <c r="G8" s="51"/>
      <c r="H8" s="51" t="n">
        <f aca="false">COUNTIF('Cost &amp; Benefits'!$O$7:$O$28,"OVER THRESHOLD - NO EXPLANATION")</f>
        <v>1</v>
      </c>
      <c r="I8" s="51"/>
    </row>
    <row r="10" customFormat="false" ht="30" hidden="false" customHeight="true" outlineLevel="0" collapsed="false">
      <c r="B10" s="48" t="s">
        <v>128</v>
      </c>
      <c r="C10" s="48"/>
      <c r="D10" s="52" t="s">
        <v>129</v>
      </c>
      <c r="E10" s="52"/>
      <c r="F10" s="52" t="s">
        <v>130</v>
      </c>
      <c r="G10" s="52"/>
      <c r="H10" s="52" t="s">
        <v>131</v>
      </c>
      <c r="I10" s="52"/>
    </row>
    <row r="11" customFormat="false" ht="33.75" hidden="false" customHeight="true" outlineLevel="0" collapsed="false">
      <c r="B11" s="53" t="n">
        <f aca="false">SUM('Cost &amp; Benefits'!$E$7:$E$28)</f>
        <v>168150000</v>
      </c>
      <c r="C11" s="53"/>
      <c r="D11" s="54" t="n">
        <f aca="false">SUM('Cost &amp; Benefits'!$F$7:$F$28)</f>
        <v>193135000</v>
      </c>
      <c r="E11" s="54"/>
      <c r="F11" s="54" t="n">
        <f aca="false">SUM('Cost &amp; Benefits'!$F$7:$F$28)-SUM('Cost &amp; Benefits'!$E$7:$E$28)</f>
        <v>24985000</v>
      </c>
      <c r="G11" s="54"/>
      <c r="H11" s="55" t="n">
        <f aca="false">IF(SUM('Cost &amp; Benefits'!$E$7:$E$28)=0,"",(SUM('Cost &amp; Benefits'!$F$7:$F$28)-SUM('Cost &amp; Benefits'!$E$7:$E$28))/SUM('Cost &amp; Benefits'!$E$7:$E$28))</f>
        <v>0.148587570621469</v>
      </c>
      <c r="I11" s="55"/>
    </row>
    <row r="13" customFormat="false" ht="30" hidden="false" customHeight="true" outlineLevel="0" collapsed="false">
      <c r="B13" s="49" t="s">
        <v>132</v>
      </c>
      <c r="C13" s="49"/>
      <c r="D13" s="49" t="s">
        <v>77</v>
      </c>
      <c r="E13" s="49"/>
      <c r="F13" s="49" t="s">
        <v>133</v>
      </c>
      <c r="G13" s="49"/>
      <c r="H13" s="52" t="s">
        <v>134</v>
      </c>
      <c r="I13" s="52"/>
    </row>
    <row r="14" customFormat="false" ht="33.75" hidden="false" customHeight="true" outlineLevel="0" collapsed="false">
      <c r="B14" s="51" t="n">
        <f aca="false">COUNTIF('Contractor List'!$O$7:$O$21,"OVER THE ASSESSED LEVEL")</f>
        <v>1</v>
      </c>
      <c r="C14" s="51"/>
      <c r="D14" s="51" t="n">
        <f aca="false">COUNTIF('Contractor List'!$O$7:$O$21,"COVER LAPSES BEFORE THE WORK ENDS")</f>
        <v>1</v>
      </c>
      <c r="E14" s="51"/>
      <c r="F14" s="51" t="n">
        <f aca="false">COUNTIF(Assurance!$M$7:$M$28,"REVIEW OVERDUE")</f>
        <v>1</v>
      </c>
      <c r="G14" s="51"/>
      <c r="H14" s="56" t="n">
        <f aca="false">SUM(Assurance!$L$7:$L$28)</f>
        <v>15</v>
      </c>
      <c r="I14" s="56"/>
    </row>
    <row r="16" customFormat="false" ht="31.5" hidden="false" customHeight="true" outlineLevel="0" collapsed="false">
      <c r="B16" s="41" t="s">
        <v>135</v>
      </c>
      <c r="C16" s="57" t="n">
        <f aca="false">COUNTIF(Assurance!$E$7:$E$28,"Red")</f>
        <v>1</v>
      </c>
      <c r="D16" s="57"/>
      <c r="E16" s="40" t="s">
        <v>136</v>
      </c>
      <c r="F16" s="40"/>
      <c r="G16" s="40"/>
      <c r="H16" s="40"/>
      <c r="I16" s="40"/>
    </row>
    <row r="17" customFormat="false" ht="31.5" hidden="false" customHeight="true" outlineLevel="0" collapsed="false">
      <c r="B17" s="41" t="s">
        <v>137</v>
      </c>
      <c r="C17" s="58" t="n">
        <f aca="false">SUM('Cost &amp; Benefits'!$K$7:$K$28)</f>
        <v>343100000</v>
      </c>
      <c r="D17" s="58"/>
      <c r="E17" s="40" t="s">
        <v>138</v>
      </c>
      <c r="F17" s="40"/>
      <c r="G17" s="40"/>
      <c r="H17" s="40"/>
      <c r="I17" s="40"/>
    </row>
    <row r="18" customFormat="false" ht="31.5" hidden="false" customHeight="true" outlineLevel="0" collapsed="false">
      <c r="B18" s="41" t="s">
        <v>139</v>
      </c>
      <c r="C18" s="58" t="n">
        <f aca="false">SUM('Cost &amp; Benefits'!$L$7:$L$28)</f>
        <v>342200000</v>
      </c>
      <c r="D18" s="58"/>
      <c r="E18" s="40" t="s">
        <v>140</v>
      </c>
      <c r="F18" s="40"/>
      <c r="G18" s="40"/>
      <c r="H18" s="40"/>
      <c r="I18" s="40"/>
    </row>
    <row r="19" customFormat="false" ht="43.5" hidden="false" customHeight="true" outlineLevel="0" collapsed="false">
      <c r="B19" s="41" t="s">
        <v>141</v>
      </c>
      <c r="C19" s="58" t="n">
        <f aca="false">SUM('Contractor List'!$H$7:$H$21)</f>
        <v>172535000</v>
      </c>
      <c r="D19" s="58"/>
      <c r="E19" s="40" t="s">
        <v>142</v>
      </c>
      <c r="F19" s="40"/>
      <c r="G19" s="40"/>
      <c r="H19" s="40"/>
      <c r="I19" s="40"/>
    </row>
    <row r="20" customFormat="false" ht="31.5" hidden="false" customHeight="true" outlineLevel="0" collapsed="false">
      <c r="B20" s="41" t="s">
        <v>143</v>
      </c>
      <c r="C20" s="57" t="n">
        <f aca="false">COUNTIF('Project List'!$C$7:$C$28,"&lt;&gt;")-SUMPRODUCT(('Project List'!$I$7:$I$28&lt;&gt;"")*('Project List'!$C$7:$C$28&lt;&gt;""))</f>
        <v>2</v>
      </c>
      <c r="D20" s="57"/>
      <c r="E20" s="40" t="s">
        <v>144</v>
      </c>
      <c r="F20" s="40"/>
      <c r="G20" s="40"/>
      <c r="H20" s="40"/>
      <c r="I20" s="40"/>
    </row>
    <row r="21" customFormat="false" ht="43.5" hidden="false" customHeight="true" outlineLevel="0" collapsed="false">
      <c r="B21" s="41" t="s">
        <v>145</v>
      </c>
      <c r="C21" s="57" t="n">
        <f aca="false">COUNTIF('Cost &amp; Benefits'!$O$7:$O$28,"Reference not found")+COUNTIF(Assurance!$M$7:$M$28,"Reference not found")</f>
        <v>0</v>
      </c>
      <c r="D21" s="57"/>
      <c r="E21" s="40" t="s">
        <v>146</v>
      </c>
      <c r="F21" s="40"/>
      <c r="G21" s="40"/>
      <c r="H21" s="40"/>
      <c r="I21" s="40"/>
    </row>
    <row r="22" customFormat="false" ht="43.5" hidden="false" customHeight="true" outlineLevel="0" collapsed="false">
      <c r="B22" s="41" t="s">
        <v>147</v>
      </c>
      <c r="C22" s="57" t="n">
        <f aca="false">SUMPRODUCT(('Project List'!$C$7:$C$28&lt;&gt;"")*(COUNTIF('Cost &amp; Benefits'!$B$7:$B$28,'Project List'!$B$7:$B$28)=0))</f>
        <v>0</v>
      </c>
      <c r="D22" s="57"/>
      <c r="E22" s="40" t="s">
        <v>148</v>
      </c>
      <c r="F22" s="40"/>
      <c r="G22" s="40"/>
      <c r="H22" s="40"/>
      <c r="I22" s="40"/>
    </row>
    <row r="24" customFormat="false" ht="21.75" hidden="false" customHeight="true" outlineLevel="0" collapsed="false">
      <c r="B24" s="6" t="s">
        <v>149</v>
      </c>
      <c r="C24" s="6"/>
      <c r="D24" s="6"/>
      <c r="E24" s="6"/>
      <c r="F24" s="6"/>
      <c r="G24" s="6"/>
      <c r="H24" s="6"/>
      <c r="I24" s="6"/>
    </row>
    <row r="25" customFormat="false" ht="21.75" hidden="false" customHeight="true" outlineLevel="0" collapsed="false">
      <c r="B25" s="10" t="s">
        <v>150</v>
      </c>
      <c r="C25" s="10" t="s">
        <v>151</v>
      </c>
      <c r="D25" s="10"/>
      <c r="E25" s="10" t="s">
        <v>152</v>
      </c>
      <c r="F25" s="10"/>
      <c r="G25" s="10" t="s">
        <v>153</v>
      </c>
      <c r="H25" s="10"/>
      <c r="I25" s="10"/>
    </row>
    <row r="26" customFormat="false" ht="24" hidden="false" customHeight="true" outlineLevel="0" collapsed="false">
      <c r="B26" s="25" t="s">
        <v>154</v>
      </c>
      <c r="C26" s="59" t="n">
        <f aca="false">COUNTIF('Project List'!$M$7:$M$28,"On programme")</f>
        <v>6</v>
      </c>
      <c r="D26" s="59"/>
      <c r="E26" s="60" t="n">
        <f aca="false">IF(COUNTIF('Project List'!$C$7:$C$28,"&lt;&gt;")=0,"",COUNTIF('Project List'!$M$7:$M$28,"On programme")/COUNTIF('Project List'!$C$7:$C$28,"&lt;&gt;"))</f>
        <v>0.375</v>
      </c>
      <c r="F26" s="60"/>
      <c r="G26" s="61" t="s">
        <v>155</v>
      </c>
      <c r="H26" s="61"/>
      <c r="I26" s="61"/>
    </row>
    <row r="27" customFormat="false" ht="24" hidden="false" customHeight="true" outlineLevel="0" collapsed="false">
      <c r="B27" s="27" t="s">
        <v>156</v>
      </c>
      <c r="C27" s="59" t="n">
        <f aca="false">COUNTIF('Project List'!$M$7:$M$28,"Finishing soon")</f>
        <v>1</v>
      </c>
      <c r="D27" s="59"/>
      <c r="E27" s="60" t="n">
        <f aca="false">IF(COUNTIF('Project List'!$C$7:$C$28,"&lt;&gt;")=0,"",COUNTIF('Project List'!$M$7:$M$28,"Finishing soon")/COUNTIF('Project List'!$C$7:$C$28,"&lt;&gt;"))</f>
        <v>0.0625</v>
      </c>
      <c r="F27" s="60"/>
      <c r="G27" s="61" t="s">
        <v>157</v>
      </c>
      <c r="H27" s="61"/>
      <c r="I27" s="61"/>
    </row>
    <row r="28" customFormat="false" ht="33.75" hidden="false" customHeight="true" outlineLevel="0" collapsed="false">
      <c r="B28" s="29" t="s">
        <v>158</v>
      </c>
      <c r="C28" s="59" t="n">
        <f aca="false">COUNTIF('Project List'!$M$7:$M$28,"Slipping")</f>
        <v>5</v>
      </c>
      <c r="D28" s="59"/>
      <c r="E28" s="60" t="n">
        <f aca="false">IF(COUNTIF('Project List'!$C$7:$C$28,"&lt;&gt;")=0,"",COUNTIF('Project List'!$M$7:$M$28,"Slipping")/COUNTIF('Project List'!$C$7:$C$28,"&lt;&gt;"))</f>
        <v>0.3125</v>
      </c>
      <c r="F28" s="60"/>
      <c r="G28" s="61" t="s">
        <v>159</v>
      </c>
      <c r="H28" s="61"/>
      <c r="I28" s="61"/>
    </row>
    <row r="29" customFormat="false" ht="33.75" hidden="false" customHeight="true" outlineLevel="0" collapsed="false">
      <c r="B29" s="31" t="s">
        <v>160</v>
      </c>
      <c r="C29" s="59" t="n">
        <f aca="false">COUNTIF('Project List'!$M$7:$M$28,"LATE - beyond tolerance")</f>
        <v>2</v>
      </c>
      <c r="D29" s="59"/>
      <c r="E29" s="60" t="n">
        <f aca="false">IF(COUNTIF('Project List'!$C$7:$C$28,"&lt;&gt;")=0,"",COUNTIF('Project List'!$M$7:$M$28,"LATE - beyond tolerance")/COUNTIF('Project List'!$C$7:$C$28,"&lt;&gt;"))</f>
        <v>0.125</v>
      </c>
      <c r="F29" s="60"/>
      <c r="G29" s="61" t="s">
        <v>161</v>
      </c>
      <c r="H29" s="61"/>
      <c r="I29" s="61"/>
    </row>
    <row r="30" customFormat="false" ht="33.75" hidden="false" customHeight="true" outlineLevel="0" collapsed="false">
      <c r="B30" s="31" t="s">
        <v>162</v>
      </c>
      <c r="C30" s="59" t="n">
        <f aca="false">COUNTIF('Project List'!$M$7:$M$28,"Overdue - not closed out")</f>
        <v>0</v>
      </c>
      <c r="D30" s="59"/>
      <c r="E30" s="60" t="n">
        <f aca="false">IF(COUNTIF('Project List'!$C$7:$C$28,"&lt;&gt;")=0,"",COUNTIF('Project List'!$M$7:$M$28,"Overdue - not closed out")/COUNTIF('Project List'!$C$7:$C$28,"&lt;&gt;"))</f>
        <v>0</v>
      </c>
      <c r="F30" s="60"/>
      <c r="G30" s="61" t="s">
        <v>163</v>
      </c>
      <c r="H30" s="61"/>
      <c r="I30" s="61"/>
    </row>
    <row r="31" customFormat="false" ht="24" hidden="false" customHeight="true" outlineLevel="0" collapsed="false">
      <c r="B31" s="23" t="s">
        <v>164</v>
      </c>
      <c r="C31" s="59" t="n">
        <f aca="false">COUNTIF('Project List'!$M$7:$M$28,"Complete")</f>
        <v>1</v>
      </c>
      <c r="D31" s="59"/>
      <c r="E31" s="60" t="n">
        <f aca="false">IF(COUNTIF('Project List'!$C$7:$C$28,"&lt;&gt;")=0,"",COUNTIF('Project List'!$M$7:$M$28,"Complete")/COUNTIF('Project List'!$C$7:$C$28,"&lt;&gt;"))</f>
        <v>0.0625</v>
      </c>
      <c r="F31" s="60"/>
      <c r="G31" s="61" t="s">
        <v>165</v>
      </c>
      <c r="H31" s="61"/>
      <c r="I31" s="61"/>
    </row>
    <row r="32" customFormat="false" ht="24" hidden="false" customHeight="true" outlineLevel="0" collapsed="false">
      <c r="B32" s="33" t="s">
        <v>166</v>
      </c>
      <c r="C32" s="59" t="n">
        <f aca="false">COUNTIF('Project List'!$M$7:$M$28,"On hold")</f>
        <v>1</v>
      </c>
      <c r="D32" s="59"/>
      <c r="E32" s="60" t="n">
        <f aca="false">IF(COUNTIF('Project List'!$C$7:$C$28,"&lt;&gt;")=0,"",COUNTIF('Project List'!$M$7:$M$28,"On hold")/COUNTIF('Project List'!$C$7:$C$28,"&lt;&gt;"))</f>
        <v>0.0625</v>
      </c>
      <c r="F32" s="60"/>
      <c r="G32" s="61" t="s">
        <v>167</v>
      </c>
      <c r="H32" s="61"/>
      <c r="I32" s="61"/>
    </row>
    <row r="33" customFormat="false" ht="24" hidden="false" customHeight="true" outlineLevel="0" collapsed="false">
      <c r="B33" s="27" t="s">
        <v>168</v>
      </c>
      <c r="C33" s="59" t="n">
        <f aca="false">COUNTIF('Project List'!$M$7:$M$28,"No forecast finish")</f>
        <v>0</v>
      </c>
      <c r="D33" s="59"/>
      <c r="E33" s="60" t="n">
        <f aca="false">IF(COUNTIF('Project List'!$C$7:$C$28,"&lt;&gt;")=0,"",COUNTIF('Project List'!$M$7:$M$28,"No forecast finish")/COUNTIF('Project List'!$C$7:$C$28,"&lt;&gt;"))</f>
        <v>0</v>
      </c>
      <c r="F33" s="60"/>
      <c r="G33" s="61" t="s">
        <v>169</v>
      </c>
      <c r="H33" s="61"/>
      <c r="I33" s="61"/>
    </row>
    <row r="35" customFormat="false" ht="21.75" hidden="false" customHeight="true" outlineLevel="0" collapsed="false">
      <c r="B35" s="6" t="s">
        <v>170</v>
      </c>
      <c r="C35" s="6"/>
      <c r="D35" s="6"/>
      <c r="E35" s="6"/>
      <c r="F35" s="6"/>
      <c r="G35" s="6"/>
      <c r="H35" s="6"/>
      <c r="I35" s="6"/>
    </row>
    <row r="36" customFormat="false" ht="25.5" hidden="false" customHeight="true" outlineLevel="0" collapsed="false">
      <c r="B36" s="10" t="s">
        <v>171</v>
      </c>
      <c r="C36" s="10" t="s">
        <v>151</v>
      </c>
      <c r="D36" s="10"/>
      <c r="E36" s="10" t="s">
        <v>172</v>
      </c>
      <c r="F36" s="10" t="s">
        <v>173</v>
      </c>
      <c r="G36" s="10" t="s">
        <v>130</v>
      </c>
      <c r="H36" s="10" t="s">
        <v>174</v>
      </c>
      <c r="I36" s="10" t="s">
        <v>175</v>
      </c>
    </row>
    <row r="37" customFormat="false" ht="19.5" hidden="false" customHeight="true" outlineLevel="0" collapsed="false">
      <c r="B37" s="62" t="s">
        <v>176</v>
      </c>
      <c r="C37" s="59" t="n">
        <f aca="false">COUNTIF('Project List'!$F$7:$F$28,"Gate 0 - business need")</f>
        <v>1</v>
      </c>
      <c r="D37" s="59"/>
      <c r="E37" s="63" t="n">
        <f aca="false">SUMPRODUCT(('Project List'!$F$7:$F$28="Gate 0 - business need")*('Cost &amp; Benefits'!$E$7:$E$28))</f>
        <v>18000000</v>
      </c>
      <c r="F37" s="63" t="n">
        <f aca="false">SUMPRODUCT(('Project List'!$F$7:$F$28="Gate 0 - business need")*('Cost &amp; Benefits'!$F$7:$F$28))</f>
        <v>18000000</v>
      </c>
      <c r="G37" s="63" t="n">
        <f aca="false">SUMPRODUCT(('Project List'!$F$7:$F$28="Gate 0 - business need")*('Cost &amp; Benefits'!$F$7:$F$28-'Cost &amp; Benefits'!$E$7:$E$28))</f>
        <v>0</v>
      </c>
      <c r="H37" s="59" t="n">
        <f aca="false">COUNTIFS('Project List'!$F$7:$F$28,"Gate 0 - business need",'Project List'!$M$7:$M$28,"LATE*")</f>
        <v>0</v>
      </c>
      <c r="I37" s="59" t="n">
        <f aca="false">SUMPRODUCT(('Project List'!$F$7:$F$28="Gate 0 - business need")*(Assurance!$M$7:$M$28="OWNER AHEAD OF THE REVIEW"))</f>
        <v>0</v>
      </c>
    </row>
    <row r="38" customFormat="false" ht="19.5" hidden="false" customHeight="true" outlineLevel="0" collapsed="false">
      <c r="B38" s="62" t="s">
        <v>177</v>
      </c>
      <c r="C38" s="59" t="n">
        <f aca="false">COUNTIF('Project List'!$F$7:$F$28,"Gate 1 - business case")</f>
        <v>2</v>
      </c>
      <c r="D38" s="59"/>
      <c r="E38" s="63" t="n">
        <f aca="false">SUMPRODUCT(('Project List'!$F$7:$F$28="Gate 1 - business case")*('Cost &amp; Benefits'!$E$7:$E$28))</f>
        <v>8800000</v>
      </c>
      <c r="F38" s="63" t="n">
        <f aca="false">SUMPRODUCT(('Project List'!$F$7:$F$28="Gate 1 - business case")*('Cost &amp; Benefits'!$F$7:$F$28))</f>
        <v>9790000</v>
      </c>
      <c r="G38" s="63" t="n">
        <f aca="false">SUMPRODUCT(('Project List'!$F$7:$F$28="Gate 1 - business case")*('Cost &amp; Benefits'!$F$7:$F$28-'Cost &amp; Benefits'!$E$7:$E$28))</f>
        <v>990000</v>
      </c>
      <c r="H38" s="59" t="n">
        <f aca="false">COUNTIFS('Project List'!$F$7:$F$28,"Gate 1 - business case",'Project List'!$M$7:$M$28,"LATE*")</f>
        <v>1</v>
      </c>
      <c r="I38" s="59" t="n">
        <f aca="false">SUMPRODUCT(('Project List'!$F$7:$F$28="Gate 1 - business case")*(Assurance!$M$7:$M$28="OWNER AHEAD OF THE REVIEW"))</f>
        <v>1</v>
      </c>
    </row>
    <row r="39" customFormat="false" ht="19.5" hidden="false" customHeight="true" outlineLevel="0" collapsed="false">
      <c r="B39" s="62" t="s">
        <v>178</v>
      </c>
      <c r="C39" s="59" t="n">
        <f aca="false">COUNTIF('Project List'!$F$7:$F$28,"Gate 2 - delivery strategy")</f>
        <v>2</v>
      </c>
      <c r="D39" s="59"/>
      <c r="E39" s="63" t="n">
        <f aca="false">SUMPRODUCT(('Project List'!$F$7:$F$28="Gate 2 - delivery strategy")*('Cost &amp; Benefits'!$E$7:$E$28))</f>
        <v>44500000</v>
      </c>
      <c r="F39" s="63" t="n">
        <f aca="false">SUMPRODUCT(('Project List'!$F$7:$F$28="Gate 2 - delivery strategy")*('Cost &amp; Benefits'!$F$7:$F$28))</f>
        <v>59650000</v>
      </c>
      <c r="G39" s="63" t="n">
        <f aca="false">SUMPRODUCT(('Project List'!$F$7:$F$28="Gate 2 - delivery strategy")*('Cost &amp; Benefits'!$F$7:$F$28-'Cost &amp; Benefits'!$E$7:$E$28))</f>
        <v>15150000</v>
      </c>
      <c r="H39" s="59" t="n">
        <f aca="false">COUNTIFS('Project List'!$F$7:$F$28,"Gate 2 - delivery strategy",'Project List'!$M$7:$M$28,"LATE*")</f>
        <v>0</v>
      </c>
      <c r="I39" s="59" t="n">
        <f aca="false">SUMPRODUCT(('Project List'!$F$7:$F$28="Gate 2 - delivery strategy")*(Assurance!$M$7:$M$28="OWNER AHEAD OF THE REVIEW"))</f>
        <v>1</v>
      </c>
    </row>
    <row r="40" customFormat="false" ht="19.5" hidden="false" customHeight="true" outlineLevel="0" collapsed="false">
      <c r="B40" s="62" t="s">
        <v>179</v>
      </c>
      <c r="C40" s="59" t="n">
        <f aca="false">COUNTIF('Project List'!$F$7:$F$28,"Gate 3 - investment decision")</f>
        <v>4</v>
      </c>
      <c r="D40" s="59"/>
      <c r="E40" s="63" t="n">
        <f aca="false">SUMPRODUCT(('Project List'!$F$7:$F$28="Gate 3 - investment decision")*('Cost &amp; Benefits'!$E$7:$E$28))</f>
        <v>63100000</v>
      </c>
      <c r="F40" s="63" t="n">
        <f aca="false">SUMPRODUCT(('Project List'!$F$7:$F$28="Gate 3 - investment decision")*('Cost &amp; Benefits'!$F$7:$F$28))</f>
        <v>71490000</v>
      </c>
      <c r="G40" s="63" t="n">
        <f aca="false">SUMPRODUCT(('Project List'!$F$7:$F$28="Gate 3 - investment decision")*('Cost &amp; Benefits'!$F$7:$F$28-'Cost &amp; Benefits'!$E$7:$E$28))</f>
        <v>8390000</v>
      </c>
      <c r="H40" s="59" t="n">
        <f aca="false">COUNTIFS('Project List'!$F$7:$F$28,"Gate 3 - investment decision",'Project List'!$M$7:$M$28,"LATE*")</f>
        <v>1</v>
      </c>
      <c r="I40" s="59" t="n">
        <f aca="false">SUMPRODUCT(('Project List'!$F$7:$F$28="Gate 3 - investment decision")*(Assurance!$M$7:$M$28="OWNER AHEAD OF THE REVIEW"))</f>
        <v>1</v>
      </c>
    </row>
    <row r="41" customFormat="false" ht="19.5" hidden="false" customHeight="true" outlineLevel="0" collapsed="false">
      <c r="B41" s="62" t="s">
        <v>180</v>
      </c>
      <c r="C41" s="59" t="n">
        <f aca="false">COUNTIF('Project List'!$F$7:$F$28,"Gate 4 - readiness for service")</f>
        <v>5</v>
      </c>
      <c r="D41" s="59"/>
      <c r="E41" s="63" t="n">
        <f aca="false">SUMPRODUCT(('Project List'!$F$7:$F$28="Gate 4 - readiness for service")*('Cost &amp; Benefits'!$E$7:$E$28))</f>
        <v>29300000</v>
      </c>
      <c r="F41" s="63" t="n">
        <f aca="false">SUMPRODUCT(('Project List'!$F$7:$F$28="Gate 4 - readiness for service")*('Cost &amp; Benefits'!$F$7:$F$28))</f>
        <v>29810000</v>
      </c>
      <c r="G41" s="63" t="n">
        <f aca="false">SUMPRODUCT(('Project List'!$F$7:$F$28="Gate 4 - readiness for service")*('Cost &amp; Benefits'!$F$7:$F$28-'Cost &amp; Benefits'!$E$7:$E$28))</f>
        <v>510000</v>
      </c>
      <c r="H41" s="59" t="n">
        <f aca="false">COUNTIFS('Project List'!$F$7:$F$28,"Gate 4 - readiness for service",'Project List'!$M$7:$M$28,"LATE*")</f>
        <v>0</v>
      </c>
      <c r="I41" s="59" t="n">
        <f aca="false">SUMPRODUCT(('Project List'!$F$7:$F$28="Gate 4 - readiness for service")*(Assurance!$M$7:$M$28="OWNER AHEAD OF THE REVIEW"))</f>
        <v>0</v>
      </c>
    </row>
    <row r="42" customFormat="false" ht="19.5" hidden="false" customHeight="true" outlineLevel="0" collapsed="false">
      <c r="B42" s="62" t="s">
        <v>181</v>
      </c>
      <c r="C42" s="59" t="n">
        <f aca="false">COUNTIF('Project List'!$F$7:$F$28,"Gate 5 - benefits realised")</f>
        <v>1</v>
      </c>
      <c r="D42" s="59"/>
      <c r="E42" s="63" t="n">
        <f aca="false">SUMPRODUCT(('Project List'!$F$7:$F$28="Gate 5 - benefits realised")*('Cost &amp; Benefits'!$E$7:$E$28))</f>
        <v>1850000</v>
      </c>
      <c r="F42" s="63" t="n">
        <f aca="false">SUMPRODUCT(('Project List'!$F$7:$F$28="Gate 5 - benefits realised")*('Cost &amp; Benefits'!$F$7:$F$28))</f>
        <v>1795000</v>
      </c>
      <c r="G42" s="63" t="n">
        <f aca="false">SUMPRODUCT(('Project List'!$F$7:$F$28="Gate 5 - benefits realised")*('Cost &amp; Benefits'!$F$7:$F$28-'Cost &amp; Benefits'!$E$7:$E$28))</f>
        <v>-55000</v>
      </c>
      <c r="H42" s="59" t="n">
        <f aca="false">COUNTIFS('Project List'!$F$7:$F$28,"Gate 5 - benefits realised",'Project List'!$M$7:$M$28,"LATE*")</f>
        <v>0</v>
      </c>
      <c r="I42" s="59" t="n">
        <f aca="false">SUMPRODUCT(('Project List'!$F$7:$F$28="Gate 5 - benefits realised")*(Assurance!$M$7:$M$28="OWNER AHEAD OF THE REVIEW"))</f>
        <v>0</v>
      </c>
    </row>
    <row r="43" customFormat="false" ht="19.5" hidden="false" customHeight="true" outlineLevel="0" collapsed="false">
      <c r="B43" s="62" t="s">
        <v>182</v>
      </c>
      <c r="C43" s="59" t="n">
        <f aca="false">COUNTIF('Project List'!$F$7:$F$28,"Not gated")</f>
        <v>0</v>
      </c>
      <c r="D43" s="59"/>
      <c r="E43" s="63" t="n">
        <f aca="false">SUMPRODUCT(('Project List'!$F$7:$F$28="Not gated")*('Cost &amp; Benefits'!$E$7:$E$28))</f>
        <v>0</v>
      </c>
      <c r="F43" s="63" t="n">
        <f aca="false">SUMPRODUCT(('Project List'!$F$7:$F$28="Not gated")*('Cost &amp; Benefits'!$F$7:$F$28))</f>
        <v>0</v>
      </c>
      <c r="G43" s="63" t="n">
        <f aca="false">SUMPRODUCT(('Project List'!$F$7:$F$28="Not gated")*('Cost &amp; Benefits'!$F$7:$F$28-'Cost &amp; Benefits'!$E$7:$E$28))</f>
        <v>0</v>
      </c>
      <c r="H43" s="59" t="n">
        <f aca="false">COUNTIFS('Project List'!$F$7:$F$28,"Not gated",'Project List'!$M$7:$M$28,"LATE*")</f>
        <v>0</v>
      </c>
      <c r="I43" s="59" t="n">
        <f aca="false">SUMPRODUCT(('Project List'!$F$7:$F$28="Not gated")*(Assurance!$M$7:$M$28="OWNER AHEAD OF THE REVIEW"))</f>
        <v>0</v>
      </c>
    </row>
    <row r="44" customFormat="false" ht="19.5" hidden="false" customHeight="true" outlineLevel="0" collapsed="false">
      <c r="B44" s="62" t="s">
        <v>166</v>
      </c>
      <c r="C44" s="59" t="n">
        <f aca="false">COUNTIF('Project List'!$F$7:$F$28,"On hold")</f>
        <v>1</v>
      </c>
      <c r="D44" s="59"/>
      <c r="E44" s="63" t="n">
        <f aca="false">SUMPRODUCT(('Project List'!$F$7:$F$28="On hold")*('Cost &amp; Benefits'!$E$7:$E$28))</f>
        <v>2600000</v>
      </c>
      <c r="F44" s="63" t="n">
        <f aca="false">SUMPRODUCT(('Project List'!$F$7:$F$28="On hold")*('Cost &amp; Benefits'!$F$7:$F$28))</f>
        <v>2600000</v>
      </c>
      <c r="G44" s="63" t="n">
        <f aca="false">SUMPRODUCT(('Project List'!$F$7:$F$28="On hold")*('Cost &amp; Benefits'!$F$7:$F$28-'Cost &amp; Benefits'!$E$7:$E$28))</f>
        <v>0</v>
      </c>
      <c r="H44" s="59" t="n">
        <f aca="false">COUNTIFS('Project List'!$F$7:$F$28,"On hold",'Project List'!$M$7:$M$28,"LATE*")</f>
        <v>0</v>
      </c>
      <c r="I44" s="59" t="n">
        <f aca="false">SUMPRODUCT(('Project List'!$F$7:$F$28="On hold")*(Assurance!$M$7:$M$28="OWNER AHEAD OF THE REVIEW"))</f>
        <v>0</v>
      </c>
    </row>
    <row r="46" customFormat="false" ht="21.75" hidden="false" customHeight="true" outlineLevel="0" collapsed="false">
      <c r="B46" s="6" t="s">
        <v>183</v>
      </c>
      <c r="C46" s="6"/>
      <c r="D46" s="6"/>
      <c r="E46" s="6"/>
      <c r="F46" s="6"/>
      <c r="G46" s="6"/>
      <c r="H46" s="6"/>
      <c r="I46" s="6"/>
    </row>
    <row r="47" customFormat="false" ht="25.5" hidden="false" customHeight="true" outlineLevel="0" collapsed="false">
      <c r="B47" s="10" t="s">
        <v>184</v>
      </c>
      <c r="C47" s="10" t="s">
        <v>151</v>
      </c>
      <c r="D47" s="10"/>
      <c r="E47" s="10" t="s">
        <v>172</v>
      </c>
      <c r="F47" s="10" t="s">
        <v>173</v>
      </c>
      <c r="G47" s="10" t="s">
        <v>130</v>
      </c>
      <c r="H47" s="10" t="s">
        <v>131</v>
      </c>
      <c r="I47" s="10" t="s">
        <v>185</v>
      </c>
    </row>
    <row r="48" customFormat="false" ht="19.5" hidden="false" customHeight="true" outlineLevel="0" collapsed="false">
      <c r="B48" s="62" t="s">
        <v>186</v>
      </c>
      <c r="C48" s="59" t="n">
        <f aca="false">COUNTIF('Project List'!$D$7:$D$28,"Buildings")</f>
        <v>4</v>
      </c>
      <c r="D48" s="59"/>
      <c r="E48" s="63" t="n">
        <f aca="false">SUMPRODUCT(('Project List'!$D$7:$D$28="Buildings")*('Cost &amp; Benefits'!$E$7:$E$28))</f>
        <v>35900000</v>
      </c>
      <c r="F48" s="63" t="n">
        <f aca="false">SUMPRODUCT(('Project List'!$D$7:$D$28="Buildings")*('Cost &amp; Benefits'!$F$7:$F$28))</f>
        <v>43658000</v>
      </c>
      <c r="G48" s="63" t="n">
        <f aca="false">SUMPRODUCT(('Project List'!$D$7:$D$28="Buildings")*('Cost &amp; Benefits'!$F$7:$F$28-'Cost &amp; Benefits'!$E$7:$E$28))</f>
        <v>7758000</v>
      </c>
      <c r="H48" s="64" t="n">
        <f aca="false">IF(SUMPRODUCT(('Project List'!$D$7:$D$28="Buildings")*('Cost &amp; Benefits'!$E$7:$E$28))=0,"",SUMPRODUCT(('Project List'!$D$7:$D$28="Buildings")*('Cost &amp; Benefits'!$F$7:$F$28-'Cost &amp; Benefits'!$E$7:$E$28))/SUMPRODUCT(('Project List'!$D$7:$D$28="Buildings")*('Cost &amp; Benefits'!$E$7:$E$28)))</f>
        <v>0.216100278551532</v>
      </c>
      <c r="I48" s="63" t="n">
        <f aca="false">SUMPRODUCT(('Project List'!$D$7:$D$28="Buildings")*('Cost &amp; Benefits'!$K$7:$K$28))</f>
        <v>68700000</v>
      </c>
    </row>
    <row r="49" customFormat="false" ht="19.5" hidden="false" customHeight="true" outlineLevel="0" collapsed="false">
      <c r="B49" s="62" t="s">
        <v>187</v>
      </c>
      <c r="C49" s="59" t="n">
        <f aca="false">COUNTIF('Project List'!$D$7:$D$28,"Roads and bridges")</f>
        <v>2</v>
      </c>
      <c r="D49" s="59"/>
      <c r="E49" s="63" t="n">
        <f aca="false">SUMPRODUCT(('Project List'!$D$7:$D$28="Roads and bridges")*('Cost &amp; Benefits'!$E$7:$E$28))</f>
        <v>51100000</v>
      </c>
      <c r="F49" s="63" t="n">
        <f aca="false">SUMPRODUCT(('Project List'!$D$7:$D$28="Roads and bridges")*('Cost &amp; Benefits'!$F$7:$F$28))</f>
        <v>58810000</v>
      </c>
      <c r="G49" s="63" t="n">
        <f aca="false">SUMPRODUCT(('Project List'!$D$7:$D$28="Roads and bridges")*('Cost &amp; Benefits'!$F$7:$F$28-'Cost &amp; Benefits'!$E$7:$E$28))</f>
        <v>7710000</v>
      </c>
      <c r="H49" s="64" t="n">
        <f aca="false">IF(SUMPRODUCT(('Project List'!$D$7:$D$28="Roads and bridges")*('Cost &amp; Benefits'!$E$7:$E$28))=0,"",SUMPRODUCT(('Project List'!$D$7:$D$28="Roads and bridges")*('Cost &amp; Benefits'!$F$7:$F$28-'Cost &amp; Benefits'!$E$7:$E$28))/SUMPRODUCT(('Project List'!$D$7:$D$28="Roads and bridges")*('Cost &amp; Benefits'!$E$7:$E$28)))</f>
        <v>0.150880626223092</v>
      </c>
      <c r="I49" s="63" t="n">
        <f aca="false">SUMPRODUCT(('Project List'!$D$7:$D$28="Roads and bridges")*('Cost &amp; Benefits'!$K$7:$K$28))</f>
        <v>83100000</v>
      </c>
    </row>
    <row r="50" customFormat="false" ht="19.5" hidden="false" customHeight="true" outlineLevel="0" collapsed="false">
      <c r="B50" s="62" t="s">
        <v>188</v>
      </c>
      <c r="C50" s="59" t="n">
        <f aca="false">COUNTIF('Project List'!$D$7:$D$28,"Water and wastewater")</f>
        <v>3</v>
      </c>
      <c r="D50" s="59"/>
      <c r="E50" s="63" t="n">
        <f aca="false">SUMPRODUCT(('Project List'!$D$7:$D$28="Water and wastewater")*('Cost &amp; Benefits'!$E$7:$E$28))</f>
        <v>58400000</v>
      </c>
      <c r="F50" s="63" t="n">
        <f aca="false">SUMPRODUCT(('Project List'!$D$7:$D$28="Water and wastewater")*('Cost &amp; Benefits'!$F$7:$F$28))</f>
        <v>66650000</v>
      </c>
      <c r="G50" s="63" t="n">
        <f aca="false">SUMPRODUCT(('Project List'!$D$7:$D$28="Water and wastewater")*('Cost &amp; Benefits'!$F$7:$F$28-'Cost &amp; Benefits'!$E$7:$E$28))</f>
        <v>8250000</v>
      </c>
      <c r="H50" s="64" t="n">
        <f aca="false">IF(SUMPRODUCT(('Project List'!$D$7:$D$28="Water and wastewater")*('Cost &amp; Benefits'!$E$7:$E$28))=0,"",SUMPRODUCT(('Project List'!$D$7:$D$28="Water and wastewater")*('Cost &amp; Benefits'!$F$7:$F$28-'Cost &amp; Benefits'!$E$7:$E$28))/SUMPRODUCT(('Project List'!$D$7:$D$28="Water and wastewater")*('Cost &amp; Benefits'!$E$7:$E$28)))</f>
        <v>0.141267123287671</v>
      </c>
      <c r="I50" s="63" t="n">
        <f aca="false">SUMPRODUCT(('Project List'!$D$7:$D$28="Water and wastewater")*('Cost &amp; Benefits'!$K$7:$K$28))</f>
        <v>143900000</v>
      </c>
    </row>
    <row r="51" customFormat="false" ht="19.5" hidden="false" customHeight="true" outlineLevel="0" collapsed="false">
      <c r="B51" s="62" t="s">
        <v>189</v>
      </c>
      <c r="C51" s="59" t="n">
        <f aca="false">COUNTIF('Project List'!$D$7:$D$28,"Open space and recreation")</f>
        <v>3</v>
      </c>
      <c r="D51" s="59"/>
      <c r="E51" s="63" t="n">
        <f aca="false">SUMPRODUCT(('Project List'!$D$7:$D$28="Open space and recreation")*('Cost &amp; Benefits'!$E$7:$E$28))</f>
        <v>7350000</v>
      </c>
      <c r="F51" s="63" t="n">
        <f aca="false">SUMPRODUCT(('Project List'!$D$7:$D$28="Open space and recreation")*('Cost &amp; Benefits'!$F$7:$F$28))</f>
        <v>7585000</v>
      </c>
      <c r="G51" s="63" t="n">
        <f aca="false">SUMPRODUCT(('Project List'!$D$7:$D$28="Open space and recreation")*('Cost &amp; Benefits'!$F$7:$F$28-'Cost &amp; Benefits'!$E$7:$E$28))</f>
        <v>235000</v>
      </c>
      <c r="H51" s="64" t="n">
        <f aca="false">IF(SUMPRODUCT(('Project List'!$D$7:$D$28="Open space and recreation")*('Cost &amp; Benefits'!$E$7:$E$28))=0,"",SUMPRODUCT(('Project List'!$D$7:$D$28="Open space and recreation")*('Cost &amp; Benefits'!$F$7:$F$28-'Cost &amp; Benefits'!$E$7:$E$28))/SUMPRODUCT(('Project List'!$D$7:$D$28="Open space and recreation")*('Cost &amp; Benefits'!$E$7:$E$28)))</f>
        <v>0.0319727891156463</v>
      </c>
      <c r="I51" s="63" t="n">
        <f aca="false">SUMPRODUCT(('Project List'!$D$7:$D$28="Open space and recreation")*('Cost &amp; Benefits'!$K$7:$K$28))</f>
        <v>13500000</v>
      </c>
    </row>
    <row r="52" customFormat="false" ht="19.5" hidden="false" customHeight="true" outlineLevel="0" collapsed="false">
      <c r="B52" s="62" t="s">
        <v>190</v>
      </c>
      <c r="C52" s="59" t="n">
        <f aca="false">COUNTIF('Project List'!$D$7:$D$28,"Fleet and plant")</f>
        <v>1</v>
      </c>
      <c r="D52" s="59"/>
      <c r="E52" s="63" t="n">
        <f aca="false">SUMPRODUCT(('Project List'!$D$7:$D$28="Fleet and plant")*('Cost &amp; Benefits'!$E$7:$E$28))</f>
        <v>4200000</v>
      </c>
      <c r="F52" s="63" t="n">
        <f aca="false">SUMPRODUCT(('Project List'!$D$7:$D$28="Fleet and plant")*('Cost &amp; Benefits'!$F$7:$F$28))</f>
        <v>4500000</v>
      </c>
      <c r="G52" s="63" t="n">
        <f aca="false">SUMPRODUCT(('Project List'!$D$7:$D$28="Fleet and plant")*('Cost &amp; Benefits'!$F$7:$F$28-'Cost &amp; Benefits'!$E$7:$E$28))</f>
        <v>300000</v>
      </c>
      <c r="H52" s="64" t="n">
        <f aca="false">IF(SUMPRODUCT(('Project List'!$D$7:$D$28="Fleet and plant")*('Cost &amp; Benefits'!$E$7:$E$28))=0,"",SUMPRODUCT(('Project List'!$D$7:$D$28="Fleet and plant")*('Cost &amp; Benefits'!$F$7:$F$28-'Cost &amp; Benefits'!$E$7:$E$28))/SUMPRODUCT(('Project List'!$D$7:$D$28="Fleet and plant")*('Cost &amp; Benefits'!$E$7:$E$28)))</f>
        <v>0.0714285714285714</v>
      </c>
      <c r="I52" s="63" t="n">
        <f aca="false">SUMPRODUCT(('Project List'!$D$7:$D$28="Fleet and plant")*('Cost &amp; Benefits'!$K$7:$K$28))</f>
        <v>9800000</v>
      </c>
    </row>
    <row r="53" customFormat="false" ht="19.5" hidden="false" customHeight="true" outlineLevel="0" collapsed="false">
      <c r="B53" s="62" t="s">
        <v>191</v>
      </c>
      <c r="C53" s="59" t="n">
        <f aca="false">COUNTIF('Project List'!$D$7:$D$28,"Digital and technology")</f>
        <v>1</v>
      </c>
      <c r="D53" s="59"/>
      <c r="E53" s="63" t="n">
        <f aca="false">SUMPRODUCT(('Project List'!$D$7:$D$28="Digital and technology")*('Cost &amp; Benefits'!$E$7:$E$28))</f>
        <v>4600000</v>
      </c>
      <c r="F53" s="63" t="n">
        <f aca="false">SUMPRODUCT(('Project List'!$D$7:$D$28="Digital and technology")*('Cost &amp; Benefits'!$F$7:$F$28))</f>
        <v>5290000</v>
      </c>
      <c r="G53" s="63" t="n">
        <f aca="false">SUMPRODUCT(('Project List'!$D$7:$D$28="Digital and technology")*('Cost &amp; Benefits'!$F$7:$F$28-'Cost &amp; Benefits'!$E$7:$E$28))</f>
        <v>690000</v>
      </c>
      <c r="H53" s="64" t="n">
        <f aca="false">IF(SUMPRODUCT(('Project List'!$D$7:$D$28="Digital and technology")*('Cost &amp; Benefits'!$E$7:$E$28))=0,"",SUMPRODUCT(('Project List'!$D$7:$D$28="Digital and technology")*('Cost &amp; Benefits'!$F$7:$F$28-'Cost &amp; Benefits'!$E$7:$E$28))/SUMPRODUCT(('Project List'!$D$7:$D$28="Digital and technology")*('Cost &amp; Benefits'!$E$7:$E$28)))</f>
        <v>0.15</v>
      </c>
      <c r="I53" s="63" t="n">
        <f aca="false">SUMPRODUCT(('Project List'!$D$7:$D$28="Digital and technology")*('Cost &amp; Benefits'!$K$7:$K$28))</f>
        <v>12400000</v>
      </c>
    </row>
    <row r="54" customFormat="false" ht="19.5" hidden="false" customHeight="true" outlineLevel="0" collapsed="false">
      <c r="B54" s="62" t="s">
        <v>192</v>
      </c>
      <c r="C54" s="59" t="n">
        <f aca="false">COUNTIF('Project List'!$D$7:$D$28,"Renewals programme")</f>
        <v>2</v>
      </c>
      <c r="D54" s="59"/>
      <c r="E54" s="63" t="n">
        <f aca="false">SUMPRODUCT(('Project List'!$D$7:$D$28="Renewals programme")*('Cost &amp; Benefits'!$E$7:$E$28))</f>
        <v>6600000</v>
      </c>
      <c r="F54" s="63" t="n">
        <f aca="false">SUMPRODUCT(('Project List'!$D$7:$D$28="Renewals programme")*('Cost &amp; Benefits'!$F$7:$F$28))</f>
        <v>6642000</v>
      </c>
      <c r="G54" s="63" t="n">
        <f aca="false">SUMPRODUCT(('Project List'!$D$7:$D$28="Renewals programme")*('Cost &amp; Benefits'!$F$7:$F$28-'Cost &amp; Benefits'!$E$7:$E$28))</f>
        <v>42000</v>
      </c>
      <c r="H54" s="64" t="n">
        <f aca="false">IF(SUMPRODUCT(('Project List'!$D$7:$D$28="Renewals programme")*('Cost &amp; Benefits'!$E$7:$E$28))=0,"",SUMPRODUCT(('Project List'!$D$7:$D$28="Renewals programme")*('Cost &amp; Benefits'!$F$7:$F$28-'Cost &amp; Benefits'!$E$7:$E$28))/SUMPRODUCT(('Project List'!$D$7:$D$28="Renewals programme")*('Cost &amp; Benefits'!$E$7:$E$28)))</f>
        <v>0.00636363636363636</v>
      </c>
      <c r="I54" s="63" t="n">
        <f aca="false">SUMPRODUCT(('Project List'!$D$7:$D$28="Renewals programme")*('Cost &amp; Benefits'!$K$7:$K$28))</f>
        <v>11700000</v>
      </c>
    </row>
    <row r="56" customFormat="false" ht="21.75" hidden="false" customHeight="true" outlineLevel="0" collapsed="false">
      <c r="B56" s="6" t="s">
        <v>193</v>
      </c>
      <c r="C56" s="6"/>
      <c r="D56" s="6"/>
      <c r="E56" s="6"/>
      <c r="F56" s="6"/>
      <c r="G56" s="6"/>
      <c r="H56" s="6"/>
      <c r="I56" s="6"/>
    </row>
    <row r="57" customFormat="false" ht="21.75" hidden="false" customHeight="true" outlineLevel="0" collapsed="false">
      <c r="B57" s="10" t="s">
        <v>194</v>
      </c>
      <c r="C57" s="10" t="s">
        <v>195</v>
      </c>
      <c r="D57" s="10"/>
      <c r="E57" s="10" t="s">
        <v>196</v>
      </c>
      <c r="F57" s="10"/>
      <c r="G57" s="10" t="s">
        <v>197</v>
      </c>
      <c r="H57" s="10"/>
      <c r="I57" s="10"/>
    </row>
    <row r="58" customFormat="false" ht="33.75" hidden="false" customHeight="true" outlineLevel="0" collapsed="false">
      <c r="B58" s="23" t="s">
        <v>198</v>
      </c>
      <c r="C58" s="59" t="n">
        <f aca="false">COUNTIF(Assurance!$E$7:$E$28,"Green")</f>
        <v>6</v>
      </c>
      <c r="D58" s="59"/>
      <c r="E58" s="59" t="n">
        <f aca="false">COUNTIF(Assurance!$F$7:$F$28,"Green")</f>
        <v>8</v>
      </c>
      <c r="F58" s="59"/>
      <c r="G58" s="61" t="s">
        <v>199</v>
      </c>
      <c r="H58" s="61"/>
      <c r="I58" s="61"/>
    </row>
    <row r="59" customFormat="false" ht="33.75" hidden="false" customHeight="true" outlineLevel="0" collapsed="false">
      <c r="B59" s="27" t="s">
        <v>200</v>
      </c>
      <c r="C59" s="59" t="n">
        <f aca="false">COUNTIF(Assurance!$E$7:$E$28,"Amber")</f>
        <v>7</v>
      </c>
      <c r="D59" s="59"/>
      <c r="E59" s="59" t="n">
        <f aca="false">COUNTIF(Assurance!$F$7:$F$28,"Amber")</f>
        <v>6</v>
      </c>
      <c r="F59" s="59"/>
      <c r="G59" s="61" t="s">
        <v>201</v>
      </c>
      <c r="H59" s="61"/>
      <c r="I59" s="61"/>
    </row>
    <row r="60" customFormat="false" ht="21.75" hidden="false" customHeight="true" outlineLevel="0" collapsed="false">
      <c r="B60" s="31" t="s">
        <v>202</v>
      </c>
      <c r="C60" s="59" t="n">
        <f aca="false">COUNTIF(Assurance!$E$7:$E$28,"Red")</f>
        <v>1</v>
      </c>
      <c r="D60" s="59"/>
      <c r="E60" s="59" t="n">
        <f aca="false">COUNTIF(Assurance!$F$7:$F$28,"Red")</f>
        <v>0</v>
      </c>
      <c r="F60" s="59"/>
      <c r="G60" s="61" t="s">
        <v>203</v>
      </c>
      <c r="H60" s="61"/>
      <c r="I60" s="61"/>
    </row>
    <row r="61" customFormat="false" ht="33.75" hidden="false" customHeight="true" outlineLevel="0" collapsed="false">
      <c r="B61" s="29" t="s">
        <v>204</v>
      </c>
      <c r="C61" s="59" t="n">
        <f aca="false">COUNTIF(Assurance!$E$7:$E$28,"Reset")</f>
        <v>1</v>
      </c>
      <c r="D61" s="59"/>
      <c r="E61" s="59" t="n">
        <f aca="false">COUNTIF(Assurance!$F$7:$F$28,"Reset")</f>
        <v>1</v>
      </c>
      <c r="F61" s="59"/>
      <c r="G61" s="61" t="s">
        <v>205</v>
      </c>
      <c r="H61" s="61"/>
      <c r="I61" s="61"/>
    </row>
    <row r="62" customFormat="false" ht="21.75" hidden="false" customHeight="true" outlineLevel="0" collapsed="false">
      <c r="B62" s="33" t="s">
        <v>206</v>
      </c>
      <c r="C62" s="59" t="n">
        <f aca="false">COUNTIF(Assurance!$E$7:$E$28,"Not rated")</f>
        <v>1</v>
      </c>
      <c r="D62" s="59"/>
      <c r="E62" s="59" t="n">
        <f aca="false">COUNTIF(Assurance!$F$7:$F$28,"Not rated")</f>
        <v>1</v>
      </c>
      <c r="F62" s="59"/>
      <c r="G62" s="61" t="s">
        <v>207</v>
      </c>
      <c r="H62" s="61"/>
      <c r="I62" s="61"/>
    </row>
    <row r="63" customFormat="false" ht="19.5" hidden="false" customHeight="true" outlineLevel="0" collapsed="false">
      <c r="B63" s="65" t="s">
        <v>208</v>
      </c>
      <c r="C63" s="57" t="n">
        <f aca="false">COUNTIF(Assurance!$G$7:$G$28,"Owner more confident")</f>
        <v>3</v>
      </c>
      <c r="D63" s="57"/>
      <c r="E63" s="66"/>
      <c r="F63" s="66"/>
      <c r="G63" s="66"/>
      <c r="H63" s="66"/>
      <c r="I63" s="66"/>
    </row>
    <row r="64" customFormat="false" ht="19.5" hidden="false" customHeight="true" outlineLevel="0" collapsed="false">
      <c r="B64" s="65" t="s">
        <v>209</v>
      </c>
      <c r="C64" s="57" t="n">
        <f aca="false">COUNTIF(Assurance!$G$7:$G$28,"Reviewer more confident")</f>
        <v>0</v>
      </c>
      <c r="D64" s="57"/>
      <c r="E64" s="66"/>
      <c r="F64" s="66"/>
      <c r="G64" s="66"/>
      <c r="H64" s="66"/>
      <c r="I64" s="66"/>
    </row>
    <row r="65" customFormat="false" ht="19.5" hidden="false" customHeight="true" outlineLevel="0" collapsed="false">
      <c r="B65" s="65" t="s">
        <v>210</v>
      </c>
      <c r="C65" s="57" t="n">
        <f aca="false">COUNTIF(Assurance!$G$7:$G$28,"Aligned")</f>
        <v>11</v>
      </c>
      <c r="D65" s="57"/>
      <c r="E65" s="66"/>
      <c r="F65" s="66"/>
      <c r="G65" s="66"/>
      <c r="H65" s="66"/>
      <c r="I65" s="66"/>
    </row>
    <row r="67" customFormat="false" ht="21.75" hidden="false" customHeight="true" outlineLevel="0" collapsed="false">
      <c r="B67" s="6" t="s">
        <v>211</v>
      </c>
      <c r="C67" s="6"/>
      <c r="D67" s="6"/>
      <c r="E67" s="6"/>
      <c r="F67" s="6"/>
      <c r="G67" s="6"/>
      <c r="H67" s="6"/>
      <c r="I67" s="6"/>
    </row>
    <row r="68" customFormat="false" ht="25.5" hidden="false" customHeight="true" outlineLevel="0" collapsed="false">
      <c r="B68" s="10" t="s">
        <v>212</v>
      </c>
      <c r="C68" s="10" t="s">
        <v>151</v>
      </c>
      <c r="D68" s="10"/>
      <c r="E68" s="10" t="s">
        <v>213</v>
      </c>
      <c r="F68" s="10" t="s">
        <v>214</v>
      </c>
      <c r="G68" s="10" t="s">
        <v>215</v>
      </c>
      <c r="H68" s="10" t="s">
        <v>216</v>
      </c>
      <c r="I68" s="10"/>
    </row>
    <row r="69" customFormat="false" ht="21.75" hidden="false" customHeight="true" outlineLevel="0" collapsed="false">
      <c r="B69" s="62" t="str">
        <f aca="false">'Contractor List'!$C$7</f>
        <v>Merrivale Construction</v>
      </c>
      <c r="C69" s="59" t="n">
        <f aca="false">'Contractor List'!$J$7</f>
        <v>2</v>
      </c>
      <c r="D69" s="59"/>
      <c r="E69" s="63" t="n">
        <f aca="false">'Contractor List'!$H$7</f>
        <v>21790000</v>
      </c>
      <c r="F69" s="63" t="n">
        <f aca="false">'Contractor List'!$G$7</f>
        <v>25000000</v>
      </c>
      <c r="G69" s="63" t="n">
        <f aca="false">'Contractor List'!$I$7</f>
        <v>14105000</v>
      </c>
      <c r="H69" s="67" t="str">
        <f aca="false">'Contractor List'!$O$7</f>
        <v>Current</v>
      </c>
      <c r="I69" s="67"/>
    </row>
    <row r="70" customFormat="false" ht="21.75" hidden="false" customHeight="true" outlineLevel="0" collapsed="false">
      <c r="B70" s="62" t="str">
        <f aca="false">'Contractor List'!$C$8</f>
        <v>Halverson Civil</v>
      </c>
      <c r="C70" s="59" t="n">
        <f aca="false">'Contractor List'!$J$8</f>
        <v>3</v>
      </c>
      <c r="D70" s="59"/>
      <c r="E70" s="63" t="n">
        <f aca="false">'Contractor List'!$H$8</f>
        <v>100060000</v>
      </c>
      <c r="F70" s="63" t="n">
        <f aca="false">'Contractor List'!$G$8</f>
        <v>25000000</v>
      </c>
      <c r="G70" s="63" t="n">
        <f aca="false">'Contractor List'!$I$8</f>
        <v>-25030000</v>
      </c>
      <c r="H70" s="67" t="str">
        <f aca="false">'Contractor List'!$O$8</f>
        <v>OVER THE ASSESSED LEVEL</v>
      </c>
      <c r="I70" s="67"/>
    </row>
    <row r="71" customFormat="false" ht="21.75" hidden="false" customHeight="true" outlineLevel="0" collapsed="false">
      <c r="B71" s="62" t="str">
        <f aca="false">'Contractor List'!$C$9</f>
        <v>Orne Pipeline Services</v>
      </c>
      <c r="C71" s="59" t="n">
        <f aca="false">'Contractor List'!$J$9</f>
        <v>1</v>
      </c>
      <c r="D71" s="59"/>
      <c r="E71" s="63" t="n">
        <f aca="false">'Contractor List'!$H$9</f>
        <v>7400000</v>
      </c>
      <c r="F71" s="63" t="n">
        <f aca="false">'Contractor List'!$G$9</f>
        <v>10000000</v>
      </c>
      <c r="G71" s="63" t="n">
        <f aca="false">'Contractor List'!$I$9</f>
        <v>6300000</v>
      </c>
      <c r="H71" s="67" t="str">
        <f aca="false">'Contractor List'!$O$9</f>
        <v>Expiring soon</v>
      </c>
      <c r="I71" s="67"/>
    </row>
    <row r="72" customFormat="false" ht="21.75" hidden="false" customHeight="true" outlineLevel="0" collapsed="false">
      <c r="B72" s="62" t="str">
        <f aca="false">'Contractor List'!$C$10</f>
        <v>Bellhaven Mechanical</v>
      </c>
      <c r="C72" s="59" t="n">
        <f aca="false">'Contractor List'!$J$10</f>
        <v>3</v>
      </c>
      <c r="D72" s="59"/>
      <c r="E72" s="63" t="n">
        <f aca="false">'Contractor List'!$H$10</f>
        <v>9485000</v>
      </c>
      <c r="F72" s="63" t="n">
        <f aca="false">'Contractor List'!$G$10</f>
        <v>5000000</v>
      </c>
      <c r="G72" s="63" t="n">
        <f aca="false">'Contractor List'!$I$10</f>
        <v>257500</v>
      </c>
      <c r="H72" s="67" t="str">
        <f aca="false">'Contractor List'!$O$10</f>
        <v>Near the assessed level</v>
      </c>
      <c r="I72" s="67"/>
    </row>
    <row r="73" customFormat="false" ht="21.75" hidden="false" customHeight="true" outlineLevel="0" collapsed="false">
      <c r="B73" s="62" t="str">
        <f aca="false">'Contractor List'!$C$11</f>
        <v>Ardley Fitout Group</v>
      </c>
      <c r="C73" s="59" t="n">
        <f aca="false">'Contractor List'!$J$11</f>
        <v>1</v>
      </c>
      <c r="D73" s="59"/>
      <c r="E73" s="63" t="n">
        <f aca="false">'Contractor List'!$H$11</f>
        <v>3468000</v>
      </c>
      <c r="F73" s="63" t="n">
        <f aca="false">'Contractor List'!$G$11</f>
        <v>5000000</v>
      </c>
      <c r="G73" s="63" t="n">
        <f aca="false">'Contractor List'!$I$11</f>
        <v>3266000</v>
      </c>
      <c r="H73" s="67" t="str">
        <f aca="false">'Contractor List'!$O$11</f>
        <v>COVER LAPSES BEFORE THE WORK ENDS</v>
      </c>
      <c r="I73" s="67"/>
    </row>
    <row r="74" customFormat="false" ht="21.75" hidden="false" customHeight="true" outlineLevel="0" collapsed="false">
      <c r="B74" s="62" t="str">
        <f aca="false">'Contractor List'!$C$12</f>
        <v>Vasari Heritage Works</v>
      </c>
      <c r="C74" s="59" t="n">
        <f aca="false">'Contractor List'!$J$12</f>
        <v>1</v>
      </c>
      <c r="D74" s="59"/>
      <c r="E74" s="63" t="n">
        <f aca="false">'Contractor List'!$H$12</f>
        <v>18400000</v>
      </c>
      <c r="F74" s="63" t="n">
        <f aca="false">'Contractor List'!$G$12</f>
        <v>25000000</v>
      </c>
      <c r="G74" s="63" t="n">
        <f aca="false">'Contractor List'!$I$12</f>
        <v>15800000</v>
      </c>
      <c r="H74" s="67" t="str">
        <f aca="false">'Contractor List'!$O$12</f>
        <v>Current</v>
      </c>
      <c r="I74" s="67"/>
    </row>
    <row r="75" customFormat="false" ht="21.75" hidden="false" customHeight="true" outlineLevel="0" collapsed="false">
      <c r="B75" s="62" t="str">
        <f aca="false">'Contractor List'!$C$13</f>
        <v>Southgate Technology</v>
      </c>
      <c r="C75" s="59" t="n">
        <f aca="false">'Contractor List'!$J$13</f>
        <v>1</v>
      </c>
      <c r="D75" s="59"/>
      <c r="E75" s="63" t="n">
        <f aca="false">'Contractor List'!$H$13</f>
        <v>5290000</v>
      </c>
      <c r="F75" s="63" t="n">
        <f aca="false">'Contractor List'!$G$13</f>
        <v>0</v>
      </c>
      <c r="G75" s="63" t="str">
        <f aca="false">'Contractor List'!$I$13</f>
        <v/>
      </c>
      <c r="H75" s="67" t="str">
        <f aca="false">'Contractor List'!$O$13</f>
        <v>Current</v>
      </c>
      <c r="I75" s="67"/>
    </row>
    <row r="76" customFormat="false" ht="21.75" hidden="false" customHeight="true" outlineLevel="0" collapsed="false">
      <c r="B76" s="62" t="str">
        <f aca="false">'Contractor List'!$C$14</f>
        <v>Tamarind Surfacing</v>
      </c>
      <c r="C76" s="59" t="n">
        <f aca="false">'Contractor List'!$J$14</f>
        <v>2</v>
      </c>
      <c r="D76" s="59"/>
      <c r="E76" s="63" t="n">
        <f aca="false">'Contractor List'!$H$14</f>
        <v>6642000</v>
      </c>
      <c r="F76" s="63" t="n">
        <f aca="false">'Contractor List'!$G$14</f>
        <v>5000000</v>
      </c>
      <c r="G76" s="63" t="n">
        <f aca="false">'Contractor List'!$I$14</f>
        <v>1679000</v>
      </c>
      <c r="H76" s="67" t="str">
        <f aca="false">'Contractor List'!$O$14</f>
        <v>SUSPENDED - DO NOT AWARD</v>
      </c>
      <c r="I76" s="67"/>
    </row>
    <row r="77" customFormat="false" ht="21.75" hidden="false" customHeight="true" outlineLevel="0" collapsed="false">
      <c r="B77" s="62" t="str">
        <f aca="false">'Contractor List'!$C$15</f>
        <v>Kestrel Demolition</v>
      </c>
      <c r="C77" s="59" t="n">
        <f aca="false">'Contractor List'!$J$15</f>
        <v>0</v>
      </c>
      <c r="D77" s="59"/>
      <c r="E77" s="63" t="n">
        <f aca="false">'Contractor List'!$H$15</f>
        <v>0</v>
      </c>
      <c r="F77" s="63" t="n">
        <f aca="false">'Contractor List'!$G$15</f>
        <v>2000000</v>
      </c>
      <c r="G77" s="63" t="n">
        <f aca="false">'Contractor List'!$I$15</f>
        <v>2000000</v>
      </c>
      <c r="H77" s="67" t="str">
        <f aca="false">'Contractor List'!$O$15</f>
        <v>Prequalified, carrying nothing</v>
      </c>
      <c r="I77" s="67"/>
    </row>
    <row r="79" customFormat="false" ht="18" hidden="false" customHeight="true" outlineLevel="0" collapsed="false">
      <c r="B79" s="47" t="s">
        <v>120</v>
      </c>
      <c r="C79" s="47"/>
      <c r="D79" s="47"/>
      <c r="E79" s="47"/>
      <c r="F79" s="47"/>
      <c r="G79" s="47"/>
      <c r="H79" s="47"/>
      <c r="I79" s="47"/>
    </row>
  </sheetData>
  <mergeCells count="137">
    <mergeCell ref="B1:I1"/>
    <mergeCell ref="B2:I2"/>
    <mergeCell ref="B3:I3"/>
    <mergeCell ref="B4:I4"/>
    <mergeCell ref="B6:I6"/>
    <mergeCell ref="B7:C7"/>
    <mergeCell ref="D7:E7"/>
    <mergeCell ref="F7:G7"/>
    <mergeCell ref="H7:I7"/>
    <mergeCell ref="B8:C8"/>
    <mergeCell ref="D8:E8"/>
    <mergeCell ref="F8:G8"/>
    <mergeCell ref="H8:I8"/>
    <mergeCell ref="B10:C10"/>
    <mergeCell ref="D10:E10"/>
    <mergeCell ref="F10:G10"/>
    <mergeCell ref="H10:I10"/>
    <mergeCell ref="B11:C11"/>
    <mergeCell ref="D11:E11"/>
    <mergeCell ref="F11:G11"/>
    <mergeCell ref="H11:I11"/>
    <mergeCell ref="B13:C13"/>
    <mergeCell ref="D13:E13"/>
    <mergeCell ref="F13:G13"/>
    <mergeCell ref="H13:I13"/>
    <mergeCell ref="B14:C14"/>
    <mergeCell ref="D14:E14"/>
    <mergeCell ref="F14:G14"/>
    <mergeCell ref="H14:I14"/>
    <mergeCell ref="C16:D16"/>
    <mergeCell ref="E16:I16"/>
    <mergeCell ref="C17:D17"/>
    <mergeCell ref="E17:I17"/>
    <mergeCell ref="C18:D18"/>
    <mergeCell ref="E18:I18"/>
    <mergeCell ref="C19:D19"/>
    <mergeCell ref="E19:I19"/>
    <mergeCell ref="C20:D20"/>
    <mergeCell ref="E20:I20"/>
    <mergeCell ref="C21:D21"/>
    <mergeCell ref="E21:I21"/>
    <mergeCell ref="C22:D22"/>
    <mergeCell ref="E22:I22"/>
    <mergeCell ref="B24:I24"/>
    <mergeCell ref="C25:D25"/>
    <mergeCell ref="E25:F25"/>
    <mergeCell ref="G25:I25"/>
    <mergeCell ref="C26:D26"/>
    <mergeCell ref="E26:F26"/>
    <mergeCell ref="G26:I26"/>
    <mergeCell ref="C27:D27"/>
    <mergeCell ref="E27:F27"/>
    <mergeCell ref="G27:I27"/>
    <mergeCell ref="C28:D28"/>
    <mergeCell ref="E28:F28"/>
    <mergeCell ref="G28:I28"/>
    <mergeCell ref="C29:D29"/>
    <mergeCell ref="E29:F29"/>
    <mergeCell ref="G29:I29"/>
    <mergeCell ref="C30:D30"/>
    <mergeCell ref="E30:F30"/>
    <mergeCell ref="G30:I30"/>
    <mergeCell ref="C31:D31"/>
    <mergeCell ref="E31:F31"/>
    <mergeCell ref="G31:I31"/>
    <mergeCell ref="C32:D32"/>
    <mergeCell ref="E32:F32"/>
    <mergeCell ref="G32:I32"/>
    <mergeCell ref="C33:D33"/>
    <mergeCell ref="E33:F33"/>
    <mergeCell ref="G33:I33"/>
    <mergeCell ref="B35:I35"/>
    <mergeCell ref="C36:D36"/>
    <mergeCell ref="C37:D37"/>
    <mergeCell ref="C38:D38"/>
    <mergeCell ref="C39:D39"/>
    <mergeCell ref="C40:D40"/>
    <mergeCell ref="C41:D41"/>
    <mergeCell ref="C42:D42"/>
    <mergeCell ref="C43:D43"/>
    <mergeCell ref="C44:D44"/>
    <mergeCell ref="B46:I46"/>
    <mergeCell ref="C47:D47"/>
    <mergeCell ref="C48:D48"/>
    <mergeCell ref="C49:D49"/>
    <mergeCell ref="C50:D50"/>
    <mergeCell ref="C51:D51"/>
    <mergeCell ref="C52:D52"/>
    <mergeCell ref="C53:D53"/>
    <mergeCell ref="C54:D54"/>
    <mergeCell ref="B56:I56"/>
    <mergeCell ref="C57:D57"/>
    <mergeCell ref="E57:F57"/>
    <mergeCell ref="G57:I57"/>
    <mergeCell ref="C58:D58"/>
    <mergeCell ref="E58:F58"/>
    <mergeCell ref="G58:I58"/>
    <mergeCell ref="C59:D59"/>
    <mergeCell ref="E59:F59"/>
    <mergeCell ref="G59:I59"/>
    <mergeCell ref="C60:D60"/>
    <mergeCell ref="E60:F60"/>
    <mergeCell ref="G60:I60"/>
    <mergeCell ref="C61:D61"/>
    <mergeCell ref="E61:F61"/>
    <mergeCell ref="G61:I61"/>
    <mergeCell ref="C62:D62"/>
    <mergeCell ref="E62:F62"/>
    <mergeCell ref="G62:I62"/>
    <mergeCell ref="C63:D63"/>
    <mergeCell ref="E63:I63"/>
    <mergeCell ref="C64:D64"/>
    <mergeCell ref="E64:I64"/>
    <mergeCell ref="C65:D65"/>
    <mergeCell ref="E65:I65"/>
    <mergeCell ref="B67:I67"/>
    <mergeCell ref="C68:D68"/>
    <mergeCell ref="H68:I68"/>
    <mergeCell ref="C69:D69"/>
    <mergeCell ref="H69:I69"/>
    <mergeCell ref="C70:D70"/>
    <mergeCell ref="H70:I70"/>
    <mergeCell ref="C71:D71"/>
    <mergeCell ref="H71:I71"/>
    <mergeCell ref="C72:D72"/>
    <mergeCell ref="H72:I72"/>
    <mergeCell ref="C73:D73"/>
    <mergeCell ref="H73:I73"/>
    <mergeCell ref="C74:D74"/>
    <mergeCell ref="H74:I74"/>
    <mergeCell ref="C75:D75"/>
    <mergeCell ref="H75:I75"/>
    <mergeCell ref="C76:D76"/>
    <mergeCell ref="H76:I76"/>
    <mergeCell ref="C77:D77"/>
    <mergeCell ref="H77:I77"/>
    <mergeCell ref="B79:I79"/>
  </mergeCells>
  <conditionalFormatting sqref="B3:I3">
    <cfRule type="expression" priority="2" aboveAverage="0" equalAverage="0" bottom="0" percent="0" rank="0" text="" dxfId="0">
      <formula>LEN($B$3)&gt;0</formula>
    </cfRule>
  </conditionalFormatting>
  <conditionalFormatting sqref="C26:D33">
    <cfRule type="dataBar" priority="3">
      <dataBar showValue="1" minLength="10" maxLength="90">
        <cfvo type="num" val="0"/>
        <cfvo type="max" val="0"/>
        <color rgb="FF64B6F7"/>
      </dataBar>
      <extLst>
        <ext xmlns:x14="http://schemas.microsoft.com/office/spreadsheetml/2009/9/main" uri="{B025F937-C7B1-47D3-B67F-A62EFF666E3E}">
          <x14:id>{4A9BF54F-FE2E-43B2-897E-A680E174D2E9}</x14:id>
        </ext>
      </extLst>
    </cfRule>
  </conditionalFormatting>
  <conditionalFormatting sqref="C37:D44">
    <cfRule type="dataBar" priority="4">
      <dataBar showValue="1" minLength="10" maxLength="90">
        <cfvo type="num" val="0"/>
        <cfvo type="max" val="0"/>
        <color rgb="FF64B6F7"/>
      </dataBar>
      <extLst>
        <ext xmlns:x14="http://schemas.microsoft.com/office/spreadsheetml/2009/9/main" uri="{B025F937-C7B1-47D3-B67F-A62EFF666E3E}">
          <x14:id>{A4F0C17E-9FD3-4ADE-9650-77C940F9DEAB}</x14:id>
        </ext>
      </extLst>
    </cfRule>
  </conditionalFormatting>
  <conditionalFormatting sqref="H37:H44">
    <cfRule type="expression" priority="5" aboveAverage="0" equalAverage="0" bottom="0" percent="0" rank="0" text="" dxfId="1">
      <formula>$H37&gt;0</formula>
    </cfRule>
  </conditionalFormatting>
  <conditionalFormatting sqref="I37:I44">
    <cfRule type="expression" priority="6" aboveAverage="0" equalAverage="0" bottom="0" percent="0" rank="0" text="" dxfId="1">
      <formula>$I37&gt;0</formula>
    </cfRule>
  </conditionalFormatting>
  <conditionalFormatting sqref="C48:D54">
    <cfRule type="dataBar" priority="7">
      <dataBar showValue="1" minLength="10" maxLength="90">
        <cfvo type="num" val="0"/>
        <cfvo type="max" val="0"/>
        <color rgb="FF64B6F7"/>
      </dataBar>
      <extLst>
        <ext xmlns:x14="http://schemas.microsoft.com/office/spreadsheetml/2009/9/main" uri="{B025F937-C7B1-47D3-B67F-A62EFF666E3E}">
          <x14:id>{8582BFA0-B26D-4C39-9B5D-6A126ABB7CB2}</x14:id>
        </ext>
      </extLst>
    </cfRule>
  </conditionalFormatting>
  <conditionalFormatting sqref="E69:E77">
    <cfRule type="dataBar" priority="8">
      <dataBar showValue="1" minLength="10" maxLength="90">
        <cfvo type="num" val="0"/>
        <cfvo type="max" val="0"/>
        <color rgb="FF64B6F7"/>
      </dataBar>
      <extLst>
        <ext xmlns:x14="http://schemas.microsoft.com/office/spreadsheetml/2009/9/main" uri="{B025F937-C7B1-47D3-B67F-A62EFF666E3E}">
          <x14:id>{87DDC118-DD77-4E4A-9DA3-DDDEE9BEBE20}</x14:id>
        </ext>
      </extLst>
    </cfRule>
  </conditionalFormatting>
  <conditionalFormatting sqref="B69:I77">
    <cfRule type="expression" priority="9" aboveAverage="0" equalAverage="0" bottom="0" percent="0" rank="0" text="" dxfId="1">
      <formula>$H69="SUSPENDED - DO NOT AWARD"</formula>
    </cfRule>
    <cfRule type="expression" priority="10" aboveAverage="0" equalAverage="0" bottom="0" percent="0" rank="0" text="" dxfId="1">
      <formula>$H69="EXPIRED - CHECK BEFORE AWARD"</formula>
    </cfRule>
    <cfRule type="expression" priority="11" aboveAverage="0" equalAverage="0" bottom="0" percent="0" rank="0" text="" dxfId="1">
      <formula>$H69="COVER LAPSES BEFORE THE WORK ENDS"</formula>
    </cfRule>
    <cfRule type="expression" priority="12" aboveAverage="0" equalAverage="0" bottom="0" percent="0" rank="0" text="" dxfId="1">
      <formula>$H69="OVER THE ASSESSED LEVEL"</formula>
    </cfRule>
    <cfRule type="expression" priority="13" aboveAverage="0" equalAverage="0" bottom="0" percent="0" rank="0" text="" dxfId="0">
      <formula>$H69="Expiring soon"</formula>
    </cfRule>
    <cfRule type="expression" priority="14" aboveAverage="0" equalAverage="0" bottom="0" percent="0" rank="0" text="" dxfId="2">
      <formula>$H69="Near the assessed level"</formula>
    </cfRule>
  </conditionalFormatting>
  <hyperlinks>
    <hyperlink ref="B79" r:id="rId1" display="Visit mastt.com"/>
  </hyperlinks>
  <printOptions headings="false" gridLines="false" gridLinesSet="true" horizontalCentered="false" verticalCentered="false"/>
  <pageMargins left="0.3" right="0.3" top="0.5" bottom="0.5" header="0.511811023622047" footer="0.511811023622047"/>
  <pageSetup paperSize="8" scale="100" fitToWidth="1" fitToHeight="0" pageOrder="downThenOver" orientation="landscape" blackAndWhite="false" draft="false" cellComments="none" horizontalDpi="300" verticalDpi="300" copies="1"/>
  <headerFooter differentFirst="false" differentOddEven="false">
    <oddHeader/>
    <oddFooter/>
  </headerFooter>
  <rowBreaks count="2" manualBreakCount="2">
    <brk id="23" man="true" max="16383" min="0"/>
    <brk id="45" man="true" max="16383" min="0"/>
  </rowBreaks>
  <drawing r:id="rId2"/>
  <extLst>
    <ext xmlns:x14="http://schemas.microsoft.com/office/spreadsheetml/2009/9/main" uri="{78C0D931-6437-407d-A8EE-F0AAD7539E65}">
      <x14:conditionalFormattings>
        <x14:conditionalFormatting xmlns:xm="http://schemas.microsoft.com/office/excel/2006/main">
          <x14:cfRule type="dataBar" id="{4A9BF54F-FE2E-43B2-897E-A680E174D2E9}">
            <x14:dataBar minLength="10" maxLength="90" axisPosition="none" gradient="true">
              <x14:cfvo type="num">
                <xm:f>0</xm:f>
              </x14:cfvo>
              <x14:cfvo type="max"/>
              <x14:negativeFillColor rgb="FF64B6F7"/>
              <x14:axisColor rgb="FF000000"/>
            </x14:dataBar>
          </x14:cfRule>
          <xm:sqref>C26:D33</xm:sqref>
        </x14:conditionalFormatting>
        <x14:conditionalFormatting xmlns:xm="http://schemas.microsoft.com/office/excel/2006/main">
          <x14:cfRule type="dataBar" id="{A4F0C17E-9FD3-4ADE-9650-77C940F9DEAB}">
            <x14:dataBar minLength="10" maxLength="90" axisPosition="none" gradient="true">
              <x14:cfvo type="num">
                <xm:f>0</xm:f>
              </x14:cfvo>
              <x14:cfvo type="max"/>
              <x14:negativeFillColor rgb="FF64B6F7"/>
              <x14:axisColor rgb="FF000000"/>
            </x14:dataBar>
          </x14:cfRule>
          <xm:sqref>C37:D44</xm:sqref>
        </x14:conditionalFormatting>
        <x14:conditionalFormatting xmlns:xm="http://schemas.microsoft.com/office/excel/2006/main">
          <x14:cfRule type="dataBar" id="{8582BFA0-B26D-4C39-9B5D-6A126ABB7CB2}">
            <x14:dataBar minLength="10" maxLength="90" axisPosition="none" gradient="true">
              <x14:cfvo type="num">
                <xm:f>0</xm:f>
              </x14:cfvo>
              <x14:cfvo type="max"/>
              <x14:negativeFillColor rgb="FF64B6F7"/>
              <x14:axisColor rgb="FF000000"/>
            </x14:dataBar>
          </x14:cfRule>
          <xm:sqref>C48:D54</xm:sqref>
        </x14:conditionalFormatting>
        <x14:conditionalFormatting xmlns:xm="http://schemas.microsoft.com/office/excel/2006/main">
          <x14:cfRule type="dataBar" id="{87DDC118-DD77-4E4A-9DA3-DDDEE9BEBE20}">
            <x14:dataBar minLength="10" maxLength="90" axisPosition="none" gradient="true">
              <x14:cfvo type="num">
                <xm:f>0</xm:f>
              </x14:cfvo>
              <x14:cfvo type="max"/>
              <x14:negativeFillColor rgb="FF64B6F7"/>
              <x14:axisColor rgb="FF000000"/>
            </x14:dataBar>
          </x14:cfRule>
          <xm:sqref>E69:E77</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79D0"/>
    <pageSetUpPr fitToPage="true"/>
  </sheetPr>
  <dimension ref="B1:N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8"/>
    <col collapsed="false" customWidth="true" hidden="false" outlineLevel="0" max="3" min="3" style="0" width="28"/>
    <col collapsed="false" customWidth="true" hidden="false" outlineLevel="0" max="4" min="4" style="0" width="14"/>
    <col collapsed="false" customWidth="true" hidden="false" outlineLevel="0" max="6" min="5" style="0" width="18"/>
    <col collapsed="false" customWidth="true" hidden="false" outlineLevel="0" max="7" min="7" style="0" width="14"/>
    <col collapsed="false" customWidth="true" hidden="false" outlineLevel="0" max="8" min="8" style="0" width="15"/>
    <col collapsed="false" customWidth="true" hidden="false" outlineLevel="0" max="9" min="9" style="0" width="20"/>
    <col collapsed="false" customWidth="true" hidden="false" outlineLevel="0" max="11" min="10" style="0" width="12"/>
    <col collapsed="false" customWidth="true" hidden="false" outlineLevel="0" max="12" min="12" style="0" width="9"/>
    <col collapsed="false" customWidth="true" hidden="false" outlineLevel="0" max="13" min="13" style="0" width="18"/>
    <col collapsed="false" customWidth="true" hidden="false" outlineLevel="0" max="14" min="14" style="0" width="26"/>
    <col collapsed="false" customWidth="true" hidden="false" outlineLevel="0" max="15" min="15" style="0" width="2.2"/>
  </cols>
  <sheetData>
    <row r="1" customFormat="false" ht="33.75" hidden="false" customHeight="true" outlineLevel="0" collapsed="false">
      <c r="B1" s="37" t="s">
        <v>217</v>
      </c>
      <c r="C1" s="37"/>
      <c r="D1" s="37"/>
      <c r="E1" s="37"/>
      <c r="F1" s="37"/>
      <c r="G1" s="37"/>
      <c r="H1" s="37"/>
      <c r="I1" s="37"/>
      <c r="J1" s="37"/>
      <c r="K1" s="37"/>
      <c r="L1" s="37"/>
      <c r="M1" s="37"/>
      <c r="N1" s="37"/>
    </row>
    <row r="2" customFormat="false" ht="4.5" hidden="false" customHeight="true" outlineLevel="0" collapsed="false">
      <c r="B2" s="68"/>
      <c r="C2" s="68"/>
      <c r="D2" s="68"/>
      <c r="E2" s="68"/>
      <c r="F2" s="68"/>
      <c r="G2" s="68"/>
      <c r="H2" s="68"/>
      <c r="I2" s="68"/>
      <c r="J2" s="68"/>
      <c r="K2" s="68"/>
      <c r="L2" s="68"/>
      <c r="M2" s="68"/>
      <c r="N2" s="68"/>
    </row>
    <row r="3" customFormat="false" ht="16.5" hidden="false" customHeight="true" outlineLevel="0" collapsed="false">
      <c r="B3" s="39" t="str">
        <f aca="false">IF(LEFT(Setup!$D$7,7)&lt;&gt;"EXAMPLE","","EXAMPLE DATA - type your own organisation name on Setup to clear this.")</f>
        <v>EXAMPLE DATA - type your own organisation name on Setup to clear this.</v>
      </c>
      <c r="C3" s="39"/>
      <c r="D3" s="39"/>
      <c r="E3" s="39"/>
      <c r="F3" s="39"/>
      <c r="G3" s="39"/>
      <c r="H3" s="39"/>
      <c r="I3" s="39"/>
      <c r="J3" s="39"/>
      <c r="K3" s="39"/>
      <c r="L3" s="39"/>
      <c r="M3" s="39"/>
      <c r="N3" s="39"/>
    </row>
    <row r="4" customFormat="false" ht="25.5" hidden="false" customHeight="true" outlineLevel="0" collapsed="false">
      <c r="B4" s="40" t="s">
        <v>218</v>
      </c>
      <c r="C4" s="40"/>
      <c r="D4" s="40"/>
      <c r="E4" s="40"/>
      <c r="F4" s="40"/>
      <c r="G4" s="40"/>
      <c r="H4" s="40"/>
      <c r="I4" s="40"/>
      <c r="J4" s="40"/>
      <c r="K4" s="40"/>
      <c r="L4" s="40"/>
      <c r="M4" s="40"/>
      <c r="N4" s="40"/>
    </row>
    <row r="6" customFormat="false" ht="34.5" hidden="false" customHeight="true" outlineLevel="0" collapsed="false">
      <c r="B6" s="69" t="s">
        <v>219</v>
      </c>
      <c r="C6" s="10" t="s">
        <v>220</v>
      </c>
      <c r="D6" s="10" t="s">
        <v>184</v>
      </c>
      <c r="E6" s="10" t="s">
        <v>221</v>
      </c>
      <c r="F6" s="10" t="s">
        <v>222</v>
      </c>
      <c r="G6" s="10" t="s">
        <v>223</v>
      </c>
      <c r="H6" s="10" t="s">
        <v>224</v>
      </c>
      <c r="I6" s="10" t="s">
        <v>212</v>
      </c>
      <c r="J6" s="10" t="s">
        <v>225</v>
      </c>
      <c r="K6" s="10" t="s">
        <v>226</v>
      </c>
      <c r="L6" s="69" t="s">
        <v>227</v>
      </c>
      <c r="M6" s="69" t="s">
        <v>150</v>
      </c>
      <c r="N6" s="10" t="s">
        <v>228</v>
      </c>
    </row>
    <row r="7" customFormat="false" ht="46.5" hidden="false" customHeight="true" outlineLevel="0" collapsed="false">
      <c r="B7" s="70" t="str">
        <f aca="false">IF($C7="","","P"&amp;TEXT(ROW()-6,"000"))</f>
        <v>P001</v>
      </c>
      <c r="C7" s="71" t="s">
        <v>229</v>
      </c>
      <c r="D7" s="71" t="s">
        <v>186</v>
      </c>
      <c r="E7" s="71" t="s">
        <v>230</v>
      </c>
      <c r="F7" s="71" t="s">
        <v>180</v>
      </c>
      <c r="G7" s="71" t="s">
        <v>231</v>
      </c>
      <c r="H7" s="71" t="s">
        <v>232</v>
      </c>
      <c r="I7" s="71" t="s">
        <v>233</v>
      </c>
      <c r="J7" s="72" t="n">
        <f aca="true">TODAY()+60</f>
        <v>46312</v>
      </c>
      <c r="K7" s="72" t="n">
        <f aca="true">TODAY()+60</f>
        <v>46312</v>
      </c>
      <c r="L7" s="73" t="n">
        <f aca="false">IF(OR($C7="",$J7="",$K7=""),"",$K7-$J7)</f>
        <v>0</v>
      </c>
      <c r="M7" s="74" t="str">
        <f aca="true">IF($C7="","",IF($F7="On hold","On hold",IF($F7="Gate 5 - benefits realised","Complete",IF($K7="","No forecast finish",IF(AND($L7&lt;&gt;"",$L7&gt;Setup!$D$19),"LATE - beyond tolerance",IF(AND($L7&lt;&gt;"",$L7&gt;0),"Slipping",IF($K7&lt;TODAY(),"Overdue - not closed out",IF($K7-TODAY()&lt;=Setup!$D$20,"Finishing soon","On programme"))))))))</f>
        <v>On programme</v>
      </c>
      <c r="N7" s="71" t="s">
        <v>234</v>
      </c>
    </row>
    <row r="8" customFormat="false" ht="46.5" hidden="false" customHeight="true" outlineLevel="0" collapsed="false">
      <c r="B8" s="70" t="str">
        <f aca="false">IF($C8="","","P"&amp;TEXT(ROW()-6,"000"))</f>
        <v>P002</v>
      </c>
      <c r="C8" s="75" t="s">
        <v>235</v>
      </c>
      <c r="D8" s="75" t="s">
        <v>186</v>
      </c>
      <c r="E8" s="75" t="s">
        <v>230</v>
      </c>
      <c r="F8" s="75" t="s">
        <v>179</v>
      </c>
      <c r="G8" s="75" t="s">
        <v>236</v>
      </c>
      <c r="H8" s="75" t="s">
        <v>232</v>
      </c>
      <c r="I8" s="75" t="s">
        <v>233</v>
      </c>
      <c r="J8" s="76" t="n">
        <f aca="true">TODAY()+210</f>
        <v>46462</v>
      </c>
      <c r="K8" s="76" t="n">
        <f aca="true">TODAY()+228</f>
        <v>46480</v>
      </c>
      <c r="L8" s="73" t="n">
        <f aca="false">IF(OR($C8="",$J8="",$K8=""),"",$K8-$J8)</f>
        <v>18</v>
      </c>
      <c r="M8" s="74" t="str">
        <f aca="true">IF($C8="","",IF($F8="On hold","On hold",IF($F8="Gate 5 - benefits realised","Complete",IF($K8="","No forecast finish",IF(AND($L8&lt;&gt;"",$L8&gt;Setup!$D$19),"LATE - beyond tolerance",IF(AND($L8&lt;&gt;"",$L8&gt;0),"Slipping",IF($K8&lt;TODAY(),"Overdue - not closed out",IF($K8-TODAY()&lt;=Setup!$D$20,"Finishing soon","On programme"))))))))</f>
        <v>Slipping</v>
      </c>
      <c r="N8" s="75" t="s">
        <v>237</v>
      </c>
    </row>
    <row r="9" customFormat="false" ht="46.5" hidden="false" customHeight="true" outlineLevel="0" collapsed="false">
      <c r="B9" s="70" t="str">
        <f aca="false">IF($C9="","","P"&amp;TEXT(ROW()-6,"000"))</f>
        <v>P003</v>
      </c>
      <c r="C9" s="71" t="s">
        <v>238</v>
      </c>
      <c r="D9" s="71" t="s">
        <v>187</v>
      </c>
      <c r="E9" s="71" t="s">
        <v>239</v>
      </c>
      <c r="F9" s="71" t="s">
        <v>179</v>
      </c>
      <c r="G9" s="71" t="s">
        <v>240</v>
      </c>
      <c r="H9" s="71" t="s">
        <v>241</v>
      </c>
      <c r="I9" s="71" t="s">
        <v>242</v>
      </c>
      <c r="J9" s="72" t="n">
        <f aca="true">TODAY()+320</f>
        <v>46572</v>
      </c>
      <c r="K9" s="72" t="n">
        <f aca="true">TODAY()+411</f>
        <v>46663</v>
      </c>
      <c r="L9" s="73" t="n">
        <f aca="false">IF(OR($C9="",$J9="",$K9=""),"",$K9-$J9)</f>
        <v>91</v>
      </c>
      <c r="M9" s="74" t="str">
        <f aca="true">IF($C9="","",IF($F9="On hold","On hold",IF($F9="Gate 5 - benefits realised","Complete",IF($K9="","No forecast finish",IF(AND($L9&lt;&gt;"",$L9&gt;Setup!$D$19),"LATE - beyond tolerance",IF(AND($L9&lt;&gt;"",$L9&gt;0),"Slipping",IF($K9&lt;TODAY(),"Overdue - not closed out",IF($K9-TODAY()&lt;=Setup!$D$20,"Finishing soon","On programme"))))))))</f>
        <v>LATE - beyond tolerance</v>
      </c>
      <c r="N9" s="71" t="s">
        <v>243</v>
      </c>
    </row>
    <row r="10" customFormat="false" ht="46.5" hidden="false" customHeight="true" outlineLevel="0" collapsed="false">
      <c r="B10" s="70" t="str">
        <f aca="false">IF($C10="","","P"&amp;TEXT(ROW()-6,"000"))</f>
        <v>P004</v>
      </c>
      <c r="C10" s="75" t="s">
        <v>244</v>
      </c>
      <c r="D10" s="75" t="s">
        <v>187</v>
      </c>
      <c r="E10" s="75" t="s">
        <v>245</v>
      </c>
      <c r="F10" s="75" t="s">
        <v>179</v>
      </c>
      <c r="G10" s="75" t="s">
        <v>240</v>
      </c>
      <c r="H10" s="75" t="s">
        <v>241</v>
      </c>
      <c r="I10" s="75" t="s">
        <v>242</v>
      </c>
      <c r="J10" s="76" t="n">
        <f aca="true">TODAY()+150</f>
        <v>46402</v>
      </c>
      <c r="K10" s="76" t="n">
        <f aca="true">TODAY()+168</f>
        <v>46420</v>
      </c>
      <c r="L10" s="73" t="n">
        <f aca="false">IF(OR($C10="",$J10="",$K10=""),"",$K10-$J10)</f>
        <v>18</v>
      </c>
      <c r="M10" s="74" t="str">
        <f aca="true">IF($C10="","",IF($F10="On hold","On hold",IF($F10="Gate 5 - benefits realised","Complete",IF($K10="","No forecast finish",IF(AND($L10&lt;&gt;"",$L10&gt;Setup!$D$19),"LATE - beyond tolerance",IF(AND($L10&lt;&gt;"",$L10&gt;0),"Slipping",IF($K10&lt;TODAY(),"Overdue - not closed out",IF($K10-TODAY()&lt;=Setup!$D$20,"Finishing soon","On programme"))))))))</f>
        <v>Slipping</v>
      </c>
      <c r="N10" s="75"/>
    </row>
    <row r="11" customFormat="false" ht="46.5" hidden="false" customHeight="true" outlineLevel="0" collapsed="false">
      <c r="B11" s="70" t="str">
        <f aca="false">IF($C11="","","P"&amp;TEXT(ROW()-6,"000"))</f>
        <v>P005</v>
      </c>
      <c r="C11" s="71" t="s">
        <v>246</v>
      </c>
      <c r="D11" s="71" t="s">
        <v>188</v>
      </c>
      <c r="E11" s="71" t="s">
        <v>245</v>
      </c>
      <c r="F11" s="71" t="s">
        <v>178</v>
      </c>
      <c r="G11" s="71" t="s">
        <v>247</v>
      </c>
      <c r="H11" s="71" t="s">
        <v>248</v>
      </c>
      <c r="I11" s="71" t="s">
        <v>242</v>
      </c>
      <c r="J11" s="72" t="n">
        <f aca="true">TODAY()+540</f>
        <v>46792</v>
      </c>
      <c r="K11" s="72" t="n">
        <f aca="true">TODAY()+540</f>
        <v>46792</v>
      </c>
      <c r="L11" s="73" t="n">
        <f aca="false">IF(OR($C11="",$J11="",$K11=""),"",$K11-$J11)</f>
        <v>0</v>
      </c>
      <c r="M11" s="74" t="str">
        <f aca="true">IF($C11="","",IF($F11="On hold","On hold",IF($F11="Gate 5 - benefits realised","Complete",IF($K11="","No forecast finish",IF(AND($L11&lt;&gt;"",$L11&gt;Setup!$D$19),"LATE - beyond tolerance",IF(AND($L11&lt;&gt;"",$L11&gt;0),"Slipping",IF($K11&lt;TODAY(),"Overdue - not closed out",IF($K11-TODAY()&lt;=Setup!$D$20,"Finishing soon","On programme"))))))))</f>
        <v>On programme</v>
      </c>
      <c r="N11" s="71" t="s">
        <v>249</v>
      </c>
    </row>
    <row r="12" customFormat="false" ht="46.5" hidden="false" customHeight="true" outlineLevel="0" collapsed="false">
      <c r="B12" s="70" t="str">
        <f aca="false">IF($C12="","","P"&amp;TEXT(ROW()-6,"000"))</f>
        <v>P006</v>
      </c>
      <c r="C12" s="75" t="s">
        <v>250</v>
      </c>
      <c r="D12" s="75" t="s">
        <v>188</v>
      </c>
      <c r="E12" s="75" t="s">
        <v>239</v>
      </c>
      <c r="F12" s="75" t="s">
        <v>180</v>
      </c>
      <c r="G12" s="75" t="s">
        <v>247</v>
      </c>
      <c r="H12" s="75" t="s">
        <v>248</v>
      </c>
      <c r="I12" s="75" t="s">
        <v>251</v>
      </c>
      <c r="J12" s="76" t="n">
        <f aca="true">TODAY()+90</f>
        <v>46342</v>
      </c>
      <c r="K12" s="76" t="n">
        <f aca="true">TODAY()+97</f>
        <v>46349</v>
      </c>
      <c r="L12" s="73" t="n">
        <f aca="false">IF(OR($C12="",$J12="",$K12=""),"",$K12-$J12)</f>
        <v>7</v>
      </c>
      <c r="M12" s="74" t="str">
        <f aca="true">IF($C12="","",IF($F12="On hold","On hold",IF($F12="Gate 5 - benefits realised","Complete",IF($K12="","No forecast finish",IF(AND($L12&lt;&gt;"",$L12&gt;Setup!$D$19),"LATE - beyond tolerance",IF(AND($L12&lt;&gt;"",$L12&gt;0),"Slipping",IF($K12&lt;TODAY(),"Overdue - not closed out",IF($K12-TODAY()&lt;=Setup!$D$20,"Finishing soon","On programme"))))))))</f>
        <v>Slipping</v>
      </c>
      <c r="N12" s="75"/>
    </row>
    <row r="13" customFormat="false" ht="46.5" hidden="false" customHeight="true" outlineLevel="0" collapsed="false">
      <c r="B13" s="70" t="str">
        <f aca="false">IF($C13="","","P"&amp;TEXT(ROW()-6,"000"))</f>
        <v>P007</v>
      </c>
      <c r="C13" s="71" t="s">
        <v>252</v>
      </c>
      <c r="D13" s="71" t="s">
        <v>189</v>
      </c>
      <c r="E13" s="71" t="s">
        <v>253</v>
      </c>
      <c r="F13" s="71" t="s">
        <v>180</v>
      </c>
      <c r="G13" s="71" t="s">
        <v>231</v>
      </c>
      <c r="H13" s="71" t="s">
        <v>232</v>
      </c>
      <c r="I13" s="71" t="s">
        <v>254</v>
      </c>
      <c r="J13" s="72" t="n">
        <f aca="true">TODAY()+25</f>
        <v>46277</v>
      </c>
      <c r="K13" s="72" t="n">
        <f aca="true">TODAY()+25</f>
        <v>46277</v>
      </c>
      <c r="L13" s="73" t="n">
        <f aca="false">IF(OR($C13="",$J13="",$K13=""),"",$K13-$J13)</f>
        <v>0</v>
      </c>
      <c r="M13" s="74" t="str">
        <f aca="true">IF($C13="","",IF($F13="On hold","On hold",IF($F13="Gate 5 - benefits realised","Complete",IF($K13="","No forecast finish",IF(AND($L13&lt;&gt;"",$L13&gt;Setup!$D$19),"LATE - beyond tolerance",IF(AND($L13&lt;&gt;"",$L13&gt;0),"Slipping",IF($K13&lt;TODAY(),"Overdue - not closed out",IF($K13-TODAY()&lt;=Setup!$D$20,"Finishing soon","On programme"))))))))</f>
        <v>Finishing soon</v>
      </c>
      <c r="N13" s="71"/>
    </row>
    <row r="14" customFormat="false" ht="46.5" hidden="false" customHeight="true" outlineLevel="0" collapsed="false">
      <c r="B14" s="70" t="str">
        <f aca="false">IF($C14="","","P"&amp;TEXT(ROW()-6,"000"))</f>
        <v>P008</v>
      </c>
      <c r="C14" s="75" t="s">
        <v>255</v>
      </c>
      <c r="D14" s="75" t="s">
        <v>189</v>
      </c>
      <c r="E14" s="75" t="s">
        <v>230</v>
      </c>
      <c r="F14" s="75" t="s">
        <v>181</v>
      </c>
      <c r="G14" s="75" t="s">
        <v>231</v>
      </c>
      <c r="H14" s="75" t="s">
        <v>256</v>
      </c>
      <c r="I14" s="75" t="s">
        <v>254</v>
      </c>
      <c r="J14" s="76" t="n">
        <f aca="true">TODAY()-40</f>
        <v>46212</v>
      </c>
      <c r="K14" s="76" t="n">
        <f aca="true">TODAY()-40</f>
        <v>46212</v>
      </c>
      <c r="L14" s="73" t="n">
        <f aca="false">IF(OR($C14="",$J14="",$K14=""),"",$K14-$J14)</f>
        <v>0</v>
      </c>
      <c r="M14" s="74" t="str">
        <f aca="true">IF($C14="","",IF($F14="On hold","On hold",IF($F14="Gate 5 - benefits realised","Complete",IF($K14="","No forecast finish",IF(AND($L14&lt;&gt;"",$L14&gt;Setup!$D$19),"LATE - beyond tolerance",IF(AND($L14&lt;&gt;"",$L14&gt;0),"Slipping",IF($K14&lt;TODAY(),"Overdue - not closed out",IF($K14-TODAY()&lt;=Setup!$D$20,"Finishing soon","On programme"))))))))</f>
        <v>Complete</v>
      </c>
      <c r="N14" s="75" t="s">
        <v>257</v>
      </c>
    </row>
    <row r="15" customFormat="false" ht="46.5" hidden="false" customHeight="true" outlineLevel="0" collapsed="false">
      <c r="B15" s="70" t="str">
        <f aca="false">IF($C15="","","P"&amp;TEXT(ROW()-6,"000"))</f>
        <v>P009</v>
      </c>
      <c r="C15" s="71" t="s">
        <v>258</v>
      </c>
      <c r="D15" s="71" t="s">
        <v>186</v>
      </c>
      <c r="E15" s="71" t="s">
        <v>230</v>
      </c>
      <c r="F15" s="71" t="s">
        <v>180</v>
      </c>
      <c r="G15" s="71" t="s">
        <v>231</v>
      </c>
      <c r="H15" s="71" t="s">
        <v>256</v>
      </c>
      <c r="I15" s="71" t="s">
        <v>259</v>
      </c>
      <c r="J15" s="72" t="n">
        <f aca="true">TODAY()+120</f>
        <v>46372</v>
      </c>
      <c r="K15" s="72" t="n">
        <f aca="true">TODAY()+134</f>
        <v>46386</v>
      </c>
      <c r="L15" s="73" t="n">
        <f aca="false">IF(OR($C15="",$J15="",$K15=""),"",$K15-$J15)</f>
        <v>14</v>
      </c>
      <c r="M15" s="74" t="str">
        <f aca="true">IF($C15="","",IF($F15="On hold","On hold",IF($F15="Gate 5 - benefits realised","Complete",IF($K15="","No forecast finish",IF(AND($L15&lt;&gt;"",$L15&gt;Setup!$D$19),"LATE - beyond tolerance",IF(AND($L15&lt;&gt;"",$L15&gt;0),"Slipping",IF($K15&lt;TODAY(),"Overdue - not closed out",IF($K15-TODAY()&lt;=Setup!$D$20,"Finishing soon","On programme"))))))))</f>
        <v>Slipping</v>
      </c>
      <c r="N15" s="71" t="s">
        <v>260</v>
      </c>
    </row>
    <row r="16" customFormat="false" ht="46.5" hidden="false" customHeight="true" outlineLevel="0" collapsed="false">
      <c r="B16" s="70" t="str">
        <f aca="false">IF($C16="","","P"&amp;TEXT(ROW()-6,"000"))</f>
        <v>P010</v>
      </c>
      <c r="C16" s="75" t="s">
        <v>261</v>
      </c>
      <c r="D16" s="75" t="s">
        <v>186</v>
      </c>
      <c r="E16" s="75" t="s">
        <v>262</v>
      </c>
      <c r="F16" s="75" t="s">
        <v>178</v>
      </c>
      <c r="G16" s="75" t="s">
        <v>231</v>
      </c>
      <c r="H16" s="75" t="s">
        <v>256</v>
      </c>
      <c r="I16" s="75" t="s">
        <v>263</v>
      </c>
      <c r="J16" s="76" t="n">
        <f aca="true">TODAY()+420</f>
        <v>46672</v>
      </c>
      <c r="K16" s="76" t="n">
        <f aca="true">TODAY()+420</f>
        <v>46672</v>
      </c>
      <c r="L16" s="73" t="n">
        <f aca="false">IF(OR($C16="",$J16="",$K16=""),"",$K16-$J16)</f>
        <v>0</v>
      </c>
      <c r="M16" s="74" t="str">
        <f aca="true">IF($C16="","",IF($F16="On hold","On hold",IF($F16="Gate 5 - benefits realised","Complete",IF($K16="","No forecast finish",IF(AND($L16&lt;&gt;"",$L16&gt;Setup!$D$19),"LATE - beyond tolerance",IF(AND($L16&lt;&gt;"",$L16&gt;0),"Slipping",IF($K16&lt;TODAY(),"Overdue - not closed out",IF($K16-TODAY()&lt;=Setup!$D$20,"Finishing soon","On programme"))))))))</f>
        <v>On programme</v>
      </c>
      <c r="N16" s="75" t="s">
        <v>264</v>
      </c>
    </row>
    <row r="17" customFormat="false" ht="46.5" hidden="false" customHeight="true" outlineLevel="0" collapsed="false">
      <c r="B17" s="70" t="str">
        <f aca="false">IF($C17="","","P"&amp;TEXT(ROW()-6,"000"))</f>
        <v>P011</v>
      </c>
      <c r="C17" s="71" t="s">
        <v>265</v>
      </c>
      <c r="D17" s="71" t="s">
        <v>190</v>
      </c>
      <c r="E17" s="71" t="s">
        <v>253</v>
      </c>
      <c r="F17" s="71" t="s">
        <v>177</v>
      </c>
      <c r="G17" s="71" t="s">
        <v>236</v>
      </c>
      <c r="H17" s="71" t="s">
        <v>248</v>
      </c>
      <c r="I17" s="71" t="s">
        <v>254</v>
      </c>
      <c r="J17" s="72" t="n">
        <f aca="true">TODAY()+300</f>
        <v>46552</v>
      </c>
      <c r="K17" s="72" t="n">
        <f aca="true">TODAY()+300</f>
        <v>46552</v>
      </c>
      <c r="L17" s="73" t="n">
        <f aca="false">IF(OR($C17="",$J17="",$K17=""),"",$K17-$J17)</f>
        <v>0</v>
      </c>
      <c r="M17" s="74" t="str">
        <f aca="true">IF($C17="","",IF($F17="On hold","On hold",IF($F17="Gate 5 - benefits realised","Complete",IF($K17="","No forecast finish",IF(AND($L17&lt;&gt;"",$L17&gt;Setup!$D$19),"LATE - beyond tolerance",IF(AND($L17&lt;&gt;"",$L17&gt;0),"Slipping",IF($K17&lt;TODAY(),"Overdue - not closed out",IF($K17-TODAY()&lt;=Setup!$D$20,"Finishing soon","On programme"))))))))</f>
        <v>On programme</v>
      </c>
      <c r="N17" s="71"/>
    </row>
    <row r="18" customFormat="false" ht="46.5" hidden="false" customHeight="true" outlineLevel="0" collapsed="false">
      <c r="B18" s="70" t="str">
        <f aca="false">IF($C18="","","P"&amp;TEXT(ROW()-6,"000"))</f>
        <v>P012</v>
      </c>
      <c r="C18" s="75" t="s">
        <v>266</v>
      </c>
      <c r="D18" s="75" t="s">
        <v>191</v>
      </c>
      <c r="E18" s="75" t="s">
        <v>253</v>
      </c>
      <c r="F18" s="75" t="s">
        <v>177</v>
      </c>
      <c r="G18" s="75" t="s">
        <v>267</v>
      </c>
      <c r="H18" s="75" t="s">
        <v>268</v>
      </c>
      <c r="I18" s="75" t="s">
        <v>269</v>
      </c>
      <c r="J18" s="76" t="n">
        <f aca="true">TODAY()+270</f>
        <v>46522</v>
      </c>
      <c r="K18" s="76" t="n">
        <f aca="true">TODAY()+300</f>
        <v>46552</v>
      </c>
      <c r="L18" s="73" t="n">
        <f aca="false">IF(OR($C18="",$J18="",$K18=""),"",$K18-$J18)</f>
        <v>30</v>
      </c>
      <c r="M18" s="74" t="str">
        <f aca="true">IF($C18="","",IF($F18="On hold","On hold",IF($F18="Gate 5 - benefits realised","Complete",IF($K18="","No forecast finish",IF(AND($L18&lt;&gt;"",$L18&gt;Setup!$D$19),"LATE - beyond tolerance",IF(AND($L18&lt;&gt;"",$L18&gt;0),"Slipping",IF($K18&lt;TODAY(),"Overdue - not closed out",IF($K18-TODAY()&lt;=Setup!$D$20,"Finishing soon","On programme"))))))))</f>
        <v>LATE - beyond tolerance</v>
      </c>
      <c r="N18" s="75"/>
    </row>
    <row r="19" customFormat="false" ht="46.5" hidden="false" customHeight="true" outlineLevel="0" collapsed="false">
      <c r="B19" s="70" t="str">
        <f aca="false">IF($C19="","","P"&amp;TEXT(ROW()-6,"000"))</f>
        <v>P013</v>
      </c>
      <c r="C19" s="71" t="s">
        <v>270</v>
      </c>
      <c r="D19" s="71" t="s">
        <v>192</v>
      </c>
      <c r="E19" s="71" t="s">
        <v>239</v>
      </c>
      <c r="F19" s="71" t="s">
        <v>180</v>
      </c>
      <c r="G19" s="71" t="s">
        <v>236</v>
      </c>
      <c r="H19" s="71" t="s">
        <v>241</v>
      </c>
      <c r="I19" s="71" t="s">
        <v>271</v>
      </c>
      <c r="J19" s="72" t="n">
        <f aca="true">TODAY()+30</f>
        <v>46282</v>
      </c>
      <c r="K19" s="72" t="n">
        <f aca="true">TODAY()+48</f>
        <v>46300</v>
      </c>
      <c r="L19" s="73" t="n">
        <f aca="false">IF(OR($C19="",$J19="",$K19=""),"",$K19-$J19)</f>
        <v>18</v>
      </c>
      <c r="M19" s="74" t="str">
        <f aca="true">IF($C19="","",IF($F19="On hold","On hold",IF($F19="Gate 5 - benefits realised","Complete",IF($K19="","No forecast finish",IF(AND($L19&lt;&gt;"",$L19&gt;Setup!$D$19),"LATE - beyond tolerance",IF(AND($L19&lt;&gt;"",$L19&gt;0),"Slipping",IF($K19&lt;TODAY(),"Overdue - not closed out",IF($K19-TODAY()&lt;=Setup!$D$20,"Finishing soon","On programme"))))))))</f>
        <v>Slipping</v>
      </c>
      <c r="N19" s="71" t="s">
        <v>272</v>
      </c>
    </row>
    <row r="20" customFormat="false" ht="46.5" hidden="false" customHeight="true" outlineLevel="0" collapsed="false">
      <c r="B20" s="70" t="str">
        <f aca="false">IF($C20="","","P"&amp;TEXT(ROW()-6,"000"))</f>
        <v>P014</v>
      </c>
      <c r="C20" s="75" t="s">
        <v>273</v>
      </c>
      <c r="D20" s="75" t="s">
        <v>192</v>
      </c>
      <c r="E20" s="75" t="s">
        <v>239</v>
      </c>
      <c r="F20" s="75" t="s">
        <v>179</v>
      </c>
      <c r="G20" s="75" t="s">
        <v>240</v>
      </c>
      <c r="H20" s="75" t="s">
        <v>241</v>
      </c>
      <c r="I20" s="75" t="s">
        <v>271</v>
      </c>
      <c r="J20" s="76" t="n">
        <f aca="true">TODAY()+240</f>
        <v>46492</v>
      </c>
      <c r="K20" s="76" t="n">
        <f aca="true">TODAY()+240</f>
        <v>46492</v>
      </c>
      <c r="L20" s="73" t="n">
        <f aca="false">IF(OR($C20="",$J20="",$K20=""),"",$K20-$J20)</f>
        <v>0</v>
      </c>
      <c r="M20" s="74" t="str">
        <f aca="true">IF($C20="","",IF($F20="On hold","On hold",IF($F20="Gate 5 - benefits realised","Complete",IF($K20="","No forecast finish",IF(AND($L20&lt;&gt;"",$L20&gt;Setup!$D$19),"LATE - beyond tolerance",IF(AND($L20&lt;&gt;"",$L20&gt;0),"Slipping",IF($K20&lt;TODAY(),"Overdue - not closed out",IF($K20-TODAY()&lt;=Setup!$D$20,"Finishing soon","On programme"))))))))</f>
        <v>On programme</v>
      </c>
      <c r="N20" s="75"/>
    </row>
    <row r="21" customFormat="false" ht="46.5" hidden="false" customHeight="true" outlineLevel="0" collapsed="false">
      <c r="B21" s="70" t="str">
        <f aca="false">IF($C21="","","P"&amp;TEXT(ROW()-6,"000"))</f>
        <v>P015</v>
      </c>
      <c r="C21" s="71" t="s">
        <v>274</v>
      </c>
      <c r="D21" s="71" t="s">
        <v>188</v>
      </c>
      <c r="E21" s="71" t="s">
        <v>245</v>
      </c>
      <c r="F21" s="71" t="s">
        <v>176</v>
      </c>
      <c r="G21" s="71" t="s">
        <v>247</v>
      </c>
      <c r="H21" s="71"/>
      <c r="I21" s="71"/>
      <c r="J21" s="72" t="n">
        <f aca="true">TODAY()+390</f>
        <v>46642</v>
      </c>
      <c r="K21" s="72" t="n">
        <f aca="true">TODAY()+390</f>
        <v>46642</v>
      </c>
      <c r="L21" s="73" t="n">
        <f aca="false">IF(OR($C21="",$J21="",$K21=""),"",$K21-$J21)</f>
        <v>0</v>
      </c>
      <c r="M21" s="74" t="str">
        <f aca="true">IF($C21="","",IF($F21="On hold","On hold",IF($F21="Gate 5 - benefits realised","Complete",IF($K21="","No forecast finish",IF(AND($L21&lt;&gt;"",$L21&gt;Setup!$D$19),"LATE - beyond tolerance",IF(AND($L21&lt;&gt;"",$L21&gt;0),"Slipping",IF($K21&lt;TODAY(),"Overdue - not closed out",IF($K21-TODAY()&lt;=Setup!$D$20,"Finishing soon","On programme"))))))))</f>
        <v>On programme</v>
      </c>
      <c r="N21" s="71" t="s">
        <v>275</v>
      </c>
    </row>
    <row r="22" customFormat="false" ht="46.5" hidden="false" customHeight="true" outlineLevel="0" collapsed="false">
      <c r="B22" s="70" t="str">
        <f aca="false">IF($C22="","","P"&amp;TEXT(ROW()-6,"000"))</f>
        <v>P016</v>
      </c>
      <c r="C22" s="75" t="s">
        <v>276</v>
      </c>
      <c r="D22" s="75" t="s">
        <v>189</v>
      </c>
      <c r="E22" s="75" t="s">
        <v>230</v>
      </c>
      <c r="F22" s="75" t="s">
        <v>166</v>
      </c>
      <c r="G22" s="75" t="s">
        <v>231</v>
      </c>
      <c r="H22" s="75" t="s">
        <v>256</v>
      </c>
      <c r="I22" s="75"/>
      <c r="J22" s="76" t="n">
        <f aca="true">TODAY()+180</f>
        <v>46432</v>
      </c>
      <c r="K22" s="76" t="n">
        <f aca="true">TODAY()+180</f>
        <v>46432</v>
      </c>
      <c r="L22" s="73" t="n">
        <f aca="false">IF(OR($C22="",$J22="",$K22=""),"",$K22-$J22)</f>
        <v>0</v>
      </c>
      <c r="M22" s="74" t="str">
        <f aca="true">IF($C22="","",IF($F22="On hold","On hold",IF($F22="Gate 5 - benefits realised","Complete",IF($K22="","No forecast finish",IF(AND($L22&lt;&gt;"",$L22&gt;Setup!$D$19),"LATE - beyond tolerance",IF(AND($L22&lt;&gt;"",$L22&gt;0),"Slipping",IF($K22&lt;TODAY(),"Overdue - not closed out",IF($K22-TODAY()&lt;=Setup!$D$20,"Finishing soon","On programme"))))))))</f>
        <v>On hold</v>
      </c>
      <c r="N22" s="75" t="s">
        <v>277</v>
      </c>
    </row>
    <row r="23" customFormat="false" ht="46.5" hidden="false" customHeight="true" outlineLevel="0" collapsed="false">
      <c r="B23" s="70" t="str">
        <f aca="false">IF($C23="","","P"&amp;TEXT(ROW()-6,"000"))</f>
        <v/>
      </c>
      <c r="C23" s="71"/>
      <c r="D23" s="71"/>
      <c r="E23" s="71"/>
      <c r="F23" s="71"/>
      <c r="G23" s="71"/>
      <c r="H23" s="71"/>
      <c r="I23" s="71"/>
      <c r="J23" s="72"/>
      <c r="K23" s="72"/>
      <c r="L23" s="73" t="str">
        <f aca="false">IF(OR($C23="",$J23="",$K23=""),"",$K23-$J23)</f>
        <v/>
      </c>
      <c r="M23" s="74" t="str">
        <f aca="true">IF($C23="","",IF($F23="On hold","On hold",IF($F23="Gate 5 - benefits realised","Complete",IF($K23="","No forecast finish",IF(AND($L23&lt;&gt;"",$L23&gt;Setup!$D$19),"LATE - beyond tolerance",IF(AND($L23&lt;&gt;"",$L23&gt;0),"Slipping",IF($K23&lt;TODAY(),"Overdue - not closed out",IF($K23-TODAY()&lt;=Setup!$D$20,"Finishing soon","On programme"))))))))</f>
        <v/>
      </c>
      <c r="N23" s="71"/>
    </row>
    <row r="24" customFormat="false" ht="46.5" hidden="false" customHeight="true" outlineLevel="0" collapsed="false">
      <c r="B24" s="70" t="str">
        <f aca="false">IF($C24="","","P"&amp;TEXT(ROW()-6,"000"))</f>
        <v/>
      </c>
      <c r="C24" s="75"/>
      <c r="D24" s="75"/>
      <c r="E24" s="75"/>
      <c r="F24" s="75"/>
      <c r="G24" s="75"/>
      <c r="H24" s="75"/>
      <c r="I24" s="75"/>
      <c r="J24" s="76"/>
      <c r="K24" s="76"/>
      <c r="L24" s="73" t="str">
        <f aca="false">IF(OR($C24="",$J24="",$K24=""),"",$K24-$J24)</f>
        <v/>
      </c>
      <c r="M24" s="74" t="str">
        <f aca="true">IF($C24="","",IF($F24="On hold","On hold",IF($F24="Gate 5 - benefits realised","Complete",IF($K24="","No forecast finish",IF(AND($L24&lt;&gt;"",$L24&gt;Setup!$D$19),"LATE - beyond tolerance",IF(AND($L24&lt;&gt;"",$L24&gt;0),"Slipping",IF($K24&lt;TODAY(),"Overdue - not closed out",IF($K24-TODAY()&lt;=Setup!$D$20,"Finishing soon","On programme"))))))))</f>
        <v/>
      </c>
      <c r="N24" s="75"/>
    </row>
    <row r="25" customFormat="false" ht="46.5" hidden="false" customHeight="true" outlineLevel="0" collapsed="false">
      <c r="B25" s="70" t="str">
        <f aca="false">IF($C25="","","P"&amp;TEXT(ROW()-6,"000"))</f>
        <v/>
      </c>
      <c r="C25" s="71"/>
      <c r="D25" s="71"/>
      <c r="E25" s="71"/>
      <c r="F25" s="71"/>
      <c r="G25" s="71"/>
      <c r="H25" s="71"/>
      <c r="I25" s="71"/>
      <c r="J25" s="72"/>
      <c r="K25" s="72"/>
      <c r="L25" s="73" t="str">
        <f aca="false">IF(OR($C25="",$J25="",$K25=""),"",$K25-$J25)</f>
        <v/>
      </c>
      <c r="M25" s="74" t="str">
        <f aca="true">IF($C25="","",IF($F25="On hold","On hold",IF($F25="Gate 5 - benefits realised","Complete",IF($K25="","No forecast finish",IF(AND($L25&lt;&gt;"",$L25&gt;Setup!$D$19),"LATE - beyond tolerance",IF(AND($L25&lt;&gt;"",$L25&gt;0),"Slipping",IF($K25&lt;TODAY(),"Overdue - not closed out",IF($K25-TODAY()&lt;=Setup!$D$20,"Finishing soon","On programme"))))))))</f>
        <v/>
      </c>
      <c r="N25" s="71"/>
    </row>
    <row r="26" customFormat="false" ht="46.5" hidden="false" customHeight="true" outlineLevel="0" collapsed="false">
      <c r="B26" s="70" t="str">
        <f aca="false">IF($C26="","","P"&amp;TEXT(ROW()-6,"000"))</f>
        <v/>
      </c>
      <c r="C26" s="75"/>
      <c r="D26" s="75"/>
      <c r="E26" s="75"/>
      <c r="F26" s="75"/>
      <c r="G26" s="75"/>
      <c r="H26" s="75"/>
      <c r="I26" s="75"/>
      <c r="J26" s="76"/>
      <c r="K26" s="76"/>
      <c r="L26" s="73" t="str">
        <f aca="false">IF(OR($C26="",$J26="",$K26=""),"",$K26-$J26)</f>
        <v/>
      </c>
      <c r="M26" s="74" t="str">
        <f aca="true">IF($C26="","",IF($F26="On hold","On hold",IF($F26="Gate 5 - benefits realised","Complete",IF($K26="","No forecast finish",IF(AND($L26&lt;&gt;"",$L26&gt;Setup!$D$19),"LATE - beyond tolerance",IF(AND($L26&lt;&gt;"",$L26&gt;0),"Slipping",IF($K26&lt;TODAY(),"Overdue - not closed out",IF($K26-TODAY()&lt;=Setup!$D$20,"Finishing soon","On programme"))))))))</f>
        <v/>
      </c>
      <c r="N26" s="75"/>
    </row>
    <row r="27" customFormat="false" ht="46.5" hidden="false" customHeight="true" outlineLevel="0" collapsed="false">
      <c r="B27" s="70" t="str">
        <f aca="false">IF($C27="","","P"&amp;TEXT(ROW()-6,"000"))</f>
        <v/>
      </c>
      <c r="C27" s="71"/>
      <c r="D27" s="71"/>
      <c r="E27" s="71"/>
      <c r="F27" s="71"/>
      <c r="G27" s="71"/>
      <c r="H27" s="71"/>
      <c r="I27" s="71"/>
      <c r="J27" s="72"/>
      <c r="K27" s="72"/>
      <c r="L27" s="73" t="str">
        <f aca="false">IF(OR($C27="",$J27="",$K27=""),"",$K27-$J27)</f>
        <v/>
      </c>
      <c r="M27" s="74" t="str">
        <f aca="true">IF($C27="","",IF($F27="On hold","On hold",IF($F27="Gate 5 - benefits realised","Complete",IF($K27="","No forecast finish",IF(AND($L27&lt;&gt;"",$L27&gt;Setup!$D$19),"LATE - beyond tolerance",IF(AND($L27&lt;&gt;"",$L27&gt;0),"Slipping",IF($K27&lt;TODAY(),"Overdue - not closed out",IF($K27-TODAY()&lt;=Setup!$D$20,"Finishing soon","On programme"))))))))</f>
        <v/>
      </c>
      <c r="N27" s="71"/>
    </row>
    <row r="28" customFormat="false" ht="46.5" hidden="false" customHeight="true" outlineLevel="0" collapsed="false">
      <c r="B28" s="70" t="str">
        <f aca="false">IF($C28="","","P"&amp;TEXT(ROW()-6,"000"))</f>
        <v/>
      </c>
      <c r="C28" s="75"/>
      <c r="D28" s="75"/>
      <c r="E28" s="75"/>
      <c r="F28" s="75"/>
      <c r="G28" s="75"/>
      <c r="H28" s="75"/>
      <c r="I28" s="75"/>
      <c r="J28" s="76"/>
      <c r="K28" s="76"/>
      <c r="L28" s="73" t="str">
        <f aca="false">IF(OR($C28="",$J28="",$K28=""),"",$K28-$J28)</f>
        <v/>
      </c>
      <c r="M28" s="74" t="str">
        <f aca="true">IF($C28="","",IF($F28="On hold","On hold",IF($F28="Gate 5 - benefits realised","Complete",IF($K28="","No forecast finish",IF(AND($L28&lt;&gt;"",$L28&gt;Setup!$D$19),"LATE - beyond tolerance",IF(AND($L28&lt;&gt;"",$L28&gt;0),"Slipping",IF($K28&lt;TODAY(),"Overdue - not closed out",IF($K28-TODAY()&lt;=Setup!$D$20,"Finishing soon","On programme"))))))))</f>
        <v/>
      </c>
      <c r="N28" s="75"/>
    </row>
    <row r="30" customFormat="false" ht="15" hidden="false" customHeight="true" outlineLevel="0" collapsed="false">
      <c r="B30" s="40" t="s">
        <v>278</v>
      </c>
      <c r="C30" s="40"/>
      <c r="D30" s="40"/>
      <c r="E30" s="40"/>
      <c r="F30" s="40"/>
      <c r="G30" s="40"/>
      <c r="H30" s="40"/>
      <c r="I30" s="40"/>
      <c r="J30" s="40"/>
      <c r="K30" s="40"/>
      <c r="L30" s="40"/>
    </row>
    <row r="31" customFormat="false" ht="15" hidden="false" customHeight="true" outlineLevel="0" collapsed="false">
      <c r="B31" s="40"/>
      <c r="C31" s="40"/>
      <c r="D31" s="40"/>
      <c r="E31" s="40"/>
      <c r="F31" s="40"/>
      <c r="G31" s="40"/>
      <c r="H31" s="40"/>
      <c r="I31" s="40"/>
      <c r="J31" s="40"/>
      <c r="K31" s="40"/>
      <c r="L31" s="40"/>
    </row>
    <row r="32" customFormat="false" ht="18" hidden="false" customHeight="true" outlineLevel="0" collapsed="false">
      <c r="B32" s="47" t="s">
        <v>120</v>
      </c>
      <c r="C32" s="47"/>
      <c r="D32" s="47"/>
      <c r="E32" s="47"/>
      <c r="F32" s="47"/>
      <c r="G32" s="47"/>
      <c r="H32" s="47"/>
      <c r="I32" s="47"/>
      <c r="J32" s="47"/>
      <c r="K32" s="47"/>
      <c r="L32" s="47"/>
      <c r="M32" s="47"/>
      <c r="N32" s="47"/>
    </row>
  </sheetData>
  <autoFilter ref="B6:N28"/>
  <mergeCells count="6">
    <mergeCell ref="B1:N1"/>
    <mergeCell ref="B2:N2"/>
    <mergeCell ref="B3:N3"/>
    <mergeCell ref="B4:N4"/>
    <mergeCell ref="B30:L31"/>
    <mergeCell ref="B32:N32"/>
  </mergeCells>
  <conditionalFormatting sqref="B3:N3">
    <cfRule type="expression" priority="2" aboveAverage="0" equalAverage="0" bottom="0" percent="0" rank="0" text="" dxfId="0">
      <formula>LEN($B$3)&gt;0</formula>
    </cfRule>
  </conditionalFormatting>
  <conditionalFormatting sqref="B7:N28">
    <cfRule type="expression" priority="3" aboveAverage="0" equalAverage="0" bottom="0" percent="0" rank="0" text="" dxfId="16">
      <formula>$M7="On hold"</formula>
    </cfRule>
    <cfRule type="expression" priority="4" aboveAverage="0" equalAverage="0" bottom="0" percent="0" rank="0" text="" dxfId="1">
      <formula>$M7="LATE - beyond tolerance"</formula>
    </cfRule>
    <cfRule type="expression" priority="5" aboveAverage="0" equalAverage="0" bottom="0" percent="0" rank="0" text="" dxfId="1">
      <formula>$M7="Overdue - not closed out"</formula>
    </cfRule>
    <cfRule type="expression" priority="6" aboveAverage="0" equalAverage="0" bottom="0" percent="0" rank="0" text="" dxfId="2">
      <formula>$M7="Slipping"</formula>
    </cfRule>
    <cfRule type="expression" priority="7" aboveAverage="0" equalAverage="0" bottom="0" percent="0" rank="0" text="" dxfId="0">
      <formula>$M7="No forecast finish"</formula>
    </cfRule>
    <cfRule type="expression" priority="8" aboveAverage="0" equalAverage="0" bottom="0" percent="0" rank="0" text="" dxfId="0">
      <formula>$M7="Finishing soon"</formula>
    </cfRule>
    <cfRule type="expression" priority="9" aboveAverage="0" equalAverage="0" bottom="0" percent="0" rank="0" text="" dxfId="17">
      <formula>$M7="Complete"</formula>
    </cfRule>
    <cfRule type="expression" priority="10" aboveAverage="0" equalAverage="0" bottom="0" percent="0" rank="0" text="" dxfId="18">
      <formula>$M7="On programme"</formula>
    </cfRule>
  </conditionalFormatting>
  <dataValidations count="89">
    <dataValidation allowBlank="true" errorStyle="stop" operator="between" showDropDown="false" showErrorMessage="false" showInputMessage="false" sqref="D7" type="list">
      <formula1>Reference!$D$105:$D$111</formula1>
      <formula2>0</formula2>
    </dataValidation>
    <dataValidation allowBlank="true" errorStyle="stop" operator="between" showDropDown="false" showErrorMessage="false" showInputMessage="false" sqref="E7" type="list">
      <formula1>Reference!$H$105:$H$110</formula1>
      <formula2>0</formula2>
    </dataValidation>
    <dataValidation allowBlank="true" errorStyle="stop" operator="between" showDropDown="false" showErrorMessage="false" showInputMessage="false" sqref="F7" type="list">
      <formula1>Reference!$G$105:$G$112</formula1>
      <formula2>0</formula2>
    </dataValidation>
    <dataValidation allowBlank="true" errorStyle="stop" operator="between" showDropDown="false" showErrorMessage="false" showInputMessage="false" sqref="I7" type="list">
      <formula1>Reference!$C$7:$C$21</formula1>
      <formula2>0</formula2>
    </dataValidation>
    <dataValidation allowBlank="true" errorStyle="stop" operator="between" showDropDown="false" showErrorMessage="false" showInputMessage="false" sqref="D8" type="list">
      <formula1>Reference!$D$105:$D$111</formula1>
      <formula2>0</formula2>
    </dataValidation>
    <dataValidation allowBlank="true" errorStyle="stop" operator="between" showDropDown="false" showErrorMessage="false" showInputMessage="false" sqref="E8" type="list">
      <formula1>Reference!$H$105:$H$110</formula1>
      <formula2>0</formula2>
    </dataValidation>
    <dataValidation allowBlank="true" errorStyle="stop" operator="between" showDropDown="false" showErrorMessage="false" showInputMessage="false" sqref="F8" type="list">
      <formula1>Reference!$G$105:$G$112</formula1>
      <formula2>0</formula2>
    </dataValidation>
    <dataValidation allowBlank="true" errorStyle="stop" operator="between" showDropDown="false" showErrorMessage="false" showInputMessage="false" sqref="I8" type="list">
      <formula1>Reference!$C$7:$C$21</formula1>
      <formula2>0</formula2>
    </dataValidation>
    <dataValidation allowBlank="true" errorStyle="stop" operator="between" showDropDown="false" showErrorMessage="false" showInputMessage="false" sqref="D9" type="list">
      <formula1>Reference!$D$105:$D$111</formula1>
      <formula2>0</formula2>
    </dataValidation>
    <dataValidation allowBlank="true" errorStyle="stop" operator="between" showDropDown="false" showErrorMessage="false" showInputMessage="false" sqref="E9" type="list">
      <formula1>Reference!$H$105:$H$110</formula1>
      <formula2>0</formula2>
    </dataValidation>
    <dataValidation allowBlank="true" errorStyle="stop" operator="between" showDropDown="false" showErrorMessage="false" showInputMessage="false" sqref="F9" type="list">
      <formula1>Reference!$G$105:$G$112</formula1>
      <formula2>0</formula2>
    </dataValidation>
    <dataValidation allowBlank="true" errorStyle="stop" operator="between" showDropDown="false" showErrorMessage="false" showInputMessage="false" sqref="I9" type="list">
      <formula1>Reference!$C$7:$C$21</formula1>
      <formula2>0</formula2>
    </dataValidation>
    <dataValidation allowBlank="true" errorStyle="stop" operator="between" showDropDown="false" showErrorMessage="false" showInputMessage="false" sqref="D10" type="list">
      <formula1>Reference!$D$105:$D$111</formula1>
      <formula2>0</formula2>
    </dataValidation>
    <dataValidation allowBlank="true" errorStyle="stop" operator="between" showDropDown="false" showErrorMessage="false" showInputMessage="false" sqref="E10" type="list">
      <formula1>Reference!$H$105:$H$110</formula1>
      <formula2>0</formula2>
    </dataValidation>
    <dataValidation allowBlank="true" errorStyle="stop" operator="between" showDropDown="false" showErrorMessage="false" showInputMessage="false" sqref="F10" type="list">
      <formula1>Reference!$G$105:$G$112</formula1>
      <formula2>0</formula2>
    </dataValidation>
    <dataValidation allowBlank="true" errorStyle="stop" operator="between" showDropDown="false" showErrorMessage="false" showInputMessage="false" sqref="I10" type="list">
      <formula1>Reference!$C$7:$C$21</formula1>
      <formula2>0</formula2>
    </dataValidation>
    <dataValidation allowBlank="true" errorStyle="stop" operator="between" showDropDown="false" showErrorMessage="false" showInputMessage="false" sqref="D11" type="list">
      <formula1>Reference!$D$105:$D$111</formula1>
      <formula2>0</formula2>
    </dataValidation>
    <dataValidation allowBlank="true" errorStyle="stop" operator="between" showDropDown="false" showErrorMessage="false" showInputMessage="false" sqref="E11" type="list">
      <formula1>Reference!$H$105:$H$110</formula1>
      <formula2>0</formula2>
    </dataValidation>
    <dataValidation allowBlank="true" errorStyle="stop" operator="between" showDropDown="false" showErrorMessage="false" showInputMessage="false" sqref="F11" type="list">
      <formula1>Reference!$G$105:$G$112</formula1>
      <formula2>0</formula2>
    </dataValidation>
    <dataValidation allowBlank="true" errorStyle="stop" operator="between" showDropDown="false" showErrorMessage="false" showInputMessage="false" sqref="I11" type="list">
      <formula1>Reference!$C$7:$C$21</formula1>
      <formula2>0</formula2>
    </dataValidation>
    <dataValidation allowBlank="true" errorStyle="stop" operator="between" showDropDown="false" showErrorMessage="false" showInputMessage="false" sqref="D12" type="list">
      <formula1>Reference!$D$105:$D$111</formula1>
      <formula2>0</formula2>
    </dataValidation>
    <dataValidation allowBlank="true" errorStyle="stop" operator="between" showDropDown="false" showErrorMessage="false" showInputMessage="false" sqref="E12" type="list">
      <formula1>Reference!$H$105:$H$110</formula1>
      <formula2>0</formula2>
    </dataValidation>
    <dataValidation allowBlank="true" errorStyle="stop" operator="between" showDropDown="false" showErrorMessage="false" showInputMessage="false" sqref="F12" type="list">
      <formula1>Reference!$G$105:$G$112</formula1>
      <formula2>0</formula2>
    </dataValidation>
    <dataValidation allowBlank="true" errorStyle="stop" operator="between" showDropDown="false" showErrorMessage="false" showInputMessage="false" sqref="I12" type="list">
      <formula1>Reference!$C$7:$C$21</formula1>
      <formula2>0</formula2>
    </dataValidation>
    <dataValidation allowBlank="true" errorStyle="stop" operator="between" showDropDown="false" showErrorMessage="false" showInputMessage="false" sqref="D13" type="list">
      <formula1>Reference!$D$105:$D$111</formula1>
      <formula2>0</formula2>
    </dataValidation>
    <dataValidation allowBlank="true" errorStyle="stop" operator="between" showDropDown="false" showErrorMessage="false" showInputMessage="false" sqref="E13" type="list">
      <formula1>Reference!$H$105:$H$110</formula1>
      <formula2>0</formula2>
    </dataValidation>
    <dataValidation allowBlank="true" errorStyle="stop" operator="between" showDropDown="false" showErrorMessage="false" showInputMessage="false" sqref="F13" type="list">
      <formula1>Reference!$G$105:$G$112</formula1>
      <formula2>0</formula2>
    </dataValidation>
    <dataValidation allowBlank="true" errorStyle="stop" operator="between" showDropDown="false" showErrorMessage="false" showInputMessage="false" sqref="I13" type="list">
      <formula1>Reference!$C$7:$C$21</formula1>
      <formula2>0</formula2>
    </dataValidation>
    <dataValidation allowBlank="true" errorStyle="stop" operator="between" showDropDown="false" showErrorMessage="false" showInputMessage="false" sqref="D14" type="list">
      <formula1>Reference!$D$105:$D$111</formula1>
      <formula2>0</formula2>
    </dataValidation>
    <dataValidation allowBlank="true" errorStyle="stop" operator="between" showDropDown="false" showErrorMessage="false" showInputMessage="false" sqref="E14" type="list">
      <formula1>Reference!$H$105:$H$110</formula1>
      <formula2>0</formula2>
    </dataValidation>
    <dataValidation allowBlank="true" errorStyle="stop" operator="between" showDropDown="false" showErrorMessage="false" showInputMessage="false" sqref="F14" type="list">
      <formula1>Reference!$G$105:$G$112</formula1>
      <formula2>0</formula2>
    </dataValidation>
    <dataValidation allowBlank="true" errorStyle="stop" operator="between" showDropDown="false" showErrorMessage="false" showInputMessage="false" sqref="I14" type="list">
      <formula1>Reference!$C$7:$C$21</formula1>
      <formula2>0</formula2>
    </dataValidation>
    <dataValidation allowBlank="true" errorStyle="stop" operator="between" showDropDown="false" showErrorMessage="false" showInputMessage="false" sqref="D15" type="list">
      <formula1>Reference!$D$105:$D$111</formula1>
      <formula2>0</formula2>
    </dataValidation>
    <dataValidation allowBlank="true" errorStyle="stop" operator="between" showDropDown="false" showErrorMessage="false" showInputMessage="false" sqref="E15" type="list">
      <formula1>Reference!$H$105:$H$110</formula1>
      <formula2>0</formula2>
    </dataValidation>
    <dataValidation allowBlank="true" errorStyle="stop" operator="between" showDropDown="false" showErrorMessage="false" showInputMessage="false" sqref="F15" type="list">
      <formula1>Reference!$G$105:$G$112</formula1>
      <formula2>0</formula2>
    </dataValidation>
    <dataValidation allowBlank="true" errorStyle="stop" operator="between" showDropDown="false" showErrorMessage="false" showInputMessage="false" sqref="I15" type="list">
      <formula1>Reference!$C$7:$C$21</formula1>
      <formula2>0</formula2>
    </dataValidation>
    <dataValidation allowBlank="true" errorStyle="stop" operator="between" showDropDown="false" showErrorMessage="false" showInputMessage="false" sqref="D16" type="list">
      <formula1>Reference!$D$105:$D$111</formula1>
      <formula2>0</formula2>
    </dataValidation>
    <dataValidation allowBlank="true" errorStyle="stop" operator="between" showDropDown="false" showErrorMessage="false" showInputMessage="false" sqref="E16" type="list">
      <formula1>Reference!$H$105:$H$110</formula1>
      <formula2>0</formula2>
    </dataValidation>
    <dataValidation allowBlank="true" errorStyle="stop" operator="between" showDropDown="false" showErrorMessage="false" showInputMessage="false" sqref="F16" type="list">
      <formula1>Reference!$G$105:$G$112</formula1>
      <formula2>0</formula2>
    </dataValidation>
    <dataValidation allowBlank="true" errorStyle="stop" operator="between" showDropDown="false" showErrorMessage="false" showInputMessage="false" sqref="I16" type="list">
      <formula1>Reference!$C$7:$C$21</formula1>
      <formula2>0</formula2>
    </dataValidation>
    <dataValidation allowBlank="true" errorStyle="stop" operator="between" showDropDown="false" showErrorMessage="false" showInputMessage="false" sqref="D17" type="list">
      <formula1>Reference!$D$105:$D$111</formula1>
      <formula2>0</formula2>
    </dataValidation>
    <dataValidation allowBlank="true" errorStyle="stop" operator="between" showDropDown="false" showErrorMessage="false" showInputMessage="false" sqref="E17" type="list">
      <formula1>Reference!$H$105:$H$110</formula1>
      <formula2>0</formula2>
    </dataValidation>
    <dataValidation allowBlank="true" errorStyle="stop" operator="between" showDropDown="false" showErrorMessage="false" showInputMessage="false" sqref="F17" type="list">
      <formula1>Reference!$G$105:$G$112</formula1>
      <formula2>0</formula2>
    </dataValidation>
    <dataValidation allowBlank="true" errorStyle="stop" operator="between" showDropDown="false" showErrorMessage="false" showInputMessage="false" sqref="I17" type="list">
      <formula1>Reference!$C$7:$C$21</formula1>
      <formula2>0</formula2>
    </dataValidation>
    <dataValidation allowBlank="true" errorStyle="stop" operator="between" showDropDown="false" showErrorMessage="false" showInputMessage="false" sqref="D18" type="list">
      <formula1>Reference!$D$105:$D$111</formula1>
      <formula2>0</formula2>
    </dataValidation>
    <dataValidation allowBlank="true" errorStyle="stop" operator="between" showDropDown="false" showErrorMessage="false" showInputMessage="false" sqref="E18" type="list">
      <formula1>Reference!$H$105:$H$110</formula1>
      <formula2>0</formula2>
    </dataValidation>
    <dataValidation allowBlank="true" errorStyle="stop" operator="between" showDropDown="false" showErrorMessage="false" showInputMessage="false" sqref="F18" type="list">
      <formula1>Reference!$G$105:$G$112</formula1>
      <formula2>0</formula2>
    </dataValidation>
    <dataValidation allowBlank="true" errorStyle="stop" operator="between" showDropDown="false" showErrorMessage="false" showInputMessage="false" sqref="I18" type="list">
      <formula1>Reference!$C$7:$C$21</formula1>
      <formula2>0</formula2>
    </dataValidation>
    <dataValidation allowBlank="true" errorStyle="stop" operator="between" showDropDown="false" showErrorMessage="false" showInputMessage="false" sqref="D19" type="list">
      <formula1>Reference!$D$105:$D$111</formula1>
      <formula2>0</formula2>
    </dataValidation>
    <dataValidation allowBlank="true" errorStyle="stop" operator="between" showDropDown="false" showErrorMessage="false" showInputMessage="false" sqref="E19" type="list">
      <formula1>Reference!$H$105:$H$110</formula1>
      <formula2>0</formula2>
    </dataValidation>
    <dataValidation allowBlank="true" errorStyle="stop" operator="between" showDropDown="false" showErrorMessage="false" showInputMessage="false" sqref="F19" type="list">
      <formula1>Reference!$G$105:$G$112</formula1>
      <formula2>0</formula2>
    </dataValidation>
    <dataValidation allowBlank="true" errorStyle="stop" operator="between" showDropDown="false" showErrorMessage="false" showInputMessage="false" sqref="I19" type="list">
      <formula1>Reference!$C$7:$C$21</formula1>
      <formula2>0</formula2>
    </dataValidation>
    <dataValidation allowBlank="true" errorStyle="stop" operator="between" showDropDown="false" showErrorMessage="false" showInputMessage="false" sqref="D20" type="list">
      <formula1>Reference!$D$105:$D$111</formula1>
      <formula2>0</formula2>
    </dataValidation>
    <dataValidation allowBlank="true" errorStyle="stop" operator="between" showDropDown="false" showErrorMessage="false" showInputMessage="false" sqref="E20" type="list">
      <formula1>Reference!$H$105:$H$110</formula1>
      <formula2>0</formula2>
    </dataValidation>
    <dataValidation allowBlank="true" errorStyle="stop" operator="between" showDropDown="false" showErrorMessage="false" showInputMessage="false" sqref="F20" type="list">
      <formula1>Reference!$G$105:$G$112</formula1>
      <formula2>0</formula2>
    </dataValidation>
    <dataValidation allowBlank="true" errorStyle="stop" operator="between" showDropDown="false" showErrorMessage="false" showInputMessage="false" sqref="I20" type="list">
      <formula1>Reference!$C$7:$C$21</formula1>
      <formula2>0</formula2>
    </dataValidation>
    <dataValidation allowBlank="true" errorStyle="stop" operator="between" showDropDown="false" showErrorMessage="false" showInputMessage="false" sqref="D21" type="list">
      <formula1>Reference!$D$105:$D$111</formula1>
      <formula2>0</formula2>
    </dataValidation>
    <dataValidation allowBlank="true" errorStyle="stop" operator="between" showDropDown="false" showErrorMessage="false" showInputMessage="false" sqref="E21" type="list">
      <formula1>Reference!$H$105:$H$110</formula1>
      <formula2>0</formula2>
    </dataValidation>
    <dataValidation allowBlank="true" errorStyle="stop" operator="between" showDropDown="false" showErrorMessage="false" showInputMessage="false" sqref="F21" type="list">
      <formula1>Reference!$G$105:$G$112</formula1>
      <formula2>0</formula2>
    </dataValidation>
    <dataValidation allowBlank="true" errorStyle="stop" operator="between" showDropDown="false" showErrorMessage="false" showInputMessage="false" sqref="I21" type="list">
      <formula1>Reference!$C$7:$C$21</formula1>
      <formula2>0</formula2>
    </dataValidation>
    <dataValidation allowBlank="true" errorStyle="stop" operator="between" showDropDown="false" showErrorMessage="false" showInputMessage="false" sqref="D22" type="list">
      <formula1>Reference!$D$105:$D$111</formula1>
      <formula2>0</formula2>
    </dataValidation>
    <dataValidation allowBlank="true" errorStyle="stop" operator="between" showDropDown="false" showErrorMessage="false" showInputMessage="false" sqref="E22" type="list">
      <formula1>Reference!$H$105:$H$110</formula1>
      <formula2>0</formula2>
    </dataValidation>
    <dataValidation allowBlank="true" errorStyle="stop" operator="between" showDropDown="false" showErrorMessage="false" showInputMessage="false" sqref="F22" type="list">
      <formula1>Reference!$G$105:$G$112</formula1>
      <formula2>0</formula2>
    </dataValidation>
    <dataValidation allowBlank="true" errorStyle="stop" operator="between" showDropDown="false" showErrorMessage="false" showInputMessage="false" sqref="I22" type="list">
      <formula1>Reference!$C$7:$C$21</formula1>
      <formula2>0</formula2>
    </dataValidation>
    <dataValidation allowBlank="true" errorStyle="stop" operator="between" showDropDown="false" showErrorMessage="false" showInputMessage="false" sqref="D23" type="list">
      <formula1>Reference!$D$105:$D$111</formula1>
      <formula2>0</formula2>
    </dataValidation>
    <dataValidation allowBlank="true" errorStyle="stop" operator="between" showDropDown="false" showErrorMessage="false" showInputMessage="false" sqref="E23" type="list">
      <formula1>Reference!$H$105:$H$110</formula1>
      <formula2>0</formula2>
    </dataValidation>
    <dataValidation allowBlank="true" errorStyle="stop" operator="between" showDropDown="false" showErrorMessage="false" showInputMessage="false" sqref="F23" type="list">
      <formula1>Reference!$G$105:$G$112</formula1>
      <formula2>0</formula2>
    </dataValidation>
    <dataValidation allowBlank="true" errorStyle="stop" operator="between" showDropDown="false" showErrorMessage="false" showInputMessage="false" sqref="I23" type="list">
      <formula1>Reference!$C$7:$C$21</formula1>
      <formula2>0</formula2>
    </dataValidation>
    <dataValidation allowBlank="true" errorStyle="stop" operator="between" showDropDown="false" showErrorMessage="false" showInputMessage="false" sqref="D24" type="list">
      <formula1>Reference!$D$105:$D$111</formula1>
      <formula2>0</formula2>
    </dataValidation>
    <dataValidation allowBlank="true" errorStyle="stop" operator="between" showDropDown="false" showErrorMessage="false" showInputMessage="false" sqref="E24" type="list">
      <formula1>Reference!$H$105:$H$110</formula1>
      <formula2>0</formula2>
    </dataValidation>
    <dataValidation allowBlank="true" errorStyle="stop" operator="between" showDropDown="false" showErrorMessage="false" showInputMessage="false" sqref="F24" type="list">
      <formula1>Reference!$G$105:$G$112</formula1>
      <formula2>0</formula2>
    </dataValidation>
    <dataValidation allowBlank="true" errorStyle="stop" operator="between" showDropDown="false" showErrorMessage="false" showInputMessage="false" sqref="I24" type="list">
      <formula1>Reference!$C$7:$C$21</formula1>
      <formula2>0</formula2>
    </dataValidation>
    <dataValidation allowBlank="true" errorStyle="stop" operator="between" showDropDown="false" showErrorMessage="false" showInputMessage="false" sqref="D25" type="list">
      <formula1>Reference!$D$105:$D$111</formula1>
      <formula2>0</formula2>
    </dataValidation>
    <dataValidation allowBlank="true" errorStyle="stop" operator="between" showDropDown="false" showErrorMessage="false" showInputMessage="false" sqref="E25" type="list">
      <formula1>Reference!$H$105:$H$110</formula1>
      <formula2>0</formula2>
    </dataValidation>
    <dataValidation allowBlank="true" errorStyle="stop" operator="between" showDropDown="false" showErrorMessage="false" showInputMessage="false" sqref="F25" type="list">
      <formula1>Reference!$G$105:$G$112</formula1>
      <formula2>0</formula2>
    </dataValidation>
    <dataValidation allowBlank="true" errorStyle="stop" operator="between" showDropDown="false" showErrorMessage="false" showInputMessage="false" sqref="I25" type="list">
      <formula1>Reference!$C$7:$C$21</formula1>
      <formula2>0</formula2>
    </dataValidation>
    <dataValidation allowBlank="true" errorStyle="stop" operator="between" showDropDown="false" showErrorMessage="false" showInputMessage="false" sqref="D26" type="list">
      <formula1>Reference!$D$105:$D$111</formula1>
      <formula2>0</formula2>
    </dataValidation>
    <dataValidation allowBlank="true" errorStyle="stop" operator="between" showDropDown="false" showErrorMessage="false" showInputMessage="false" sqref="E26" type="list">
      <formula1>Reference!$H$105:$H$110</formula1>
      <formula2>0</formula2>
    </dataValidation>
    <dataValidation allowBlank="true" errorStyle="stop" operator="between" showDropDown="false" showErrorMessage="false" showInputMessage="false" sqref="F26" type="list">
      <formula1>Reference!$G$105:$G$112</formula1>
      <formula2>0</formula2>
    </dataValidation>
    <dataValidation allowBlank="true" errorStyle="stop" operator="between" showDropDown="false" showErrorMessage="false" showInputMessage="false" sqref="I26" type="list">
      <formula1>Reference!$C$7:$C$21</formula1>
      <formula2>0</formula2>
    </dataValidation>
    <dataValidation allowBlank="true" errorStyle="stop" operator="between" showDropDown="false" showErrorMessage="false" showInputMessage="false" sqref="D27" type="list">
      <formula1>Reference!$D$105:$D$111</formula1>
      <formula2>0</formula2>
    </dataValidation>
    <dataValidation allowBlank="true" errorStyle="stop" operator="between" showDropDown="false" showErrorMessage="false" showInputMessage="false" sqref="E27" type="list">
      <formula1>Reference!$H$105:$H$110</formula1>
      <formula2>0</formula2>
    </dataValidation>
    <dataValidation allowBlank="true" errorStyle="stop" operator="between" showDropDown="false" showErrorMessage="false" showInputMessage="false" sqref="F27" type="list">
      <formula1>Reference!$G$105:$G$112</formula1>
      <formula2>0</formula2>
    </dataValidation>
    <dataValidation allowBlank="true" errorStyle="stop" operator="between" showDropDown="false" showErrorMessage="false" showInputMessage="false" sqref="I27" type="list">
      <formula1>Reference!$C$7:$C$21</formula1>
      <formula2>0</formula2>
    </dataValidation>
    <dataValidation allowBlank="true" errorStyle="stop" operator="between" showDropDown="false" showErrorMessage="false" showInputMessage="false" sqref="D28" type="list">
      <formula1>Reference!$D$105:$D$111</formula1>
      <formula2>0</formula2>
    </dataValidation>
    <dataValidation allowBlank="true" errorStyle="stop" operator="between" showDropDown="false" showErrorMessage="false" showInputMessage="false" sqref="E28" type="list">
      <formula1>Reference!$H$105:$H$110</formula1>
      <formula2>0</formula2>
    </dataValidation>
    <dataValidation allowBlank="true" errorStyle="stop" operator="between" showDropDown="false" showErrorMessage="false" showInputMessage="false" sqref="F28" type="list">
      <formula1>Reference!$G$105:$G$112</formula1>
      <formula2>0</formula2>
    </dataValidation>
    <dataValidation allowBlank="true" errorStyle="stop" operator="between" showDropDown="false" showErrorMessage="false" showInputMessage="false" sqref="I28" type="list">
      <formula1>Reference!$C$7:$C$21</formula1>
      <formula2>0</formula2>
    </dataValidation>
    <dataValidation allowBlank="false" errorStyle="stop" operator="between" prompt="What you committed to. Change it at a gate, deliberately, and record the reset on the Assurance sheet. If it moves whenever the forecast does, slip is permanently zero and the register cannot tell you anything." promptTitle="Baseline finish" showDropDown="false" showErrorMessage="false" showInputMessage="true" sqref="J7:J28" type="none">
      <formula1>0</formula1>
      <formula2>0</formula2>
    </dataValidation>
  </dataValidations>
  <hyperlinks>
    <hyperlink ref="B32" r:id="rId1" display="Visit mastt.com"/>
  </hyperlinks>
  <printOptions headings="false" gridLines="false" gridLinesSet="true" horizontalCentered="false" verticalCentered="false"/>
  <pageMargins left="0.3" right="0.3" top="0.5" bottom="0.5" header="0.511811023622047" footer="0.511811023622047"/>
  <pageSetup paperSize="8" scale="100" fitToWidth="1" fitToHeight="0" pageOrder="downThenOver" orientation="landscape" blackAndWhite="false" draft="false" cellComments="none" horizontalDpi="300" verticalDpi="300" copies="1"/>
  <headerFooter differentFirst="false" differentOddEven="false">
    <oddHeader/>
    <oddFooter/>
  </headerFooter>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C6917"/>
    <pageSetUpPr fitToPage="true"/>
  </sheetPr>
  <dimension ref="B1:O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8"/>
    <col collapsed="false" customWidth="true" hidden="false" outlineLevel="0" max="3" min="3" style="0" width="20"/>
    <col collapsed="false" customWidth="true" hidden="false" outlineLevel="0" max="4" min="4" style="0" width="16"/>
    <col collapsed="false" customWidth="true" hidden="false" outlineLevel="0" max="7" min="5" style="0" width="14"/>
    <col collapsed="false" customWidth="true" hidden="false" outlineLevel="0" max="8" min="8" style="0" width="11"/>
    <col collapsed="false" customWidth="true" hidden="false" outlineLevel="0" max="9" min="9" style="0" width="13"/>
    <col collapsed="false" customWidth="true" hidden="false" outlineLevel="0" max="10" min="10" style="0" width="30"/>
    <col collapsed="false" customWidth="true" hidden="false" outlineLevel="0" max="12" min="11" style="0" width="14"/>
    <col collapsed="false" customWidth="true" hidden="false" outlineLevel="0" max="13" min="13" style="0" width="12"/>
    <col collapsed="false" customWidth="true" hidden="false" outlineLevel="0" max="14" min="14" style="0" width="14"/>
    <col collapsed="false" customWidth="true" hidden="false" outlineLevel="0" max="15" min="15" style="0" width="17"/>
    <col collapsed="false" customWidth="true" hidden="false" outlineLevel="0" max="16" min="16" style="0" width="2.2"/>
  </cols>
  <sheetData>
    <row r="1" customFormat="false" ht="33.75" hidden="false" customHeight="true" outlineLevel="0" collapsed="false">
      <c r="B1" s="37" t="s">
        <v>279</v>
      </c>
      <c r="C1" s="37"/>
      <c r="D1" s="37"/>
      <c r="E1" s="37"/>
      <c r="F1" s="37"/>
      <c r="G1" s="37"/>
      <c r="H1" s="37"/>
      <c r="I1" s="37"/>
      <c r="J1" s="37"/>
      <c r="K1" s="37"/>
      <c r="L1" s="37"/>
      <c r="M1" s="37"/>
      <c r="N1" s="37"/>
      <c r="O1" s="37"/>
    </row>
    <row r="2" customFormat="false" ht="4.5" hidden="false" customHeight="true" outlineLevel="0" collapsed="false">
      <c r="B2" s="77"/>
      <c r="C2" s="77"/>
      <c r="D2" s="77"/>
      <c r="E2" s="77"/>
      <c r="F2" s="77"/>
      <c r="G2" s="77"/>
      <c r="H2" s="77"/>
      <c r="I2" s="77"/>
      <c r="J2" s="77"/>
      <c r="K2" s="77"/>
      <c r="L2" s="77"/>
      <c r="M2" s="77"/>
      <c r="N2" s="77"/>
      <c r="O2" s="77"/>
    </row>
    <row r="3" customFormat="false" ht="16.5" hidden="false" customHeight="true" outlineLevel="0" collapsed="false">
      <c r="B3" s="39" t="str">
        <f aca="false">IF(LEFT(Setup!$D$7,7)&lt;&gt;"EXAMPLE","","EXAMPLE DATA - type your own organisation name on Setup to clear this.")</f>
        <v>EXAMPLE DATA - type your own organisation name on Setup to clear this.</v>
      </c>
      <c r="C3" s="39"/>
      <c r="D3" s="39"/>
      <c r="E3" s="39"/>
      <c r="F3" s="39"/>
      <c r="G3" s="39"/>
      <c r="H3" s="39"/>
      <c r="I3" s="39"/>
      <c r="J3" s="39"/>
      <c r="K3" s="39"/>
      <c r="L3" s="39"/>
      <c r="M3" s="39"/>
      <c r="N3" s="39"/>
      <c r="O3" s="39"/>
    </row>
    <row r="4" customFormat="false" ht="25.5" hidden="false" customHeight="true" outlineLevel="0" collapsed="false">
      <c r="B4" s="40" t="s">
        <v>280</v>
      </c>
      <c r="C4" s="40"/>
      <c r="D4" s="40"/>
      <c r="E4" s="40"/>
      <c r="F4" s="40"/>
      <c r="G4" s="40"/>
      <c r="H4" s="40"/>
      <c r="I4" s="40"/>
      <c r="J4" s="40"/>
      <c r="K4" s="40"/>
      <c r="L4" s="40"/>
      <c r="M4" s="40"/>
      <c r="N4" s="40"/>
      <c r="O4" s="40"/>
    </row>
    <row r="6" customFormat="false" ht="34.5" hidden="false" customHeight="true" outlineLevel="0" collapsed="false">
      <c r="B6" s="10" t="s">
        <v>219</v>
      </c>
      <c r="C6" s="69" t="s">
        <v>220</v>
      </c>
      <c r="D6" s="69" t="s">
        <v>212</v>
      </c>
      <c r="E6" s="10" t="s">
        <v>128</v>
      </c>
      <c r="F6" s="10" t="s">
        <v>281</v>
      </c>
      <c r="G6" s="69" t="s">
        <v>130</v>
      </c>
      <c r="H6" s="69" t="s">
        <v>282</v>
      </c>
      <c r="I6" s="69" t="s">
        <v>283</v>
      </c>
      <c r="J6" s="10" t="s">
        <v>284</v>
      </c>
      <c r="K6" s="10" t="s">
        <v>285</v>
      </c>
      <c r="L6" s="10" t="s">
        <v>286</v>
      </c>
      <c r="M6" s="69" t="s">
        <v>287</v>
      </c>
      <c r="N6" s="69" t="s">
        <v>288</v>
      </c>
      <c r="O6" s="69" t="s">
        <v>289</v>
      </c>
    </row>
    <row r="7" customFormat="false" ht="46.5" hidden="false" customHeight="true" outlineLevel="0" collapsed="false">
      <c r="B7" s="78" t="s">
        <v>290</v>
      </c>
      <c r="C7" s="74" t="str">
        <f aca="false">IF($B7="","",IFERROR(IF(LEN(VLOOKUP($B7,'Project List'!$B$7:$N$28,2,FALSE()))&gt;30,LEFT(VLOOKUP($B7,'Project List'!$B$7:$N$28,2,FALSE()),30)&amp;"...",VLOOKUP($B7,'Project List'!$B$7:$N$28,2,FALSE())),"Reference not found"))</f>
        <v>Riverton Library replacement</v>
      </c>
      <c r="D7" s="74" t="str">
        <f aca="false">IF($B7="","",IFERROR(IF(LEN(VLOOKUP($B7,'Project List'!$B$7:$N$28,8,FALSE()))&gt;26,LEFT(VLOOKUP($B7,'Project List'!$B$7:$N$28,8,FALSE()),26)&amp;"...",VLOOKUP($B7,'Project List'!$B$7:$N$28,8,FALSE())),"Reference not found"))</f>
        <v>Merrivale Construction</v>
      </c>
      <c r="E7" s="79" t="n">
        <v>14200000</v>
      </c>
      <c r="F7" s="79" t="n">
        <v>14310000</v>
      </c>
      <c r="G7" s="80" t="n">
        <f aca="false">IF(OR($B7="",$E7="",$F7=""),"",$F7-$E7)</f>
        <v>110000</v>
      </c>
      <c r="H7" s="81" t="n">
        <f aca="false">IF(OR($G7="",$E7="",$E7=0),"",$G7/$E7)</f>
        <v>0.00774647887323944</v>
      </c>
      <c r="I7" s="74" t="str">
        <f aca="false">IF($H7="","",IF(ABS($H7)&gt;Setup!$D$18,"Yes","No"))</f>
        <v>No</v>
      </c>
      <c r="J7" s="71"/>
      <c r="K7" s="79" t="n">
        <v>24800000</v>
      </c>
      <c r="L7" s="79" t="n">
        <v>31000000</v>
      </c>
      <c r="M7" s="82" t="n">
        <f aca="false">IF($B7="","",IFERROR(VLOOKUP(VLOOKUP($B7,'Project List'!$B$7:$N$28,4,FALSE()),Reference!$B$52:$C$57,2,FALSE()),""))</f>
        <v>0.24</v>
      </c>
      <c r="N7" s="80" t="n">
        <f aca="false">IF(OR($E7="",$M7=""),"",$E7*$M7)</f>
        <v>3408000</v>
      </c>
      <c r="O7" s="74" t="str">
        <f aca="false">IF($B7="","",IF(COUNTIF('Project List'!$B$7:$B$28,$B7)=0,"Reference not found",IF(OR($E7="",$F7=""),"Not yet forecast",IF(AND($I7="Yes",$J7=""),"OVER THRESHOLD - NO EXPLANATION",IF(AND($N7&lt;&gt;"",$F7&gt;$E7+$N7),"BEYOND THE INDICATED ALLOWANCE",IF($I7="Yes","Over threshold - explained",IF($F7&gt;$E7,"Over budget, inside the allowance",IF($F7&lt;$E7,"Under budget","On budget"))))))))</f>
        <v>Over budget, inside the allowance</v>
      </c>
    </row>
    <row r="8" customFormat="false" ht="46.5" hidden="false" customHeight="true" outlineLevel="0" collapsed="false">
      <c r="B8" s="83" t="s">
        <v>291</v>
      </c>
      <c r="C8" s="74" t="str">
        <f aca="false">IF($B8="","",IFERROR(IF(LEN(VLOOKUP($B8,'Project List'!$B$7:$N$28,2,FALSE()))&gt;30,LEFT(VLOOKUP($B8,'Project List'!$B$7:$N$28,2,FALSE()),30)&amp;"...",VLOOKUP($B8,'Project List'!$B$7:$N$28,2,FALSE())),"Reference not found"))</f>
        <v>Depot workshop rebuild</v>
      </c>
      <c r="D8" s="74" t="str">
        <f aca="false">IF($B8="","",IFERROR(IF(LEN(VLOOKUP($B8,'Project List'!$B$7:$N$28,8,FALSE()))&gt;26,LEFT(VLOOKUP($B8,'Project List'!$B$7:$N$28,8,FALSE()),26)&amp;"...",VLOOKUP($B8,'Project List'!$B$7:$N$28,8,FALSE())),"Reference not found"))</f>
        <v>Merrivale Construction</v>
      </c>
      <c r="E8" s="84" t="n">
        <v>6800000</v>
      </c>
      <c r="F8" s="84" t="n">
        <v>7480000</v>
      </c>
      <c r="G8" s="80" t="n">
        <f aca="false">IF(OR($B8="",$E8="",$F8=""),"",$F8-$E8)</f>
        <v>680000</v>
      </c>
      <c r="H8" s="81" t="n">
        <f aca="false">IF(OR($G8="",$E8="",$E8=0),"",$G8/$E8)</f>
        <v>0.1</v>
      </c>
      <c r="I8" s="74" t="str">
        <f aca="false">IF($H8="","",IF(ABS($H8)&gt;Setup!$D$18,"Yes","No"))</f>
        <v>Yes</v>
      </c>
      <c r="J8" s="75" t="s">
        <v>292</v>
      </c>
      <c r="K8" s="84" t="n">
        <v>11200000</v>
      </c>
      <c r="L8" s="84" t="n">
        <v>8900000</v>
      </c>
      <c r="M8" s="82" t="n">
        <f aca="false">IF($B8="","",IFERROR(VLOOKUP(VLOOKUP($B8,'Project List'!$B$7:$N$28,4,FALSE()),Reference!$B$52:$C$57,2,FALSE()),""))</f>
        <v>0.24</v>
      </c>
      <c r="N8" s="80" t="n">
        <f aca="false">IF(OR($E8="",$M8=""),"",$E8*$M8)</f>
        <v>1632000</v>
      </c>
      <c r="O8" s="74" t="str">
        <f aca="false">IF($B8="","",IF(COUNTIF('Project List'!$B$7:$B$28,$B8)=0,"Reference not found",IF(OR($E8="",$F8=""),"Not yet forecast",IF(AND($I8="Yes",$J8=""),"OVER THRESHOLD - NO EXPLANATION",IF(AND($N8&lt;&gt;"",$F8&gt;$E8+$N8),"BEYOND THE INDICATED ALLOWANCE",IF($I8="Yes","Over threshold - explained",IF($F8&gt;$E8,"Over budget, inside the allowance",IF($F8&lt;$E8,"Under budget","On budget"))))))))</f>
        <v>Over threshold - explained</v>
      </c>
    </row>
    <row r="9" customFormat="false" ht="46.5" hidden="false" customHeight="true" outlineLevel="0" collapsed="false">
      <c r="B9" s="78" t="s">
        <v>293</v>
      </c>
      <c r="C9" s="74" t="str">
        <f aca="false">IF($B9="","",IFERROR(IF(LEN(VLOOKUP($B9,'Project List'!$B$7:$N$28,2,FALSE()))&gt;30,LEFT(VLOOKUP($B9,'Project List'!$B$7:$N$28,2,FALSE()),30)&amp;"...",VLOOKUP($B9,'Project List'!$B$7:$N$28,2,FALSE())),"Reference not found"))</f>
        <v>Kalinda Road duplication</v>
      </c>
      <c r="D9" s="74" t="str">
        <f aca="false">IF($B9="","",IFERROR(IF(LEN(VLOOKUP($B9,'Project List'!$B$7:$N$28,8,FALSE()))&gt;26,LEFT(VLOOKUP($B9,'Project List'!$B$7:$N$28,8,FALSE()),26)&amp;"...",VLOOKUP($B9,'Project List'!$B$7:$N$28,8,FALSE())),"Reference not found"))</f>
        <v>Halverson Civil</v>
      </c>
      <c r="E9" s="79" t="n">
        <v>41500000</v>
      </c>
      <c r="F9" s="79" t="n">
        <v>48970000</v>
      </c>
      <c r="G9" s="80" t="n">
        <f aca="false">IF(OR($B9="",$E9="",$F9=""),"",$F9-$E9)</f>
        <v>7470000</v>
      </c>
      <c r="H9" s="81" t="n">
        <f aca="false">IF(OR($G9="",$E9="",$E9=0),"",$G9/$E9)</f>
        <v>0.18</v>
      </c>
      <c r="I9" s="74" t="str">
        <f aca="false">IF($H9="","",IF(ABS($H9)&gt;Setup!$D$18,"Yes","No"))</f>
        <v>Yes</v>
      </c>
      <c r="J9" s="71" t="s">
        <v>294</v>
      </c>
      <c r="K9" s="79" t="n">
        <v>68000000</v>
      </c>
      <c r="L9" s="79" t="n">
        <v>74000000</v>
      </c>
      <c r="M9" s="82" t="n">
        <f aca="false">IF($B9="","",IFERROR(VLOOKUP(VLOOKUP($B9,'Project List'!$B$7:$N$28,4,FALSE()),Reference!$B$52:$C$57,2,FALSE()),""))</f>
        <v>0.44</v>
      </c>
      <c r="N9" s="80" t="n">
        <f aca="false">IF(OR($E9="",$M9=""),"",$E9*$M9)</f>
        <v>18260000</v>
      </c>
      <c r="O9" s="74" t="str">
        <f aca="false">IF($B9="","",IF(COUNTIF('Project List'!$B$7:$B$28,$B9)=0,"Reference not found",IF(OR($E9="",$F9=""),"Not yet forecast",IF(AND($I9="Yes",$J9=""),"OVER THRESHOLD - NO EXPLANATION",IF(AND($N9&lt;&gt;"",$F9&gt;$E9+$N9),"BEYOND THE INDICATED ALLOWANCE",IF($I9="Yes","Over threshold - explained",IF($F9&gt;$E9,"Over budget, inside the allowance",IF($F9&lt;$E9,"Under budget","On budget"))))))))</f>
        <v>Over threshold - explained</v>
      </c>
    </row>
    <row r="10" customFormat="false" ht="46.5" hidden="false" customHeight="true" outlineLevel="0" collapsed="false">
      <c r="B10" s="83" t="s">
        <v>295</v>
      </c>
      <c r="C10" s="74" t="str">
        <f aca="false">IF($B10="","",IFERROR(IF(LEN(VLOOKUP($B10,'Project List'!$B$7:$N$28,2,FALSE()))&gt;30,LEFT(VLOOKUP($B10,'Project List'!$B$7:$N$28,2,FALSE()),30)&amp;"...",VLOOKUP($B10,'Project List'!$B$7:$N$28,2,FALSE())),"Reference not found"))</f>
        <v>Bridge 214 strengthening</v>
      </c>
      <c r="D10" s="74" t="str">
        <f aca="false">IF($B10="","",IFERROR(IF(LEN(VLOOKUP($B10,'Project List'!$B$7:$N$28,8,FALSE()))&gt;26,LEFT(VLOOKUP($B10,'Project List'!$B$7:$N$28,8,FALSE()),26)&amp;"...",VLOOKUP($B10,'Project List'!$B$7:$N$28,8,FALSE())),"Reference not found"))</f>
        <v>Halverson Civil</v>
      </c>
      <c r="E10" s="84" t="n">
        <v>9600000</v>
      </c>
      <c r="F10" s="84" t="n">
        <v>9840000</v>
      </c>
      <c r="G10" s="80" t="n">
        <f aca="false">IF(OR($B10="",$E10="",$F10=""),"",$F10-$E10)</f>
        <v>240000</v>
      </c>
      <c r="H10" s="81" t="n">
        <f aca="false">IF(OR($G10="",$E10="",$E10=0),"",$G10/$E10)</f>
        <v>0.025</v>
      </c>
      <c r="I10" s="74" t="str">
        <f aca="false">IF($H10="","",IF(ABS($H10)&gt;Setup!$D$18,"Yes","No"))</f>
        <v>No</v>
      </c>
      <c r="J10" s="75"/>
      <c r="K10" s="84" t="n">
        <v>15100000</v>
      </c>
      <c r="L10" s="84" t="n">
        <v>12400000</v>
      </c>
      <c r="M10" s="82" t="n">
        <f aca="false">IF($B10="","",IFERROR(VLOOKUP(VLOOKUP($B10,'Project List'!$B$7:$N$28,4,FALSE()),Reference!$B$52:$C$57,2,FALSE()),""))</f>
        <v>0.66</v>
      </c>
      <c r="N10" s="80" t="n">
        <f aca="false">IF(OR($E10="",$M10=""),"",$E10*$M10)</f>
        <v>6336000</v>
      </c>
      <c r="O10" s="74" t="str">
        <f aca="false">IF($B10="","",IF(COUNTIF('Project List'!$B$7:$B$28,$B10)=0,"Reference not found",IF(OR($E10="",$F10=""),"Not yet forecast",IF(AND($I10="Yes",$J10=""),"OVER THRESHOLD - NO EXPLANATION",IF(AND($N10&lt;&gt;"",$F10&gt;$E10+$N10),"BEYOND THE INDICATED ALLOWANCE",IF($I10="Yes","Over threshold - explained",IF($F10&gt;$E10,"Over budget, inside the allowance",IF($F10&lt;$E10,"Under budget","On budget"))))))))</f>
        <v>Over budget, inside the allowance</v>
      </c>
    </row>
    <row r="11" customFormat="false" ht="46.5" hidden="false" customHeight="true" outlineLevel="0" collapsed="false">
      <c r="B11" s="78" t="s">
        <v>296</v>
      </c>
      <c r="C11" s="74" t="str">
        <f aca="false">IF($B11="","",IFERROR(IF(LEN(VLOOKUP($B11,'Project List'!$B$7:$N$28,2,FALSE()))&gt;30,LEFT(VLOOKUP($B11,'Project List'!$B$7:$N$28,2,FALSE()),30)&amp;"...",VLOOKUP($B11,'Project List'!$B$7:$N$28,2,FALSE())),"Reference not found"))</f>
        <v>Wastewater treatment upgrade, ...</v>
      </c>
      <c r="D11" s="74" t="str">
        <f aca="false">IF($B11="","",IFERROR(IF(LEN(VLOOKUP($B11,'Project List'!$B$7:$N$28,8,FALSE()))&gt;26,LEFT(VLOOKUP($B11,'Project List'!$B$7:$N$28,8,FALSE()),26)&amp;"...",VLOOKUP($B11,'Project List'!$B$7:$N$28,8,FALSE())),"Reference not found"))</f>
        <v>Halverson Civil</v>
      </c>
      <c r="E11" s="79" t="n">
        <v>33000000</v>
      </c>
      <c r="F11" s="79" t="n">
        <v>41250000</v>
      </c>
      <c r="G11" s="80" t="n">
        <f aca="false">IF(OR($B11="",$E11="",$F11=""),"",$F11-$E11)</f>
        <v>8250000</v>
      </c>
      <c r="H11" s="81" t="n">
        <f aca="false">IF(OR($G11="",$E11="",$E11=0),"",$G11/$E11)</f>
        <v>0.25</v>
      </c>
      <c r="I11" s="74" t="str">
        <f aca="false">IF($H11="","",IF(ABS($H11)&gt;Setup!$D$18,"Yes","No"))</f>
        <v>Yes</v>
      </c>
      <c r="J11" s="71"/>
      <c r="K11" s="79" t="n">
        <v>88000000</v>
      </c>
      <c r="L11" s="79" t="n">
        <v>96000000</v>
      </c>
      <c r="M11" s="82" t="n">
        <f aca="false">IF($B11="","",IFERROR(VLOOKUP(VLOOKUP($B11,'Project List'!$B$7:$N$28,4,FALSE()),Reference!$B$52:$C$57,2,FALSE()),""))</f>
        <v>0.66</v>
      </c>
      <c r="N11" s="80" t="n">
        <f aca="false">IF(OR($E11="",$M11=""),"",$E11*$M11)</f>
        <v>21780000</v>
      </c>
      <c r="O11" s="74" t="str">
        <f aca="false">IF($B11="","",IF(COUNTIF('Project List'!$B$7:$B$28,$B11)=0,"Reference not found",IF(OR($E11="",$F11=""),"Not yet forecast",IF(AND($I11="Yes",$J11=""),"OVER THRESHOLD - NO EXPLANATION",IF(AND($N11&lt;&gt;"",$F11&gt;$E11+$N11),"BEYOND THE INDICATED ALLOWANCE",IF($I11="Yes","Over threshold - explained",IF($F11&gt;$E11,"Over budget, inside the allowance",IF($F11&lt;$E11,"Under budget","On budget"))))))))</f>
        <v>OVER THRESHOLD - NO EXPLANATION</v>
      </c>
    </row>
    <row r="12" customFormat="false" ht="46.5" hidden="false" customHeight="true" outlineLevel="0" collapsed="false">
      <c r="B12" s="83" t="s">
        <v>297</v>
      </c>
      <c r="C12" s="74" t="str">
        <f aca="false">IF($B12="","",IFERROR(IF(LEN(VLOOKUP($B12,'Project List'!$B$7:$N$28,2,FALSE()))&gt;30,LEFT(VLOOKUP($B12,'Project List'!$B$7:$N$28,2,FALSE()),30)&amp;"...",VLOOKUP($B12,'Project List'!$B$7:$N$28,2,FALSE())),"Reference not found"))</f>
        <v>Trunk main renewal, northern s...</v>
      </c>
      <c r="D12" s="74" t="str">
        <f aca="false">IF($B12="","",IFERROR(IF(LEN(VLOOKUP($B12,'Project List'!$B$7:$N$28,8,FALSE()))&gt;26,LEFT(VLOOKUP($B12,'Project List'!$B$7:$N$28,8,FALSE()),26)&amp;"...",VLOOKUP($B12,'Project List'!$B$7:$N$28,8,FALSE())),"Reference not found"))</f>
        <v>Orne Pipeline Services</v>
      </c>
      <c r="E12" s="84" t="n">
        <v>7400000</v>
      </c>
      <c r="F12" s="84" t="n">
        <v>7400000</v>
      </c>
      <c r="G12" s="80" t="n">
        <f aca="false">IF(OR($B12="",$E12="",$F12=""),"",$F12-$E12)</f>
        <v>0</v>
      </c>
      <c r="H12" s="81" t="n">
        <f aca="false">IF(OR($G12="",$E12="",$E12=0),"",$G12/$E12)</f>
        <v>0</v>
      </c>
      <c r="I12" s="74" t="str">
        <f aca="false">IF($H12="","",IF(ABS($H12)&gt;Setup!$D$18,"Yes","No"))</f>
        <v>No</v>
      </c>
      <c r="J12" s="75"/>
      <c r="K12" s="84" t="n">
        <v>13900000</v>
      </c>
      <c r="L12" s="84" t="n">
        <v>9100000</v>
      </c>
      <c r="M12" s="82" t="n">
        <f aca="false">IF($B12="","",IFERROR(VLOOKUP(VLOOKUP($B12,'Project List'!$B$7:$N$28,4,FALSE()),Reference!$B$52:$C$57,2,FALSE()),""))</f>
        <v>0.44</v>
      </c>
      <c r="N12" s="80" t="n">
        <f aca="false">IF(OR($E12="",$M12=""),"",$E12*$M12)</f>
        <v>3256000</v>
      </c>
      <c r="O12" s="74" t="str">
        <f aca="false">IF($B12="","",IF(COUNTIF('Project List'!$B$7:$B$28,$B12)=0,"Reference not found",IF(OR($E12="",$F12=""),"Not yet forecast",IF(AND($I12="Yes",$J12=""),"OVER THRESHOLD - NO EXPLANATION",IF(AND($N12&lt;&gt;"",$F12&gt;$E12+$N12),"BEYOND THE INDICATED ALLOWANCE",IF($I12="Yes","Over threshold - explained",IF($F12&gt;$E12,"Over budget, inside the allowance",IF($F12&lt;$E12,"Under budget","On budget"))))))))</f>
        <v>On budget</v>
      </c>
    </row>
    <row r="13" customFormat="false" ht="46.5" hidden="false" customHeight="true" outlineLevel="0" collapsed="false">
      <c r="B13" s="78" t="s">
        <v>298</v>
      </c>
      <c r="C13" s="74" t="str">
        <f aca="false">IF($B13="","",IFERROR(IF(LEN(VLOOKUP($B13,'Project List'!$B$7:$N$28,2,FALSE()))&gt;30,LEFT(VLOOKUP($B13,'Project List'!$B$7:$N$28,2,FALSE()),30)&amp;"...",VLOOKUP($B13,'Project List'!$B$7:$N$28,2,FALSE())),"Reference not found"))</f>
        <v>Aquatic centre plant replaceme...</v>
      </c>
      <c r="D13" s="74" t="str">
        <f aca="false">IF($B13="","",IFERROR(IF(LEN(VLOOKUP($B13,'Project List'!$B$7:$N$28,8,FALSE()))&gt;26,LEFT(VLOOKUP($B13,'Project List'!$B$7:$N$28,8,FALSE()),26)&amp;"...",VLOOKUP($B13,'Project List'!$B$7:$N$28,8,FALSE())),"Reference not found"))</f>
        <v>Bellhaven Mechanical</v>
      </c>
      <c r="E13" s="79" t="n">
        <v>2900000</v>
      </c>
      <c r="F13" s="79" t="n">
        <v>3190000</v>
      </c>
      <c r="G13" s="80" t="n">
        <f aca="false">IF(OR($B13="",$E13="",$F13=""),"",$F13-$E13)</f>
        <v>290000</v>
      </c>
      <c r="H13" s="81" t="n">
        <f aca="false">IF(OR($G13="",$E13="",$E13=0),"",$G13/$E13)</f>
        <v>0.1</v>
      </c>
      <c r="I13" s="74" t="str">
        <f aca="false">IF($H13="","",IF(ABS($H13)&gt;Setup!$D$18,"Yes","No"))</f>
        <v>Yes</v>
      </c>
      <c r="J13" s="71" t="s">
        <v>299</v>
      </c>
      <c r="K13" s="79" t="n">
        <v>6100000</v>
      </c>
      <c r="L13" s="79" t="n">
        <v>4200000</v>
      </c>
      <c r="M13" s="82" t="n">
        <f aca="false">IF($B13="","",IFERROR(VLOOKUP(VLOOKUP($B13,'Project List'!$B$7:$N$28,4,FALSE()),Reference!$B$52:$C$57,2,FALSE()),""))</f>
        <v>2</v>
      </c>
      <c r="N13" s="80" t="n">
        <f aca="false">IF(OR($E13="",$M13=""),"",$E13*$M13)</f>
        <v>5800000</v>
      </c>
      <c r="O13" s="74" t="str">
        <f aca="false">IF($B13="","",IF(COUNTIF('Project List'!$B$7:$B$28,$B13)=0,"Reference not found",IF(OR($E13="",$F13=""),"Not yet forecast",IF(AND($I13="Yes",$J13=""),"OVER THRESHOLD - NO EXPLANATION",IF(AND($N13&lt;&gt;"",$F13&gt;$E13+$N13),"BEYOND THE INDICATED ALLOWANCE",IF($I13="Yes","Over threshold - explained",IF($F13&gt;$E13,"Over budget, inside the allowance",IF($F13&lt;$E13,"Under budget","On budget"))))))))</f>
        <v>Over threshold - explained</v>
      </c>
    </row>
    <row r="14" customFormat="false" ht="46.5" hidden="false" customHeight="true" outlineLevel="0" collapsed="false">
      <c r="B14" s="83" t="s">
        <v>300</v>
      </c>
      <c r="C14" s="74" t="str">
        <f aca="false">IF($B14="","",IFERROR(IF(LEN(VLOOKUP($B14,'Project List'!$B$7:$N$28,2,FALSE()))&gt;30,LEFT(VLOOKUP($B14,'Project List'!$B$7:$N$28,2,FALSE()),30)&amp;"...",VLOOKUP($B14,'Project List'!$B$7:$N$28,2,FALSE())),"Reference not found"))</f>
        <v>Sportsfield lighting, three re...</v>
      </c>
      <c r="D14" s="74" t="str">
        <f aca="false">IF($B14="","",IFERROR(IF(LEN(VLOOKUP($B14,'Project List'!$B$7:$N$28,8,FALSE()))&gt;26,LEFT(VLOOKUP($B14,'Project List'!$B$7:$N$28,8,FALSE()),26)&amp;"...",VLOOKUP($B14,'Project List'!$B$7:$N$28,8,FALSE())),"Reference not found"))</f>
        <v>Bellhaven Mechanical</v>
      </c>
      <c r="E14" s="84" t="n">
        <v>1850000</v>
      </c>
      <c r="F14" s="84" t="n">
        <v>1795000</v>
      </c>
      <c r="G14" s="80" t="n">
        <f aca="false">IF(OR($B14="",$E14="",$F14=""),"",$F14-$E14)</f>
        <v>-55000</v>
      </c>
      <c r="H14" s="81" t="n">
        <f aca="false">IF(OR($G14="",$E14="",$E14=0),"",$G14/$E14)</f>
        <v>-0.0297297297297297</v>
      </c>
      <c r="I14" s="74" t="str">
        <f aca="false">IF($H14="","",IF(ABS($H14)&gt;Setup!$D$18,"Yes","No"))</f>
        <v>No</v>
      </c>
      <c r="J14" s="75"/>
      <c r="K14" s="84" t="n">
        <v>3300000</v>
      </c>
      <c r="L14" s="84" t="n">
        <v>2600000</v>
      </c>
      <c r="M14" s="82" t="n">
        <f aca="false">IF($B14="","",IFERROR(VLOOKUP(VLOOKUP($B14,'Project List'!$B$7:$N$28,4,FALSE()),Reference!$B$52:$C$57,2,FALSE()),""))</f>
        <v>0.24</v>
      </c>
      <c r="N14" s="80" t="n">
        <f aca="false">IF(OR($E14="",$M14=""),"",$E14*$M14)</f>
        <v>444000</v>
      </c>
      <c r="O14" s="74" t="str">
        <f aca="false">IF($B14="","",IF(COUNTIF('Project List'!$B$7:$B$28,$B14)=0,"Reference not found",IF(OR($E14="",$F14=""),"Not yet forecast",IF(AND($I14="Yes",$J14=""),"OVER THRESHOLD - NO EXPLANATION",IF(AND($N14&lt;&gt;"",$F14&gt;$E14+$N14),"BEYOND THE INDICATED ALLOWANCE",IF($I14="Yes","Over threshold - explained",IF($F14&gt;$E14,"Over budget, inside the allowance",IF($F14&lt;$E14,"Under budget","On budget"))))))))</f>
        <v>Under budget</v>
      </c>
    </row>
    <row r="15" customFormat="false" ht="46.5" hidden="false" customHeight="true" outlineLevel="0" collapsed="false">
      <c r="B15" s="78" t="s">
        <v>301</v>
      </c>
      <c r="C15" s="74" t="str">
        <f aca="false">IF($B15="","",IFERROR(IF(LEN(VLOOKUP($B15,'Project List'!$B$7:$N$28,2,FALSE()))&gt;30,LEFT(VLOOKUP($B15,'Project List'!$B$7:$N$28,2,FALSE()),30)&amp;"...",VLOOKUP($B15,'Project List'!$B$7:$N$28,2,FALSE())),"Reference not found"))</f>
        <v>Civic centre accessibility wor...</v>
      </c>
      <c r="D15" s="74" t="str">
        <f aca="false">IF($B15="","",IFERROR(IF(LEN(VLOOKUP($B15,'Project List'!$B$7:$N$28,8,FALSE()))&gt;26,LEFT(VLOOKUP($B15,'Project List'!$B$7:$N$28,8,FALSE()),26)&amp;"...",VLOOKUP($B15,'Project List'!$B$7:$N$28,8,FALSE())),"Reference not found"))</f>
        <v>Ardley Fitout Group</v>
      </c>
      <c r="E15" s="79" t="n">
        <v>3400000</v>
      </c>
      <c r="F15" s="79" t="n">
        <v>3468000</v>
      </c>
      <c r="G15" s="80" t="n">
        <f aca="false">IF(OR($B15="",$E15="",$F15=""),"",$F15-$E15)</f>
        <v>68000</v>
      </c>
      <c r="H15" s="81" t="n">
        <f aca="false">IF(OR($G15="",$E15="",$E15=0),"",$G15/$E15)</f>
        <v>0.02</v>
      </c>
      <c r="I15" s="74" t="str">
        <f aca="false">IF($H15="","",IF(ABS($H15)&gt;Setup!$D$18,"Yes","No"))</f>
        <v>No</v>
      </c>
      <c r="J15" s="71"/>
      <c r="K15" s="79" t="n">
        <v>5200000</v>
      </c>
      <c r="L15" s="79" t="n">
        <v>6800000</v>
      </c>
      <c r="M15" s="82" t="n">
        <f aca="false">IF($B15="","",IFERROR(VLOOKUP(VLOOKUP($B15,'Project List'!$B$7:$N$28,4,FALSE()),Reference!$B$52:$C$57,2,FALSE()),""))</f>
        <v>0.24</v>
      </c>
      <c r="N15" s="80" t="n">
        <f aca="false">IF(OR($E15="",$M15=""),"",$E15*$M15)</f>
        <v>816000</v>
      </c>
      <c r="O15" s="74" t="str">
        <f aca="false">IF($B15="","",IF(COUNTIF('Project List'!$B$7:$B$28,$B15)=0,"Reference not found",IF(OR($E15="",$F15=""),"Not yet forecast",IF(AND($I15="Yes",$J15=""),"OVER THRESHOLD - NO EXPLANATION",IF(AND($N15&lt;&gt;"",$F15&gt;$E15+$N15),"BEYOND THE INDICATED ALLOWANCE",IF($I15="Yes","Over threshold - explained",IF($F15&gt;$E15,"Over budget, inside the allowance",IF($F15&lt;$E15,"Under budget","On budget"))))))))</f>
        <v>Over budget, inside the allowance</v>
      </c>
    </row>
    <row r="16" customFormat="false" ht="46.5" hidden="false" customHeight="true" outlineLevel="0" collapsed="false">
      <c r="B16" s="83" t="s">
        <v>302</v>
      </c>
      <c r="C16" s="74" t="str">
        <f aca="false">IF($B16="","",IFERROR(IF(LEN(VLOOKUP($B16,'Project List'!$B$7:$N$28,2,FALSE()))&gt;30,LEFT(VLOOKUP($B16,'Project List'!$B$7:$N$28,2,FALSE()),30)&amp;"...",VLOOKUP($B16,'Project List'!$B$7:$N$28,2,FALSE())),"Reference not found"))</f>
        <v>Heritage town hall restoration</v>
      </c>
      <c r="D16" s="74" t="str">
        <f aca="false">IF($B16="","",IFERROR(IF(LEN(VLOOKUP($B16,'Project List'!$B$7:$N$28,8,FALSE()))&gt;26,LEFT(VLOOKUP($B16,'Project List'!$B$7:$N$28,8,FALSE()),26)&amp;"...",VLOOKUP($B16,'Project List'!$B$7:$N$28,8,FALSE())),"Reference not found"))</f>
        <v>Vasari Heritage Works</v>
      </c>
      <c r="E16" s="84" t="n">
        <v>11500000</v>
      </c>
      <c r="F16" s="84" t="n">
        <v>18400000</v>
      </c>
      <c r="G16" s="80" t="n">
        <f aca="false">IF(OR($B16="",$E16="",$F16=""),"",$F16-$E16)</f>
        <v>6900000</v>
      </c>
      <c r="H16" s="81" t="n">
        <f aca="false">IF(OR($G16="",$E16="",$E16=0),"",$G16/$E16)</f>
        <v>0.6</v>
      </c>
      <c r="I16" s="74" t="str">
        <f aca="false">IF($H16="","",IF(ABS($H16)&gt;Setup!$D$18,"Yes","No"))</f>
        <v>Yes</v>
      </c>
      <c r="J16" s="75" t="s">
        <v>303</v>
      </c>
      <c r="K16" s="84" t="n">
        <v>27500000</v>
      </c>
      <c r="L16" s="84" t="n">
        <v>14200000</v>
      </c>
      <c r="M16" s="82" t="n">
        <f aca="false">IF($B16="","",IFERROR(VLOOKUP(VLOOKUP($B16,'Project List'!$B$7:$N$28,4,FALSE()),Reference!$B$52:$C$57,2,FALSE()),""))</f>
        <v>0.51</v>
      </c>
      <c r="N16" s="80" t="n">
        <f aca="false">IF(OR($E16="",$M16=""),"",$E16*$M16)</f>
        <v>5865000</v>
      </c>
      <c r="O16" s="74" t="str">
        <f aca="false">IF($B16="","",IF(COUNTIF('Project List'!$B$7:$B$28,$B16)=0,"Reference not found",IF(OR($E16="",$F16=""),"Not yet forecast",IF(AND($I16="Yes",$J16=""),"OVER THRESHOLD - NO EXPLANATION",IF(AND($N16&lt;&gt;"",$F16&gt;$E16+$N16),"BEYOND THE INDICATED ALLOWANCE",IF($I16="Yes","Over threshold - explained",IF($F16&gt;$E16,"Over budget, inside the allowance",IF($F16&lt;$E16,"Under budget","On budget"))))))))</f>
        <v>BEYOND THE INDICATED ALLOWANCE</v>
      </c>
    </row>
    <row r="17" customFormat="false" ht="46.5" hidden="false" customHeight="true" outlineLevel="0" collapsed="false">
      <c r="B17" s="78" t="s">
        <v>304</v>
      </c>
      <c r="C17" s="74" t="str">
        <f aca="false">IF($B17="","",IFERROR(IF(LEN(VLOOKUP($B17,'Project List'!$B$7:$N$28,2,FALSE()))&gt;30,LEFT(VLOOKUP($B17,'Project List'!$B$7:$N$28,2,FALSE()),30)&amp;"...",VLOOKUP($B17,'Project List'!$B$7:$N$28,2,FALSE())),"Reference not found"))</f>
        <v>Fleet depot fuel system</v>
      </c>
      <c r="D17" s="74" t="str">
        <f aca="false">IF($B17="","",IFERROR(IF(LEN(VLOOKUP($B17,'Project List'!$B$7:$N$28,8,FALSE()))&gt;26,LEFT(VLOOKUP($B17,'Project List'!$B$7:$N$28,8,FALSE()),26)&amp;"...",VLOOKUP($B17,'Project List'!$B$7:$N$28,8,FALSE())),"Reference not found"))</f>
        <v>Bellhaven Mechanical</v>
      </c>
      <c r="E17" s="79" t="n">
        <v>4200000</v>
      </c>
      <c r="F17" s="79" t="n">
        <v>4500000</v>
      </c>
      <c r="G17" s="80" t="n">
        <f aca="false">IF(OR($B17="",$E17="",$F17=""),"",$F17-$E17)</f>
        <v>300000</v>
      </c>
      <c r="H17" s="81" t="n">
        <f aca="false">IF(OR($G17="",$E17="",$E17=0),"",$G17/$E17)</f>
        <v>0.0714285714285714</v>
      </c>
      <c r="I17" s="74" t="str">
        <f aca="false">IF($H17="","",IF(ABS($H17)&gt;Setup!$D$18,"Yes","No"))</f>
        <v>Yes</v>
      </c>
      <c r="J17" s="71" t="s">
        <v>305</v>
      </c>
      <c r="K17" s="79" t="n">
        <v>9800000</v>
      </c>
      <c r="L17" s="79" t="n">
        <v>5400000</v>
      </c>
      <c r="M17" s="82" t="n">
        <f aca="false">IF($B17="","",IFERROR(VLOOKUP(VLOOKUP($B17,'Project List'!$B$7:$N$28,4,FALSE()),Reference!$B$52:$C$57,2,FALSE()),""))</f>
        <v>2</v>
      </c>
      <c r="N17" s="80" t="n">
        <f aca="false">IF(OR($E17="",$M17=""),"",$E17*$M17)</f>
        <v>8400000</v>
      </c>
      <c r="O17" s="74" t="str">
        <f aca="false">IF($B17="","",IF(COUNTIF('Project List'!$B$7:$B$28,$B17)=0,"Reference not found",IF(OR($E17="",$F17=""),"Not yet forecast",IF(AND($I17="Yes",$J17=""),"OVER THRESHOLD - NO EXPLANATION",IF(AND($N17&lt;&gt;"",$F17&gt;$E17+$N17),"BEYOND THE INDICATED ALLOWANCE",IF($I17="Yes","Over threshold - explained",IF($F17&gt;$E17,"Over budget, inside the allowance",IF($F17&lt;$E17,"Under budget","On budget"))))))))</f>
        <v>Over threshold - explained</v>
      </c>
    </row>
    <row r="18" customFormat="false" ht="46.5" hidden="false" customHeight="true" outlineLevel="0" collapsed="false">
      <c r="B18" s="83" t="s">
        <v>306</v>
      </c>
      <c r="C18" s="74" t="str">
        <f aca="false">IF($B18="","",IFERROR(IF(LEN(VLOOKUP($B18,'Project List'!$B$7:$N$28,2,FALSE()))&gt;30,LEFT(VLOOKUP($B18,'Project List'!$B$7:$N$28,2,FALSE()),30)&amp;"...",VLOOKUP($B18,'Project List'!$B$7:$N$28,2,FALSE())),"Reference not found"))</f>
        <v>Asset management system replac...</v>
      </c>
      <c r="D18" s="74" t="str">
        <f aca="false">IF($B18="","",IFERROR(IF(LEN(VLOOKUP($B18,'Project List'!$B$7:$N$28,8,FALSE()))&gt;26,LEFT(VLOOKUP($B18,'Project List'!$B$7:$N$28,8,FALSE()),26)&amp;"...",VLOOKUP($B18,'Project List'!$B$7:$N$28,8,FALSE())),"Reference not found"))</f>
        <v>Southgate Technology</v>
      </c>
      <c r="E18" s="84" t="n">
        <v>4600000</v>
      </c>
      <c r="F18" s="84" t="n">
        <v>5290000</v>
      </c>
      <c r="G18" s="80" t="n">
        <f aca="false">IF(OR($B18="",$E18="",$F18=""),"",$F18-$E18)</f>
        <v>690000</v>
      </c>
      <c r="H18" s="81" t="n">
        <f aca="false">IF(OR($G18="",$E18="",$E18=0),"",$G18/$E18)</f>
        <v>0.15</v>
      </c>
      <c r="I18" s="74" t="str">
        <f aca="false">IF($H18="","",IF(ABS($H18)&gt;Setup!$D$18,"Yes","No"))</f>
        <v>Yes</v>
      </c>
      <c r="J18" s="75" t="s">
        <v>307</v>
      </c>
      <c r="K18" s="84" t="n">
        <v>12400000</v>
      </c>
      <c r="L18" s="84" t="n">
        <v>15000000</v>
      </c>
      <c r="M18" s="82" t="n">
        <f aca="false">IF($B18="","",IFERROR(VLOOKUP(VLOOKUP($B18,'Project List'!$B$7:$N$28,4,FALSE()),Reference!$B$52:$C$57,2,FALSE()),""))</f>
        <v>2</v>
      </c>
      <c r="N18" s="80" t="n">
        <f aca="false">IF(OR($E18="",$M18=""),"",$E18*$M18)</f>
        <v>9200000</v>
      </c>
      <c r="O18" s="74" t="str">
        <f aca="false">IF($B18="","",IF(COUNTIF('Project List'!$B$7:$B$28,$B18)=0,"Reference not found",IF(OR($E18="",$F18=""),"Not yet forecast",IF(AND($I18="Yes",$J18=""),"OVER THRESHOLD - NO EXPLANATION",IF(AND($N18&lt;&gt;"",$F18&gt;$E18+$N18),"BEYOND THE INDICATED ALLOWANCE",IF($I18="Yes","Over threshold - explained",IF($F18&gt;$E18,"Over budget, inside the allowance",IF($F18&lt;$E18,"Under budget","On budget"))))))))</f>
        <v>Over threshold - explained</v>
      </c>
    </row>
    <row r="19" customFormat="false" ht="46.5" hidden="false" customHeight="true" outlineLevel="0" collapsed="false">
      <c r="B19" s="78" t="s">
        <v>308</v>
      </c>
      <c r="C19" s="74" t="str">
        <f aca="false">IF($B19="","",IFERROR(IF(LEN(VLOOKUP($B19,'Project List'!$B$7:$N$28,2,FALSE()))&gt;30,LEFT(VLOOKUP($B19,'Project List'!$B$7:$N$28,2,FALSE()),30)&amp;"...",VLOOKUP($B19,'Project List'!$B$7:$N$28,2,FALSE())),"Reference not found"))</f>
        <v>Depot yard resurfacing</v>
      </c>
      <c r="D19" s="74" t="str">
        <f aca="false">IF($B19="","",IFERROR(IF(LEN(VLOOKUP($B19,'Project List'!$B$7:$N$28,8,FALSE()))&gt;26,LEFT(VLOOKUP($B19,'Project List'!$B$7:$N$28,8,FALSE()),26)&amp;"...",VLOOKUP($B19,'Project List'!$B$7:$N$28,8,FALSE())),"Reference not found"))</f>
        <v>Tamarind Surfacing</v>
      </c>
      <c r="E19" s="79" t="n">
        <v>1400000</v>
      </c>
      <c r="F19" s="79" t="n">
        <v>1442000</v>
      </c>
      <c r="G19" s="80" t="n">
        <f aca="false">IF(OR($B19="",$E19="",$F19=""),"",$F19-$E19)</f>
        <v>42000</v>
      </c>
      <c r="H19" s="81" t="n">
        <f aca="false">IF(OR($G19="",$E19="",$E19=0),"",$G19/$E19)</f>
        <v>0.03</v>
      </c>
      <c r="I19" s="74" t="str">
        <f aca="false">IF($H19="","",IF(ABS($H19)&gt;Setup!$D$18,"Yes","No"))</f>
        <v>No</v>
      </c>
      <c r="J19" s="71"/>
      <c r="K19" s="79" t="n">
        <v>2600000</v>
      </c>
      <c r="L19" s="79" t="n">
        <v>1900000</v>
      </c>
      <c r="M19" s="82" t="n">
        <f aca="false">IF($B19="","",IFERROR(VLOOKUP(VLOOKUP($B19,'Project List'!$B$7:$N$28,4,FALSE()),Reference!$B$52:$C$57,2,FALSE()),""))</f>
        <v>0.44</v>
      </c>
      <c r="N19" s="80" t="n">
        <f aca="false">IF(OR($E19="",$M19=""),"",$E19*$M19)</f>
        <v>616000</v>
      </c>
      <c r="O19" s="74" t="str">
        <f aca="false">IF($B19="","",IF(COUNTIF('Project List'!$B$7:$B$28,$B19)=0,"Reference not found",IF(OR($E19="",$F19=""),"Not yet forecast",IF(AND($I19="Yes",$J19=""),"OVER THRESHOLD - NO EXPLANATION",IF(AND($N19&lt;&gt;"",$F19&gt;$E19+$N19),"BEYOND THE INDICATED ALLOWANCE",IF($I19="Yes","Over threshold - explained",IF($F19&gt;$E19,"Over budget, inside the allowance",IF($F19&lt;$E19,"Under budget","On budget"))))))))</f>
        <v>Over budget, inside the allowance</v>
      </c>
    </row>
    <row r="20" customFormat="false" ht="46.5" hidden="false" customHeight="true" outlineLevel="0" collapsed="false">
      <c r="B20" s="83" t="s">
        <v>309</v>
      </c>
      <c r="C20" s="74" t="str">
        <f aca="false">IF($B20="","",IFERROR(IF(LEN(VLOOKUP($B20,'Project List'!$B$7:$N$28,2,FALSE()))&gt;30,LEFT(VLOOKUP($B20,'Project List'!$B$7:$N$28,2,FALSE()),30)&amp;"...",VLOOKUP($B20,'Project List'!$B$7:$N$28,2,FALSE())),"Reference not found"))</f>
        <v>Footpath renewals, 2026-27 pro...</v>
      </c>
      <c r="D20" s="74" t="str">
        <f aca="false">IF($B20="","",IFERROR(IF(LEN(VLOOKUP($B20,'Project List'!$B$7:$N$28,8,FALSE()))&gt;26,LEFT(VLOOKUP($B20,'Project List'!$B$7:$N$28,8,FALSE()),26)&amp;"...",VLOOKUP($B20,'Project List'!$B$7:$N$28,8,FALSE())),"Reference not found"))</f>
        <v>Tamarind Surfacing</v>
      </c>
      <c r="E20" s="84" t="n">
        <v>5200000</v>
      </c>
      <c r="F20" s="84" t="n">
        <v>5200000</v>
      </c>
      <c r="G20" s="80" t="n">
        <f aca="false">IF(OR($B20="",$E20="",$F20=""),"",$F20-$E20)</f>
        <v>0</v>
      </c>
      <c r="H20" s="81" t="n">
        <f aca="false">IF(OR($G20="",$E20="",$E20=0),"",$G20/$E20)</f>
        <v>0</v>
      </c>
      <c r="I20" s="74" t="str">
        <f aca="false">IF($H20="","",IF(ABS($H20)&gt;Setup!$D$18,"Yes","No"))</f>
        <v>No</v>
      </c>
      <c r="J20" s="75"/>
      <c r="K20" s="84" t="n">
        <v>9100000</v>
      </c>
      <c r="L20" s="84" t="n">
        <v>6400000</v>
      </c>
      <c r="M20" s="82" t="n">
        <f aca="false">IF($B20="","",IFERROR(VLOOKUP(VLOOKUP($B20,'Project List'!$B$7:$N$28,4,FALSE()),Reference!$B$52:$C$57,2,FALSE()),""))</f>
        <v>0.44</v>
      </c>
      <c r="N20" s="80" t="n">
        <f aca="false">IF(OR($E20="",$M20=""),"",$E20*$M20)</f>
        <v>2288000</v>
      </c>
      <c r="O20" s="74" t="str">
        <f aca="false">IF($B20="","",IF(COUNTIF('Project List'!$B$7:$B$28,$B20)=0,"Reference not found",IF(OR($E20="",$F20=""),"Not yet forecast",IF(AND($I20="Yes",$J20=""),"OVER THRESHOLD - NO EXPLANATION",IF(AND($N20&lt;&gt;"",$F20&gt;$E20+$N20),"BEYOND THE INDICATED ALLOWANCE",IF($I20="Yes","Over threshold - explained",IF($F20&gt;$E20,"Over budget, inside the allowance",IF($F20&lt;$E20,"Under budget","On budget"))))))))</f>
        <v>On budget</v>
      </c>
    </row>
    <row r="21" customFormat="false" ht="46.5" hidden="false" customHeight="true" outlineLevel="0" collapsed="false">
      <c r="B21" s="78" t="s">
        <v>310</v>
      </c>
      <c r="C21" s="74" t="str">
        <f aca="false">IF($B21="","",IFERROR(IF(LEN(VLOOKUP($B21,'Project List'!$B$7:$N$28,2,FALSE()))&gt;30,LEFT(VLOOKUP($B21,'Project List'!$B$7:$N$28,2,FALSE()),30)&amp;"...",VLOOKUP($B21,'Project List'!$B$7:$N$28,2,FALSE())),"Reference not found"))</f>
        <v>Stormwater harvesting scheme</v>
      </c>
      <c r="D21" s="74" t="n">
        <f aca="false">IF($B21="","",IFERROR(IF(LEN(VLOOKUP($B21,'Project List'!$B$7:$N$28,8,FALSE()))&gt;26,LEFT(VLOOKUP($B21,'Project List'!$B$7:$N$28,8,FALSE()),26)&amp;"...",VLOOKUP($B21,'Project List'!$B$7:$N$28,8,FALSE())),"Reference not found"))</f>
        <v>0</v>
      </c>
      <c r="E21" s="79" t="n">
        <v>18000000</v>
      </c>
      <c r="F21" s="79" t="n">
        <v>18000000</v>
      </c>
      <c r="G21" s="80" t="n">
        <f aca="false">IF(OR($B21="",$E21="",$F21=""),"",$F21-$E21)</f>
        <v>0</v>
      </c>
      <c r="H21" s="81" t="n">
        <f aca="false">IF(OR($G21="",$E21="",$E21=0),"",$G21/$E21)</f>
        <v>0</v>
      </c>
      <c r="I21" s="74" t="str">
        <f aca="false">IF($H21="","",IF(ABS($H21)&gt;Setup!$D$18,"Yes","No"))</f>
        <v>No</v>
      </c>
      <c r="J21" s="71"/>
      <c r="K21" s="79" t="n">
        <v>42000000</v>
      </c>
      <c r="L21" s="79" t="n">
        <v>51000000</v>
      </c>
      <c r="M21" s="82" t="n">
        <f aca="false">IF($B21="","",IFERROR(VLOOKUP(VLOOKUP($B21,'Project List'!$B$7:$N$28,4,FALSE()),Reference!$B$52:$C$57,2,FALSE()),""))</f>
        <v>0.66</v>
      </c>
      <c r="N21" s="80" t="n">
        <f aca="false">IF(OR($E21="",$M21=""),"",$E21*$M21)</f>
        <v>11880000</v>
      </c>
      <c r="O21" s="74" t="str">
        <f aca="false">IF($B21="","",IF(COUNTIF('Project List'!$B$7:$B$28,$B21)=0,"Reference not found",IF(OR($E21="",$F21=""),"Not yet forecast",IF(AND($I21="Yes",$J21=""),"OVER THRESHOLD - NO EXPLANATION",IF(AND($N21&lt;&gt;"",$F21&gt;$E21+$N21),"BEYOND THE INDICATED ALLOWANCE",IF($I21="Yes","Over threshold - explained",IF($F21&gt;$E21,"Over budget, inside the allowance",IF($F21&lt;$E21,"Under budget","On budget"))))))))</f>
        <v>On budget</v>
      </c>
    </row>
    <row r="22" customFormat="false" ht="46.5" hidden="false" customHeight="true" outlineLevel="0" collapsed="false">
      <c r="B22" s="83" t="s">
        <v>311</v>
      </c>
      <c r="C22" s="74" t="str">
        <f aca="false">IF($B22="","",IFERROR(IF(LEN(VLOOKUP($B22,'Project List'!$B$7:$N$28,2,FALSE()))&gt;30,LEFT(VLOOKUP($B22,'Project List'!$B$7:$N$28,2,FALSE()),30)&amp;"...",VLOOKUP($B22,'Project List'!$B$7:$N$28,2,FALSE())),"Reference not found"))</f>
        <v>Library forecourt upgrade</v>
      </c>
      <c r="D22" s="74" t="n">
        <f aca="false">IF($B22="","",IFERROR(IF(LEN(VLOOKUP($B22,'Project List'!$B$7:$N$28,8,FALSE()))&gt;26,LEFT(VLOOKUP($B22,'Project List'!$B$7:$N$28,8,FALSE()),26)&amp;"...",VLOOKUP($B22,'Project List'!$B$7:$N$28,8,FALSE())),"Reference not found"))</f>
        <v>0</v>
      </c>
      <c r="E22" s="84" t="n">
        <v>2600000</v>
      </c>
      <c r="F22" s="84" t="n">
        <v>2600000</v>
      </c>
      <c r="G22" s="80" t="n">
        <f aca="false">IF(OR($B22="",$E22="",$F22=""),"",$F22-$E22)</f>
        <v>0</v>
      </c>
      <c r="H22" s="81" t="n">
        <f aca="false">IF(OR($G22="",$E22="",$E22=0),"",$G22/$E22)</f>
        <v>0</v>
      </c>
      <c r="I22" s="74" t="str">
        <f aca="false">IF($H22="","",IF(ABS($H22)&gt;Setup!$D$18,"Yes","No"))</f>
        <v>No</v>
      </c>
      <c r="J22" s="75"/>
      <c r="K22" s="84" t="n">
        <v>4100000</v>
      </c>
      <c r="L22" s="84" t="n">
        <v>3300000</v>
      </c>
      <c r="M22" s="82" t="n">
        <f aca="false">IF($B22="","",IFERROR(VLOOKUP(VLOOKUP($B22,'Project List'!$B$7:$N$28,4,FALSE()),Reference!$B$52:$C$57,2,FALSE()),""))</f>
        <v>0.24</v>
      </c>
      <c r="N22" s="80" t="n">
        <f aca="false">IF(OR($E22="",$M22=""),"",$E22*$M22)</f>
        <v>624000</v>
      </c>
      <c r="O22" s="74" t="str">
        <f aca="false">IF($B22="","",IF(COUNTIF('Project List'!$B$7:$B$28,$B22)=0,"Reference not found",IF(OR($E22="",$F22=""),"Not yet forecast",IF(AND($I22="Yes",$J22=""),"OVER THRESHOLD - NO EXPLANATION",IF(AND($N22&lt;&gt;"",$F22&gt;$E22+$N22),"BEYOND THE INDICATED ALLOWANCE",IF($I22="Yes","Over threshold - explained",IF($F22&gt;$E22,"Over budget, inside the allowance",IF($F22&lt;$E22,"Under budget","On budget"))))))))</f>
        <v>On budget</v>
      </c>
    </row>
    <row r="23" customFormat="false" ht="46.5" hidden="false" customHeight="true" outlineLevel="0" collapsed="false">
      <c r="B23" s="78"/>
      <c r="C23" s="74" t="str">
        <f aca="false">IF($B23="","",IFERROR(IF(LEN(VLOOKUP($B23,'Project List'!$B$7:$N$28,2,FALSE()))&gt;30,LEFT(VLOOKUP($B23,'Project List'!$B$7:$N$28,2,FALSE()),30)&amp;"...",VLOOKUP($B23,'Project List'!$B$7:$N$28,2,FALSE())),"Reference not found"))</f>
        <v/>
      </c>
      <c r="D23" s="74" t="str">
        <f aca="false">IF($B23="","",IFERROR(IF(LEN(VLOOKUP($B23,'Project List'!$B$7:$N$28,8,FALSE()))&gt;26,LEFT(VLOOKUP($B23,'Project List'!$B$7:$N$28,8,FALSE()),26)&amp;"...",VLOOKUP($B23,'Project List'!$B$7:$N$28,8,FALSE())),"Reference not found"))</f>
        <v/>
      </c>
      <c r="E23" s="79"/>
      <c r="F23" s="79"/>
      <c r="G23" s="80" t="str">
        <f aca="false">IF(OR($B23="",$E23="",$F23=""),"",$F23-$E23)</f>
        <v/>
      </c>
      <c r="H23" s="81" t="str">
        <f aca="false">IF(OR($G23="",$E23="",$E23=0),"",$G23/$E23)</f>
        <v/>
      </c>
      <c r="I23" s="74" t="str">
        <f aca="false">IF($H23="","",IF(ABS($H23)&gt;Setup!$D$18,"Yes","No"))</f>
        <v/>
      </c>
      <c r="J23" s="71"/>
      <c r="K23" s="79"/>
      <c r="L23" s="79"/>
      <c r="M23" s="82" t="str">
        <f aca="false">IF($B23="","",IFERROR(VLOOKUP(VLOOKUP($B23,'Project List'!$B$7:$N$28,4,FALSE()),Reference!$B$52:$C$57,2,FALSE()),""))</f>
        <v/>
      </c>
      <c r="N23" s="80" t="str">
        <f aca="false">IF(OR($E23="",$M23=""),"",$E23*$M23)</f>
        <v/>
      </c>
      <c r="O23" s="74" t="str">
        <f aca="false">IF($B23="","",IF(COUNTIF('Project List'!$B$7:$B$28,$B23)=0,"Reference not found",IF(OR($E23="",$F23=""),"Not yet forecast",IF(AND($I23="Yes",$J23=""),"OVER THRESHOLD - NO EXPLANATION",IF(AND($N23&lt;&gt;"",$F23&gt;$E23+$N23),"BEYOND THE INDICATED ALLOWANCE",IF($I23="Yes","Over threshold - explained",IF($F23&gt;$E23,"Over budget, inside the allowance",IF($F23&lt;$E23,"Under budget","On budget"))))))))</f>
        <v/>
      </c>
    </row>
    <row r="24" customFormat="false" ht="46.5" hidden="false" customHeight="true" outlineLevel="0" collapsed="false">
      <c r="B24" s="83"/>
      <c r="C24" s="74" t="str">
        <f aca="false">IF($B24="","",IFERROR(IF(LEN(VLOOKUP($B24,'Project List'!$B$7:$N$28,2,FALSE()))&gt;30,LEFT(VLOOKUP($B24,'Project List'!$B$7:$N$28,2,FALSE()),30)&amp;"...",VLOOKUP($B24,'Project List'!$B$7:$N$28,2,FALSE())),"Reference not found"))</f>
        <v/>
      </c>
      <c r="D24" s="74" t="str">
        <f aca="false">IF($B24="","",IFERROR(IF(LEN(VLOOKUP($B24,'Project List'!$B$7:$N$28,8,FALSE()))&gt;26,LEFT(VLOOKUP($B24,'Project List'!$B$7:$N$28,8,FALSE()),26)&amp;"...",VLOOKUP($B24,'Project List'!$B$7:$N$28,8,FALSE())),"Reference not found"))</f>
        <v/>
      </c>
      <c r="E24" s="84"/>
      <c r="F24" s="84"/>
      <c r="G24" s="80" t="str">
        <f aca="false">IF(OR($B24="",$E24="",$F24=""),"",$F24-$E24)</f>
        <v/>
      </c>
      <c r="H24" s="81" t="str">
        <f aca="false">IF(OR($G24="",$E24="",$E24=0),"",$G24/$E24)</f>
        <v/>
      </c>
      <c r="I24" s="74" t="str">
        <f aca="false">IF($H24="","",IF(ABS($H24)&gt;Setup!$D$18,"Yes","No"))</f>
        <v/>
      </c>
      <c r="J24" s="75"/>
      <c r="K24" s="84"/>
      <c r="L24" s="84"/>
      <c r="M24" s="82" t="str">
        <f aca="false">IF($B24="","",IFERROR(VLOOKUP(VLOOKUP($B24,'Project List'!$B$7:$N$28,4,FALSE()),Reference!$B$52:$C$57,2,FALSE()),""))</f>
        <v/>
      </c>
      <c r="N24" s="80" t="str">
        <f aca="false">IF(OR($E24="",$M24=""),"",$E24*$M24)</f>
        <v/>
      </c>
      <c r="O24" s="74" t="str">
        <f aca="false">IF($B24="","",IF(COUNTIF('Project List'!$B$7:$B$28,$B24)=0,"Reference not found",IF(OR($E24="",$F24=""),"Not yet forecast",IF(AND($I24="Yes",$J24=""),"OVER THRESHOLD - NO EXPLANATION",IF(AND($N24&lt;&gt;"",$F24&gt;$E24+$N24),"BEYOND THE INDICATED ALLOWANCE",IF($I24="Yes","Over threshold - explained",IF($F24&gt;$E24,"Over budget, inside the allowance",IF($F24&lt;$E24,"Under budget","On budget"))))))))</f>
        <v/>
      </c>
    </row>
    <row r="25" customFormat="false" ht="46.5" hidden="false" customHeight="true" outlineLevel="0" collapsed="false">
      <c r="B25" s="78"/>
      <c r="C25" s="74" t="str">
        <f aca="false">IF($B25="","",IFERROR(IF(LEN(VLOOKUP($B25,'Project List'!$B$7:$N$28,2,FALSE()))&gt;30,LEFT(VLOOKUP($B25,'Project List'!$B$7:$N$28,2,FALSE()),30)&amp;"...",VLOOKUP($B25,'Project List'!$B$7:$N$28,2,FALSE())),"Reference not found"))</f>
        <v/>
      </c>
      <c r="D25" s="74" t="str">
        <f aca="false">IF($B25="","",IFERROR(IF(LEN(VLOOKUP($B25,'Project List'!$B$7:$N$28,8,FALSE()))&gt;26,LEFT(VLOOKUP($B25,'Project List'!$B$7:$N$28,8,FALSE()),26)&amp;"...",VLOOKUP($B25,'Project List'!$B$7:$N$28,8,FALSE())),"Reference not found"))</f>
        <v/>
      </c>
      <c r="E25" s="79"/>
      <c r="F25" s="79"/>
      <c r="G25" s="80" t="str">
        <f aca="false">IF(OR($B25="",$E25="",$F25=""),"",$F25-$E25)</f>
        <v/>
      </c>
      <c r="H25" s="81" t="str">
        <f aca="false">IF(OR($G25="",$E25="",$E25=0),"",$G25/$E25)</f>
        <v/>
      </c>
      <c r="I25" s="74" t="str">
        <f aca="false">IF($H25="","",IF(ABS($H25)&gt;Setup!$D$18,"Yes","No"))</f>
        <v/>
      </c>
      <c r="J25" s="71"/>
      <c r="K25" s="79"/>
      <c r="L25" s="79"/>
      <c r="M25" s="82" t="str">
        <f aca="false">IF($B25="","",IFERROR(VLOOKUP(VLOOKUP($B25,'Project List'!$B$7:$N$28,4,FALSE()),Reference!$B$52:$C$57,2,FALSE()),""))</f>
        <v/>
      </c>
      <c r="N25" s="80" t="str">
        <f aca="false">IF(OR($E25="",$M25=""),"",$E25*$M25)</f>
        <v/>
      </c>
      <c r="O25" s="74" t="str">
        <f aca="false">IF($B25="","",IF(COUNTIF('Project List'!$B$7:$B$28,$B25)=0,"Reference not found",IF(OR($E25="",$F25=""),"Not yet forecast",IF(AND($I25="Yes",$J25=""),"OVER THRESHOLD - NO EXPLANATION",IF(AND($N25&lt;&gt;"",$F25&gt;$E25+$N25),"BEYOND THE INDICATED ALLOWANCE",IF($I25="Yes","Over threshold - explained",IF($F25&gt;$E25,"Over budget, inside the allowance",IF($F25&lt;$E25,"Under budget","On budget"))))))))</f>
        <v/>
      </c>
    </row>
    <row r="26" customFormat="false" ht="46.5" hidden="false" customHeight="true" outlineLevel="0" collapsed="false">
      <c r="B26" s="83"/>
      <c r="C26" s="74" t="str">
        <f aca="false">IF($B26="","",IFERROR(IF(LEN(VLOOKUP($B26,'Project List'!$B$7:$N$28,2,FALSE()))&gt;30,LEFT(VLOOKUP($B26,'Project List'!$B$7:$N$28,2,FALSE()),30)&amp;"...",VLOOKUP($B26,'Project List'!$B$7:$N$28,2,FALSE())),"Reference not found"))</f>
        <v/>
      </c>
      <c r="D26" s="74" t="str">
        <f aca="false">IF($B26="","",IFERROR(IF(LEN(VLOOKUP($B26,'Project List'!$B$7:$N$28,8,FALSE()))&gt;26,LEFT(VLOOKUP($B26,'Project List'!$B$7:$N$28,8,FALSE()),26)&amp;"...",VLOOKUP($B26,'Project List'!$B$7:$N$28,8,FALSE())),"Reference not found"))</f>
        <v/>
      </c>
      <c r="E26" s="84"/>
      <c r="F26" s="84"/>
      <c r="G26" s="80" t="str">
        <f aca="false">IF(OR($B26="",$E26="",$F26=""),"",$F26-$E26)</f>
        <v/>
      </c>
      <c r="H26" s="81" t="str">
        <f aca="false">IF(OR($G26="",$E26="",$E26=0),"",$G26/$E26)</f>
        <v/>
      </c>
      <c r="I26" s="74" t="str">
        <f aca="false">IF($H26="","",IF(ABS($H26)&gt;Setup!$D$18,"Yes","No"))</f>
        <v/>
      </c>
      <c r="J26" s="75"/>
      <c r="K26" s="84"/>
      <c r="L26" s="84"/>
      <c r="M26" s="82" t="str">
        <f aca="false">IF($B26="","",IFERROR(VLOOKUP(VLOOKUP($B26,'Project List'!$B$7:$N$28,4,FALSE()),Reference!$B$52:$C$57,2,FALSE()),""))</f>
        <v/>
      </c>
      <c r="N26" s="80" t="str">
        <f aca="false">IF(OR($E26="",$M26=""),"",$E26*$M26)</f>
        <v/>
      </c>
      <c r="O26" s="74" t="str">
        <f aca="false">IF($B26="","",IF(COUNTIF('Project List'!$B$7:$B$28,$B26)=0,"Reference not found",IF(OR($E26="",$F26=""),"Not yet forecast",IF(AND($I26="Yes",$J26=""),"OVER THRESHOLD - NO EXPLANATION",IF(AND($N26&lt;&gt;"",$F26&gt;$E26+$N26),"BEYOND THE INDICATED ALLOWANCE",IF($I26="Yes","Over threshold - explained",IF($F26&gt;$E26,"Over budget, inside the allowance",IF($F26&lt;$E26,"Under budget","On budget"))))))))</f>
        <v/>
      </c>
    </row>
    <row r="27" customFormat="false" ht="46.5" hidden="false" customHeight="true" outlineLevel="0" collapsed="false">
      <c r="B27" s="78"/>
      <c r="C27" s="74" t="str">
        <f aca="false">IF($B27="","",IFERROR(IF(LEN(VLOOKUP($B27,'Project List'!$B$7:$N$28,2,FALSE()))&gt;30,LEFT(VLOOKUP($B27,'Project List'!$B$7:$N$28,2,FALSE()),30)&amp;"...",VLOOKUP($B27,'Project List'!$B$7:$N$28,2,FALSE())),"Reference not found"))</f>
        <v/>
      </c>
      <c r="D27" s="74" t="str">
        <f aca="false">IF($B27="","",IFERROR(IF(LEN(VLOOKUP($B27,'Project List'!$B$7:$N$28,8,FALSE()))&gt;26,LEFT(VLOOKUP($B27,'Project List'!$B$7:$N$28,8,FALSE()),26)&amp;"...",VLOOKUP($B27,'Project List'!$B$7:$N$28,8,FALSE())),"Reference not found"))</f>
        <v/>
      </c>
      <c r="E27" s="79"/>
      <c r="F27" s="79"/>
      <c r="G27" s="80" t="str">
        <f aca="false">IF(OR($B27="",$E27="",$F27=""),"",$F27-$E27)</f>
        <v/>
      </c>
      <c r="H27" s="81" t="str">
        <f aca="false">IF(OR($G27="",$E27="",$E27=0),"",$G27/$E27)</f>
        <v/>
      </c>
      <c r="I27" s="74" t="str">
        <f aca="false">IF($H27="","",IF(ABS($H27)&gt;Setup!$D$18,"Yes","No"))</f>
        <v/>
      </c>
      <c r="J27" s="71"/>
      <c r="K27" s="79"/>
      <c r="L27" s="79"/>
      <c r="M27" s="82" t="str">
        <f aca="false">IF($B27="","",IFERROR(VLOOKUP(VLOOKUP($B27,'Project List'!$B$7:$N$28,4,FALSE()),Reference!$B$52:$C$57,2,FALSE()),""))</f>
        <v/>
      </c>
      <c r="N27" s="80" t="str">
        <f aca="false">IF(OR($E27="",$M27=""),"",$E27*$M27)</f>
        <v/>
      </c>
      <c r="O27" s="74" t="str">
        <f aca="false">IF($B27="","",IF(COUNTIF('Project List'!$B$7:$B$28,$B27)=0,"Reference not found",IF(OR($E27="",$F27=""),"Not yet forecast",IF(AND($I27="Yes",$J27=""),"OVER THRESHOLD - NO EXPLANATION",IF(AND($N27&lt;&gt;"",$F27&gt;$E27+$N27),"BEYOND THE INDICATED ALLOWANCE",IF($I27="Yes","Over threshold - explained",IF($F27&gt;$E27,"Over budget, inside the allowance",IF($F27&lt;$E27,"Under budget","On budget"))))))))</f>
        <v/>
      </c>
    </row>
    <row r="28" customFormat="false" ht="46.5" hidden="false" customHeight="true" outlineLevel="0" collapsed="false">
      <c r="B28" s="83"/>
      <c r="C28" s="74" t="str">
        <f aca="false">IF($B28="","",IFERROR(IF(LEN(VLOOKUP($B28,'Project List'!$B$7:$N$28,2,FALSE()))&gt;30,LEFT(VLOOKUP($B28,'Project List'!$B$7:$N$28,2,FALSE()),30)&amp;"...",VLOOKUP($B28,'Project List'!$B$7:$N$28,2,FALSE())),"Reference not found"))</f>
        <v/>
      </c>
      <c r="D28" s="74" t="str">
        <f aca="false">IF($B28="","",IFERROR(IF(LEN(VLOOKUP($B28,'Project List'!$B$7:$N$28,8,FALSE()))&gt;26,LEFT(VLOOKUP($B28,'Project List'!$B$7:$N$28,8,FALSE()),26)&amp;"...",VLOOKUP($B28,'Project List'!$B$7:$N$28,8,FALSE())),"Reference not found"))</f>
        <v/>
      </c>
      <c r="E28" s="84"/>
      <c r="F28" s="84"/>
      <c r="G28" s="80" t="str">
        <f aca="false">IF(OR($B28="",$E28="",$F28=""),"",$F28-$E28)</f>
        <v/>
      </c>
      <c r="H28" s="81" t="str">
        <f aca="false">IF(OR($G28="",$E28="",$E28=0),"",$G28/$E28)</f>
        <v/>
      </c>
      <c r="I28" s="74" t="str">
        <f aca="false">IF($H28="","",IF(ABS($H28)&gt;Setup!$D$18,"Yes","No"))</f>
        <v/>
      </c>
      <c r="J28" s="75"/>
      <c r="K28" s="84"/>
      <c r="L28" s="84"/>
      <c r="M28" s="82" t="str">
        <f aca="false">IF($B28="","",IFERROR(VLOOKUP(VLOOKUP($B28,'Project List'!$B$7:$N$28,4,FALSE()),Reference!$B$52:$C$57,2,FALSE()),""))</f>
        <v/>
      </c>
      <c r="N28" s="80" t="str">
        <f aca="false">IF(OR($E28="",$M28=""),"",$E28*$M28)</f>
        <v/>
      </c>
      <c r="O28" s="74" t="str">
        <f aca="false">IF($B28="","",IF(COUNTIF('Project List'!$B$7:$B$28,$B28)=0,"Reference not found",IF(OR($E28="",$F28=""),"Not yet forecast",IF(AND($I28="Yes",$J28=""),"OVER THRESHOLD - NO EXPLANATION",IF(AND($N28&lt;&gt;"",$F28&gt;$E28+$N28),"BEYOND THE INDICATED ALLOWANCE",IF($I28="Yes","Over threshold - explained",IF($F28&gt;$E28,"Over budget, inside the allowance",IF($F28&lt;$E28,"Under budget","On budget"))))))))</f>
        <v/>
      </c>
    </row>
    <row r="30" customFormat="false" ht="15" hidden="false" customHeight="true" outlineLevel="0" collapsed="false">
      <c r="B30" s="40" t="s">
        <v>312</v>
      </c>
      <c r="C30" s="40"/>
      <c r="D30" s="40"/>
      <c r="E30" s="40"/>
      <c r="F30" s="40"/>
      <c r="G30" s="40"/>
      <c r="H30" s="40"/>
      <c r="I30" s="40"/>
      <c r="J30" s="40"/>
      <c r="K30" s="40"/>
      <c r="L30" s="40"/>
      <c r="M30" s="40"/>
      <c r="N30" s="40"/>
      <c r="O30" s="40"/>
    </row>
    <row r="31" customFormat="false" ht="15" hidden="false" customHeight="true" outlineLevel="0" collapsed="false">
      <c r="B31" s="40"/>
      <c r="C31" s="40"/>
      <c r="D31" s="40"/>
      <c r="E31" s="40"/>
      <c r="F31" s="40"/>
      <c r="G31" s="40"/>
      <c r="H31" s="40"/>
      <c r="I31" s="40"/>
      <c r="J31" s="40"/>
      <c r="K31" s="40"/>
      <c r="L31" s="40"/>
      <c r="M31" s="40"/>
      <c r="N31" s="40"/>
      <c r="O31" s="40"/>
    </row>
    <row r="32" customFormat="false" ht="18" hidden="false" customHeight="true" outlineLevel="0" collapsed="false">
      <c r="B32" s="47" t="s">
        <v>120</v>
      </c>
      <c r="C32" s="47"/>
      <c r="D32" s="47"/>
      <c r="E32" s="47"/>
      <c r="F32" s="47"/>
      <c r="G32" s="47"/>
      <c r="H32" s="47"/>
      <c r="I32" s="47"/>
      <c r="J32" s="47"/>
      <c r="K32" s="47"/>
      <c r="L32" s="47"/>
      <c r="M32" s="47"/>
      <c r="N32" s="47"/>
      <c r="O32" s="47"/>
    </row>
  </sheetData>
  <autoFilter ref="B6:O28"/>
  <mergeCells count="6">
    <mergeCell ref="B1:O1"/>
    <mergeCell ref="B2:O2"/>
    <mergeCell ref="B3:O3"/>
    <mergeCell ref="B4:O4"/>
    <mergeCell ref="B30:O31"/>
    <mergeCell ref="B32:O32"/>
  </mergeCells>
  <conditionalFormatting sqref="B3:O3">
    <cfRule type="expression" priority="2" aboveAverage="0" equalAverage="0" bottom="0" percent="0" rank="0" text="" dxfId="0">
      <formula>LEN($B$3)&gt;0</formula>
    </cfRule>
  </conditionalFormatting>
  <conditionalFormatting sqref="B7:O28">
    <cfRule type="expression" priority="3" aboveAverage="0" equalAverage="0" bottom="0" percent="0" rank="0" text="" dxfId="1">
      <formula>$O7="Reference not found"</formula>
    </cfRule>
    <cfRule type="expression" priority="4" aboveAverage="0" equalAverage="0" bottom="0" percent="0" rank="0" text="" dxfId="1">
      <formula>$O7="OVER THRESHOLD - NO EXPLANATION"</formula>
    </cfRule>
    <cfRule type="expression" priority="5" aboveAverage="0" equalAverage="0" bottom="0" percent="0" rank="0" text="" dxfId="1">
      <formula>$O7="BEYOND THE INDICATED ALLOWANCE"</formula>
    </cfRule>
    <cfRule type="expression" priority="6" aboveAverage="0" equalAverage="0" bottom="0" percent="0" rank="0" text="" dxfId="0">
      <formula>$O7="Over threshold - explained"</formula>
    </cfRule>
    <cfRule type="expression" priority="7" aboveAverage="0" equalAverage="0" bottom="0" percent="0" rank="0" text="" dxfId="0">
      <formula>$O7="Not yet forecast"</formula>
    </cfRule>
    <cfRule type="expression" priority="8" aboveAverage="0" equalAverage="0" bottom="0" percent="0" rank="0" text="" dxfId="2">
      <formula>$O7="Over budget, inside the allowance"</formula>
    </cfRule>
    <cfRule type="expression" priority="9" aboveAverage="0" equalAverage="0" bottom="0" percent="0" rank="0" text="" dxfId="17">
      <formula>$O7="Under budget"</formula>
    </cfRule>
    <cfRule type="expression" priority="10" aboveAverage="0" equalAverage="0" bottom="0" percent="0" rank="0" text="" dxfId="17">
      <formula>$O7="On budget"</formula>
    </cfRule>
  </conditionalFormatting>
  <dataValidations count="1">
    <dataValidation allowBlank="false" errorStyle="stop" operator="between" prompt="Required wherever the variance is over the threshold on Setup. Write the reason, not the amount - the amount is already in the column beside it." promptTitle="Why it moved" showDropDown="false" showErrorMessage="false" showInputMessage="true" sqref="J7:J28" type="none">
      <formula1>0</formula1>
      <formula2>0</formula2>
    </dataValidation>
  </dataValidations>
  <hyperlinks>
    <hyperlink ref="B32" r:id="rId1" display="Visit mastt.com"/>
  </hyperlinks>
  <printOptions headings="false" gridLines="false" gridLinesSet="true" horizontalCentered="false" verticalCentered="false"/>
  <pageMargins left="0.3" right="0.3" top="0.5" bottom="0.5" header="0.511811023622047" footer="0.511811023622047"/>
  <pageSetup paperSize="8" scale="100" fitToWidth="1" fitToHeight="0" pageOrder="downThenOver" orientation="landscape" blackAndWhite="false" draft="false" cellComments="none" horizontalDpi="300" verticalDpi="300" copies="1"/>
  <headerFooter differentFirst="false" differentOddEven="false">
    <oddHeader/>
    <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31B0C"/>
    <pageSetUpPr fitToPage="true"/>
  </sheetPr>
  <dimension ref="B1:N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8"/>
    <col collapsed="false" customWidth="true" hidden="false" outlineLevel="0" max="4" min="3" style="0" width="20"/>
    <col collapsed="false" customWidth="true" hidden="false" outlineLevel="0" max="6" min="5" style="0" width="18"/>
    <col collapsed="false" customWidth="true" hidden="false" outlineLevel="0" max="7" min="7" style="0" width="16"/>
    <col collapsed="false" customWidth="true" hidden="false" outlineLevel="0" max="9" min="8" style="0" width="12"/>
    <col collapsed="false" customWidth="true" hidden="false" outlineLevel="0" max="10" min="10" style="0" width="10"/>
    <col collapsed="false" customWidth="true" hidden="false" outlineLevel="0" max="12" min="11" style="0" width="12"/>
    <col collapsed="false" customWidth="true" hidden="false" outlineLevel="0" max="13" min="13" style="0" width="18"/>
    <col collapsed="false" customWidth="true" hidden="false" outlineLevel="0" max="14" min="14" style="0" width="28"/>
    <col collapsed="false" customWidth="true" hidden="false" outlineLevel="0" max="15" min="15" style="0" width="2.2"/>
  </cols>
  <sheetData>
    <row r="1" customFormat="false" ht="33.75" hidden="false" customHeight="true" outlineLevel="0" collapsed="false">
      <c r="B1" s="37" t="s">
        <v>313</v>
      </c>
      <c r="C1" s="37"/>
      <c r="D1" s="37"/>
      <c r="E1" s="37"/>
      <c r="F1" s="37"/>
      <c r="G1" s="37"/>
      <c r="H1" s="37"/>
      <c r="I1" s="37"/>
      <c r="J1" s="37"/>
      <c r="K1" s="37"/>
      <c r="L1" s="37"/>
      <c r="M1" s="37"/>
      <c r="N1" s="37"/>
    </row>
    <row r="2" customFormat="false" ht="4.5" hidden="false" customHeight="true" outlineLevel="0" collapsed="false">
      <c r="B2" s="85"/>
      <c r="C2" s="85"/>
      <c r="D2" s="85"/>
      <c r="E2" s="85"/>
      <c r="F2" s="85"/>
      <c r="G2" s="85"/>
      <c r="H2" s="85"/>
      <c r="I2" s="85"/>
      <c r="J2" s="85"/>
      <c r="K2" s="85"/>
      <c r="L2" s="85"/>
      <c r="M2" s="85"/>
      <c r="N2" s="85"/>
    </row>
    <row r="3" customFormat="false" ht="16.5" hidden="false" customHeight="true" outlineLevel="0" collapsed="false">
      <c r="B3" s="39" t="str">
        <f aca="false">IF(LEFT(Setup!$D$7,7)&lt;&gt;"EXAMPLE","","EXAMPLE DATA - type your own organisation name on Setup to clear this.")</f>
        <v>EXAMPLE DATA - type your own organisation name on Setup to clear this.</v>
      </c>
      <c r="C3" s="39"/>
      <c r="D3" s="39"/>
      <c r="E3" s="39"/>
      <c r="F3" s="39"/>
      <c r="G3" s="39"/>
      <c r="H3" s="39"/>
      <c r="I3" s="39"/>
      <c r="J3" s="39"/>
      <c r="K3" s="39"/>
      <c r="L3" s="39"/>
      <c r="M3" s="39"/>
      <c r="N3" s="39"/>
    </row>
    <row r="4" customFormat="false" ht="25.5" hidden="false" customHeight="true" outlineLevel="0" collapsed="false">
      <c r="B4" s="40" t="s">
        <v>314</v>
      </c>
      <c r="C4" s="40"/>
      <c r="D4" s="40"/>
      <c r="E4" s="40"/>
      <c r="F4" s="40"/>
      <c r="G4" s="40"/>
      <c r="H4" s="40"/>
      <c r="I4" s="40"/>
      <c r="J4" s="40"/>
      <c r="K4" s="40"/>
      <c r="L4" s="40"/>
      <c r="M4" s="40"/>
      <c r="N4" s="40"/>
    </row>
    <row r="6" customFormat="false" ht="47.25" hidden="false" customHeight="true" outlineLevel="0" collapsed="false">
      <c r="B6" s="10" t="s">
        <v>219</v>
      </c>
      <c r="C6" s="69" t="s">
        <v>220</v>
      </c>
      <c r="D6" s="69" t="s">
        <v>222</v>
      </c>
      <c r="E6" s="10" t="s">
        <v>315</v>
      </c>
      <c r="F6" s="10" t="s">
        <v>316</v>
      </c>
      <c r="G6" s="69" t="s">
        <v>317</v>
      </c>
      <c r="H6" s="10" t="s">
        <v>318</v>
      </c>
      <c r="I6" s="10" t="s">
        <v>319</v>
      </c>
      <c r="J6" s="69" t="s">
        <v>320</v>
      </c>
      <c r="K6" s="10" t="s">
        <v>321</v>
      </c>
      <c r="L6" s="10" t="s">
        <v>322</v>
      </c>
      <c r="M6" s="69" t="s">
        <v>289</v>
      </c>
      <c r="N6" s="10" t="s">
        <v>228</v>
      </c>
    </row>
    <row r="7" customFormat="false" ht="46.5" hidden="false" customHeight="true" outlineLevel="0" collapsed="false">
      <c r="B7" s="78" t="s">
        <v>290</v>
      </c>
      <c r="C7" s="74" t="str">
        <f aca="false">IF($B7="","",IFERROR(IF(LEN(VLOOKUP($B7,'Project List'!$B$7:$N$28,2,FALSE()))&gt;30,LEFT(VLOOKUP($B7,'Project List'!$B$7:$N$28,2,FALSE()),30)&amp;"...",VLOOKUP($B7,'Project List'!$B$7:$N$28,2,FALSE())),"Reference not found"))</f>
        <v>Riverton Library replacement</v>
      </c>
      <c r="D7" s="74" t="str">
        <f aca="false">IF($B7="","",IFERROR(IF(LEN(VLOOKUP($B7,'Project List'!$B$7:$N$28,5,FALSE()))&gt;32,LEFT(VLOOKUP($B7,'Project List'!$B$7:$N$28,5,FALSE()),32)&amp;"...",VLOOKUP($B7,'Project List'!$B$7:$N$28,5,FALSE())),"Reference not found"))</f>
        <v>Gate 4 - readiness for service</v>
      </c>
      <c r="E7" s="71" t="s">
        <v>198</v>
      </c>
      <c r="F7" s="71" t="s">
        <v>198</v>
      </c>
      <c r="G7" s="74" t="str">
        <f aca="false">IF($B7="","",IF(OR(IF($E7="Green",3,IF($E7="Amber",2,IF($E7="Red",1,0)))=0,IF($F7="Green",3,IF($F7="Amber",2,IF($F7="Red",1,0)))=0),"-",IF(IF($F7="Green",3,IF($F7="Amber",2,IF($F7="Red",1,0)))&gt;IF($E7="Green",3,IF($E7="Amber",2,IF($E7="Red",1,0))),"Owner more confident",IF(IF($F7="Green",3,IF($F7="Amber",2,IF($F7="Red",1,0)))&lt;IF($E7="Green",3,IF($E7="Amber",2,IF($E7="Red",1,0))),"Reviewer more confident","Aligned"))))</f>
        <v>Aligned</v>
      </c>
      <c r="H7" s="72" t="n">
        <f aca="true">TODAY()-62</f>
        <v>46190</v>
      </c>
      <c r="I7" s="72" t="n">
        <f aca="true">TODAY()+118</f>
        <v>46370</v>
      </c>
      <c r="J7" s="73" t="n">
        <f aca="true">IF(OR($B7="",$I7=""),"",$I7-TODAY())</f>
        <v>118</v>
      </c>
      <c r="K7" s="86" t="n">
        <v>1</v>
      </c>
      <c r="L7" s="86" t="n">
        <v>0</v>
      </c>
      <c r="M7" s="74" t="str">
        <f aca="true">IF($B7="","",IF(COUNTIF('Project List'!$B$7:$B$28,$B7)=0,"Reference not found",IF($D7="Gate 5 - benefits realised","Closed",IF(OR($E7="",$E7="Not rated"),"Not yet reviewed",IF($E7="Reset","Baseline being reset",IF($G7="Owner more confident","OWNER AHEAD OF THE REVIEW",IF(AND($I7&lt;&gt;"",$I7&lt;TODAY()),"REVIEW OVERDUE",IF(AND($L7&lt;&gt;"",$L7&gt;0),"Actions overdue",IF(AND($J7&lt;&gt;"",$J7&lt;=Setup!$D$20),"Review due soon","Current")))))))))</f>
        <v>Current</v>
      </c>
      <c r="N7" s="71"/>
    </row>
    <row r="8" customFormat="false" ht="46.5" hidden="false" customHeight="true" outlineLevel="0" collapsed="false">
      <c r="B8" s="83" t="s">
        <v>291</v>
      </c>
      <c r="C8" s="74" t="str">
        <f aca="false">IF($B8="","",IFERROR(IF(LEN(VLOOKUP($B8,'Project List'!$B$7:$N$28,2,FALSE()))&gt;30,LEFT(VLOOKUP($B8,'Project List'!$B$7:$N$28,2,FALSE()),30)&amp;"...",VLOOKUP($B8,'Project List'!$B$7:$N$28,2,FALSE())),"Reference not found"))</f>
        <v>Depot workshop rebuild</v>
      </c>
      <c r="D8" s="74" t="str">
        <f aca="false">IF($B8="","",IFERROR(IF(LEN(VLOOKUP($B8,'Project List'!$B$7:$N$28,5,FALSE()))&gt;32,LEFT(VLOOKUP($B8,'Project List'!$B$7:$N$28,5,FALSE()),32)&amp;"...",VLOOKUP($B8,'Project List'!$B$7:$N$28,5,FALSE())),"Reference not found"))</f>
        <v>Gate 3 - investment decision</v>
      </c>
      <c r="E8" s="75" t="s">
        <v>200</v>
      </c>
      <c r="F8" s="75" t="s">
        <v>200</v>
      </c>
      <c r="G8" s="74" t="str">
        <f aca="false">IF($B8="","",IF(OR(IF($E8="Green",3,IF($E8="Amber",2,IF($E8="Red",1,0)))=0,IF($F8="Green",3,IF($F8="Amber",2,IF($F8="Red",1,0)))=0),"-",IF(IF($F8="Green",3,IF($F8="Amber",2,IF($F8="Red",1,0)))&gt;IF($E8="Green",3,IF($E8="Amber",2,IF($E8="Red",1,0))),"Owner more confident",IF(IF($F8="Green",3,IF($F8="Amber",2,IF($F8="Red",1,0)))&lt;IF($E8="Green",3,IF($E8="Amber",2,IF($E8="Red",1,0))),"Reviewer more confident","Aligned"))))</f>
        <v>Aligned</v>
      </c>
      <c r="H8" s="76" t="n">
        <f aca="true">TODAY()-95</f>
        <v>46157</v>
      </c>
      <c r="I8" s="76" t="n">
        <f aca="true">TODAY()+85</f>
        <v>46337</v>
      </c>
      <c r="J8" s="73" t="n">
        <f aca="true">IF(OR($B8="",$I8=""),"",$I8-TODAY())</f>
        <v>85</v>
      </c>
      <c r="K8" s="87" t="n">
        <v>4</v>
      </c>
      <c r="L8" s="87" t="n">
        <v>1</v>
      </c>
      <c r="M8" s="74" t="str">
        <f aca="true">IF($B8="","",IF(COUNTIF('Project List'!$B$7:$B$28,$B8)=0,"Reference not found",IF($D8="Gate 5 - benefits realised","Closed",IF(OR($E8="",$E8="Not rated"),"Not yet reviewed",IF($E8="Reset","Baseline being reset",IF($G8="Owner more confident","OWNER AHEAD OF THE REVIEW",IF(AND($I8&lt;&gt;"",$I8&lt;TODAY()),"REVIEW OVERDUE",IF(AND($L8&lt;&gt;"",$L8&gt;0),"Actions overdue",IF(AND($J8&lt;&gt;"",$J8&lt;=Setup!$D$20),"Review due soon","Current")))))))))</f>
        <v>Actions overdue</v>
      </c>
      <c r="N8" s="75"/>
    </row>
    <row r="9" customFormat="false" ht="46.5" hidden="false" customHeight="true" outlineLevel="0" collapsed="false">
      <c r="B9" s="78" t="s">
        <v>293</v>
      </c>
      <c r="C9" s="74" t="str">
        <f aca="false">IF($B9="","",IFERROR(IF(LEN(VLOOKUP($B9,'Project List'!$B$7:$N$28,2,FALSE()))&gt;30,LEFT(VLOOKUP($B9,'Project List'!$B$7:$N$28,2,FALSE()),30)&amp;"...",VLOOKUP($B9,'Project List'!$B$7:$N$28,2,FALSE())),"Reference not found"))</f>
        <v>Kalinda Road duplication</v>
      </c>
      <c r="D9" s="74" t="str">
        <f aca="false">IF($B9="","",IFERROR(IF(LEN(VLOOKUP($B9,'Project List'!$B$7:$N$28,5,FALSE()))&gt;32,LEFT(VLOOKUP($B9,'Project List'!$B$7:$N$28,5,FALSE()),32)&amp;"...",VLOOKUP($B9,'Project List'!$B$7:$N$28,5,FALSE())),"Reference not found"))</f>
        <v>Gate 3 - investment decision</v>
      </c>
      <c r="E9" s="71" t="s">
        <v>200</v>
      </c>
      <c r="F9" s="71" t="s">
        <v>198</v>
      </c>
      <c r="G9" s="74" t="str">
        <f aca="false">IF($B9="","",IF(OR(IF($E9="Green",3,IF($E9="Amber",2,IF($E9="Red",1,0)))=0,IF($F9="Green",3,IF($F9="Amber",2,IF($F9="Red",1,0)))=0),"-",IF(IF($F9="Green",3,IF($F9="Amber",2,IF($F9="Red",1,0)))&gt;IF($E9="Green",3,IF($E9="Amber",2,IF($E9="Red",1,0))),"Owner more confident",IF(IF($F9="Green",3,IF($F9="Amber",2,IF($F9="Red",1,0)))&lt;IF($E9="Green",3,IF($E9="Amber",2,IF($E9="Red",1,0))),"Reviewer more confident","Aligned"))))</f>
        <v>Owner more confident</v>
      </c>
      <c r="H9" s="72" t="n">
        <f aca="true">TODAY()-48</f>
        <v>46204</v>
      </c>
      <c r="I9" s="72" t="n">
        <f aca="true">TODAY()+132</f>
        <v>46384</v>
      </c>
      <c r="J9" s="73" t="n">
        <f aca="true">IF(OR($B9="",$I9=""),"",$I9-TODAY())</f>
        <v>132</v>
      </c>
      <c r="K9" s="86" t="n">
        <v>7</v>
      </c>
      <c r="L9" s="86" t="n">
        <v>3</v>
      </c>
      <c r="M9" s="74" t="str">
        <f aca="true">IF($B9="","",IF(COUNTIF('Project List'!$B$7:$B$28,$B9)=0,"Reference not found",IF($D9="Gate 5 - benefits realised","Closed",IF(OR($E9="",$E9="Not rated"),"Not yet reviewed",IF($E9="Reset","Baseline being reset",IF($G9="Owner more confident","OWNER AHEAD OF THE REVIEW",IF(AND($I9&lt;&gt;"",$I9&lt;TODAY()),"REVIEW OVERDUE",IF(AND($L9&lt;&gt;"",$L9&gt;0),"Actions overdue",IF(AND($J9&lt;&gt;"",$J9&lt;=Setup!$D$20),"Review due soon","Current")))))))))</f>
        <v>OWNER AHEAD OF THE REVIEW</v>
      </c>
      <c r="N9" s="71" t="s">
        <v>323</v>
      </c>
    </row>
    <row r="10" customFormat="false" ht="46.5" hidden="false" customHeight="true" outlineLevel="0" collapsed="false">
      <c r="B10" s="83" t="s">
        <v>295</v>
      </c>
      <c r="C10" s="74" t="str">
        <f aca="false">IF($B10="","",IFERROR(IF(LEN(VLOOKUP($B10,'Project List'!$B$7:$N$28,2,FALSE()))&gt;30,LEFT(VLOOKUP($B10,'Project List'!$B$7:$N$28,2,FALSE()),30)&amp;"...",VLOOKUP($B10,'Project List'!$B$7:$N$28,2,FALSE())),"Reference not found"))</f>
        <v>Bridge 214 strengthening</v>
      </c>
      <c r="D10" s="74" t="str">
        <f aca="false">IF($B10="","",IFERROR(IF(LEN(VLOOKUP($B10,'Project List'!$B$7:$N$28,5,FALSE()))&gt;32,LEFT(VLOOKUP($B10,'Project List'!$B$7:$N$28,5,FALSE()),32)&amp;"...",VLOOKUP($B10,'Project List'!$B$7:$N$28,5,FALSE())),"Reference not found"))</f>
        <v>Gate 3 - investment decision</v>
      </c>
      <c r="E10" s="75" t="s">
        <v>198</v>
      </c>
      <c r="F10" s="75" t="s">
        <v>198</v>
      </c>
      <c r="G10" s="74" t="str">
        <f aca="false">IF($B10="","",IF(OR(IF($E10="Green",3,IF($E10="Amber",2,IF($E10="Red",1,0)))=0,IF($F10="Green",3,IF($F10="Amber",2,IF($F10="Red",1,0)))=0),"-",IF(IF($F10="Green",3,IF($F10="Amber",2,IF($F10="Red",1,0)))&gt;IF($E10="Green",3,IF($E10="Amber",2,IF($E10="Red",1,0))),"Owner more confident",IF(IF($F10="Green",3,IF($F10="Amber",2,IF($F10="Red",1,0)))&lt;IF($E10="Green",3,IF($E10="Amber",2,IF($E10="Red",1,0))),"Reviewer more confident","Aligned"))))</f>
        <v>Aligned</v>
      </c>
      <c r="H10" s="76" t="n">
        <f aca="true">TODAY()-120</f>
        <v>46132</v>
      </c>
      <c r="I10" s="76" t="n">
        <f aca="true">TODAY()+60</f>
        <v>46312</v>
      </c>
      <c r="J10" s="73" t="n">
        <f aca="true">IF(OR($B10="",$I10=""),"",$I10-TODAY())</f>
        <v>60</v>
      </c>
      <c r="K10" s="87" t="n">
        <v>0</v>
      </c>
      <c r="L10" s="87" t="n">
        <v>0</v>
      </c>
      <c r="M10" s="74" t="str">
        <f aca="true">IF($B10="","",IF(COUNTIF('Project List'!$B$7:$B$28,$B10)=0,"Reference not found",IF($D10="Gate 5 - benefits realised","Closed",IF(OR($E10="",$E10="Not rated"),"Not yet reviewed",IF($E10="Reset","Baseline being reset",IF($G10="Owner more confident","OWNER AHEAD OF THE REVIEW",IF(AND($I10&lt;&gt;"",$I10&lt;TODAY()),"REVIEW OVERDUE",IF(AND($L10&lt;&gt;"",$L10&gt;0),"Actions overdue",IF(AND($J10&lt;&gt;"",$J10&lt;=Setup!$D$20),"Review due soon","Current")))))))))</f>
        <v>Current</v>
      </c>
      <c r="N10" s="75"/>
    </row>
    <row r="11" customFormat="false" ht="46.5" hidden="false" customHeight="true" outlineLevel="0" collapsed="false">
      <c r="B11" s="78" t="s">
        <v>296</v>
      </c>
      <c r="C11" s="74" t="str">
        <f aca="false">IF($B11="","",IFERROR(IF(LEN(VLOOKUP($B11,'Project List'!$B$7:$N$28,2,FALSE()))&gt;30,LEFT(VLOOKUP($B11,'Project List'!$B$7:$N$28,2,FALSE()),30)&amp;"...",VLOOKUP($B11,'Project List'!$B$7:$N$28,2,FALSE())),"Reference not found"))</f>
        <v>Wastewater treatment upgrade, ...</v>
      </c>
      <c r="D11" s="74" t="str">
        <f aca="false">IF($B11="","",IFERROR(IF(LEN(VLOOKUP($B11,'Project List'!$B$7:$N$28,5,FALSE()))&gt;32,LEFT(VLOOKUP($B11,'Project List'!$B$7:$N$28,5,FALSE()),32)&amp;"...",VLOOKUP($B11,'Project List'!$B$7:$N$28,5,FALSE())),"Reference not found"))</f>
        <v>Gate 2 - delivery strategy</v>
      </c>
      <c r="E11" s="71" t="s">
        <v>202</v>
      </c>
      <c r="F11" s="71" t="s">
        <v>200</v>
      </c>
      <c r="G11" s="74" t="str">
        <f aca="false">IF($B11="","",IF(OR(IF($E11="Green",3,IF($E11="Amber",2,IF($E11="Red",1,0)))=0,IF($F11="Green",3,IF($F11="Amber",2,IF($F11="Red",1,0)))=0),"-",IF(IF($F11="Green",3,IF($F11="Amber",2,IF($F11="Red",1,0)))&gt;IF($E11="Green",3,IF($E11="Amber",2,IF($E11="Red",1,0))),"Owner more confident",IF(IF($F11="Green",3,IF($F11="Amber",2,IF($F11="Red",1,0)))&lt;IF($E11="Green",3,IF($E11="Amber",2,IF($E11="Red",1,0))),"Reviewer more confident","Aligned"))))</f>
        <v>Owner more confident</v>
      </c>
      <c r="H11" s="72" t="n">
        <f aca="true">TODAY()-30</f>
        <v>46222</v>
      </c>
      <c r="I11" s="72" t="n">
        <f aca="true">TODAY()+150</f>
        <v>46402</v>
      </c>
      <c r="J11" s="73" t="n">
        <f aca="true">IF(OR($B11="",$I11=""),"",$I11-TODAY())</f>
        <v>150</v>
      </c>
      <c r="K11" s="86" t="n">
        <v>9</v>
      </c>
      <c r="L11" s="86" t="n">
        <v>5</v>
      </c>
      <c r="M11" s="74" t="str">
        <f aca="true">IF($B11="","",IF(COUNTIF('Project List'!$B$7:$B$28,$B11)=0,"Reference not found",IF($D11="Gate 5 - benefits realised","Closed",IF(OR($E11="",$E11="Not rated"),"Not yet reviewed",IF($E11="Reset","Baseline being reset",IF($G11="Owner more confident","OWNER AHEAD OF THE REVIEW",IF(AND($I11&lt;&gt;"",$I11&lt;TODAY()),"REVIEW OVERDUE",IF(AND($L11&lt;&gt;"",$L11&gt;0),"Actions overdue",IF(AND($J11&lt;&gt;"",$J11&lt;=Setup!$D$20),"Review due soon","Current")))))))))</f>
        <v>OWNER AHEAD OF THE REVIEW</v>
      </c>
      <c r="N11" s="71" t="s">
        <v>324</v>
      </c>
    </row>
    <row r="12" customFormat="false" ht="46.5" hidden="false" customHeight="true" outlineLevel="0" collapsed="false">
      <c r="B12" s="83" t="s">
        <v>297</v>
      </c>
      <c r="C12" s="74" t="str">
        <f aca="false">IF($B12="","",IFERROR(IF(LEN(VLOOKUP($B12,'Project List'!$B$7:$N$28,2,FALSE()))&gt;30,LEFT(VLOOKUP($B12,'Project List'!$B$7:$N$28,2,FALSE()),30)&amp;"...",VLOOKUP($B12,'Project List'!$B$7:$N$28,2,FALSE())),"Reference not found"))</f>
        <v>Trunk main renewal, northern s...</v>
      </c>
      <c r="D12" s="74" t="str">
        <f aca="false">IF($B12="","",IFERROR(IF(LEN(VLOOKUP($B12,'Project List'!$B$7:$N$28,5,FALSE()))&gt;32,LEFT(VLOOKUP($B12,'Project List'!$B$7:$N$28,5,FALSE()),32)&amp;"...",VLOOKUP($B12,'Project List'!$B$7:$N$28,5,FALSE())),"Reference not found"))</f>
        <v>Gate 4 - readiness for service</v>
      </c>
      <c r="E12" s="75" t="s">
        <v>198</v>
      </c>
      <c r="F12" s="75" t="s">
        <v>198</v>
      </c>
      <c r="G12" s="74" t="str">
        <f aca="false">IF($B12="","",IF(OR(IF($E12="Green",3,IF($E12="Amber",2,IF($E12="Red",1,0)))=0,IF($F12="Green",3,IF($F12="Amber",2,IF($F12="Red",1,0)))=0),"-",IF(IF($F12="Green",3,IF($F12="Amber",2,IF($F12="Red",1,0)))&gt;IF($E12="Green",3,IF($E12="Amber",2,IF($E12="Red",1,0))),"Owner more confident",IF(IF($F12="Green",3,IF($F12="Amber",2,IF($F12="Red",1,0)))&lt;IF($E12="Green",3,IF($E12="Amber",2,IF($E12="Red",1,0))),"Reviewer more confident","Aligned"))))</f>
        <v>Aligned</v>
      </c>
      <c r="H12" s="76" t="n">
        <f aca="true">TODAY()-150</f>
        <v>46102</v>
      </c>
      <c r="I12" s="76" t="n">
        <f aca="true">TODAY()+30</f>
        <v>46282</v>
      </c>
      <c r="J12" s="73" t="n">
        <f aca="true">IF(OR($B12="",$I12=""),"",$I12-TODAY())</f>
        <v>30</v>
      </c>
      <c r="K12" s="87" t="n">
        <v>2</v>
      </c>
      <c r="L12" s="87" t="n">
        <v>0</v>
      </c>
      <c r="M12" s="74" t="str">
        <f aca="true">IF($B12="","",IF(COUNTIF('Project List'!$B$7:$B$28,$B12)=0,"Reference not found",IF($D12="Gate 5 - benefits realised","Closed",IF(OR($E12="",$E12="Not rated"),"Not yet reviewed",IF($E12="Reset","Baseline being reset",IF($G12="Owner more confident","OWNER AHEAD OF THE REVIEW",IF(AND($I12&lt;&gt;"",$I12&lt;TODAY()),"REVIEW OVERDUE",IF(AND($L12&lt;&gt;"",$L12&gt;0),"Actions overdue",IF(AND($J12&lt;&gt;"",$J12&lt;=Setup!$D$20),"Review due soon","Current")))))))))</f>
        <v>Review due soon</v>
      </c>
      <c r="N12" s="75"/>
    </row>
    <row r="13" customFormat="false" ht="46.5" hidden="false" customHeight="true" outlineLevel="0" collapsed="false">
      <c r="B13" s="78" t="s">
        <v>298</v>
      </c>
      <c r="C13" s="74" t="str">
        <f aca="false">IF($B13="","",IFERROR(IF(LEN(VLOOKUP($B13,'Project List'!$B$7:$N$28,2,FALSE()))&gt;30,LEFT(VLOOKUP($B13,'Project List'!$B$7:$N$28,2,FALSE()),30)&amp;"...",VLOOKUP($B13,'Project List'!$B$7:$N$28,2,FALSE())),"Reference not found"))</f>
        <v>Aquatic centre plant replaceme...</v>
      </c>
      <c r="D13" s="74" t="str">
        <f aca="false">IF($B13="","",IFERROR(IF(LEN(VLOOKUP($B13,'Project List'!$B$7:$N$28,5,FALSE()))&gt;32,LEFT(VLOOKUP($B13,'Project List'!$B$7:$N$28,5,FALSE()),32)&amp;"...",VLOOKUP($B13,'Project List'!$B$7:$N$28,5,FALSE())),"Reference not found"))</f>
        <v>Gate 4 - readiness for service</v>
      </c>
      <c r="E13" s="71" t="s">
        <v>200</v>
      </c>
      <c r="F13" s="71" t="s">
        <v>200</v>
      </c>
      <c r="G13" s="74" t="str">
        <f aca="false">IF($B13="","",IF(OR(IF($E13="Green",3,IF($E13="Amber",2,IF($E13="Red",1,0)))=0,IF($F13="Green",3,IF($F13="Amber",2,IF($F13="Red",1,0)))=0),"-",IF(IF($F13="Green",3,IF($F13="Amber",2,IF($F13="Red",1,0)))&gt;IF($E13="Green",3,IF($E13="Amber",2,IF($E13="Red",1,0))),"Owner more confident",IF(IF($F13="Green",3,IF($F13="Amber",2,IF($F13="Red",1,0)))&lt;IF($E13="Green",3,IF($E13="Amber",2,IF($E13="Red",1,0))),"Reviewer more confident","Aligned"))))</f>
        <v>Aligned</v>
      </c>
      <c r="H13" s="72" t="n">
        <f aca="true">TODAY()-74</f>
        <v>46178</v>
      </c>
      <c r="I13" s="72" t="n">
        <f aca="true">TODAY()+106</f>
        <v>46358</v>
      </c>
      <c r="J13" s="73" t="n">
        <f aca="true">IF(OR($B13="",$I13=""),"",$I13-TODAY())</f>
        <v>106</v>
      </c>
      <c r="K13" s="86" t="n">
        <v>3</v>
      </c>
      <c r="L13" s="86" t="n">
        <v>0</v>
      </c>
      <c r="M13" s="74" t="str">
        <f aca="true">IF($B13="","",IF(COUNTIF('Project List'!$B$7:$B$28,$B13)=0,"Reference not found",IF($D13="Gate 5 - benefits realised","Closed",IF(OR($E13="",$E13="Not rated"),"Not yet reviewed",IF($E13="Reset","Baseline being reset",IF($G13="Owner more confident","OWNER AHEAD OF THE REVIEW",IF(AND($I13&lt;&gt;"",$I13&lt;TODAY()),"REVIEW OVERDUE",IF(AND($L13&lt;&gt;"",$L13&gt;0),"Actions overdue",IF(AND($J13&lt;&gt;"",$J13&lt;=Setup!$D$20),"Review due soon","Current")))))))))</f>
        <v>Current</v>
      </c>
      <c r="N13" s="71"/>
    </row>
    <row r="14" customFormat="false" ht="46.5" hidden="false" customHeight="true" outlineLevel="0" collapsed="false">
      <c r="B14" s="83" t="s">
        <v>300</v>
      </c>
      <c r="C14" s="74" t="str">
        <f aca="false">IF($B14="","",IFERROR(IF(LEN(VLOOKUP($B14,'Project List'!$B$7:$N$28,2,FALSE()))&gt;30,LEFT(VLOOKUP($B14,'Project List'!$B$7:$N$28,2,FALSE()),30)&amp;"...",VLOOKUP($B14,'Project List'!$B$7:$N$28,2,FALSE())),"Reference not found"))</f>
        <v>Sportsfield lighting, three re...</v>
      </c>
      <c r="D14" s="74" t="str">
        <f aca="false">IF($B14="","",IFERROR(IF(LEN(VLOOKUP($B14,'Project List'!$B$7:$N$28,5,FALSE()))&gt;32,LEFT(VLOOKUP($B14,'Project List'!$B$7:$N$28,5,FALSE()),32)&amp;"...",VLOOKUP($B14,'Project List'!$B$7:$N$28,5,FALSE())),"Reference not found"))</f>
        <v>Gate 5 - benefits realised</v>
      </c>
      <c r="E14" s="75" t="s">
        <v>198</v>
      </c>
      <c r="F14" s="75" t="s">
        <v>198</v>
      </c>
      <c r="G14" s="74" t="str">
        <f aca="false">IF($B14="","",IF(OR(IF($E14="Green",3,IF($E14="Amber",2,IF($E14="Red",1,0)))=0,IF($F14="Green",3,IF($F14="Amber",2,IF($F14="Red",1,0)))=0),"-",IF(IF($F14="Green",3,IF($F14="Amber",2,IF($F14="Red",1,0)))&gt;IF($E14="Green",3,IF($E14="Amber",2,IF($E14="Red",1,0))),"Owner more confident",IF(IF($F14="Green",3,IF($F14="Amber",2,IF($F14="Red",1,0)))&lt;IF($E14="Green",3,IF($E14="Amber",2,IF($E14="Red",1,0))),"Reviewer more confident","Aligned"))))</f>
        <v>Aligned</v>
      </c>
      <c r="H14" s="76" t="n">
        <f aca="true">TODAY()-200</f>
        <v>46052</v>
      </c>
      <c r="I14" s="76" t="n">
        <f aca="true">TODAY()-20</f>
        <v>46232</v>
      </c>
      <c r="J14" s="73" t="n">
        <f aca="true">IF(OR($B14="",$I14=""),"",$I14-TODAY())</f>
        <v>-20</v>
      </c>
      <c r="K14" s="87" t="n">
        <v>0</v>
      </c>
      <c r="L14" s="87" t="n">
        <v>0</v>
      </c>
      <c r="M14" s="74" t="str">
        <f aca="true">IF($B14="","",IF(COUNTIF('Project List'!$B$7:$B$28,$B14)=0,"Reference not found",IF($D14="Gate 5 - benefits realised","Closed",IF(OR($E14="",$E14="Not rated"),"Not yet reviewed",IF($E14="Reset","Baseline being reset",IF($G14="Owner more confident","OWNER AHEAD OF THE REVIEW",IF(AND($I14&lt;&gt;"",$I14&lt;TODAY()),"REVIEW OVERDUE",IF(AND($L14&lt;&gt;"",$L14&gt;0),"Actions overdue",IF(AND($J14&lt;&gt;"",$J14&lt;=Setup!$D$20),"Review due soon","Current")))))))))</f>
        <v>Closed</v>
      </c>
      <c r="N14" s="75" t="s">
        <v>325</v>
      </c>
    </row>
    <row r="15" customFormat="false" ht="46.5" hidden="false" customHeight="true" outlineLevel="0" collapsed="false">
      <c r="B15" s="78" t="s">
        <v>301</v>
      </c>
      <c r="C15" s="74" t="str">
        <f aca="false">IF($B15="","",IFERROR(IF(LEN(VLOOKUP($B15,'Project List'!$B$7:$N$28,2,FALSE()))&gt;30,LEFT(VLOOKUP($B15,'Project List'!$B$7:$N$28,2,FALSE()),30)&amp;"...",VLOOKUP($B15,'Project List'!$B$7:$N$28,2,FALSE())),"Reference not found"))</f>
        <v>Civic centre accessibility wor...</v>
      </c>
      <c r="D15" s="74" t="str">
        <f aca="false">IF($B15="","",IFERROR(IF(LEN(VLOOKUP($B15,'Project List'!$B$7:$N$28,5,FALSE()))&gt;32,LEFT(VLOOKUP($B15,'Project List'!$B$7:$N$28,5,FALSE()),32)&amp;"...",VLOOKUP($B15,'Project List'!$B$7:$N$28,5,FALSE())),"Reference not found"))</f>
        <v>Gate 4 - readiness for service</v>
      </c>
      <c r="E15" s="71" t="s">
        <v>200</v>
      </c>
      <c r="F15" s="71" t="s">
        <v>200</v>
      </c>
      <c r="G15" s="74" t="str">
        <f aca="false">IF($B15="","",IF(OR(IF($E15="Green",3,IF($E15="Amber",2,IF($E15="Red",1,0)))=0,IF($F15="Green",3,IF($F15="Amber",2,IF($F15="Red",1,0)))=0),"-",IF(IF($F15="Green",3,IF($F15="Amber",2,IF($F15="Red",1,0)))&gt;IF($E15="Green",3,IF($E15="Amber",2,IF($E15="Red",1,0))),"Owner more confident",IF(IF($F15="Green",3,IF($F15="Amber",2,IF($F15="Red",1,0)))&lt;IF($E15="Green",3,IF($E15="Amber",2,IF($E15="Red",1,0))),"Reviewer more confident","Aligned"))))</f>
        <v>Aligned</v>
      </c>
      <c r="H15" s="72" t="n">
        <f aca="true">TODAY()-110</f>
        <v>46142</v>
      </c>
      <c r="I15" s="72" t="n">
        <f aca="true">TODAY()-12</f>
        <v>46240</v>
      </c>
      <c r="J15" s="73" t="n">
        <f aca="true">IF(OR($B15="",$I15=""),"",$I15-TODAY())</f>
        <v>-12</v>
      </c>
      <c r="K15" s="86" t="n">
        <v>5</v>
      </c>
      <c r="L15" s="86" t="n">
        <v>2</v>
      </c>
      <c r="M15" s="74" t="str">
        <f aca="true">IF($B15="","",IF(COUNTIF('Project List'!$B$7:$B$28,$B15)=0,"Reference not found",IF($D15="Gate 5 - benefits realised","Closed",IF(OR($E15="",$E15="Not rated"),"Not yet reviewed",IF($E15="Reset","Baseline being reset",IF($G15="Owner more confident","OWNER AHEAD OF THE REVIEW",IF(AND($I15&lt;&gt;"",$I15&lt;TODAY()),"REVIEW OVERDUE",IF(AND($L15&lt;&gt;"",$L15&gt;0),"Actions overdue",IF(AND($J15&lt;&gt;"",$J15&lt;=Setup!$D$20),"Review due soon","Current")))))))))</f>
        <v>REVIEW OVERDUE</v>
      </c>
      <c r="N15" s="71" t="s">
        <v>326</v>
      </c>
    </row>
    <row r="16" customFormat="false" ht="46.5" hidden="false" customHeight="true" outlineLevel="0" collapsed="false">
      <c r="B16" s="83" t="s">
        <v>302</v>
      </c>
      <c r="C16" s="74" t="str">
        <f aca="false">IF($B16="","",IFERROR(IF(LEN(VLOOKUP($B16,'Project List'!$B$7:$N$28,2,FALSE()))&gt;30,LEFT(VLOOKUP($B16,'Project List'!$B$7:$N$28,2,FALSE()),30)&amp;"...",VLOOKUP($B16,'Project List'!$B$7:$N$28,2,FALSE())),"Reference not found"))</f>
        <v>Heritage town hall restoration</v>
      </c>
      <c r="D16" s="74" t="str">
        <f aca="false">IF($B16="","",IFERROR(IF(LEN(VLOOKUP($B16,'Project List'!$B$7:$N$28,5,FALSE()))&gt;32,LEFT(VLOOKUP($B16,'Project List'!$B$7:$N$28,5,FALSE()),32)&amp;"...",VLOOKUP($B16,'Project List'!$B$7:$N$28,5,FALSE())),"Reference not found"))</f>
        <v>Gate 2 - delivery strategy</v>
      </c>
      <c r="E16" s="75" t="s">
        <v>204</v>
      </c>
      <c r="F16" s="75" t="s">
        <v>204</v>
      </c>
      <c r="G16" s="74" t="str">
        <f aca="false">IF($B16="","",IF(OR(IF($E16="Green",3,IF($E16="Amber",2,IF($E16="Red",1,0)))=0,IF($F16="Green",3,IF($F16="Amber",2,IF($F16="Red",1,0)))=0),"-",IF(IF($F16="Green",3,IF($F16="Amber",2,IF($F16="Red",1,0)))&gt;IF($E16="Green",3,IF($E16="Amber",2,IF($E16="Red",1,0))),"Owner more confident",IF(IF($F16="Green",3,IF($F16="Amber",2,IF($F16="Red",1,0)))&lt;IF($E16="Green",3,IF($E16="Amber",2,IF($E16="Red",1,0))),"Reviewer more confident","Aligned"))))</f>
        <v>-</v>
      </c>
      <c r="H16" s="76" t="n">
        <f aca="true">TODAY()-55</f>
        <v>46197</v>
      </c>
      <c r="I16" s="76" t="n">
        <f aca="true">TODAY()+125</f>
        <v>46377</v>
      </c>
      <c r="J16" s="73" t="n">
        <f aca="true">IF(OR($B16="",$I16=""),"",$I16-TODAY())</f>
        <v>125</v>
      </c>
      <c r="K16" s="87" t="n">
        <v>6</v>
      </c>
      <c r="L16" s="87" t="n">
        <v>1</v>
      </c>
      <c r="M16" s="74" t="str">
        <f aca="true">IF($B16="","",IF(COUNTIF('Project List'!$B$7:$B$28,$B16)=0,"Reference not found",IF($D16="Gate 5 - benefits realised","Closed",IF(OR($E16="",$E16="Not rated"),"Not yet reviewed",IF($E16="Reset","Baseline being reset",IF($G16="Owner more confident","OWNER AHEAD OF THE REVIEW",IF(AND($I16&lt;&gt;"",$I16&lt;TODAY()),"REVIEW OVERDUE",IF(AND($L16&lt;&gt;"",$L16&gt;0),"Actions overdue",IF(AND($J16&lt;&gt;"",$J16&lt;=Setup!$D$20),"Review due soon","Current")))))))))</f>
        <v>Baseline being reset</v>
      </c>
      <c r="N16" s="75" t="s">
        <v>327</v>
      </c>
    </row>
    <row r="17" customFormat="false" ht="46.5" hidden="false" customHeight="true" outlineLevel="0" collapsed="false">
      <c r="B17" s="78" t="s">
        <v>304</v>
      </c>
      <c r="C17" s="74" t="str">
        <f aca="false">IF($B17="","",IFERROR(IF(LEN(VLOOKUP($B17,'Project List'!$B$7:$N$28,2,FALSE()))&gt;30,LEFT(VLOOKUP($B17,'Project List'!$B$7:$N$28,2,FALSE()),30)&amp;"...",VLOOKUP($B17,'Project List'!$B$7:$N$28,2,FALSE())),"Reference not found"))</f>
        <v>Fleet depot fuel system</v>
      </c>
      <c r="D17" s="74" t="str">
        <f aca="false">IF($B17="","",IFERROR(IF(LEN(VLOOKUP($B17,'Project List'!$B$7:$N$28,5,FALSE()))&gt;32,LEFT(VLOOKUP($B17,'Project List'!$B$7:$N$28,5,FALSE()),32)&amp;"...",VLOOKUP($B17,'Project List'!$B$7:$N$28,5,FALSE())),"Reference not found"))</f>
        <v>Gate 1 - business case</v>
      </c>
      <c r="E17" s="71" t="s">
        <v>198</v>
      </c>
      <c r="F17" s="71" t="s">
        <v>198</v>
      </c>
      <c r="G17" s="74" t="str">
        <f aca="false">IF($B17="","",IF(OR(IF($E17="Green",3,IF($E17="Amber",2,IF($E17="Red",1,0)))=0,IF($F17="Green",3,IF($F17="Amber",2,IF($F17="Red",1,0)))=0),"-",IF(IF($F17="Green",3,IF($F17="Amber",2,IF($F17="Red",1,0)))&gt;IF($E17="Green",3,IF($E17="Amber",2,IF($E17="Red",1,0))),"Owner more confident",IF(IF($F17="Green",3,IF($F17="Amber",2,IF($F17="Red",1,0)))&lt;IF($E17="Green",3,IF($E17="Amber",2,IF($E17="Red",1,0))),"Reviewer more confident","Aligned"))))</f>
        <v>Aligned</v>
      </c>
      <c r="H17" s="72" t="n">
        <f aca="true">TODAY()-80</f>
        <v>46172</v>
      </c>
      <c r="I17" s="72" t="n">
        <f aca="true">TODAY()+100</f>
        <v>46352</v>
      </c>
      <c r="J17" s="73" t="n">
        <f aca="true">IF(OR($B17="",$I17=""),"",$I17-TODAY())</f>
        <v>100</v>
      </c>
      <c r="K17" s="86" t="n">
        <v>1</v>
      </c>
      <c r="L17" s="86" t="n">
        <v>0</v>
      </c>
      <c r="M17" s="74" t="str">
        <f aca="true">IF($B17="","",IF(COUNTIF('Project List'!$B$7:$B$28,$B17)=0,"Reference not found",IF($D17="Gate 5 - benefits realised","Closed",IF(OR($E17="",$E17="Not rated"),"Not yet reviewed",IF($E17="Reset","Baseline being reset",IF($G17="Owner more confident","OWNER AHEAD OF THE REVIEW",IF(AND($I17&lt;&gt;"",$I17&lt;TODAY()),"REVIEW OVERDUE",IF(AND($L17&lt;&gt;"",$L17&gt;0),"Actions overdue",IF(AND($J17&lt;&gt;"",$J17&lt;=Setup!$D$20),"Review due soon","Current")))))))))</f>
        <v>Current</v>
      </c>
      <c r="N17" s="71"/>
    </row>
    <row r="18" customFormat="false" ht="46.5" hidden="false" customHeight="true" outlineLevel="0" collapsed="false">
      <c r="B18" s="83" t="s">
        <v>306</v>
      </c>
      <c r="C18" s="74" t="str">
        <f aca="false">IF($B18="","",IFERROR(IF(LEN(VLOOKUP($B18,'Project List'!$B$7:$N$28,2,FALSE()))&gt;30,LEFT(VLOOKUP($B18,'Project List'!$B$7:$N$28,2,FALSE()),30)&amp;"...",VLOOKUP($B18,'Project List'!$B$7:$N$28,2,FALSE())),"Reference not found"))</f>
        <v>Asset management system replac...</v>
      </c>
      <c r="D18" s="74" t="str">
        <f aca="false">IF($B18="","",IFERROR(IF(LEN(VLOOKUP($B18,'Project List'!$B$7:$N$28,5,FALSE()))&gt;32,LEFT(VLOOKUP($B18,'Project List'!$B$7:$N$28,5,FALSE()),32)&amp;"...",VLOOKUP($B18,'Project List'!$B$7:$N$28,5,FALSE())),"Reference not found"))</f>
        <v>Gate 1 - business case</v>
      </c>
      <c r="E18" s="75" t="s">
        <v>200</v>
      </c>
      <c r="F18" s="75" t="s">
        <v>198</v>
      </c>
      <c r="G18" s="74" t="str">
        <f aca="false">IF($B18="","",IF(OR(IF($E18="Green",3,IF($E18="Amber",2,IF($E18="Red",1,0)))=0,IF($F18="Green",3,IF($F18="Amber",2,IF($F18="Red",1,0)))=0),"-",IF(IF($F18="Green",3,IF($F18="Amber",2,IF($F18="Red",1,0)))&gt;IF($E18="Green",3,IF($E18="Amber",2,IF($E18="Red",1,0))),"Owner more confident",IF(IF($F18="Green",3,IF($F18="Amber",2,IF($F18="Red",1,0)))&lt;IF($E18="Green",3,IF($E18="Amber",2,IF($E18="Red",1,0))),"Reviewer more confident","Aligned"))))</f>
        <v>Owner more confident</v>
      </c>
      <c r="H18" s="76" t="n">
        <f aca="true">TODAY()-66</f>
        <v>46186</v>
      </c>
      <c r="I18" s="76" t="n">
        <f aca="true">TODAY()+114</f>
        <v>46366</v>
      </c>
      <c r="J18" s="73" t="n">
        <f aca="true">IF(OR($B18="",$I18=""),"",$I18-TODAY())</f>
        <v>114</v>
      </c>
      <c r="K18" s="87" t="n">
        <v>5</v>
      </c>
      <c r="L18" s="87" t="n">
        <v>2</v>
      </c>
      <c r="M18" s="74" t="str">
        <f aca="true">IF($B18="","",IF(COUNTIF('Project List'!$B$7:$B$28,$B18)=0,"Reference not found",IF($D18="Gate 5 - benefits realised","Closed",IF(OR($E18="",$E18="Not rated"),"Not yet reviewed",IF($E18="Reset","Baseline being reset",IF($G18="Owner more confident","OWNER AHEAD OF THE REVIEW",IF(AND($I18&lt;&gt;"",$I18&lt;TODAY()),"REVIEW OVERDUE",IF(AND($L18&lt;&gt;"",$L18&gt;0),"Actions overdue",IF(AND($J18&lt;&gt;"",$J18&lt;=Setup!$D$20),"Review due soon","Current")))))))))</f>
        <v>OWNER AHEAD OF THE REVIEW</v>
      </c>
      <c r="N18" s="75" t="s">
        <v>328</v>
      </c>
    </row>
    <row r="19" customFormat="false" ht="46.5" hidden="false" customHeight="true" outlineLevel="0" collapsed="false">
      <c r="B19" s="78" t="s">
        <v>308</v>
      </c>
      <c r="C19" s="74" t="str">
        <f aca="false">IF($B19="","",IFERROR(IF(LEN(VLOOKUP($B19,'Project List'!$B$7:$N$28,2,FALSE()))&gt;30,LEFT(VLOOKUP($B19,'Project List'!$B$7:$N$28,2,FALSE()),30)&amp;"...",VLOOKUP($B19,'Project List'!$B$7:$N$28,2,FALSE())),"Reference not found"))</f>
        <v>Depot yard resurfacing</v>
      </c>
      <c r="D19" s="74" t="str">
        <f aca="false">IF($B19="","",IFERROR(IF(LEN(VLOOKUP($B19,'Project List'!$B$7:$N$28,5,FALSE()))&gt;32,LEFT(VLOOKUP($B19,'Project List'!$B$7:$N$28,5,FALSE()),32)&amp;"...",VLOOKUP($B19,'Project List'!$B$7:$N$28,5,FALSE())),"Reference not found"))</f>
        <v>Gate 4 - readiness for service</v>
      </c>
      <c r="E19" s="71" t="s">
        <v>200</v>
      </c>
      <c r="F19" s="71" t="s">
        <v>200</v>
      </c>
      <c r="G19" s="74" t="str">
        <f aca="false">IF($B19="","",IF(OR(IF($E19="Green",3,IF($E19="Amber",2,IF($E19="Red",1,0)))=0,IF($F19="Green",3,IF($F19="Amber",2,IF($F19="Red",1,0)))=0),"-",IF(IF($F19="Green",3,IF($F19="Amber",2,IF($F19="Red",1,0)))&gt;IF($E19="Green",3,IF($E19="Amber",2,IF($E19="Red",1,0))),"Owner more confident",IF(IF($F19="Green",3,IF($F19="Amber",2,IF($F19="Red",1,0)))&lt;IF($E19="Green",3,IF($E19="Amber",2,IF($E19="Red",1,0))),"Reviewer more confident","Aligned"))))</f>
        <v>Aligned</v>
      </c>
      <c r="H19" s="72" t="n">
        <f aca="true">TODAY()-40</f>
        <v>46212</v>
      </c>
      <c r="I19" s="72" t="n">
        <f aca="true">TODAY()+140</f>
        <v>46392</v>
      </c>
      <c r="J19" s="73" t="n">
        <f aca="true">IF(OR($B19="",$I19=""),"",$I19-TODAY())</f>
        <v>140</v>
      </c>
      <c r="K19" s="86" t="n">
        <v>2</v>
      </c>
      <c r="L19" s="86" t="n">
        <v>1</v>
      </c>
      <c r="M19" s="74" t="str">
        <f aca="true">IF($B19="","",IF(COUNTIF('Project List'!$B$7:$B$28,$B19)=0,"Reference not found",IF($D19="Gate 5 - benefits realised","Closed",IF(OR($E19="",$E19="Not rated"),"Not yet reviewed",IF($E19="Reset","Baseline being reset",IF($G19="Owner more confident","OWNER AHEAD OF THE REVIEW",IF(AND($I19&lt;&gt;"",$I19&lt;TODAY()),"REVIEW OVERDUE",IF(AND($L19&lt;&gt;"",$L19&gt;0),"Actions overdue",IF(AND($J19&lt;&gt;"",$J19&lt;=Setup!$D$20),"Review due soon","Current")))))))))</f>
        <v>Actions overdue</v>
      </c>
      <c r="N19" s="71"/>
    </row>
    <row r="20" customFormat="false" ht="46.5" hidden="false" customHeight="true" outlineLevel="0" collapsed="false">
      <c r="B20" s="83" t="s">
        <v>309</v>
      </c>
      <c r="C20" s="74" t="str">
        <f aca="false">IF($B20="","",IFERROR(IF(LEN(VLOOKUP($B20,'Project List'!$B$7:$N$28,2,FALSE()))&gt;30,LEFT(VLOOKUP($B20,'Project List'!$B$7:$N$28,2,FALSE()),30)&amp;"...",VLOOKUP($B20,'Project List'!$B$7:$N$28,2,FALSE())),"Reference not found"))</f>
        <v>Footpath renewals, 2026-27 pro...</v>
      </c>
      <c r="D20" s="74" t="str">
        <f aca="false">IF($B20="","",IFERROR(IF(LEN(VLOOKUP($B20,'Project List'!$B$7:$N$28,5,FALSE()))&gt;32,LEFT(VLOOKUP($B20,'Project List'!$B$7:$N$28,5,FALSE()),32)&amp;"...",VLOOKUP($B20,'Project List'!$B$7:$N$28,5,FALSE())),"Reference not found"))</f>
        <v>Gate 3 - investment decision</v>
      </c>
      <c r="E20" s="75" t="s">
        <v>198</v>
      </c>
      <c r="F20" s="75" t="s">
        <v>198</v>
      </c>
      <c r="G20" s="74" t="str">
        <f aca="false">IF($B20="","",IF(OR(IF($E20="Green",3,IF($E20="Amber",2,IF($E20="Red",1,0)))=0,IF($F20="Green",3,IF($F20="Amber",2,IF($F20="Red",1,0)))=0),"-",IF(IF($F20="Green",3,IF($F20="Amber",2,IF($F20="Red",1,0)))&gt;IF($E20="Green",3,IF($E20="Amber",2,IF($E20="Red",1,0))),"Owner more confident",IF(IF($F20="Green",3,IF($F20="Amber",2,IF($F20="Red",1,0)))&lt;IF($E20="Green",3,IF($E20="Amber",2,IF($E20="Red",1,0))),"Reviewer more confident","Aligned"))))</f>
        <v>Aligned</v>
      </c>
      <c r="H20" s="76" t="n">
        <f aca="true">TODAY()-100</f>
        <v>46152</v>
      </c>
      <c r="I20" s="76" t="n">
        <f aca="true">TODAY()+80</f>
        <v>46332</v>
      </c>
      <c r="J20" s="73" t="n">
        <f aca="true">IF(OR($B20="",$I20=""),"",$I20-TODAY())</f>
        <v>80</v>
      </c>
      <c r="K20" s="87" t="n">
        <v>0</v>
      </c>
      <c r="L20" s="87" t="n">
        <v>0</v>
      </c>
      <c r="M20" s="74" t="str">
        <f aca="true">IF($B20="","",IF(COUNTIF('Project List'!$B$7:$B$28,$B20)=0,"Reference not found",IF($D20="Gate 5 - benefits realised","Closed",IF(OR($E20="",$E20="Not rated"),"Not yet reviewed",IF($E20="Reset","Baseline being reset",IF($G20="Owner more confident","OWNER AHEAD OF THE REVIEW",IF(AND($I20&lt;&gt;"",$I20&lt;TODAY()),"REVIEW OVERDUE",IF(AND($L20&lt;&gt;"",$L20&gt;0),"Actions overdue",IF(AND($J20&lt;&gt;"",$J20&lt;=Setup!$D$20),"Review due soon","Current")))))))))</f>
        <v>Current</v>
      </c>
      <c r="N20" s="75"/>
    </row>
    <row r="21" customFormat="false" ht="46.5" hidden="false" customHeight="true" outlineLevel="0" collapsed="false">
      <c r="B21" s="78" t="s">
        <v>310</v>
      </c>
      <c r="C21" s="74" t="str">
        <f aca="false">IF($B21="","",IFERROR(IF(LEN(VLOOKUP($B21,'Project List'!$B$7:$N$28,2,FALSE()))&gt;30,LEFT(VLOOKUP($B21,'Project List'!$B$7:$N$28,2,FALSE()),30)&amp;"...",VLOOKUP($B21,'Project List'!$B$7:$N$28,2,FALSE())),"Reference not found"))</f>
        <v>Stormwater harvesting scheme</v>
      </c>
      <c r="D21" s="74" t="str">
        <f aca="false">IF($B21="","",IFERROR(IF(LEN(VLOOKUP($B21,'Project List'!$B$7:$N$28,5,FALSE()))&gt;32,LEFT(VLOOKUP($B21,'Project List'!$B$7:$N$28,5,FALSE()),32)&amp;"...",VLOOKUP($B21,'Project List'!$B$7:$N$28,5,FALSE())),"Reference not found"))</f>
        <v>Gate 0 - business need</v>
      </c>
      <c r="E21" s="71" t="s">
        <v>206</v>
      </c>
      <c r="F21" s="71" t="s">
        <v>206</v>
      </c>
      <c r="G21" s="74" t="str">
        <f aca="false">IF($B21="","",IF(OR(IF($E21="Green",3,IF($E21="Amber",2,IF($E21="Red",1,0)))=0,IF($F21="Green",3,IF($F21="Amber",2,IF($F21="Red",1,0)))=0),"-",IF(IF($F21="Green",3,IF($F21="Amber",2,IF($F21="Red",1,0)))&gt;IF($E21="Green",3,IF($E21="Amber",2,IF($E21="Red",1,0))),"Owner more confident",IF(IF($F21="Green",3,IF($F21="Amber",2,IF($F21="Red",1,0)))&lt;IF($E21="Green",3,IF($E21="Amber",2,IF($E21="Red",1,0))),"Reviewer more confident","Aligned"))))</f>
        <v>-</v>
      </c>
      <c r="H21" s="72"/>
      <c r="I21" s="72"/>
      <c r="J21" s="73" t="str">
        <f aca="true">IF(OR($B21="",$I21=""),"",$I21-TODAY())</f>
        <v/>
      </c>
      <c r="K21" s="86"/>
      <c r="L21" s="86"/>
      <c r="M21" s="74" t="str">
        <f aca="true">IF($B21="","",IF(COUNTIF('Project List'!$B$7:$B$28,$B21)=0,"Reference not found",IF($D21="Gate 5 - benefits realised","Closed",IF(OR($E21="",$E21="Not rated"),"Not yet reviewed",IF($E21="Reset","Baseline being reset",IF($G21="Owner more confident","OWNER AHEAD OF THE REVIEW",IF(AND($I21&lt;&gt;"",$I21&lt;TODAY()),"REVIEW OVERDUE",IF(AND($L21&lt;&gt;"",$L21&gt;0),"Actions overdue",IF(AND($J21&lt;&gt;"",$J21&lt;=Setup!$D$20),"Review due soon","Current")))))))))</f>
        <v>Not yet reviewed</v>
      </c>
      <c r="N21" s="71" t="s">
        <v>329</v>
      </c>
    </row>
    <row r="22" customFormat="false" ht="46.5" hidden="false" customHeight="true" outlineLevel="0" collapsed="false">
      <c r="B22" s="83" t="s">
        <v>311</v>
      </c>
      <c r="C22" s="74" t="str">
        <f aca="false">IF($B22="","",IFERROR(IF(LEN(VLOOKUP($B22,'Project List'!$B$7:$N$28,2,FALSE()))&gt;30,LEFT(VLOOKUP($B22,'Project List'!$B$7:$N$28,2,FALSE()),30)&amp;"...",VLOOKUP($B22,'Project List'!$B$7:$N$28,2,FALSE())),"Reference not found"))</f>
        <v>Library forecourt upgrade</v>
      </c>
      <c r="D22" s="74" t="str">
        <f aca="false">IF($B22="","",IFERROR(IF(LEN(VLOOKUP($B22,'Project List'!$B$7:$N$28,5,FALSE()))&gt;32,LEFT(VLOOKUP($B22,'Project List'!$B$7:$N$28,5,FALSE()),32)&amp;"...",VLOOKUP($B22,'Project List'!$B$7:$N$28,5,FALSE())),"Reference not found"))</f>
        <v>On hold</v>
      </c>
      <c r="E22" s="75" t="s">
        <v>200</v>
      </c>
      <c r="F22" s="75" t="s">
        <v>200</v>
      </c>
      <c r="G22" s="74" t="str">
        <f aca="false">IF($B22="","",IF(OR(IF($E22="Green",3,IF($E22="Amber",2,IF($E22="Red",1,0)))=0,IF($F22="Green",3,IF($F22="Amber",2,IF($F22="Red",1,0)))=0),"-",IF(IF($F22="Green",3,IF($F22="Amber",2,IF($F22="Red",1,0)))&gt;IF($E22="Green",3,IF($E22="Amber",2,IF($E22="Red",1,0))),"Owner more confident",IF(IF($F22="Green",3,IF($F22="Amber",2,IF($F22="Red",1,0)))&lt;IF($E22="Green",3,IF($E22="Amber",2,IF($E22="Red",1,0))),"Reviewer more confident","Aligned"))))</f>
        <v>Aligned</v>
      </c>
      <c r="H22" s="76" t="n">
        <f aca="true">TODAY()-20</f>
        <v>46232</v>
      </c>
      <c r="I22" s="76" t="n">
        <f aca="true">TODAY()+160</f>
        <v>46412</v>
      </c>
      <c r="J22" s="73" t="n">
        <f aca="true">IF(OR($B22="",$I22=""),"",$I22-TODAY())</f>
        <v>160</v>
      </c>
      <c r="K22" s="87" t="n">
        <v>3</v>
      </c>
      <c r="L22" s="87" t="n">
        <v>0</v>
      </c>
      <c r="M22" s="74" t="str">
        <f aca="true">IF($B22="","",IF(COUNTIF('Project List'!$B$7:$B$28,$B22)=0,"Reference not found",IF($D22="Gate 5 - benefits realised","Closed",IF(OR($E22="",$E22="Not rated"),"Not yet reviewed",IF($E22="Reset","Baseline being reset",IF($G22="Owner more confident","OWNER AHEAD OF THE REVIEW",IF(AND($I22&lt;&gt;"",$I22&lt;TODAY()),"REVIEW OVERDUE",IF(AND($L22&lt;&gt;"",$L22&gt;0),"Actions overdue",IF(AND($J22&lt;&gt;"",$J22&lt;=Setup!$D$20),"Review due soon","Current")))))))))</f>
        <v>Current</v>
      </c>
      <c r="N22" s="75" t="s">
        <v>330</v>
      </c>
    </row>
    <row r="23" customFormat="false" ht="46.5" hidden="false" customHeight="true" outlineLevel="0" collapsed="false">
      <c r="B23" s="78"/>
      <c r="C23" s="74" t="str">
        <f aca="false">IF($B23="","",IFERROR(IF(LEN(VLOOKUP($B23,'Project List'!$B$7:$N$28,2,FALSE()))&gt;30,LEFT(VLOOKUP($B23,'Project List'!$B$7:$N$28,2,FALSE()),30)&amp;"...",VLOOKUP($B23,'Project List'!$B$7:$N$28,2,FALSE())),"Reference not found"))</f>
        <v/>
      </c>
      <c r="D23" s="74" t="str">
        <f aca="false">IF($B23="","",IFERROR(IF(LEN(VLOOKUP($B23,'Project List'!$B$7:$N$28,5,FALSE()))&gt;32,LEFT(VLOOKUP($B23,'Project List'!$B$7:$N$28,5,FALSE()),32)&amp;"...",VLOOKUP($B23,'Project List'!$B$7:$N$28,5,FALSE())),"Reference not found"))</f>
        <v/>
      </c>
      <c r="E23" s="71"/>
      <c r="F23" s="71"/>
      <c r="G23" s="74" t="str">
        <f aca="false">IF($B23="","",IF(OR(IF($E23="Green",3,IF($E23="Amber",2,IF($E23="Red",1,0)))=0,IF($F23="Green",3,IF($F23="Amber",2,IF($F23="Red",1,0)))=0),"-",IF(IF($F23="Green",3,IF($F23="Amber",2,IF($F23="Red",1,0)))&gt;IF($E23="Green",3,IF($E23="Amber",2,IF($E23="Red",1,0))),"Owner more confident",IF(IF($F23="Green",3,IF($F23="Amber",2,IF($F23="Red",1,0)))&lt;IF($E23="Green",3,IF($E23="Amber",2,IF($E23="Red",1,0))),"Reviewer more confident","Aligned"))))</f>
        <v/>
      </c>
      <c r="H23" s="72"/>
      <c r="I23" s="72"/>
      <c r="J23" s="73" t="str">
        <f aca="true">IF(OR($B23="",$I23=""),"",$I23-TODAY())</f>
        <v/>
      </c>
      <c r="K23" s="86"/>
      <c r="L23" s="86"/>
      <c r="M23" s="74" t="str">
        <f aca="true">IF($B23="","",IF(COUNTIF('Project List'!$B$7:$B$28,$B23)=0,"Reference not found",IF($D23="Gate 5 - benefits realised","Closed",IF(OR($E23="",$E23="Not rated"),"Not yet reviewed",IF($E23="Reset","Baseline being reset",IF($G23="Owner more confident","OWNER AHEAD OF THE REVIEW",IF(AND($I23&lt;&gt;"",$I23&lt;TODAY()),"REVIEW OVERDUE",IF(AND($L23&lt;&gt;"",$L23&gt;0),"Actions overdue",IF(AND($J23&lt;&gt;"",$J23&lt;=Setup!$D$20),"Review due soon","Current")))))))))</f>
        <v/>
      </c>
      <c r="N23" s="71"/>
    </row>
    <row r="24" customFormat="false" ht="46.5" hidden="false" customHeight="true" outlineLevel="0" collapsed="false">
      <c r="B24" s="83"/>
      <c r="C24" s="74" t="str">
        <f aca="false">IF($B24="","",IFERROR(IF(LEN(VLOOKUP($B24,'Project List'!$B$7:$N$28,2,FALSE()))&gt;30,LEFT(VLOOKUP($B24,'Project List'!$B$7:$N$28,2,FALSE()),30)&amp;"...",VLOOKUP($B24,'Project List'!$B$7:$N$28,2,FALSE())),"Reference not found"))</f>
        <v/>
      </c>
      <c r="D24" s="74" t="str">
        <f aca="false">IF($B24="","",IFERROR(IF(LEN(VLOOKUP($B24,'Project List'!$B$7:$N$28,5,FALSE()))&gt;32,LEFT(VLOOKUP($B24,'Project List'!$B$7:$N$28,5,FALSE()),32)&amp;"...",VLOOKUP($B24,'Project List'!$B$7:$N$28,5,FALSE())),"Reference not found"))</f>
        <v/>
      </c>
      <c r="E24" s="75"/>
      <c r="F24" s="75"/>
      <c r="G24" s="74" t="str">
        <f aca="false">IF($B24="","",IF(OR(IF($E24="Green",3,IF($E24="Amber",2,IF($E24="Red",1,0)))=0,IF($F24="Green",3,IF($F24="Amber",2,IF($F24="Red",1,0)))=0),"-",IF(IF($F24="Green",3,IF($F24="Amber",2,IF($F24="Red",1,0)))&gt;IF($E24="Green",3,IF($E24="Amber",2,IF($E24="Red",1,0))),"Owner more confident",IF(IF($F24="Green",3,IF($F24="Amber",2,IF($F24="Red",1,0)))&lt;IF($E24="Green",3,IF($E24="Amber",2,IF($E24="Red",1,0))),"Reviewer more confident","Aligned"))))</f>
        <v/>
      </c>
      <c r="H24" s="76"/>
      <c r="I24" s="76"/>
      <c r="J24" s="73" t="str">
        <f aca="true">IF(OR($B24="",$I24=""),"",$I24-TODAY())</f>
        <v/>
      </c>
      <c r="K24" s="87"/>
      <c r="L24" s="87"/>
      <c r="M24" s="74" t="str">
        <f aca="true">IF($B24="","",IF(COUNTIF('Project List'!$B$7:$B$28,$B24)=0,"Reference not found",IF($D24="Gate 5 - benefits realised","Closed",IF(OR($E24="",$E24="Not rated"),"Not yet reviewed",IF($E24="Reset","Baseline being reset",IF($G24="Owner more confident","OWNER AHEAD OF THE REVIEW",IF(AND($I24&lt;&gt;"",$I24&lt;TODAY()),"REVIEW OVERDUE",IF(AND($L24&lt;&gt;"",$L24&gt;0),"Actions overdue",IF(AND($J24&lt;&gt;"",$J24&lt;=Setup!$D$20),"Review due soon","Current")))))))))</f>
        <v/>
      </c>
      <c r="N24" s="75"/>
    </row>
    <row r="25" customFormat="false" ht="46.5" hidden="false" customHeight="true" outlineLevel="0" collapsed="false">
      <c r="B25" s="78"/>
      <c r="C25" s="74" t="str">
        <f aca="false">IF($B25="","",IFERROR(IF(LEN(VLOOKUP($B25,'Project List'!$B$7:$N$28,2,FALSE()))&gt;30,LEFT(VLOOKUP($B25,'Project List'!$B$7:$N$28,2,FALSE()),30)&amp;"...",VLOOKUP($B25,'Project List'!$B$7:$N$28,2,FALSE())),"Reference not found"))</f>
        <v/>
      </c>
      <c r="D25" s="74" t="str">
        <f aca="false">IF($B25="","",IFERROR(IF(LEN(VLOOKUP($B25,'Project List'!$B$7:$N$28,5,FALSE()))&gt;32,LEFT(VLOOKUP($B25,'Project List'!$B$7:$N$28,5,FALSE()),32)&amp;"...",VLOOKUP($B25,'Project List'!$B$7:$N$28,5,FALSE())),"Reference not found"))</f>
        <v/>
      </c>
      <c r="E25" s="71"/>
      <c r="F25" s="71"/>
      <c r="G25" s="74" t="str">
        <f aca="false">IF($B25="","",IF(OR(IF($E25="Green",3,IF($E25="Amber",2,IF($E25="Red",1,0)))=0,IF($F25="Green",3,IF($F25="Amber",2,IF($F25="Red",1,0)))=0),"-",IF(IF($F25="Green",3,IF($F25="Amber",2,IF($F25="Red",1,0)))&gt;IF($E25="Green",3,IF($E25="Amber",2,IF($E25="Red",1,0))),"Owner more confident",IF(IF($F25="Green",3,IF($F25="Amber",2,IF($F25="Red",1,0)))&lt;IF($E25="Green",3,IF($E25="Amber",2,IF($E25="Red",1,0))),"Reviewer more confident","Aligned"))))</f>
        <v/>
      </c>
      <c r="H25" s="72"/>
      <c r="I25" s="72"/>
      <c r="J25" s="73" t="str">
        <f aca="true">IF(OR($B25="",$I25=""),"",$I25-TODAY())</f>
        <v/>
      </c>
      <c r="K25" s="86"/>
      <c r="L25" s="86"/>
      <c r="M25" s="74" t="str">
        <f aca="true">IF($B25="","",IF(COUNTIF('Project List'!$B$7:$B$28,$B25)=0,"Reference not found",IF($D25="Gate 5 - benefits realised","Closed",IF(OR($E25="",$E25="Not rated"),"Not yet reviewed",IF($E25="Reset","Baseline being reset",IF($G25="Owner more confident","OWNER AHEAD OF THE REVIEW",IF(AND($I25&lt;&gt;"",$I25&lt;TODAY()),"REVIEW OVERDUE",IF(AND($L25&lt;&gt;"",$L25&gt;0),"Actions overdue",IF(AND($J25&lt;&gt;"",$J25&lt;=Setup!$D$20),"Review due soon","Current")))))))))</f>
        <v/>
      </c>
      <c r="N25" s="71"/>
    </row>
    <row r="26" customFormat="false" ht="46.5" hidden="false" customHeight="true" outlineLevel="0" collapsed="false">
      <c r="B26" s="83"/>
      <c r="C26" s="74" t="str">
        <f aca="false">IF($B26="","",IFERROR(IF(LEN(VLOOKUP($B26,'Project List'!$B$7:$N$28,2,FALSE()))&gt;30,LEFT(VLOOKUP($B26,'Project List'!$B$7:$N$28,2,FALSE()),30)&amp;"...",VLOOKUP($B26,'Project List'!$B$7:$N$28,2,FALSE())),"Reference not found"))</f>
        <v/>
      </c>
      <c r="D26" s="74" t="str">
        <f aca="false">IF($B26="","",IFERROR(IF(LEN(VLOOKUP($B26,'Project List'!$B$7:$N$28,5,FALSE()))&gt;32,LEFT(VLOOKUP($B26,'Project List'!$B$7:$N$28,5,FALSE()),32)&amp;"...",VLOOKUP($B26,'Project List'!$B$7:$N$28,5,FALSE())),"Reference not found"))</f>
        <v/>
      </c>
      <c r="E26" s="75"/>
      <c r="F26" s="75"/>
      <c r="G26" s="74" t="str">
        <f aca="false">IF($B26="","",IF(OR(IF($E26="Green",3,IF($E26="Amber",2,IF($E26="Red",1,0)))=0,IF($F26="Green",3,IF($F26="Amber",2,IF($F26="Red",1,0)))=0),"-",IF(IF($F26="Green",3,IF($F26="Amber",2,IF($F26="Red",1,0)))&gt;IF($E26="Green",3,IF($E26="Amber",2,IF($E26="Red",1,0))),"Owner more confident",IF(IF($F26="Green",3,IF($F26="Amber",2,IF($F26="Red",1,0)))&lt;IF($E26="Green",3,IF($E26="Amber",2,IF($E26="Red",1,0))),"Reviewer more confident","Aligned"))))</f>
        <v/>
      </c>
      <c r="H26" s="76"/>
      <c r="I26" s="76"/>
      <c r="J26" s="73" t="str">
        <f aca="true">IF(OR($B26="",$I26=""),"",$I26-TODAY())</f>
        <v/>
      </c>
      <c r="K26" s="87"/>
      <c r="L26" s="87"/>
      <c r="M26" s="74" t="str">
        <f aca="true">IF($B26="","",IF(COUNTIF('Project List'!$B$7:$B$28,$B26)=0,"Reference not found",IF($D26="Gate 5 - benefits realised","Closed",IF(OR($E26="",$E26="Not rated"),"Not yet reviewed",IF($E26="Reset","Baseline being reset",IF($G26="Owner more confident","OWNER AHEAD OF THE REVIEW",IF(AND($I26&lt;&gt;"",$I26&lt;TODAY()),"REVIEW OVERDUE",IF(AND($L26&lt;&gt;"",$L26&gt;0),"Actions overdue",IF(AND($J26&lt;&gt;"",$J26&lt;=Setup!$D$20),"Review due soon","Current")))))))))</f>
        <v/>
      </c>
      <c r="N26" s="75"/>
    </row>
    <row r="27" customFormat="false" ht="46.5" hidden="false" customHeight="true" outlineLevel="0" collapsed="false">
      <c r="B27" s="78"/>
      <c r="C27" s="74" t="str">
        <f aca="false">IF($B27="","",IFERROR(IF(LEN(VLOOKUP($B27,'Project List'!$B$7:$N$28,2,FALSE()))&gt;30,LEFT(VLOOKUP($B27,'Project List'!$B$7:$N$28,2,FALSE()),30)&amp;"...",VLOOKUP($B27,'Project List'!$B$7:$N$28,2,FALSE())),"Reference not found"))</f>
        <v/>
      </c>
      <c r="D27" s="74" t="str">
        <f aca="false">IF($B27="","",IFERROR(IF(LEN(VLOOKUP($B27,'Project List'!$B$7:$N$28,5,FALSE()))&gt;32,LEFT(VLOOKUP($B27,'Project List'!$B$7:$N$28,5,FALSE()),32)&amp;"...",VLOOKUP($B27,'Project List'!$B$7:$N$28,5,FALSE())),"Reference not found"))</f>
        <v/>
      </c>
      <c r="E27" s="71"/>
      <c r="F27" s="71"/>
      <c r="G27" s="74" t="str">
        <f aca="false">IF($B27="","",IF(OR(IF($E27="Green",3,IF($E27="Amber",2,IF($E27="Red",1,0)))=0,IF($F27="Green",3,IF($F27="Amber",2,IF($F27="Red",1,0)))=0),"-",IF(IF($F27="Green",3,IF($F27="Amber",2,IF($F27="Red",1,0)))&gt;IF($E27="Green",3,IF($E27="Amber",2,IF($E27="Red",1,0))),"Owner more confident",IF(IF($F27="Green",3,IF($F27="Amber",2,IF($F27="Red",1,0)))&lt;IF($E27="Green",3,IF($E27="Amber",2,IF($E27="Red",1,0))),"Reviewer more confident","Aligned"))))</f>
        <v/>
      </c>
      <c r="H27" s="72"/>
      <c r="I27" s="72"/>
      <c r="J27" s="73" t="str">
        <f aca="true">IF(OR($B27="",$I27=""),"",$I27-TODAY())</f>
        <v/>
      </c>
      <c r="K27" s="86"/>
      <c r="L27" s="86"/>
      <c r="M27" s="74" t="str">
        <f aca="true">IF($B27="","",IF(COUNTIF('Project List'!$B$7:$B$28,$B27)=0,"Reference not found",IF($D27="Gate 5 - benefits realised","Closed",IF(OR($E27="",$E27="Not rated"),"Not yet reviewed",IF($E27="Reset","Baseline being reset",IF($G27="Owner more confident","OWNER AHEAD OF THE REVIEW",IF(AND($I27&lt;&gt;"",$I27&lt;TODAY()),"REVIEW OVERDUE",IF(AND($L27&lt;&gt;"",$L27&gt;0),"Actions overdue",IF(AND($J27&lt;&gt;"",$J27&lt;=Setup!$D$20),"Review due soon","Current")))))))))</f>
        <v/>
      </c>
      <c r="N27" s="71"/>
    </row>
    <row r="28" customFormat="false" ht="46.5" hidden="false" customHeight="true" outlineLevel="0" collapsed="false">
      <c r="B28" s="83"/>
      <c r="C28" s="74" t="str">
        <f aca="false">IF($B28="","",IFERROR(IF(LEN(VLOOKUP($B28,'Project List'!$B$7:$N$28,2,FALSE()))&gt;30,LEFT(VLOOKUP($B28,'Project List'!$B$7:$N$28,2,FALSE()),30)&amp;"...",VLOOKUP($B28,'Project List'!$B$7:$N$28,2,FALSE())),"Reference not found"))</f>
        <v/>
      </c>
      <c r="D28" s="74" t="str">
        <f aca="false">IF($B28="","",IFERROR(IF(LEN(VLOOKUP($B28,'Project List'!$B$7:$N$28,5,FALSE()))&gt;32,LEFT(VLOOKUP($B28,'Project List'!$B$7:$N$28,5,FALSE()),32)&amp;"...",VLOOKUP($B28,'Project List'!$B$7:$N$28,5,FALSE())),"Reference not found"))</f>
        <v/>
      </c>
      <c r="E28" s="75"/>
      <c r="F28" s="75"/>
      <c r="G28" s="74" t="str">
        <f aca="false">IF($B28="","",IF(OR(IF($E28="Green",3,IF($E28="Amber",2,IF($E28="Red",1,0)))=0,IF($F28="Green",3,IF($F28="Amber",2,IF($F28="Red",1,0)))=0),"-",IF(IF($F28="Green",3,IF($F28="Amber",2,IF($F28="Red",1,0)))&gt;IF($E28="Green",3,IF($E28="Amber",2,IF($E28="Red",1,0))),"Owner more confident",IF(IF($F28="Green",3,IF($F28="Amber",2,IF($F28="Red",1,0)))&lt;IF($E28="Green",3,IF($E28="Amber",2,IF($E28="Red",1,0))),"Reviewer more confident","Aligned"))))</f>
        <v/>
      </c>
      <c r="H28" s="76"/>
      <c r="I28" s="76"/>
      <c r="J28" s="73" t="str">
        <f aca="true">IF(OR($B28="",$I28=""),"",$I28-TODAY())</f>
        <v/>
      </c>
      <c r="K28" s="87"/>
      <c r="L28" s="87"/>
      <c r="M28" s="74" t="str">
        <f aca="true">IF($B28="","",IF(COUNTIF('Project List'!$B$7:$B$28,$B28)=0,"Reference not found",IF($D28="Gate 5 - benefits realised","Closed",IF(OR($E28="",$E28="Not rated"),"Not yet reviewed",IF($E28="Reset","Baseline being reset",IF($G28="Owner more confident","OWNER AHEAD OF THE REVIEW",IF(AND($I28&lt;&gt;"",$I28&lt;TODAY()),"REVIEW OVERDUE",IF(AND($L28&lt;&gt;"",$L28&gt;0),"Actions overdue",IF(AND($J28&lt;&gt;"",$J28&lt;=Setup!$D$20),"Review due soon","Current")))))))))</f>
        <v/>
      </c>
      <c r="N28" s="75"/>
    </row>
    <row r="30" customFormat="false" ht="15" hidden="false" customHeight="true" outlineLevel="0" collapsed="false">
      <c r="B30" s="40" t="s">
        <v>331</v>
      </c>
      <c r="C30" s="40"/>
      <c r="D30" s="40"/>
      <c r="E30" s="40"/>
      <c r="F30" s="40"/>
      <c r="G30" s="40"/>
      <c r="H30" s="40"/>
      <c r="I30" s="40"/>
      <c r="J30" s="40"/>
      <c r="K30" s="40"/>
      <c r="L30" s="40"/>
      <c r="M30" s="40"/>
      <c r="N30" s="40"/>
    </row>
    <row r="31" customFormat="false" ht="15" hidden="false" customHeight="true" outlineLevel="0" collapsed="false">
      <c r="B31" s="40"/>
      <c r="C31" s="40"/>
      <c r="D31" s="40"/>
      <c r="E31" s="40"/>
      <c r="F31" s="40"/>
      <c r="G31" s="40"/>
      <c r="H31" s="40"/>
      <c r="I31" s="40"/>
      <c r="J31" s="40"/>
      <c r="K31" s="40"/>
      <c r="L31" s="40"/>
      <c r="M31" s="40"/>
      <c r="N31" s="40"/>
    </row>
    <row r="32" customFormat="false" ht="18" hidden="false" customHeight="true" outlineLevel="0" collapsed="false">
      <c r="B32" s="47" t="s">
        <v>120</v>
      </c>
      <c r="C32" s="47"/>
      <c r="D32" s="47"/>
      <c r="E32" s="47"/>
      <c r="F32" s="47"/>
      <c r="G32" s="47"/>
      <c r="H32" s="47"/>
      <c r="I32" s="47"/>
      <c r="J32" s="47"/>
      <c r="K32" s="47"/>
      <c r="L32" s="47"/>
      <c r="M32" s="47"/>
      <c r="N32" s="47"/>
    </row>
  </sheetData>
  <autoFilter ref="B6:N28"/>
  <mergeCells count="6">
    <mergeCell ref="B1:N1"/>
    <mergeCell ref="B2:N2"/>
    <mergeCell ref="B3:N3"/>
    <mergeCell ref="B4:N4"/>
    <mergeCell ref="B30:N31"/>
    <mergeCell ref="B32:N32"/>
  </mergeCells>
  <conditionalFormatting sqref="B3:N3">
    <cfRule type="expression" priority="2" aboveAverage="0" equalAverage="0" bottom="0" percent="0" rank="0" text="" dxfId="0">
      <formula>LEN($B$3)&gt;0</formula>
    </cfRule>
  </conditionalFormatting>
  <conditionalFormatting sqref="B7:N28">
    <cfRule type="expression" priority="3" aboveAverage="0" equalAverage="0" bottom="0" percent="0" rank="0" text="" dxfId="1">
      <formula>$M7="Reference not found"</formula>
    </cfRule>
    <cfRule type="expression" priority="4" aboveAverage="0" equalAverage="0" bottom="0" percent="0" rank="0" text="" dxfId="1">
      <formula>$M7="OWNER AHEAD OF THE REVIEW"</formula>
    </cfRule>
    <cfRule type="expression" priority="5" aboveAverage="0" equalAverage="0" bottom="0" percent="0" rank="0" text="" dxfId="1">
      <formula>$M7="REVIEW OVERDUE"</formula>
    </cfRule>
    <cfRule type="expression" priority="6" aboveAverage="0" equalAverage="0" bottom="0" percent="0" rank="0" text="" dxfId="2">
      <formula>$M7="Actions overdue"</formula>
    </cfRule>
    <cfRule type="expression" priority="7" aboveAverage="0" equalAverage="0" bottom="0" percent="0" rank="0" text="" dxfId="0">
      <formula>$M7="Baseline being reset"</formula>
    </cfRule>
    <cfRule type="expression" priority="8" aboveAverage="0" equalAverage="0" bottom="0" percent="0" rank="0" text="" dxfId="0">
      <formula>$M7="Review due soon"</formula>
    </cfRule>
    <cfRule type="expression" priority="9" aboveAverage="0" equalAverage="0" bottom="0" percent="0" rank="0" text="" dxfId="16">
      <formula>$M7="Not yet reviewed"</formula>
    </cfRule>
    <cfRule type="expression" priority="10" aboveAverage="0" equalAverage="0" bottom="0" percent="0" rank="0" text="" dxfId="17">
      <formula>$M7="Closed"</formula>
    </cfRule>
    <cfRule type="expression" priority="11" aboveAverage="0" equalAverage="0" bottom="0" percent="0" rank="0" text="" dxfId="18">
      <formula>$M7="Current"</formula>
    </cfRule>
  </conditionalFormatting>
  <dataValidations count="44">
    <dataValidation allowBlank="true" errorStyle="stop" operator="between" showDropDown="false" showErrorMessage="false" showInputMessage="false" sqref="E7" type="list">
      <formula1>Reference!$E$105:$E$109</formula1>
      <formula2>0</formula2>
    </dataValidation>
    <dataValidation allowBlank="true" errorStyle="stop" operator="between" showDropDown="false" showErrorMessage="false" showInputMessage="false" sqref="F7" type="list">
      <formula1>Reference!$E$105:$E$109</formula1>
      <formula2>0</formula2>
    </dataValidation>
    <dataValidation allowBlank="true" errorStyle="stop" operator="between" showDropDown="false" showErrorMessage="false" showInputMessage="false" sqref="E8" type="list">
      <formula1>Reference!$E$105:$E$109</formula1>
      <formula2>0</formula2>
    </dataValidation>
    <dataValidation allowBlank="true" errorStyle="stop" operator="between" showDropDown="false" showErrorMessage="false" showInputMessage="false" sqref="F8" type="list">
      <formula1>Reference!$E$105:$E$109</formula1>
      <formula2>0</formula2>
    </dataValidation>
    <dataValidation allowBlank="true" errorStyle="stop" operator="between" showDropDown="false" showErrorMessage="false" showInputMessage="false" sqref="E9" type="list">
      <formula1>Reference!$E$105:$E$109</formula1>
      <formula2>0</formula2>
    </dataValidation>
    <dataValidation allowBlank="true" errorStyle="stop" operator="between" showDropDown="false" showErrorMessage="false" showInputMessage="false" sqref="F9" type="list">
      <formula1>Reference!$E$105:$E$109</formula1>
      <formula2>0</formula2>
    </dataValidation>
    <dataValidation allowBlank="true" errorStyle="stop" operator="between" showDropDown="false" showErrorMessage="false" showInputMessage="false" sqref="E10" type="list">
      <formula1>Reference!$E$105:$E$109</formula1>
      <formula2>0</formula2>
    </dataValidation>
    <dataValidation allowBlank="true" errorStyle="stop" operator="between" showDropDown="false" showErrorMessage="false" showInputMessage="false" sqref="F10" type="list">
      <formula1>Reference!$E$105:$E$109</formula1>
      <formula2>0</formula2>
    </dataValidation>
    <dataValidation allowBlank="true" errorStyle="stop" operator="between" showDropDown="false" showErrorMessage="false" showInputMessage="false" sqref="E11" type="list">
      <formula1>Reference!$E$105:$E$109</formula1>
      <formula2>0</formula2>
    </dataValidation>
    <dataValidation allowBlank="true" errorStyle="stop" operator="between" showDropDown="false" showErrorMessage="false" showInputMessage="false" sqref="F11" type="list">
      <formula1>Reference!$E$105:$E$109</formula1>
      <formula2>0</formula2>
    </dataValidation>
    <dataValidation allowBlank="true" errorStyle="stop" operator="between" showDropDown="false" showErrorMessage="false" showInputMessage="false" sqref="E12" type="list">
      <formula1>Reference!$E$105:$E$109</formula1>
      <formula2>0</formula2>
    </dataValidation>
    <dataValidation allowBlank="true" errorStyle="stop" operator="between" showDropDown="false" showErrorMessage="false" showInputMessage="false" sqref="F12" type="list">
      <formula1>Reference!$E$105:$E$109</formula1>
      <formula2>0</formula2>
    </dataValidation>
    <dataValidation allowBlank="true" errorStyle="stop" operator="between" showDropDown="false" showErrorMessage="false" showInputMessage="false" sqref="E13" type="list">
      <formula1>Reference!$E$105:$E$109</formula1>
      <formula2>0</formula2>
    </dataValidation>
    <dataValidation allowBlank="true" errorStyle="stop" operator="between" showDropDown="false" showErrorMessage="false" showInputMessage="false" sqref="F13" type="list">
      <formula1>Reference!$E$105:$E$109</formula1>
      <formula2>0</formula2>
    </dataValidation>
    <dataValidation allowBlank="true" errorStyle="stop" operator="between" showDropDown="false" showErrorMessage="false" showInputMessage="false" sqref="E14" type="list">
      <formula1>Reference!$E$105:$E$109</formula1>
      <formula2>0</formula2>
    </dataValidation>
    <dataValidation allowBlank="true" errorStyle="stop" operator="between" showDropDown="false" showErrorMessage="false" showInputMessage="false" sqref="F14" type="list">
      <formula1>Reference!$E$105:$E$109</formula1>
      <formula2>0</formula2>
    </dataValidation>
    <dataValidation allowBlank="true" errorStyle="stop" operator="between" showDropDown="false" showErrorMessage="false" showInputMessage="false" sqref="E15" type="list">
      <formula1>Reference!$E$105:$E$109</formula1>
      <formula2>0</formula2>
    </dataValidation>
    <dataValidation allowBlank="true" errorStyle="stop" operator="between" showDropDown="false" showErrorMessage="false" showInputMessage="false" sqref="F15" type="list">
      <formula1>Reference!$E$105:$E$109</formula1>
      <formula2>0</formula2>
    </dataValidation>
    <dataValidation allowBlank="true" errorStyle="stop" operator="between" showDropDown="false" showErrorMessage="false" showInputMessage="false" sqref="E16" type="list">
      <formula1>Reference!$E$105:$E$109</formula1>
      <formula2>0</formula2>
    </dataValidation>
    <dataValidation allowBlank="true" errorStyle="stop" operator="between" showDropDown="false" showErrorMessage="false" showInputMessage="false" sqref="F16" type="list">
      <formula1>Reference!$E$105:$E$109</formula1>
      <formula2>0</formula2>
    </dataValidation>
    <dataValidation allowBlank="true" errorStyle="stop" operator="between" showDropDown="false" showErrorMessage="false" showInputMessage="false" sqref="E17" type="list">
      <formula1>Reference!$E$105:$E$109</formula1>
      <formula2>0</formula2>
    </dataValidation>
    <dataValidation allowBlank="true" errorStyle="stop" operator="between" showDropDown="false" showErrorMessage="false" showInputMessage="false" sqref="F17" type="list">
      <formula1>Reference!$E$105:$E$109</formula1>
      <formula2>0</formula2>
    </dataValidation>
    <dataValidation allowBlank="true" errorStyle="stop" operator="between" showDropDown="false" showErrorMessage="false" showInputMessage="false" sqref="E18" type="list">
      <formula1>Reference!$E$105:$E$109</formula1>
      <formula2>0</formula2>
    </dataValidation>
    <dataValidation allowBlank="true" errorStyle="stop" operator="between" showDropDown="false" showErrorMessage="false" showInputMessage="false" sqref="F18" type="list">
      <formula1>Reference!$E$105:$E$109</formula1>
      <formula2>0</formula2>
    </dataValidation>
    <dataValidation allowBlank="true" errorStyle="stop" operator="between" showDropDown="false" showErrorMessage="false" showInputMessage="false" sqref="E19" type="list">
      <formula1>Reference!$E$105:$E$109</formula1>
      <formula2>0</formula2>
    </dataValidation>
    <dataValidation allowBlank="true" errorStyle="stop" operator="between" showDropDown="false" showErrorMessage="false" showInputMessage="false" sqref="F19" type="list">
      <formula1>Reference!$E$105:$E$109</formula1>
      <formula2>0</formula2>
    </dataValidation>
    <dataValidation allowBlank="true" errorStyle="stop" operator="between" showDropDown="false" showErrorMessage="false" showInputMessage="false" sqref="E20" type="list">
      <formula1>Reference!$E$105:$E$109</formula1>
      <formula2>0</formula2>
    </dataValidation>
    <dataValidation allowBlank="true" errorStyle="stop" operator="between" showDropDown="false" showErrorMessage="false" showInputMessage="false" sqref="F20" type="list">
      <formula1>Reference!$E$105:$E$109</formula1>
      <formula2>0</formula2>
    </dataValidation>
    <dataValidation allowBlank="true" errorStyle="stop" operator="between" showDropDown="false" showErrorMessage="false" showInputMessage="false" sqref="E21" type="list">
      <formula1>Reference!$E$105:$E$109</formula1>
      <formula2>0</formula2>
    </dataValidation>
    <dataValidation allowBlank="true" errorStyle="stop" operator="between" showDropDown="false" showErrorMessage="false" showInputMessage="false" sqref="F21" type="list">
      <formula1>Reference!$E$105:$E$109</formula1>
      <formula2>0</formula2>
    </dataValidation>
    <dataValidation allowBlank="true" errorStyle="stop" operator="between" showDropDown="false" showErrorMessage="false" showInputMessage="false" sqref="E22" type="list">
      <formula1>Reference!$E$105:$E$109</formula1>
      <formula2>0</formula2>
    </dataValidation>
    <dataValidation allowBlank="true" errorStyle="stop" operator="between" showDropDown="false" showErrorMessage="false" showInputMessage="false" sqref="F22" type="list">
      <formula1>Reference!$E$105:$E$109</formula1>
      <formula2>0</formula2>
    </dataValidation>
    <dataValidation allowBlank="true" errorStyle="stop" operator="between" showDropDown="false" showErrorMessage="false" showInputMessage="false" sqref="E23" type="list">
      <formula1>Reference!$E$105:$E$109</formula1>
      <formula2>0</formula2>
    </dataValidation>
    <dataValidation allowBlank="true" errorStyle="stop" operator="between" showDropDown="false" showErrorMessage="false" showInputMessage="false" sqref="F23" type="list">
      <formula1>Reference!$E$105:$E$109</formula1>
      <formula2>0</formula2>
    </dataValidation>
    <dataValidation allowBlank="true" errorStyle="stop" operator="between" showDropDown="false" showErrorMessage="false" showInputMessage="false" sqref="E24" type="list">
      <formula1>Reference!$E$105:$E$109</formula1>
      <formula2>0</formula2>
    </dataValidation>
    <dataValidation allowBlank="true" errorStyle="stop" operator="between" showDropDown="false" showErrorMessage="false" showInputMessage="false" sqref="F24" type="list">
      <formula1>Reference!$E$105:$E$109</formula1>
      <formula2>0</formula2>
    </dataValidation>
    <dataValidation allowBlank="true" errorStyle="stop" operator="between" showDropDown="false" showErrorMessage="false" showInputMessage="false" sqref="E25" type="list">
      <formula1>Reference!$E$105:$E$109</formula1>
      <formula2>0</formula2>
    </dataValidation>
    <dataValidation allowBlank="true" errorStyle="stop" operator="between" showDropDown="false" showErrorMessage="false" showInputMessage="false" sqref="F25" type="list">
      <formula1>Reference!$E$105:$E$109</formula1>
      <formula2>0</formula2>
    </dataValidation>
    <dataValidation allowBlank="true" errorStyle="stop" operator="between" showDropDown="false" showErrorMessage="false" showInputMessage="false" sqref="E26" type="list">
      <formula1>Reference!$E$105:$E$109</formula1>
      <formula2>0</formula2>
    </dataValidation>
    <dataValidation allowBlank="true" errorStyle="stop" operator="between" showDropDown="false" showErrorMessage="false" showInputMessage="false" sqref="F26" type="list">
      <formula1>Reference!$E$105:$E$109</formula1>
      <formula2>0</formula2>
    </dataValidation>
    <dataValidation allowBlank="true" errorStyle="stop" operator="between" showDropDown="false" showErrorMessage="false" showInputMessage="false" sqref="E27" type="list">
      <formula1>Reference!$E$105:$E$109</formula1>
      <formula2>0</formula2>
    </dataValidation>
    <dataValidation allowBlank="true" errorStyle="stop" operator="between" showDropDown="false" showErrorMessage="false" showInputMessage="false" sqref="F27" type="list">
      <formula1>Reference!$E$105:$E$109</formula1>
      <formula2>0</formula2>
    </dataValidation>
    <dataValidation allowBlank="true" errorStyle="stop" operator="between" showDropDown="false" showErrorMessage="false" showInputMessage="false" sqref="E28" type="list">
      <formula1>Reference!$E$105:$E$109</formula1>
      <formula2>0</formula2>
    </dataValidation>
    <dataValidation allowBlank="true" errorStyle="stop" operator="between" showDropDown="false" showErrorMessage="false" showInputMessage="false" sqref="F28" type="list">
      <formula1>Reference!$E$105:$E$109</formula1>
      <formula2>0</formula2>
    </dataValidation>
  </dataValidations>
  <hyperlinks>
    <hyperlink ref="B32" r:id="rId1" display="Visit mastt.com"/>
  </hyperlinks>
  <printOptions headings="false" gridLines="false" gridLinesSet="true" horizontalCentered="false" verticalCentered="false"/>
  <pageMargins left="0.3" right="0.3" top="0.5" bottom="0.5" header="0.511811023622047" footer="0.511811023622047"/>
  <pageSetup paperSize="8" scale="100" fitToWidth="1" fitToHeight="0" pageOrder="downThenOver" orientation="landscape" blackAndWhite="false" draft="false" cellComments="none" horizontalDpi="300" verticalDpi="300" copies="1"/>
  <headerFooter differentFirst="false" differentOddEven="false">
    <oddHeader/>
    <oddFooter/>
  </headerFooter>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CAF50"/>
    <pageSetUpPr fitToPage="true"/>
  </sheetPr>
  <dimension ref="B1:P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8"/>
    <col collapsed="false" customWidth="true" hidden="false" outlineLevel="0" max="3" min="3" style="0" width="21"/>
    <col collapsed="false" customWidth="true" hidden="false" outlineLevel="0" max="4" min="4" style="0" width="15"/>
    <col collapsed="false" customWidth="true" hidden="false" outlineLevel="0" max="5" min="5" style="0" width="14"/>
    <col collapsed="false" customWidth="true" hidden="false" outlineLevel="0" max="6" min="6" style="0" width="11"/>
    <col collapsed="false" customWidth="true" hidden="false" outlineLevel="0" max="7" min="7" style="0" width="13"/>
    <col collapsed="false" customWidth="true" hidden="false" outlineLevel="0" max="8" min="8" style="0" width="14"/>
    <col collapsed="false" customWidth="true" hidden="false" outlineLevel="0" max="9" min="9" style="0" width="16"/>
    <col collapsed="false" customWidth="true" hidden="false" outlineLevel="0" max="10" min="10" style="0" width="9"/>
    <col collapsed="false" customWidth="true" hidden="false" outlineLevel="0" max="13" min="11" style="0" width="12"/>
    <col collapsed="false" customWidth="true" hidden="false" outlineLevel="0" max="14" min="14" style="0" width="14"/>
    <col collapsed="false" customWidth="true" hidden="false" outlineLevel="0" max="15" min="15" style="0" width="18"/>
    <col collapsed="false" customWidth="true" hidden="false" outlineLevel="0" max="16" min="16" style="0" width="21"/>
    <col collapsed="false" customWidth="true" hidden="false" outlineLevel="0" max="17" min="17" style="0" width="2.2"/>
  </cols>
  <sheetData>
    <row r="1" customFormat="false" ht="33.75" hidden="false" customHeight="true" outlineLevel="0" collapsed="false">
      <c r="B1" s="37" t="s">
        <v>332</v>
      </c>
      <c r="C1" s="37"/>
      <c r="D1" s="37"/>
      <c r="E1" s="37"/>
      <c r="F1" s="37"/>
      <c r="G1" s="37"/>
      <c r="H1" s="37"/>
      <c r="I1" s="37"/>
      <c r="J1" s="37"/>
      <c r="K1" s="37"/>
      <c r="L1" s="37"/>
      <c r="M1" s="37"/>
      <c r="N1" s="37"/>
      <c r="O1" s="37"/>
      <c r="P1" s="37"/>
    </row>
    <row r="2" customFormat="false" ht="4.5" hidden="false" customHeight="true" outlineLevel="0" collapsed="false">
      <c r="B2" s="88"/>
      <c r="C2" s="88"/>
      <c r="D2" s="88"/>
      <c r="E2" s="88"/>
      <c r="F2" s="88"/>
      <c r="G2" s="88"/>
      <c r="H2" s="88"/>
      <c r="I2" s="88"/>
      <c r="J2" s="88"/>
      <c r="K2" s="88"/>
      <c r="L2" s="88"/>
      <c r="M2" s="88"/>
      <c r="N2" s="88"/>
      <c r="O2" s="88"/>
      <c r="P2" s="88"/>
    </row>
    <row r="3" customFormat="false" ht="16.5" hidden="false" customHeight="true" outlineLevel="0" collapsed="false">
      <c r="B3" s="39" t="str">
        <f aca="false">IF(LEFT(Setup!$D$7,7)&lt;&gt;"EXAMPLE","","EXAMPLE DATA - type your own organisation name on Setup to clear this.")</f>
        <v>EXAMPLE DATA - type your own organisation name on Setup to clear this.</v>
      </c>
      <c r="C3" s="39"/>
      <c r="D3" s="39"/>
      <c r="E3" s="39"/>
      <c r="F3" s="39"/>
      <c r="G3" s="39"/>
      <c r="H3" s="39"/>
      <c r="I3" s="39"/>
      <c r="J3" s="39"/>
      <c r="K3" s="39"/>
      <c r="L3" s="39"/>
      <c r="M3" s="39"/>
      <c r="N3" s="39"/>
      <c r="O3" s="39"/>
      <c r="P3" s="39"/>
    </row>
    <row r="4" customFormat="false" ht="25.5" hidden="false" customHeight="true" outlineLevel="0" collapsed="false">
      <c r="B4" s="40" t="s">
        <v>333</v>
      </c>
      <c r="C4" s="40"/>
      <c r="D4" s="40"/>
      <c r="E4" s="40"/>
      <c r="F4" s="40"/>
      <c r="G4" s="40"/>
      <c r="H4" s="40"/>
      <c r="I4" s="40"/>
      <c r="J4" s="40"/>
      <c r="K4" s="40"/>
      <c r="L4" s="40"/>
      <c r="M4" s="40"/>
      <c r="N4" s="40"/>
      <c r="O4" s="40"/>
      <c r="P4" s="40"/>
    </row>
    <row r="6" customFormat="false" ht="34.5" hidden="false" customHeight="true" outlineLevel="0" collapsed="false">
      <c r="B6" s="69" t="s">
        <v>219</v>
      </c>
      <c r="C6" s="10" t="s">
        <v>212</v>
      </c>
      <c r="D6" s="10" t="s">
        <v>334</v>
      </c>
      <c r="E6" s="10" t="s">
        <v>335</v>
      </c>
      <c r="F6" s="10" t="s">
        <v>336</v>
      </c>
      <c r="G6" s="10" t="s">
        <v>337</v>
      </c>
      <c r="H6" s="69" t="s">
        <v>338</v>
      </c>
      <c r="I6" s="69" t="s">
        <v>339</v>
      </c>
      <c r="J6" s="69" t="s">
        <v>151</v>
      </c>
      <c r="K6" s="10" t="s">
        <v>340</v>
      </c>
      <c r="L6" s="10" t="s">
        <v>341</v>
      </c>
      <c r="M6" s="10" t="s">
        <v>342</v>
      </c>
      <c r="N6" s="10" t="s">
        <v>150</v>
      </c>
      <c r="O6" s="69" t="s">
        <v>289</v>
      </c>
      <c r="P6" s="10" t="s">
        <v>228</v>
      </c>
    </row>
    <row r="7" customFormat="false" ht="46.5" hidden="false" customHeight="true" outlineLevel="0" collapsed="false">
      <c r="B7" s="70" t="str">
        <f aca="false">IF($C7="","","C"&amp;TEXT(ROW()-6,"000"))</f>
        <v>C001</v>
      </c>
      <c r="C7" s="71" t="s">
        <v>233</v>
      </c>
      <c r="D7" s="71" t="s">
        <v>343</v>
      </c>
      <c r="E7" s="71" t="s">
        <v>344</v>
      </c>
      <c r="F7" s="71" t="s">
        <v>345</v>
      </c>
      <c r="G7" s="79" t="n">
        <v>25000000</v>
      </c>
      <c r="H7" s="80" t="n">
        <f aca="false">IF($C7="","",SUMIFS('Cost &amp; Benefits'!$F$7:$F$28,'Cost &amp; Benefits'!$D$7:$D$28,$C7))</f>
        <v>21790000</v>
      </c>
      <c r="I7" s="80" t="n">
        <f aca="false">IF(OR($C7="",$G7=""),"",$G7-($H7*12/IF(Setup!$D$26&gt;0,Setup!$D$26,12)))</f>
        <v>14105000</v>
      </c>
      <c r="J7" s="73" t="n">
        <f aca="false">IF($C7="","",COUNTIF('Project List'!$I$7:$I$28,$C7))</f>
        <v>2</v>
      </c>
      <c r="K7" s="72" t="n">
        <f aca="true">TODAY()+400</f>
        <v>46652</v>
      </c>
      <c r="L7" s="72" t="n">
        <f aca="true">TODAY()+260</f>
        <v>46512</v>
      </c>
      <c r="M7" s="72" t="n">
        <f aca="true">TODAY()+520</f>
        <v>46772</v>
      </c>
      <c r="N7" s="71" t="s">
        <v>346</v>
      </c>
      <c r="O7" s="74" t="str">
        <f aca="true">IF($C7="","",IF($N7="Suspended","SUSPENDED - DO NOT AWARD",IF($N7="Cancelled","Prequalification cancelled",IF(OR(AND($K7&lt;&gt;"",$K7&lt;TODAY()),AND($L7&lt;&gt;"",$L7&lt;TODAY()),AND($M7&lt;&gt;"",$M7&lt;TODAY())),"EXPIRED - CHECK BEFORE AWARD",IF(AND(SUMPRODUCT(MAX(('Project List'!$I$7:$I$28=$C7)*('Project List'!$K$7:$K$28)))&gt;0,OR(AND($K7&lt;&gt;"",$K7&lt;SUMPRODUCT(MAX(('Project List'!$I$7:$I$28=$C7)*('Project List'!$K$7:$K$28)))),AND($L7&lt;&gt;"",$L7&lt;SUMPRODUCT(MAX(('Project List'!$I$7:$I$28=$C7)*('Project List'!$K$7:$K$28)))))),"COVER LAPSES BEFORE THE WORK ENDS",IF(AND($G7&lt;&gt;"",($H7*12/IF(Setup!$D$26&gt;0,Setup!$D$26,12))&gt;$G7),"OVER THE ASSESSED LEVEL",IF(OR(AND($K7&lt;&gt;"",$K7-TODAY()&lt;=Setup!$D$20),AND($L7&lt;&gt;"",$L7-TODAY()&lt;=Setup!$D$20),AND($M7&lt;&gt;"",$M7-TODAY()&lt;=Setup!$D$20)),"Expiring soon",IF(AND($G7&lt;&gt;"",($H7*12/IF(Setup!$D$26&gt;0,Setup!$D$26,12))&gt;$G7*Setup!$D$27),"Near the assessed level",IF($H7=0,"Prequalified, carrying nothing","Current")))))))))</f>
        <v>Current</v>
      </c>
      <c r="P7" s="71"/>
    </row>
    <row r="8" customFormat="false" ht="46.5" hidden="false" customHeight="true" outlineLevel="0" collapsed="false">
      <c r="B8" s="70" t="str">
        <f aca="false">IF($C8="","","C"&amp;TEXT(ROW()-6,"000"))</f>
        <v>C002</v>
      </c>
      <c r="C8" s="75" t="s">
        <v>242</v>
      </c>
      <c r="D8" s="75" t="s">
        <v>347</v>
      </c>
      <c r="E8" s="75" t="s">
        <v>348</v>
      </c>
      <c r="F8" s="75" t="s">
        <v>345</v>
      </c>
      <c r="G8" s="84" t="n">
        <v>25000000</v>
      </c>
      <c r="H8" s="80" t="n">
        <f aca="false">IF($C8="","",SUMIFS('Cost &amp; Benefits'!$F$7:$F$28,'Cost &amp; Benefits'!$D$7:$D$28,$C8))</f>
        <v>100060000</v>
      </c>
      <c r="I8" s="80" t="n">
        <f aca="false">IF(OR($C8="",$G8=""),"",$G8-($H8*12/IF(Setup!$D$26&gt;0,Setup!$D$26,12)))</f>
        <v>-25030000</v>
      </c>
      <c r="J8" s="73" t="n">
        <f aca="false">IF($C8="","",COUNTIF('Project List'!$I$7:$I$28,$C8))</f>
        <v>3</v>
      </c>
      <c r="K8" s="76" t="n">
        <f aca="true">TODAY()+620</f>
        <v>46872</v>
      </c>
      <c r="L8" s="76" t="n">
        <f aca="true">TODAY()+600</f>
        <v>46852</v>
      </c>
      <c r="M8" s="76" t="n">
        <f aca="true">TODAY()+580</f>
        <v>46832</v>
      </c>
      <c r="N8" s="75" t="s">
        <v>346</v>
      </c>
      <c r="O8" s="74" t="str">
        <f aca="true">IF($C8="","",IF($N8="Suspended","SUSPENDED - DO NOT AWARD",IF($N8="Cancelled","Prequalification cancelled",IF(OR(AND($K8&lt;&gt;"",$K8&lt;TODAY()),AND($L8&lt;&gt;"",$L8&lt;TODAY()),AND($M8&lt;&gt;"",$M8&lt;TODAY())),"EXPIRED - CHECK BEFORE AWARD",IF(AND(SUMPRODUCT(MAX(('Project List'!$I$7:$I$28=$C8)*('Project List'!$K$7:$K$28)))&gt;0,OR(AND($K8&lt;&gt;"",$K8&lt;SUMPRODUCT(MAX(('Project List'!$I$7:$I$28=$C8)*('Project List'!$K$7:$K$28)))),AND($L8&lt;&gt;"",$L8&lt;SUMPRODUCT(MAX(('Project List'!$I$7:$I$28=$C8)*('Project List'!$K$7:$K$28)))))),"COVER LAPSES BEFORE THE WORK ENDS",IF(AND($G8&lt;&gt;"",($H8*12/IF(Setup!$D$26&gt;0,Setup!$D$26,12))&gt;$G8),"OVER THE ASSESSED LEVEL",IF(OR(AND($K8&lt;&gt;"",$K8-TODAY()&lt;=Setup!$D$20),AND($L8&lt;&gt;"",$L8-TODAY()&lt;=Setup!$D$20),AND($M8&lt;&gt;"",$M8-TODAY()&lt;=Setup!$D$20)),"Expiring soon",IF(AND($G8&lt;&gt;"",($H8*12/IF(Setup!$D$26&gt;0,Setup!$D$26,12))&gt;$G8*Setup!$D$27),"Near the assessed level",IF($H8=0,"Prequalified, carrying nothing","Current")))))))))</f>
        <v>OVER THE ASSESSED LEVEL</v>
      </c>
      <c r="P8" s="75" t="s">
        <v>349</v>
      </c>
    </row>
    <row r="9" customFormat="false" ht="46.5" hidden="false" customHeight="true" outlineLevel="0" collapsed="false">
      <c r="B9" s="70" t="str">
        <f aca="false">IF($C9="","","C"&amp;TEXT(ROW()-6,"000"))</f>
        <v>C003</v>
      </c>
      <c r="C9" s="71" t="s">
        <v>251</v>
      </c>
      <c r="D9" s="71" t="s">
        <v>347</v>
      </c>
      <c r="E9" s="71" t="s">
        <v>350</v>
      </c>
      <c r="F9" s="71" t="s">
        <v>351</v>
      </c>
      <c r="G9" s="79" t="n">
        <v>10000000</v>
      </c>
      <c r="H9" s="80" t="n">
        <f aca="false">IF($C9="","",SUMIFS('Cost &amp; Benefits'!$F$7:$F$28,'Cost &amp; Benefits'!$D$7:$D$28,$C9))</f>
        <v>7400000</v>
      </c>
      <c r="I9" s="80" t="n">
        <f aca="false">IF(OR($C9="",$G9=""),"",$G9-($H9*12/IF(Setup!$D$26&gt;0,Setup!$D$26,12)))</f>
        <v>6300000</v>
      </c>
      <c r="J9" s="73" t="n">
        <f aca="false">IF($C9="","",COUNTIF('Project List'!$I$7:$I$28,$C9))</f>
        <v>1</v>
      </c>
      <c r="K9" s="72" t="n">
        <f aca="true">TODAY()+300</f>
        <v>46552</v>
      </c>
      <c r="L9" s="72" t="n">
        <f aca="true">TODAY()+210</f>
        <v>46462</v>
      </c>
      <c r="M9" s="72" t="n">
        <f aca="true">TODAY()+25</f>
        <v>46277</v>
      </c>
      <c r="N9" s="71" t="s">
        <v>346</v>
      </c>
      <c r="O9" s="74" t="str">
        <f aca="true">IF($C9="","",IF($N9="Suspended","SUSPENDED - DO NOT AWARD",IF($N9="Cancelled","Prequalification cancelled",IF(OR(AND($K9&lt;&gt;"",$K9&lt;TODAY()),AND($L9&lt;&gt;"",$L9&lt;TODAY()),AND($M9&lt;&gt;"",$M9&lt;TODAY())),"EXPIRED - CHECK BEFORE AWARD",IF(AND(SUMPRODUCT(MAX(('Project List'!$I$7:$I$28=$C9)*('Project List'!$K$7:$K$28)))&gt;0,OR(AND($K9&lt;&gt;"",$K9&lt;SUMPRODUCT(MAX(('Project List'!$I$7:$I$28=$C9)*('Project List'!$K$7:$K$28)))),AND($L9&lt;&gt;"",$L9&lt;SUMPRODUCT(MAX(('Project List'!$I$7:$I$28=$C9)*('Project List'!$K$7:$K$28)))))),"COVER LAPSES BEFORE THE WORK ENDS",IF(AND($G9&lt;&gt;"",($H9*12/IF(Setup!$D$26&gt;0,Setup!$D$26,12))&gt;$G9),"OVER THE ASSESSED LEVEL",IF(OR(AND($K9&lt;&gt;"",$K9-TODAY()&lt;=Setup!$D$20),AND($L9&lt;&gt;"",$L9-TODAY()&lt;=Setup!$D$20),AND($M9&lt;&gt;"",$M9-TODAY()&lt;=Setup!$D$20)),"Expiring soon",IF(AND($G9&lt;&gt;"",($H9*12/IF(Setup!$D$26&gt;0,Setup!$D$26,12))&gt;$G9*Setup!$D$27),"Near the assessed level",IF($H9=0,"Prequalified, carrying nothing","Current")))))))))</f>
        <v>Expiring soon</v>
      </c>
      <c r="P9" s="71" t="s">
        <v>352</v>
      </c>
    </row>
    <row r="10" customFormat="false" ht="46.5" hidden="false" customHeight="true" outlineLevel="0" collapsed="false">
      <c r="B10" s="70" t="str">
        <f aca="false">IF($C10="","","C"&amp;TEXT(ROW()-6,"000"))</f>
        <v>C004</v>
      </c>
      <c r="C10" s="75" t="s">
        <v>254</v>
      </c>
      <c r="D10" s="75" t="s">
        <v>353</v>
      </c>
      <c r="E10" s="75" t="s">
        <v>354</v>
      </c>
      <c r="F10" s="75" t="s">
        <v>355</v>
      </c>
      <c r="G10" s="84" t="n">
        <v>5000000</v>
      </c>
      <c r="H10" s="80" t="n">
        <f aca="false">IF($C10="","",SUMIFS('Cost &amp; Benefits'!$F$7:$F$28,'Cost &amp; Benefits'!$D$7:$D$28,$C10))</f>
        <v>9485000</v>
      </c>
      <c r="I10" s="80" t="n">
        <f aca="false">IF(OR($C10="",$G10=""),"",$G10-($H10*12/IF(Setup!$D$26&gt;0,Setup!$D$26,12)))</f>
        <v>257500</v>
      </c>
      <c r="J10" s="73" t="n">
        <f aca="false">IF($C10="","",COUNTIF('Project List'!$I$7:$I$28,$C10))</f>
        <v>3</v>
      </c>
      <c r="K10" s="76" t="n">
        <f aca="true">TODAY()+360</f>
        <v>46612</v>
      </c>
      <c r="L10" s="76" t="n">
        <f aca="true">TODAY()+340</f>
        <v>46592</v>
      </c>
      <c r="M10" s="76" t="n">
        <f aca="true">TODAY()+320</f>
        <v>46572</v>
      </c>
      <c r="N10" s="75" t="s">
        <v>346</v>
      </c>
      <c r="O10" s="74" t="str">
        <f aca="true">IF($C10="","",IF($N10="Suspended","SUSPENDED - DO NOT AWARD",IF($N10="Cancelled","Prequalification cancelled",IF(OR(AND($K10&lt;&gt;"",$K10&lt;TODAY()),AND($L10&lt;&gt;"",$L10&lt;TODAY()),AND($M10&lt;&gt;"",$M10&lt;TODAY())),"EXPIRED - CHECK BEFORE AWARD",IF(AND(SUMPRODUCT(MAX(('Project List'!$I$7:$I$28=$C10)*('Project List'!$K$7:$K$28)))&gt;0,OR(AND($K10&lt;&gt;"",$K10&lt;SUMPRODUCT(MAX(('Project List'!$I$7:$I$28=$C10)*('Project List'!$K$7:$K$28)))),AND($L10&lt;&gt;"",$L10&lt;SUMPRODUCT(MAX(('Project List'!$I$7:$I$28=$C10)*('Project List'!$K$7:$K$28)))))),"COVER LAPSES BEFORE THE WORK ENDS",IF(AND($G10&lt;&gt;"",($H10*12/IF(Setup!$D$26&gt;0,Setup!$D$26,12))&gt;$G10),"OVER THE ASSESSED LEVEL",IF(OR(AND($K10&lt;&gt;"",$K10-TODAY()&lt;=Setup!$D$20),AND($L10&lt;&gt;"",$L10-TODAY()&lt;=Setup!$D$20),AND($M10&lt;&gt;"",$M10-TODAY()&lt;=Setup!$D$20)),"Expiring soon",IF(AND($G10&lt;&gt;"",($H10*12/IF(Setup!$D$26&gt;0,Setup!$D$26,12))&gt;$G10*Setup!$D$27),"Near the assessed level",IF($H10=0,"Prequalified, carrying nothing","Current")))))))))</f>
        <v>Near the assessed level</v>
      </c>
      <c r="P10" s="75" t="s">
        <v>356</v>
      </c>
    </row>
    <row r="11" customFormat="false" ht="46.5" hidden="false" customHeight="true" outlineLevel="0" collapsed="false">
      <c r="B11" s="70" t="str">
        <f aca="false">IF($C11="","","C"&amp;TEXT(ROW()-6,"000"))</f>
        <v>C005</v>
      </c>
      <c r="C11" s="71" t="s">
        <v>259</v>
      </c>
      <c r="D11" s="71" t="s">
        <v>353</v>
      </c>
      <c r="E11" s="71" t="s">
        <v>354</v>
      </c>
      <c r="F11" s="71" t="s">
        <v>355</v>
      </c>
      <c r="G11" s="79" t="n">
        <v>5000000</v>
      </c>
      <c r="H11" s="80" t="n">
        <f aca="false">IF($C11="","",SUMIFS('Cost &amp; Benefits'!$F$7:$F$28,'Cost &amp; Benefits'!$D$7:$D$28,$C11))</f>
        <v>3468000</v>
      </c>
      <c r="I11" s="80" t="n">
        <f aca="false">IF(OR($C11="",$G11=""),"",$G11-($H11*12/IF(Setup!$D$26&gt;0,Setup!$D$26,12)))</f>
        <v>3266000</v>
      </c>
      <c r="J11" s="73" t="n">
        <f aca="false">IF($C11="","",COUNTIF('Project List'!$I$7:$I$28,$C11))</f>
        <v>1</v>
      </c>
      <c r="K11" s="72" t="n">
        <f aca="true">TODAY()+280</f>
        <v>46532</v>
      </c>
      <c r="L11" s="72" t="n">
        <f aca="true">TODAY()+96</f>
        <v>46348</v>
      </c>
      <c r="M11" s="72" t="n">
        <f aca="true">TODAY()+340</f>
        <v>46592</v>
      </c>
      <c r="N11" s="71" t="s">
        <v>346</v>
      </c>
      <c r="O11" s="74" t="str">
        <f aca="true">IF($C11="","",IF($N11="Suspended","SUSPENDED - DO NOT AWARD",IF($N11="Cancelled","Prequalification cancelled",IF(OR(AND($K11&lt;&gt;"",$K11&lt;TODAY()),AND($L11&lt;&gt;"",$L11&lt;TODAY()),AND($M11&lt;&gt;"",$M11&lt;TODAY())),"EXPIRED - CHECK BEFORE AWARD",IF(AND(SUMPRODUCT(MAX(('Project List'!$I$7:$I$28=$C11)*('Project List'!$K$7:$K$28)))&gt;0,OR(AND($K11&lt;&gt;"",$K11&lt;SUMPRODUCT(MAX(('Project List'!$I$7:$I$28=$C11)*('Project List'!$K$7:$K$28)))),AND($L11&lt;&gt;"",$L11&lt;SUMPRODUCT(MAX(('Project List'!$I$7:$I$28=$C11)*('Project List'!$K$7:$K$28)))))),"COVER LAPSES BEFORE THE WORK ENDS",IF(AND($G11&lt;&gt;"",($H11*12/IF(Setup!$D$26&gt;0,Setup!$D$26,12))&gt;$G11),"OVER THE ASSESSED LEVEL",IF(OR(AND($K11&lt;&gt;"",$K11-TODAY()&lt;=Setup!$D$20),AND($L11&lt;&gt;"",$L11-TODAY()&lt;=Setup!$D$20),AND($M11&lt;&gt;"",$M11-TODAY()&lt;=Setup!$D$20)),"Expiring soon",IF(AND($G11&lt;&gt;"",($H11*12/IF(Setup!$D$26&gt;0,Setup!$D$26,12))&gt;$G11*Setup!$D$27),"Near the assessed level",IF($H11=0,"Prequalified, carrying nothing","Current")))))))))</f>
        <v>COVER LAPSES BEFORE THE WORK ENDS</v>
      </c>
      <c r="P11" s="71" t="s">
        <v>357</v>
      </c>
    </row>
    <row r="12" customFormat="false" ht="46.5" hidden="false" customHeight="true" outlineLevel="0" collapsed="false">
      <c r="B12" s="70" t="str">
        <f aca="false">IF($C12="","","C"&amp;TEXT(ROW()-6,"000"))</f>
        <v>C006</v>
      </c>
      <c r="C12" s="75" t="s">
        <v>263</v>
      </c>
      <c r="D12" s="75" t="s">
        <v>343</v>
      </c>
      <c r="E12" s="75" t="s">
        <v>358</v>
      </c>
      <c r="F12" s="75" t="s">
        <v>345</v>
      </c>
      <c r="G12" s="84" t="n">
        <v>25000000</v>
      </c>
      <c r="H12" s="80" t="n">
        <f aca="false">IF($C12="","",SUMIFS('Cost &amp; Benefits'!$F$7:$F$28,'Cost &amp; Benefits'!$D$7:$D$28,$C12))</f>
        <v>18400000</v>
      </c>
      <c r="I12" s="80" t="n">
        <f aca="false">IF(OR($C12="",$G12=""),"",$G12-($H12*12/IF(Setup!$D$26&gt;0,Setup!$D$26,12)))</f>
        <v>15800000</v>
      </c>
      <c r="J12" s="73" t="n">
        <f aca="false">IF($C12="","",COUNTIF('Project List'!$I$7:$I$28,$C12))</f>
        <v>1</v>
      </c>
      <c r="K12" s="76" t="n">
        <f aca="true">TODAY()+450</f>
        <v>46702</v>
      </c>
      <c r="L12" s="76" t="n">
        <f aca="true">TODAY()+430</f>
        <v>46682</v>
      </c>
      <c r="M12" s="76" t="n">
        <f aca="true">TODAY()+470</f>
        <v>46722</v>
      </c>
      <c r="N12" s="75" t="s">
        <v>346</v>
      </c>
      <c r="O12" s="74" t="str">
        <f aca="true">IF($C12="","",IF($N12="Suspended","SUSPENDED - DO NOT AWARD",IF($N12="Cancelled","Prequalification cancelled",IF(OR(AND($K12&lt;&gt;"",$K12&lt;TODAY()),AND($L12&lt;&gt;"",$L12&lt;TODAY()),AND($M12&lt;&gt;"",$M12&lt;TODAY())),"EXPIRED - CHECK BEFORE AWARD",IF(AND(SUMPRODUCT(MAX(('Project List'!$I$7:$I$28=$C12)*('Project List'!$K$7:$K$28)))&gt;0,OR(AND($K12&lt;&gt;"",$K12&lt;SUMPRODUCT(MAX(('Project List'!$I$7:$I$28=$C12)*('Project List'!$K$7:$K$28)))),AND($L12&lt;&gt;"",$L12&lt;SUMPRODUCT(MAX(('Project List'!$I$7:$I$28=$C12)*('Project List'!$K$7:$K$28)))))),"COVER LAPSES BEFORE THE WORK ENDS",IF(AND($G12&lt;&gt;"",($H12*12/IF(Setup!$D$26&gt;0,Setup!$D$26,12))&gt;$G12),"OVER THE ASSESSED LEVEL",IF(OR(AND($K12&lt;&gt;"",$K12-TODAY()&lt;=Setup!$D$20),AND($L12&lt;&gt;"",$L12-TODAY()&lt;=Setup!$D$20),AND($M12&lt;&gt;"",$M12-TODAY()&lt;=Setup!$D$20)),"Expiring soon",IF(AND($G12&lt;&gt;"",($H12*12/IF(Setup!$D$26&gt;0,Setup!$D$26,12))&gt;$G12*Setup!$D$27),"Near the assessed level",IF($H12=0,"Prequalified, carrying nothing","Current")))))))))</f>
        <v>Current</v>
      </c>
      <c r="P12" s="75"/>
    </row>
    <row r="13" customFormat="false" ht="46.5" hidden="false" customHeight="true" outlineLevel="0" collapsed="false">
      <c r="B13" s="70" t="str">
        <f aca="false">IF($C13="","","C"&amp;TEXT(ROW()-6,"000"))</f>
        <v>C007</v>
      </c>
      <c r="C13" s="71" t="s">
        <v>269</v>
      </c>
      <c r="D13" s="71" t="s">
        <v>359</v>
      </c>
      <c r="E13" s="71" t="s">
        <v>360</v>
      </c>
      <c r="F13" s="71" t="s">
        <v>361</v>
      </c>
      <c r="G13" s="79"/>
      <c r="H13" s="80" t="n">
        <f aca="false">IF($C13="","",SUMIFS('Cost &amp; Benefits'!$F$7:$F$28,'Cost &amp; Benefits'!$D$7:$D$28,$C13))</f>
        <v>5290000</v>
      </c>
      <c r="I13" s="80" t="str">
        <f aca="false">IF(OR($C13="",$G13=""),"",$G13-($H13*12/IF(Setup!$D$26&gt;0,Setup!$D$26,12)))</f>
        <v/>
      </c>
      <c r="J13" s="73" t="n">
        <f aca="false">IF($C13="","",COUNTIF('Project List'!$I$7:$I$28,$C13))</f>
        <v>1</v>
      </c>
      <c r="K13" s="72" t="n">
        <f aca="true">TODAY()+500</f>
        <v>46752</v>
      </c>
      <c r="L13" s="72" t="n">
        <f aca="true">TODAY()+320</f>
        <v>46572</v>
      </c>
      <c r="M13" s="72"/>
      <c r="N13" s="71" t="s">
        <v>346</v>
      </c>
      <c r="O13" s="74" t="str">
        <f aca="true">IF($C13="","",IF($N13="Suspended","SUSPENDED - DO NOT AWARD",IF($N13="Cancelled","Prequalification cancelled",IF(OR(AND($K13&lt;&gt;"",$K13&lt;TODAY()),AND($L13&lt;&gt;"",$L13&lt;TODAY()),AND($M13&lt;&gt;"",$M13&lt;TODAY())),"EXPIRED - CHECK BEFORE AWARD",IF(AND(SUMPRODUCT(MAX(('Project List'!$I$7:$I$28=$C13)*('Project List'!$K$7:$K$28)))&gt;0,OR(AND($K13&lt;&gt;"",$K13&lt;SUMPRODUCT(MAX(('Project List'!$I$7:$I$28=$C13)*('Project List'!$K$7:$K$28)))),AND($L13&lt;&gt;"",$L13&lt;SUMPRODUCT(MAX(('Project List'!$I$7:$I$28=$C13)*('Project List'!$K$7:$K$28)))))),"COVER LAPSES BEFORE THE WORK ENDS",IF(AND($G13&lt;&gt;"",($H13*12/IF(Setup!$D$26&gt;0,Setup!$D$26,12))&gt;$G13),"OVER THE ASSESSED LEVEL",IF(OR(AND($K13&lt;&gt;"",$K13-TODAY()&lt;=Setup!$D$20),AND($L13&lt;&gt;"",$L13-TODAY()&lt;=Setup!$D$20),AND($M13&lt;&gt;"",$M13-TODAY()&lt;=Setup!$D$20)),"Expiring soon",IF(AND($G13&lt;&gt;"",($H13*12/IF(Setup!$D$26&gt;0,Setup!$D$26,12))&gt;$G13*Setup!$D$27),"Near the assessed level",IF($H13=0,"Prequalified, carrying nothing","Current")))))))))</f>
        <v>Current</v>
      </c>
      <c r="P13" s="71" t="s">
        <v>362</v>
      </c>
    </row>
    <row r="14" customFormat="false" ht="46.5" hidden="false" customHeight="true" outlineLevel="0" collapsed="false">
      <c r="B14" s="70" t="str">
        <f aca="false">IF($C14="","","C"&amp;TEXT(ROW()-6,"000"))</f>
        <v>C008</v>
      </c>
      <c r="C14" s="75" t="s">
        <v>271</v>
      </c>
      <c r="D14" s="75" t="s">
        <v>347</v>
      </c>
      <c r="E14" s="75" t="s">
        <v>363</v>
      </c>
      <c r="F14" s="75" t="s">
        <v>355</v>
      </c>
      <c r="G14" s="84" t="n">
        <v>5000000</v>
      </c>
      <c r="H14" s="80" t="n">
        <f aca="false">IF($C14="","",SUMIFS('Cost &amp; Benefits'!$F$7:$F$28,'Cost &amp; Benefits'!$D$7:$D$28,$C14))</f>
        <v>6642000</v>
      </c>
      <c r="I14" s="80" t="n">
        <f aca="false">IF(OR($C14="",$G14=""),"",$G14-($H14*12/IF(Setup!$D$26&gt;0,Setup!$D$26,12)))</f>
        <v>1679000</v>
      </c>
      <c r="J14" s="73" t="n">
        <f aca="false">IF($C14="","",COUNTIF('Project List'!$I$7:$I$28,$C14))</f>
        <v>2</v>
      </c>
      <c r="K14" s="76" t="n">
        <f aca="true">TODAY()-15</f>
        <v>46237</v>
      </c>
      <c r="L14" s="76" t="n">
        <f aca="true">TODAY()+180</f>
        <v>46432</v>
      </c>
      <c r="M14" s="76" t="n">
        <f aca="true">TODAY()+240</f>
        <v>46492</v>
      </c>
      <c r="N14" s="75" t="s">
        <v>364</v>
      </c>
      <c r="O14" s="74" t="str">
        <f aca="true">IF($C14="","",IF($N14="Suspended","SUSPENDED - DO NOT AWARD",IF($N14="Cancelled","Prequalification cancelled",IF(OR(AND($K14&lt;&gt;"",$K14&lt;TODAY()),AND($L14&lt;&gt;"",$L14&lt;TODAY()),AND($M14&lt;&gt;"",$M14&lt;TODAY())),"EXPIRED - CHECK BEFORE AWARD",IF(AND(SUMPRODUCT(MAX(('Project List'!$I$7:$I$28=$C14)*('Project List'!$K$7:$K$28)))&gt;0,OR(AND($K14&lt;&gt;"",$K14&lt;SUMPRODUCT(MAX(('Project List'!$I$7:$I$28=$C14)*('Project List'!$K$7:$K$28)))),AND($L14&lt;&gt;"",$L14&lt;SUMPRODUCT(MAX(('Project List'!$I$7:$I$28=$C14)*('Project List'!$K$7:$K$28)))))),"COVER LAPSES BEFORE THE WORK ENDS",IF(AND($G14&lt;&gt;"",($H14*12/IF(Setup!$D$26&gt;0,Setup!$D$26,12))&gt;$G14),"OVER THE ASSESSED LEVEL",IF(OR(AND($K14&lt;&gt;"",$K14-TODAY()&lt;=Setup!$D$20),AND($L14&lt;&gt;"",$L14-TODAY()&lt;=Setup!$D$20),AND($M14&lt;&gt;"",$M14-TODAY()&lt;=Setup!$D$20)),"Expiring soon",IF(AND($G14&lt;&gt;"",($H14*12/IF(Setup!$D$26&gt;0,Setup!$D$26,12))&gt;$G14*Setup!$D$27),"Near the assessed level",IF($H14=0,"Prequalified, carrying nothing","Current")))))))))</f>
        <v>SUSPENDED - DO NOT AWARD</v>
      </c>
      <c r="P14" s="75" t="s">
        <v>365</v>
      </c>
    </row>
    <row r="15" customFormat="false" ht="46.5" hidden="false" customHeight="true" outlineLevel="0" collapsed="false">
      <c r="B15" s="70" t="str">
        <f aca="false">IF($C15="","","C"&amp;TEXT(ROW()-6,"000"))</f>
        <v>C009</v>
      </c>
      <c r="C15" s="71" t="s">
        <v>366</v>
      </c>
      <c r="D15" s="71" t="s">
        <v>347</v>
      </c>
      <c r="E15" s="71" t="s">
        <v>363</v>
      </c>
      <c r="F15" s="71" t="s">
        <v>367</v>
      </c>
      <c r="G15" s="79" t="n">
        <v>2000000</v>
      </c>
      <c r="H15" s="80" t="n">
        <f aca="false">IF($C15="","",SUMIFS('Cost &amp; Benefits'!$F$7:$F$28,'Cost &amp; Benefits'!$D$7:$D$28,$C15))</f>
        <v>0</v>
      </c>
      <c r="I15" s="80" t="n">
        <f aca="false">IF(OR($C15="",$G15=""),"",$G15-($H15*12/IF(Setup!$D$26&gt;0,Setup!$D$26,12)))</f>
        <v>2000000</v>
      </c>
      <c r="J15" s="73" t="n">
        <f aca="false">IF($C15="","",COUNTIF('Project List'!$I$7:$I$28,$C15))</f>
        <v>0</v>
      </c>
      <c r="K15" s="72" t="n">
        <f aca="true">TODAY()+330</f>
        <v>46582</v>
      </c>
      <c r="L15" s="72" t="n">
        <f aca="true">TODAY()+290</f>
        <v>46542</v>
      </c>
      <c r="M15" s="72" t="n">
        <f aca="true">TODAY()+410</f>
        <v>46662</v>
      </c>
      <c r="N15" s="71" t="s">
        <v>346</v>
      </c>
      <c r="O15" s="74" t="str">
        <f aca="true">IF($C15="","",IF($N15="Suspended","SUSPENDED - DO NOT AWARD",IF($N15="Cancelled","Prequalification cancelled",IF(OR(AND($K15&lt;&gt;"",$K15&lt;TODAY()),AND($L15&lt;&gt;"",$L15&lt;TODAY()),AND($M15&lt;&gt;"",$M15&lt;TODAY())),"EXPIRED - CHECK BEFORE AWARD",IF(AND(SUMPRODUCT(MAX(('Project List'!$I$7:$I$28=$C15)*('Project List'!$K$7:$K$28)))&gt;0,OR(AND($K15&lt;&gt;"",$K15&lt;SUMPRODUCT(MAX(('Project List'!$I$7:$I$28=$C15)*('Project List'!$K$7:$K$28)))),AND($L15&lt;&gt;"",$L15&lt;SUMPRODUCT(MAX(('Project List'!$I$7:$I$28=$C15)*('Project List'!$K$7:$K$28)))))),"COVER LAPSES BEFORE THE WORK ENDS",IF(AND($G15&lt;&gt;"",($H15*12/IF(Setup!$D$26&gt;0,Setup!$D$26,12))&gt;$G15),"OVER THE ASSESSED LEVEL",IF(OR(AND($K15&lt;&gt;"",$K15-TODAY()&lt;=Setup!$D$20),AND($L15&lt;&gt;"",$L15-TODAY()&lt;=Setup!$D$20),AND($M15&lt;&gt;"",$M15-TODAY()&lt;=Setup!$D$20)),"Expiring soon",IF(AND($G15&lt;&gt;"",($H15*12/IF(Setup!$D$26&gt;0,Setup!$D$26,12))&gt;$G15*Setup!$D$27),"Near the assessed level",IF($H15=0,"Prequalified, carrying nothing","Current")))))))))</f>
        <v>Prequalified, carrying nothing</v>
      </c>
      <c r="P15" s="71" t="s">
        <v>368</v>
      </c>
    </row>
    <row r="16" customFormat="false" ht="46.5" hidden="false" customHeight="true" outlineLevel="0" collapsed="false">
      <c r="B16" s="70" t="str">
        <f aca="false">IF($C16="","","C"&amp;TEXT(ROW()-6,"000"))</f>
        <v/>
      </c>
      <c r="C16" s="75"/>
      <c r="D16" s="75"/>
      <c r="E16" s="75"/>
      <c r="F16" s="75"/>
      <c r="G16" s="84"/>
      <c r="H16" s="80" t="str">
        <f aca="false">IF($C16="","",SUMIFS('Cost &amp; Benefits'!$F$7:$F$28,'Cost &amp; Benefits'!$D$7:$D$28,$C16))</f>
        <v/>
      </c>
      <c r="I16" s="80" t="str">
        <f aca="false">IF(OR($C16="",$G16=""),"",$G16-($H16*12/IF(Setup!$D$26&gt;0,Setup!$D$26,12)))</f>
        <v/>
      </c>
      <c r="J16" s="73" t="str">
        <f aca="false">IF($C16="","",COUNTIF('Project List'!$I$7:$I$28,$C16))</f>
        <v/>
      </c>
      <c r="K16" s="76"/>
      <c r="L16" s="76"/>
      <c r="M16" s="76"/>
      <c r="N16" s="75"/>
      <c r="O16" s="74" t="str">
        <f aca="true">IF($C16="","",IF($N16="Suspended","SUSPENDED - DO NOT AWARD",IF($N16="Cancelled","Prequalification cancelled",IF(OR(AND($K16&lt;&gt;"",$K16&lt;TODAY()),AND($L16&lt;&gt;"",$L16&lt;TODAY()),AND($M16&lt;&gt;"",$M16&lt;TODAY())),"EXPIRED - CHECK BEFORE AWARD",IF(AND(SUMPRODUCT(MAX(('Project List'!$I$7:$I$28=$C16)*('Project List'!$K$7:$K$28)))&gt;0,OR(AND($K16&lt;&gt;"",$K16&lt;SUMPRODUCT(MAX(('Project List'!$I$7:$I$28=$C16)*('Project List'!$K$7:$K$28)))),AND($L16&lt;&gt;"",$L16&lt;SUMPRODUCT(MAX(('Project List'!$I$7:$I$28=$C16)*('Project List'!$K$7:$K$28)))))),"COVER LAPSES BEFORE THE WORK ENDS",IF(AND($G16&lt;&gt;"",($H16*12/IF(Setup!$D$26&gt;0,Setup!$D$26,12))&gt;$G16),"OVER THE ASSESSED LEVEL",IF(OR(AND($K16&lt;&gt;"",$K16-TODAY()&lt;=Setup!$D$20),AND($L16&lt;&gt;"",$L16-TODAY()&lt;=Setup!$D$20),AND($M16&lt;&gt;"",$M16-TODAY()&lt;=Setup!$D$20)),"Expiring soon",IF(AND($G16&lt;&gt;"",($H16*12/IF(Setup!$D$26&gt;0,Setup!$D$26,12))&gt;$G16*Setup!$D$27),"Near the assessed level",IF($H16=0,"Prequalified, carrying nothing","Current")))))))))</f>
        <v/>
      </c>
      <c r="P16" s="75"/>
    </row>
    <row r="17" customFormat="false" ht="46.5" hidden="false" customHeight="true" outlineLevel="0" collapsed="false">
      <c r="B17" s="70" t="str">
        <f aca="false">IF($C17="","","C"&amp;TEXT(ROW()-6,"000"))</f>
        <v/>
      </c>
      <c r="C17" s="71"/>
      <c r="D17" s="71"/>
      <c r="E17" s="71"/>
      <c r="F17" s="71"/>
      <c r="G17" s="79"/>
      <c r="H17" s="80" t="str">
        <f aca="false">IF($C17="","",SUMIFS('Cost &amp; Benefits'!$F$7:$F$28,'Cost &amp; Benefits'!$D$7:$D$28,$C17))</f>
        <v/>
      </c>
      <c r="I17" s="80" t="str">
        <f aca="false">IF(OR($C17="",$G17=""),"",$G17-($H17*12/IF(Setup!$D$26&gt;0,Setup!$D$26,12)))</f>
        <v/>
      </c>
      <c r="J17" s="73" t="str">
        <f aca="false">IF($C17="","",COUNTIF('Project List'!$I$7:$I$28,$C17))</f>
        <v/>
      </c>
      <c r="K17" s="72"/>
      <c r="L17" s="72"/>
      <c r="M17" s="72"/>
      <c r="N17" s="71"/>
      <c r="O17" s="74" t="str">
        <f aca="true">IF($C17="","",IF($N17="Suspended","SUSPENDED - DO NOT AWARD",IF($N17="Cancelled","Prequalification cancelled",IF(OR(AND($K17&lt;&gt;"",$K17&lt;TODAY()),AND($L17&lt;&gt;"",$L17&lt;TODAY()),AND($M17&lt;&gt;"",$M17&lt;TODAY())),"EXPIRED - CHECK BEFORE AWARD",IF(AND(SUMPRODUCT(MAX(('Project List'!$I$7:$I$28=$C17)*('Project List'!$K$7:$K$28)))&gt;0,OR(AND($K17&lt;&gt;"",$K17&lt;SUMPRODUCT(MAX(('Project List'!$I$7:$I$28=$C17)*('Project List'!$K$7:$K$28)))),AND($L17&lt;&gt;"",$L17&lt;SUMPRODUCT(MAX(('Project List'!$I$7:$I$28=$C17)*('Project List'!$K$7:$K$28)))))),"COVER LAPSES BEFORE THE WORK ENDS",IF(AND($G17&lt;&gt;"",($H17*12/IF(Setup!$D$26&gt;0,Setup!$D$26,12))&gt;$G17),"OVER THE ASSESSED LEVEL",IF(OR(AND($K17&lt;&gt;"",$K17-TODAY()&lt;=Setup!$D$20),AND($L17&lt;&gt;"",$L17-TODAY()&lt;=Setup!$D$20),AND($M17&lt;&gt;"",$M17-TODAY()&lt;=Setup!$D$20)),"Expiring soon",IF(AND($G17&lt;&gt;"",($H17*12/IF(Setup!$D$26&gt;0,Setup!$D$26,12))&gt;$G17*Setup!$D$27),"Near the assessed level",IF($H17=0,"Prequalified, carrying nothing","Current")))))))))</f>
        <v/>
      </c>
      <c r="P17" s="71"/>
    </row>
    <row r="18" customFormat="false" ht="46.5" hidden="false" customHeight="true" outlineLevel="0" collapsed="false">
      <c r="B18" s="70" t="str">
        <f aca="false">IF($C18="","","C"&amp;TEXT(ROW()-6,"000"))</f>
        <v/>
      </c>
      <c r="C18" s="75"/>
      <c r="D18" s="75"/>
      <c r="E18" s="75"/>
      <c r="F18" s="75"/>
      <c r="G18" s="84"/>
      <c r="H18" s="80" t="str">
        <f aca="false">IF($C18="","",SUMIFS('Cost &amp; Benefits'!$F$7:$F$28,'Cost &amp; Benefits'!$D$7:$D$28,$C18))</f>
        <v/>
      </c>
      <c r="I18" s="80" t="str">
        <f aca="false">IF(OR($C18="",$G18=""),"",$G18-($H18*12/IF(Setup!$D$26&gt;0,Setup!$D$26,12)))</f>
        <v/>
      </c>
      <c r="J18" s="73" t="str">
        <f aca="false">IF($C18="","",COUNTIF('Project List'!$I$7:$I$28,$C18))</f>
        <v/>
      </c>
      <c r="K18" s="76"/>
      <c r="L18" s="76"/>
      <c r="M18" s="76"/>
      <c r="N18" s="75"/>
      <c r="O18" s="74" t="str">
        <f aca="true">IF($C18="","",IF($N18="Suspended","SUSPENDED - DO NOT AWARD",IF($N18="Cancelled","Prequalification cancelled",IF(OR(AND($K18&lt;&gt;"",$K18&lt;TODAY()),AND($L18&lt;&gt;"",$L18&lt;TODAY()),AND($M18&lt;&gt;"",$M18&lt;TODAY())),"EXPIRED - CHECK BEFORE AWARD",IF(AND(SUMPRODUCT(MAX(('Project List'!$I$7:$I$28=$C18)*('Project List'!$K$7:$K$28)))&gt;0,OR(AND($K18&lt;&gt;"",$K18&lt;SUMPRODUCT(MAX(('Project List'!$I$7:$I$28=$C18)*('Project List'!$K$7:$K$28)))),AND($L18&lt;&gt;"",$L18&lt;SUMPRODUCT(MAX(('Project List'!$I$7:$I$28=$C18)*('Project List'!$K$7:$K$28)))))),"COVER LAPSES BEFORE THE WORK ENDS",IF(AND($G18&lt;&gt;"",($H18*12/IF(Setup!$D$26&gt;0,Setup!$D$26,12))&gt;$G18),"OVER THE ASSESSED LEVEL",IF(OR(AND($K18&lt;&gt;"",$K18-TODAY()&lt;=Setup!$D$20),AND($L18&lt;&gt;"",$L18-TODAY()&lt;=Setup!$D$20),AND($M18&lt;&gt;"",$M18-TODAY()&lt;=Setup!$D$20)),"Expiring soon",IF(AND($G18&lt;&gt;"",($H18*12/IF(Setup!$D$26&gt;0,Setup!$D$26,12))&gt;$G18*Setup!$D$27),"Near the assessed level",IF($H18=0,"Prequalified, carrying nothing","Current")))))))))</f>
        <v/>
      </c>
      <c r="P18" s="75"/>
    </row>
    <row r="23" customFormat="false" ht="15" hidden="false" customHeight="true" outlineLevel="0" collapsed="false">
      <c r="B23" s="40" t="s">
        <v>369</v>
      </c>
      <c r="C23" s="40"/>
      <c r="D23" s="40"/>
      <c r="E23" s="40"/>
      <c r="F23" s="40"/>
      <c r="G23" s="40"/>
      <c r="H23" s="40"/>
      <c r="I23" s="40"/>
      <c r="J23" s="40"/>
      <c r="K23" s="40"/>
      <c r="L23" s="40"/>
      <c r="M23" s="40"/>
      <c r="N23" s="40"/>
      <c r="O23" s="40"/>
      <c r="P23" s="40"/>
    </row>
    <row r="24" customFormat="false" ht="15" hidden="false" customHeight="true" outlineLevel="0" collapsed="false">
      <c r="B24" s="40"/>
      <c r="C24" s="40"/>
      <c r="D24" s="40"/>
      <c r="E24" s="40"/>
      <c r="F24" s="40"/>
      <c r="G24" s="40"/>
      <c r="H24" s="40"/>
      <c r="I24" s="40"/>
      <c r="J24" s="40"/>
      <c r="K24" s="40"/>
      <c r="L24" s="40"/>
      <c r="M24" s="40"/>
      <c r="N24" s="40"/>
      <c r="O24" s="40"/>
      <c r="P24" s="40"/>
    </row>
    <row r="25" customFormat="false" ht="18" hidden="false" customHeight="true" outlineLevel="0" collapsed="false">
      <c r="B25" s="47" t="s">
        <v>120</v>
      </c>
      <c r="C25" s="47"/>
      <c r="D25" s="47"/>
      <c r="E25" s="47"/>
      <c r="F25" s="47"/>
      <c r="G25" s="47"/>
      <c r="H25" s="47"/>
      <c r="I25" s="47"/>
      <c r="J25" s="47"/>
      <c r="K25" s="47"/>
      <c r="L25" s="47"/>
      <c r="M25" s="47"/>
      <c r="N25" s="47"/>
      <c r="O25" s="47"/>
      <c r="P25" s="47"/>
    </row>
  </sheetData>
  <autoFilter ref="B6:P21"/>
  <mergeCells count="6">
    <mergeCell ref="B1:P1"/>
    <mergeCell ref="B2:P2"/>
    <mergeCell ref="B3:P3"/>
    <mergeCell ref="B4:P4"/>
    <mergeCell ref="B23:P24"/>
    <mergeCell ref="B25:P25"/>
  </mergeCells>
  <conditionalFormatting sqref="B3:P3">
    <cfRule type="expression" priority="2" aboveAverage="0" equalAverage="0" bottom="0" percent="0" rank="0" text="" dxfId="0">
      <formula>LEN($B$3)&gt;0</formula>
    </cfRule>
  </conditionalFormatting>
  <conditionalFormatting sqref="B7:P21">
    <cfRule type="expression" priority="3" aboveAverage="0" equalAverage="0" bottom="0" percent="0" rank="0" text="" dxfId="1">
      <formula>$O7="SUSPENDED - DO NOT AWARD"</formula>
    </cfRule>
    <cfRule type="expression" priority="4" aboveAverage="0" equalAverage="0" bottom="0" percent="0" rank="0" text="" dxfId="1">
      <formula>$O7="EXPIRED - CHECK BEFORE AWARD"</formula>
    </cfRule>
    <cfRule type="expression" priority="5" aboveAverage="0" equalAverage="0" bottom="0" percent="0" rank="0" text="" dxfId="1">
      <formula>$O7="COVER LAPSES BEFORE THE WORK ENDS"</formula>
    </cfRule>
    <cfRule type="expression" priority="6" aboveAverage="0" equalAverage="0" bottom="0" percent="0" rank="0" text="" dxfId="1">
      <formula>$O7="OVER THE ASSESSED LEVEL"</formula>
    </cfRule>
    <cfRule type="expression" priority="7" aboveAverage="0" equalAverage="0" bottom="0" percent="0" rank="0" text="" dxfId="16">
      <formula>$O7="Prequalification cancelled"</formula>
    </cfRule>
    <cfRule type="expression" priority="8" aboveAverage="0" equalAverage="0" bottom="0" percent="0" rank="0" text="" dxfId="0">
      <formula>$O7="Expiring soon"</formula>
    </cfRule>
    <cfRule type="expression" priority="9" aboveAverage="0" equalAverage="0" bottom="0" percent="0" rank="0" text="" dxfId="2">
      <formula>$O7="Near the assessed level"</formula>
    </cfRule>
    <cfRule type="expression" priority="10" aboveAverage="0" equalAverage="0" bottom="0" percent="0" rank="0" text="" dxfId="18">
      <formula>$O7="Prequalified, carrying nothing"</formula>
    </cfRule>
    <cfRule type="expression" priority="11" aboveAverage="0" equalAverage="0" bottom="0" percent="0" rank="0" text="" dxfId="17">
      <formula>$O7="Current"</formula>
    </cfRule>
  </conditionalFormatting>
  <dataValidations count="49">
    <dataValidation allowBlank="true" errorStyle="stop" operator="between" showDropDown="false" showErrorMessage="false" showInputMessage="false" sqref="D7" type="list">
      <formula1>Reference!$H$115:$H$120</formula1>
      <formula2>0</formula2>
    </dataValidation>
    <dataValidation allowBlank="true" errorStyle="stop" operator="between" showDropDown="false" showErrorMessage="false" showInputMessage="false" sqref="E7" type="list">
      <formula1>Reference!$G$115:$G$129</formula1>
      <formula2>0</formula2>
    </dataValidation>
    <dataValidation allowBlank="true" errorStyle="stop" operator="between" showDropDown="false" showErrorMessage="false" showInputMessage="false" sqref="F7" type="list">
      <formula1>Reference!$F$115:$F$128</formula1>
      <formula2>0</formula2>
    </dataValidation>
    <dataValidation allowBlank="true" errorStyle="stop" operator="between" showDropDown="false" showErrorMessage="false" showInputMessage="false" sqref="N7" type="list">
      <formula1>Reference!$E$115:$E$119</formula1>
      <formula2>0</formula2>
    </dataValidation>
    <dataValidation allowBlank="true" errorStyle="stop" operator="between" showDropDown="false" showErrorMessage="false" showInputMessage="false" sqref="D8" type="list">
      <formula1>Reference!$H$115:$H$120</formula1>
      <formula2>0</formula2>
    </dataValidation>
    <dataValidation allowBlank="true" errorStyle="stop" operator="between" showDropDown="false" showErrorMessage="false" showInputMessage="false" sqref="E8" type="list">
      <formula1>Reference!$G$115:$G$129</formula1>
      <formula2>0</formula2>
    </dataValidation>
    <dataValidation allowBlank="true" errorStyle="stop" operator="between" showDropDown="false" showErrorMessage="false" showInputMessage="false" sqref="F8" type="list">
      <formula1>Reference!$F$115:$F$128</formula1>
      <formula2>0</formula2>
    </dataValidation>
    <dataValidation allowBlank="true" errorStyle="stop" operator="between" showDropDown="false" showErrorMessage="false" showInputMessage="false" sqref="N8" type="list">
      <formula1>Reference!$E$115:$E$119</formula1>
      <formula2>0</formula2>
    </dataValidation>
    <dataValidation allowBlank="true" errorStyle="stop" operator="between" showDropDown="false" showErrorMessage="false" showInputMessage="false" sqref="D9" type="list">
      <formula1>Reference!$H$115:$H$120</formula1>
      <formula2>0</formula2>
    </dataValidation>
    <dataValidation allowBlank="true" errorStyle="stop" operator="between" showDropDown="false" showErrorMessage="false" showInputMessage="false" sqref="E9" type="list">
      <formula1>Reference!$G$115:$G$129</formula1>
      <formula2>0</formula2>
    </dataValidation>
    <dataValidation allowBlank="true" errorStyle="stop" operator="between" showDropDown="false" showErrorMessage="false" showInputMessage="false" sqref="F9" type="list">
      <formula1>Reference!$F$115:$F$128</formula1>
      <formula2>0</formula2>
    </dataValidation>
    <dataValidation allowBlank="true" errorStyle="stop" operator="between" showDropDown="false" showErrorMessage="false" showInputMessage="false" sqref="N9" type="list">
      <formula1>Reference!$E$115:$E$119</formula1>
      <formula2>0</formula2>
    </dataValidation>
    <dataValidation allowBlank="true" errorStyle="stop" operator="between" showDropDown="false" showErrorMessage="false" showInputMessage="false" sqref="D10" type="list">
      <formula1>Reference!$H$115:$H$120</formula1>
      <formula2>0</formula2>
    </dataValidation>
    <dataValidation allowBlank="true" errorStyle="stop" operator="between" showDropDown="false" showErrorMessage="false" showInputMessage="false" sqref="E10" type="list">
      <formula1>Reference!$G$115:$G$129</formula1>
      <formula2>0</formula2>
    </dataValidation>
    <dataValidation allowBlank="true" errorStyle="stop" operator="between" showDropDown="false" showErrorMessage="false" showInputMessage="false" sqref="F10" type="list">
      <formula1>Reference!$F$115:$F$128</formula1>
      <formula2>0</formula2>
    </dataValidation>
    <dataValidation allowBlank="true" errorStyle="stop" operator="between" showDropDown="false" showErrorMessage="false" showInputMessage="false" sqref="N10" type="list">
      <formula1>Reference!$E$115:$E$119</formula1>
      <formula2>0</formula2>
    </dataValidation>
    <dataValidation allowBlank="true" errorStyle="stop" operator="between" showDropDown="false" showErrorMessage="false" showInputMessage="false" sqref="D11" type="list">
      <formula1>Reference!$H$115:$H$120</formula1>
      <formula2>0</formula2>
    </dataValidation>
    <dataValidation allowBlank="true" errorStyle="stop" operator="between" showDropDown="false" showErrorMessage="false" showInputMessage="false" sqref="E11" type="list">
      <formula1>Reference!$G$115:$G$129</formula1>
      <formula2>0</formula2>
    </dataValidation>
    <dataValidation allowBlank="true" errorStyle="stop" operator="between" showDropDown="false" showErrorMessage="false" showInputMessage="false" sqref="F11" type="list">
      <formula1>Reference!$F$115:$F$128</formula1>
      <formula2>0</formula2>
    </dataValidation>
    <dataValidation allowBlank="true" errorStyle="stop" operator="between" showDropDown="false" showErrorMessage="false" showInputMessage="false" sqref="N11" type="list">
      <formula1>Reference!$E$115:$E$119</formula1>
      <formula2>0</formula2>
    </dataValidation>
    <dataValidation allowBlank="true" errorStyle="stop" operator="between" showDropDown="false" showErrorMessage="false" showInputMessage="false" sqref="D12" type="list">
      <formula1>Reference!$H$115:$H$120</formula1>
      <formula2>0</formula2>
    </dataValidation>
    <dataValidation allowBlank="true" errorStyle="stop" operator="between" showDropDown="false" showErrorMessage="false" showInputMessage="false" sqref="E12" type="list">
      <formula1>Reference!$G$115:$G$129</formula1>
      <formula2>0</formula2>
    </dataValidation>
    <dataValidation allowBlank="true" errorStyle="stop" operator="between" showDropDown="false" showErrorMessage="false" showInputMessage="false" sqref="F12" type="list">
      <formula1>Reference!$F$115:$F$128</formula1>
      <formula2>0</formula2>
    </dataValidation>
    <dataValidation allowBlank="true" errorStyle="stop" operator="between" showDropDown="false" showErrorMessage="false" showInputMessage="false" sqref="N12" type="list">
      <formula1>Reference!$E$115:$E$119</formula1>
      <formula2>0</formula2>
    </dataValidation>
    <dataValidation allowBlank="true" errorStyle="stop" operator="between" showDropDown="false" showErrorMessage="false" showInputMessage="false" sqref="D13" type="list">
      <formula1>Reference!$H$115:$H$120</formula1>
      <formula2>0</formula2>
    </dataValidation>
    <dataValidation allowBlank="true" errorStyle="stop" operator="between" showDropDown="false" showErrorMessage="false" showInputMessage="false" sqref="E13" type="list">
      <formula1>Reference!$G$115:$G$129</formula1>
      <formula2>0</formula2>
    </dataValidation>
    <dataValidation allowBlank="true" errorStyle="stop" operator="between" showDropDown="false" showErrorMessage="false" showInputMessage="false" sqref="F13" type="list">
      <formula1>Reference!$F$115:$F$128</formula1>
      <formula2>0</formula2>
    </dataValidation>
    <dataValidation allowBlank="true" errorStyle="stop" operator="between" showDropDown="false" showErrorMessage="false" showInputMessage="false" sqref="N13" type="list">
      <formula1>Reference!$E$115:$E$119</formula1>
      <formula2>0</formula2>
    </dataValidation>
    <dataValidation allowBlank="true" errorStyle="stop" operator="between" showDropDown="false" showErrorMessage="false" showInputMessage="false" sqref="D14" type="list">
      <formula1>Reference!$H$115:$H$120</formula1>
      <formula2>0</formula2>
    </dataValidation>
    <dataValidation allowBlank="true" errorStyle="stop" operator="between" showDropDown="false" showErrorMessage="false" showInputMessage="false" sqref="E14" type="list">
      <formula1>Reference!$G$115:$G$129</formula1>
      <formula2>0</formula2>
    </dataValidation>
    <dataValidation allowBlank="true" errorStyle="stop" operator="between" showDropDown="false" showErrorMessage="false" showInputMessage="false" sqref="F14" type="list">
      <formula1>Reference!$F$115:$F$128</formula1>
      <formula2>0</formula2>
    </dataValidation>
    <dataValidation allowBlank="true" errorStyle="stop" operator="between" showDropDown="false" showErrorMessage="false" showInputMessage="false" sqref="N14" type="list">
      <formula1>Reference!$E$115:$E$119</formula1>
      <formula2>0</formula2>
    </dataValidation>
    <dataValidation allowBlank="true" errorStyle="stop" operator="between" showDropDown="false" showErrorMessage="false" showInputMessage="false" sqref="D15" type="list">
      <formula1>Reference!$H$115:$H$120</formula1>
      <formula2>0</formula2>
    </dataValidation>
    <dataValidation allowBlank="true" errorStyle="stop" operator="between" showDropDown="false" showErrorMessage="false" showInputMessage="false" sqref="E15" type="list">
      <formula1>Reference!$G$115:$G$129</formula1>
      <formula2>0</formula2>
    </dataValidation>
    <dataValidation allowBlank="true" errorStyle="stop" operator="between" showDropDown="false" showErrorMessage="false" showInputMessage="false" sqref="F15" type="list">
      <formula1>Reference!$F$115:$F$128</formula1>
      <formula2>0</formula2>
    </dataValidation>
    <dataValidation allowBlank="true" errorStyle="stop" operator="between" showDropDown="false" showErrorMessage="false" showInputMessage="false" sqref="N15" type="list">
      <formula1>Reference!$E$115:$E$119</formula1>
      <formula2>0</formula2>
    </dataValidation>
    <dataValidation allowBlank="true" errorStyle="stop" operator="between" showDropDown="false" showErrorMessage="false" showInputMessage="false" sqref="D16" type="list">
      <formula1>Reference!$H$115:$H$120</formula1>
      <formula2>0</formula2>
    </dataValidation>
    <dataValidation allowBlank="true" errorStyle="stop" operator="between" showDropDown="false" showErrorMessage="false" showInputMessage="false" sqref="E16" type="list">
      <formula1>Reference!$G$115:$G$129</formula1>
      <formula2>0</formula2>
    </dataValidation>
    <dataValidation allowBlank="true" errorStyle="stop" operator="between" showDropDown="false" showErrorMessage="false" showInputMessage="false" sqref="F16" type="list">
      <formula1>Reference!$F$115:$F$128</formula1>
      <formula2>0</formula2>
    </dataValidation>
    <dataValidation allowBlank="true" errorStyle="stop" operator="between" showDropDown="false" showErrorMessage="false" showInputMessage="false" sqref="N16" type="list">
      <formula1>Reference!$E$115:$E$119</formula1>
      <formula2>0</formula2>
    </dataValidation>
    <dataValidation allowBlank="true" errorStyle="stop" operator="between" showDropDown="false" showErrorMessage="false" showInputMessage="false" sqref="D17" type="list">
      <formula1>Reference!$H$115:$H$120</formula1>
      <formula2>0</formula2>
    </dataValidation>
    <dataValidation allowBlank="true" errorStyle="stop" operator="between" showDropDown="false" showErrorMessage="false" showInputMessage="false" sqref="E17" type="list">
      <formula1>Reference!$G$115:$G$129</formula1>
      <formula2>0</formula2>
    </dataValidation>
    <dataValidation allowBlank="true" errorStyle="stop" operator="between" showDropDown="false" showErrorMessage="false" showInputMessage="false" sqref="F17" type="list">
      <formula1>Reference!$F$115:$F$128</formula1>
      <formula2>0</formula2>
    </dataValidation>
    <dataValidation allowBlank="true" errorStyle="stop" operator="between" showDropDown="false" showErrorMessage="false" showInputMessage="false" sqref="N17" type="list">
      <formula1>Reference!$E$115:$E$119</formula1>
      <formula2>0</formula2>
    </dataValidation>
    <dataValidation allowBlank="true" errorStyle="stop" operator="between" showDropDown="false" showErrorMessage="false" showInputMessage="false" sqref="D18" type="list">
      <formula1>Reference!$H$115:$H$120</formula1>
      <formula2>0</formula2>
    </dataValidation>
    <dataValidation allowBlank="true" errorStyle="stop" operator="between" showDropDown="false" showErrorMessage="false" showInputMessage="false" sqref="E18" type="list">
      <formula1>Reference!$G$115:$G$129</formula1>
      <formula2>0</formula2>
    </dataValidation>
    <dataValidation allowBlank="true" errorStyle="stop" operator="between" showDropDown="false" showErrorMessage="false" showInputMessage="false" sqref="F18" type="list">
      <formula1>Reference!$F$115:$F$128</formula1>
      <formula2>0</formula2>
    </dataValidation>
    <dataValidation allowBlank="true" errorStyle="stop" operator="between" showDropDown="false" showErrorMessage="false" showInputMessage="false" sqref="N18" type="list">
      <formula1>Reference!$E$115:$E$119</formula1>
      <formula2>0</formula2>
    </dataValidation>
    <dataValidation allowBlank="false" errorStyle="stop" operator="between" prompt="The value the financial level was set against. The civil scheme describes it as the maximum additional aggregate contract cash flow commitment over twelve months - a year of concurrent work, not one contract. Leave it blank and no capacity check runs for " promptTitle="Capacity a year" showDropDown="false" showErrorMessage="false" showInputMessage="true" sqref="G7:G21" type="none">
      <formula1>0</formula1>
      <formula2>0</formula2>
    </dataValidation>
  </dataValidations>
  <hyperlinks>
    <hyperlink ref="B25" r:id="rId1" display="Visit mastt.com"/>
  </hyperlinks>
  <printOptions headings="false" gridLines="false" gridLinesSet="true" horizontalCentered="false" verticalCentered="false"/>
  <pageMargins left="0.3" right="0.3" top="0.5" bottom="0.5" header="0.511811023622047" footer="0.511811023622047"/>
  <pageSetup paperSize="8" scale="100" fitToWidth="1" fitToHeight="0" pageOrder="downThenOver" orientation="landscape" blackAndWhite="false" draft="false" cellComments="none" horizontalDpi="300" verticalDpi="300" copies="1"/>
  <headerFooter differentFirst="false" differentOddEven="false">
    <oddHeader/>
    <oddFooter/>
  </headerFooter>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E98A2"/>
    <pageSetUpPr fitToPage="true"/>
  </sheetPr>
  <dimension ref="B1:H1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4"/>
    <col collapsed="false" customWidth="true" hidden="false" outlineLevel="0" max="6" min="3" style="0" width="16"/>
    <col collapsed="false" customWidth="true" hidden="false" outlineLevel="0" max="7" min="7" style="0" width="38"/>
    <col collapsed="false" customWidth="true" hidden="false" outlineLevel="0" max="8" min="8" style="0" width="48"/>
    <col collapsed="false" customWidth="true" hidden="false" outlineLevel="0" max="9" min="9" style="0" width="2.2"/>
  </cols>
  <sheetData>
    <row r="1" customFormat="false" ht="33.75" hidden="false" customHeight="true" outlineLevel="0" collapsed="false">
      <c r="B1" s="37" t="s">
        <v>370</v>
      </c>
      <c r="C1" s="37"/>
      <c r="D1" s="37"/>
      <c r="E1" s="37"/>
      <c r="F1" s="37"/>
      <c r="G1" s="37"/>
      <c r="H1" s="37"/>
    </row>
    <row r="2" customFormat="false" ht="4.5" hidden="false" customHeight="true" outlineLevel="0" collapsed="false">
      <c r="B2" s="89"/>
      <c r="C2" s="89"/>
      <c r="D2" s="89"/>
      <c r="E2" s="89"/>
      <c r="F2" s="89"/>
      <c r="G2" s="89"/>
      <c r="H2" s="89"/>
    </row>
    <row r="4" customFormat="false" ht="25.5" hidden="false" customHeight="true" outlineLevel="0" collapsed="false">
      <c r="B4" s="40" t="s">
        <v>371</v>
      </c>
      <c r="C4" s="40"/>
      <c r="D4" s="40"/>
      <c r="E4" s="40"/>
      <c r="F4" s="40"/>
      <c r="G4" s="40"/>
      <c r="H4" s="40"/>
    </row>
    <row r="6" customFormat="false" ht="21.75" hidden="false" customHeight="true" outlineLevel="0" collapsed="false">
      <c r="B6" s="6" t="s">
        <v>372</v>
      </c>
      <c r="C6" s="6"/>
      <c r="D6" s="6"/>
      <c r="E6" s="6"/>
      <c r="F6" s="6"/>
      <c r="G6" s="6"/>
      <c r="H6" s="6"/>
    </row>
    <row r="7" customFormat="false" ht="19.5" hidden="false" customHeight="true" outlineLevel="0" collapsed="false">
      <c r="B7" s="10" t="s">
        <v>373</v>
      </c>
      <c r="C7" s="10" t="s">
        <v>374</v>
      </c>
      <c r="D7" s="10"/>
      <c r="E7" s="10"/>
      <c r="F7" s="10"/>
      <c r="G7" s="10" t="s">
        <v>375</v>
      </c>
      <c r="H7" s="10"/>
    </row>
    <row r="8" customFormat="false" ht="30" hidden="false" customHeight="true" outlineLevel="0" collapsed="false">
      <c r="B8" s="90" t="s">
        <v>376</v>
      </c>
      <c r="C8" s="23" t="s">
        <v>43</v>
      </c>
      <c r="D8" s="23"/>
      <c r="E8" s="23"/>
      <c r="F8" s="23"/>
      <c r="G8" s="61" t="s">
        <v>44</v>
      </c>
      <c r="H8" s="61"/>
    </row>
    <row r="9" customFormat="false" ht="30" hidden="false" customHeight="true" outlineLevel="0" collapsed="false">
      <c r="B9" s="91" t="s">
        <v>377</v>
      </c>
      <c r="C9" s="25" t="s">
        <v>45</v>
      </c>
      <c r="D9" s="25"/>
      <c r="E9" s="25"/>
      <c r="F9" s="25"/>
      <c r="G9" s="61" t="s">
        <v>46</v>
      </c>
      <c r="H9" s="61"/>
    </row>
    <row r="10" customFormat="false" ht="30" hidden="false" customHeight="true" outlineLevel="0" collapsed="false">
      <c r="B10" s="92" t="s">
        <v>378</v>
      </c>
      <c r="C10" s="27" t="s">
        <v>47</v>
      </c>
      <c r="D10" s="27"/>
      <c r="E10" s="27"/>
      <c r="F10" s="27"/>
      <c r="G10" s="61" t="s">
        <v>48</v>
      </c>
      <c r="H10" s="61"/>
    </row>
    <row r="11" customFormat="false" ht="30" hidden="false" customHeight="true" outlineLevel="0" collapsed="false">
      <c r="B11" s="93" t="s">
        <v>379</v>
      </c>
      <c r="C11" s="29" t="s">
        <v>49</v>
      </c>
      <c r="D11" s="29"/>
      <c r="E11" s="29"/>
      <c r="F11" s="29"/>
      <c r="G11" s="61" t="s">
        <v>50</v>
      </c>
      <c r="H11" s="61"/>
    </row>
    <row r="12" customFormat="false" ht="33.75" hidden="false" customHeight="true" outlineLevel="0" collapsed="false">
      <c r="B12" s="94" t="s">
        <v>380</v>
      </c>
      <c r="C12" s="31" t="s">
        <v>51</v>
      </c>
      <c r="D12" s="31"/>
      <c r="E12" s="31"/>
      <c r="F12" s="31"/>
      <c r="G12" s="61" t="s">
        <v>52</v>
      </c>
      <c r="H12" s="61"/>
    </row>
    <row r="13" customFormat="false" ht="30" hidden="false" customHeight="true" outlineLevel="0" collapsed="false">
      <c r="B13" s="95" t="s">
        <v>381</v>
      </c>
      <c r="C13" s="33" t="s">
        <v>53</v>
      </c>
      <c r="D13" s="33"/>
      <c r="E13" s="33"/>
      <c r="F13" s="33"/>
      <c r="G13" s="61" t="s">
        <v>54</v>
      </c>
      <c r="H13" s="61"/>
    </row>
    <row r="15" customFormat="false" ht="21.75" hidden="false" customHeight="true" outlineLevel="0" collapsed="false">
      <c r="B15" s="6" t="s">
        <v>382</v>
      </c>
      <c r="C15" s="6"/>
      <c r="D15" s="6"/>
      <c r="E15" s="6"/>
      <c r="F15" s="6"/>
      <c r="G15" s="6"/>
      <c r="H15" s="6"/>
    </row>
    <row r="16" customFormat="false" ht="13.5" hidden="false" customHeight="true" outlineLevel="0" collapsed="false">
      <c r="B16" s="96" t="s">
        <v>383</v>
      </c>
      <c r="C16" s="96"/>
      <c r="D16" s="96"/>
      <c r="E16" s="96"/>
      <c r="F16" s="96"/>
      <c r="G16" s="96"/>
      <c r="H16" s="96"/>
    </row>
    <row r="17" customFormat="false" ht="13.5" hidden="false" customHeight="true" outlineLevel="0" collapsed="false">
      <c r="B17" s="96"/>
      <c r="C17" s="96"/>
      <c r="D17" s="96"/>
      <c r="E17" s="96"/>
      <c r="F17" s="96"/>
      <c r="G17" s="96"/>
      <c r="H17" s="96"/>
    </row>
    <row r="18" customFormat="false" ht="13.5" hidden="false" customHeight="true" outlineLevel="0" collapsed="false">
      <c r="B18" s="96"/>
      <c r="C18" s="96"/>
      <c r="D18" s="96"/>
      <c r="E18" s="96"/>
      <c r="F18" s="96"/>
      <c r="G18" s="96"/>
      <c r="H18" s="96"/>
    </row>
    <row r="19" customFormat="false" ht="13.5" hidden="false" customHeight="true" outlineLevel="0" collapsed="false">
      <c r="B19" s="96"/>
      <c r="C19" s="96"/>
      <c r="D19" s="96"/>
      <c r="E19" s="96"/>
      <c r="F19" s="96"/>
      <c r="G19" s="96"/>
      <c r="H19" s="96"/>
    </row>
    <row r="20" customFormat="false" ht="13.5" hidden="false" customHeight="true" outlineLevel="0" collapsed="false">
      <c r="B20" s="96"/>
      <c r="C20" s="96"/>
      <c r="D20" s="96"/>
      <c r="E20" s="96"/>
      <c r="F20" s="96"/>
      <c r="G20" s="96"/>
      <c r="H20" s="96"/>
    </row>
    <row r="21" customFormat="false" ht="13.5" hidden="false" customHeight="true" outlineLevel="0" collapsed="false">
      <c r="B21" s="96"/>
      <c r="C21" s="96"/>
      <c r="D21" s="96"/>
      <c r="E21" s="96"/>
      <c r="F21" s="96"/>
      <c r="G21" s="96"/>
      <c r="H21" s="96"/>
    </row>
    <row r="22" customFormat="false" ht="13.5" hidden="false" customHeight="true" outlineLevel="0" collapsed="false">
      <c r="B22" s="96"/>
      <c r="C22" s="96"/>
      <c r="D22" s="96"/>
      <c r="E22" s="96"/>
      <c r="F22" s="96"/>
      <c r="G22" s="96"/>
      <c r="H22" s="96"/>
    </row>
    <row r="23" customFormat="false" ht="13.5" hidden="false" customHeight="true" outlineLevel="0" collapsed="false">
      <c r="B23" s="96"/>
      <c r="C23" s="96"/>
      <c r="D23" s="96"/>
      <c r="E23" s="96"/>
      <c r="F23" s="96"/>
      <c r="G23" s="96"/>
      <c r="H23" s="96"/>
    </row>
    <row r="24" customFormat="false" ht="13.5" hidden="false" customHeight="true" outlineLevel="0" collapsed="false">
      <c r="B24" s="96"/>
      <c r="C24" s="96"/>
      <c r="D24" s="96"/>
      <c r="E24" s="96"/>
      <c r="F24" s="96"/>
      <c r="G24" s="96"/>
      <c r="H24" s="96"/>
    </row>
    <row r="25" customFormat="false" ht="13.5" hidden="false" customHeight="true" outlineLevel="0" collapsed="false">
      <c r="B25" s="96"/>
      <c r="C25" s="96"/>
      <c r="D25" s="96"/>
      <c r="E25" s="96"/>
      <c r="F25" s="96"/>
      <c r="G25" s="96"/>
      <c r="H25" s="96"/>
    </row>
    <row r="27" customFormat="false" ht="21.75" hidden="false" customHeight="true" outlineLevel="0" collapsed="false">
      <c r="B27" s="6" t="s">
        <v>384</v>
      </c>
      <c r="C27" s="6"/>
      <c r="D27" s="6"/>
      <c r="E27" s="6"/>
      <c r="F27" s="6"/>
      <c r="G27" s="6"/>
      <c r="H27" s="6"/>
    </row>
    <row r="28" customFormat="false" ht="13.5" hidden="false" customHeight="true" outlineLevel="0" collapsed="false">
      <c r="B28" s="35" t="s">
        <v>385</v>
      </c>
      <c r="C28" s="35"/>
      <c r="D28" s="35"/>
      <c r="E28" s="35"/>
      <c r="F28" s="35"/>
      <c r="G28" s="35"/>
      <c r="H28" s="35"/>
    </row>
    <row r="29" customFormat="false" ht="13.5" hidden="false" customHeight="true" outlineLevel="0" collapsed="false">
      <c r="B29" s="35"/>
      <c r="C29" s="35"/>
      <c r="D29" s="35"/>
      <c r="E29" s="35"/>
      <c r="F29" s="35"/>
      <c r="G29" s="35"/>
      <c r="H29" s="35"/>
    </row>
    <row r="30" customFormat="false" ht="13.5" hidden="false" customHeight="true" outlineLevel="0" collapsed="false">
      <c r="B30" s="35"/>
      <c r="C30" s="35"/>
      <c r="D30" s="35"/>
      <c r="E30" s="35"/>
      <c r="F30" s="35"/>
      <c r="G30" s="35"/>
      <c r="H30" s="35"/>
    </row>
    <row r="31" customFormat="false" ht="13.5" hidden="false" customHeight="true" outlineLevel="0" collapsed="false">
      <c r="B31" s="35"/>
      <c r="C31" s="35"/>
      <c r="D31" s="35"/>
      <c r="E31" s="35"/>
      <c r="F31" s="35"/>
      <c r="G31" s="35"/>
      <c r="H31" s="35"/>
    </row>
    <row r="32" customFormat="false" ht="13.5" hidden="false" customHeight="true" outlineLevel="0" collapsed="false">
      <c r="B32" s="35"/>
      <c r="C32" s="35"/>
      <c r="D32" s="35"/>
      <c r="E32" s="35"/>
      <c r="F32" s="35"/>
      <c r="G32" s="35"/>
      <c r="H32" s="35"/>
    </row>
    <row r="33" customFormat="false" ht="13.5" hidden="false" customHeight="true" outlineLevel="0" collapsed="false">
      <c r="B33" s="35"/>
      <c r="C33" s="35"/>
      <c r="D33" s="35"/>
      <c r="E33" s="35"/>
      <c r="F33" s="35"/>
      <c r="G33" s="35"/>
      <c r="H33" s="35"/>
    </row>
    <row r="34" customFormat="false" ht="13.5" hidden="false" customHeight="true" outlineLevel="0" collapsed="false">
      <c r="B34" s="35"/>
      <c r="C34" s="35"/>
      <c r="D34" s="35"/>
      <c r="E34" s="35"/>
      <c r="F34" s="35"/>
      <c r="G34" s="35"/>
      <c r="H34" s="35"/>
    </row>
    <row r="35" customFormat="false" ht="13.5" hidden="false" customHeight="true" outlineLevel="0" collapsed="false">
      <c r="B35" s="35"/>
      <c r="C35" s="35"/>
      <c r="D35" s="35"/>
      <c r="E35" s="35"/>
      <c r="F35" s="35"/>
      <c r="G35" s="35"/>
      <c r="H35" s="35"/>
    </row>
    <row r="37" customFormat="false" ht="21.75" hidden="false" customHeight="true" outlineLevel="0" collapsed="false">
      <c r="B37" s="6" t="s">
        <v>386</v>
      </c>
      <c r="C37" s="6"/>
      <c r="D37" s="6"/>
      <c r="E37" s="6"/>
      <c r="F37" s="6"/>
      <c r="G37" s="6"/>
      <c r="H37" s="6"/>
    </row>
    <row r="38" customFormat="false" ht="13.5" hidden="false" customHeight="true" outlineLevel="0" collapsed="false">
      <c r="B38" s="97" t="s">
        <v>387</v>
      </c>
      <c r="C38" s="97"/>
      <c r="D38" s="97"/>
      <c r="E38" s="97"/>
      <c r="F38" s="97"/>
      <c r="G38" s="97"/>
      <c r="H38" s="97"/>
    </row>
    <row r="39" customFormat="false" ht="13.5" hidden="false" customHeight="true" outlineLevel="0" collapsed="false">
      <c r="B39" s="97"/>
      <c r="C39" s="97"/>
      <c r="D39" s="97"/>
      <c r="E39" s="97"/>
      <c r="F39" s="97"/>
      <c r="G39" s="97"/>
      <c r="H39" s="97"/>
    </row>
    <row r="40" customFormat="false" ht="13.5" hidden="false" customHeight="true" outlineLevel="0" collapsed="false">
      <c r="B40" s="97"/>
      <c r="C40" s="97"/>
      <c r="D40" s="97"/>
      <c r="E40" s="97"/>
      <c r="F40" s="97"/>
      <c r="G40" s="97"/>
      <c r="H40" s="97"/>
    </row>
    <row r="41" customFormat="false" ht="13.5" hidden="false" customHeight="true" outlineLevel="0" collapsed="false">
      <c r="B41" s="97"/>
      <c r="C41" s="97"/>
      <c r="D41" s="97"/>
      <c r="E41" s="97"/>
      <c r="F41" s="97"/>
      <c r="G41" s="97"/>
      <c r="H41" s="97"/>
    </row>
    <row r="42" customFormat="false" ht="13.5" hidden="false" customHeight="true" outlineLevel="0" collapsed="false">
      <c r="B42" s="97"/>
      <c r="C42" s="97"/>
      <c r="D42" s="97"/>
      <c r="E42" s="97"/>
      <c r="F42" s="97"/>
      <c r="G42" s="97"/>
      <c r="H42" s="97"/>
    </row>
    <row r="43" customFormat="false" ht="13.5" hidden="false" customHeight="true" outlineLevel="0" collapsed="false">
      <c r="B43" s="97"/>
      <c r="C43" s="97"/>
      <c r="D43" s="97"/>
      <c r="E43" s="97"/>
      <c r="F43" s="97"/>
      <c r="G43" s="97"/>
      <c r="H43" s="97"/>
    </row>
    <row r="44" customFormat="false" ht="13.5" hidden="false" customHeight="true" outlineLevel="0" collapsed="false">
      <c r="B44" s="97"/>
      <c r="C44" s="97"/>
      <c r="D44" s="97"/>
      <c r="E44" s="97"/>
      <c r="F44" s="97"/>
      <c r="G44" s="97"/>
      <c r="H44" s="97"/>
    </row>
    <row r="45" customFormat="false" ht="13.5" hidden="false" customHeight="true" outlineLevel="0" collapsed="false">
      <c r="B45" s="97"/>
      <c r="C45" s="97"/>
      <c r="D45" s="97"/>
      <c r="E45" s="97"/>
      <c r="F45" s="97"/>
      <c r="G45" s="97"/>
      <c r="H45" s="97"/>
    </row>
    <row r="46" customFormat="false" ht="13.5" hidden="false" customHeight="true" outlineLevel="0" collapsed="false">
      <c r="B46" s="97"/>
      <c r="C46" s="97"/>
      <c r="D46" s="97"/>
      <c r="E46" s="97"/>
      <c r="F46" s="97"/>
      <c r="G46" s="97"/>
      <c r="H46" s="97"/>
    </row>
    <row r="47" customFormat="false" ht="13.5" hidden="false" customHeight="true" outlineLevel="0" collapsed="false">
      <c r="B47" s="97"/>
      <c r="C47" s="97"/>
      <c r="D47" s="97"/>
      <c r="E47" s="97"/>
      <c r="F47" s="97"/>
      <c r="G47" s="97"/>
      <c r="H47" s="97"/>
    </row>
    <row r="48" customFormat="false" ht="13.5" hidden="false" customHeight="true" outlineLevel="0" collapsed="false">
      <c r="B48" s="97"/>
      <c r="C48" s="97"/>
      <c r="D48" s="97"/>
      <c r="E48" s="97"/>
      <c r="F48" s="97"/>
      <c r="G48" s="97"/>
      <c r="H48" s="97"/>
    </row>
    <row r="50" customFormat="false" ht="21.75" hidden="false" customHeight="true" outlineLevel="0" collapsed="false">
      <c r="B50" s="6" t="s">
        <v>388</v>
      </c>
      <c r="C50" s="6"/>
      <c r="D50" s="6"/>
      <c r="E50" s="6"/>
      <c r="F50" s="6"/>
      <c r="G50" s="6"/>
      <c r="H50" s="6"/>
    </row>
    <row r="51" customFormat="false" ht="19.5" hidden="false" customHeight="true" outlineLevel="0" collapsed="false">
      <c r="B51" s="10" t="s">
        <v>221</v>
      </c>
      <c r="C51" s="10" t="s">
        <v>389</v>
      </c>
      <c r="D51" s="10" t="s">
        <v>390</v>
      </c>
      <c r="E51" s="10"/>
      <c r="F51" s="10"/>
      <c r="G51" s="10" t="s">
        <v>391</v>
      </c>
      <c r="H51" s="10"/>
    </row>
    <row r="52" customFormat="false" ht="25.5" hidden="false" customHeight="true" outlineLevel="0" collapsed="false">
      <c r="B52" s="98" t="s">
        <v>230</v>
      </c>
      <c r="C52" s="99" t="n">
        <v>0.24</v>
      </c>
      <c r="D52" s="100" t="n">
        <v>0.02</v>
      </c>
      <c r="E52" s="100"/>
      <c r="F52" s="100"/>
      <c r="G52" s="13" t="s">
        <v>392</v>
      </c>
      <c r="H52" s="13"/>
    </row>
    <row r="53" customFormat="false" ht="25.5" hidden="false" customHeight="true" outlineLevel="0" collapsed="false">
      <c r="B53" s="65" t="s">
        <v>262</v>
      </c>
      <c r="C53" s="99" t="n">
        <v>0.51</v>
      </c>
      <c r="D53" s="101" t="n">
        <v>0.04</v>
      </c>
      <c r="E53" s="101"/>
      <c r="F53" s="101"/>
      <c r="G53" s="16"/>
      <c r="H53" s="16"/>
    </row>
    <row r="54" customFormat="false" ht="25.5" hidden="false" customHeight="true" outlineLevel="0" collapsed="false">
      <c r="B54" s="98" t="s">
        <v>239</v>
      </c>
      <c r="C54" s="99" t="n">
        <v>0.44</v>
      </c>
      <c r="D54" s="100" t="n">
        <v>0.03</v>
      </c>
      <c r="E54" s="100"/>
      <c r="F54" s="100"/>
      <c r="G54" s="13"/>
      <c r="H54" s="13"/>
    </row>
    <row r="55" customFormat="false" ht="25.5" hidden="false" customHeight="true" outlineLevel="0" collapsed="false">
      <c r="B55" s="65" t="s">
        <v>245</v>
      </c>
      <c r="C55" s="99" t="n">
        <v>0.66</v>
      </c>
      <c r="D55" s="101" t="n">
        <v>0.06</v>
      </c>
      <c r="E55" s="101"/>
      <c r="F55" s="101"/>
      <c r="G55" s="16"/>
      <c r="H55" s="16"/>
    </row>
    <row r="56" customFormat="false" ht="25.5" hidden="false" customHeight="true" outlineLevel="0" collapsed="false">
      <c r="B56" s="98" t="s">
        <v>253</v>
      </c>
      <c r="C56" s="99" t="n">
        <v>2</v>
      </c>
      <c r="D56" s="100" t="n">
        <v>0.1</v>
      </c>
      <c r="E56" s="100"/>
      <c r="F56" s="100"/>
      <c r="G56" s="13"/>
      <c r="H56" s="13"/>
    </row>
    <row r="57" customFormat="false" ht="25.5" hidden="false" customHeight="true" outlineLevel="0" collapsed="false">
      <c r="B57" s="65" t="s">
        <v>393</v>
      </c>
      <c r="C57" s="99"/>
      <c r="D57" s="101"/>
      <c r="E57" s="101"/>
      <c r="F57" s="101"/>
      <c r="G57" s="16"/>
      <c r="H57" s="16"/>
    </row>
    <row r="58" customFormat="false" ht="13.5" hidden="false" customHeight="true" outlineLevel="0" collapsed="false">
      <c r="B58" s="40" t="s">
        <v>394</v>
      </c>
      <c r="C58" s="40"/>
      <c r="D58" s="40"/>
      <c r="E58" s="40"/>
      <c r="F58" s="40"/>
      <c r="G58" s="40"/>
      <c r="H58" s="40"/>
    </row>
    <row r="60" customFormat="false" ht="21.75" hidden="false" customHeight="true" outlineLevel="0" collapsed="false">
      <c r="B60" s="6" t="s">
        <v>395</v>
      </c>
      <c r="C60" s="6"/>
      <c r="D60" s="6"/>
      <c r="E60" s="6"/>
      <c r="F60" s="6"/>
      <c r="G60" s="6"/>
      <c r="H60" s="6"/>
    </row>
    <row r="61" customFormat="false" ht="19.5" hidden="false" customHeight="true" outlineLevel="0" collapsed="false">
      <c r="B61" s="10" t="s">
        <v>396</v>
      </c>
      <c r="C61" s="10" t="s">
        <v>397</v>
      </c>
      <c r="D61" s="10"/>
      <c r="E61" s="10"/>
      <c r="F61" s="10" t="s">
        <v>398</v>
      </c>
      <c r="G61" s="10"/>
      <c r="H61" s="10"/>
    </row>
    <row r="62" customFormat="false" ht="46.5" hidden="false" customHeight="true" outlineLevel="0" collapsed="false">
      <c r="B62" s="102" t="s">
        <v>399</v>
      </c>
      <c r="C62" s="103" t="s">
        <v>400</v>
      </c>
      <c r="D62" s="103"/>
      <c r="E62" s="103"/>
      <c r="F62" s="104" t="s">
        <v>401</v>
      </c>
      <c r="G62" s="104"/>
      <c r="H62" s="104"/>
    </row>
    <row r="63" customFormat="false" ht="60" hidden="false" customHeight="true" outlineLevel="0" collapsed="false">
      <c r="B63" s="105" t="s">
        <v>402</v>
      </c>
      <c r="C63" s="106" t="s">
        <v>403</v>
      </c>
      <c r="D63" s="106"/>
      <c r="E63" s="106"/>
      <c r="F63" s="107" t="s">
        <v>404</v>
      </c>
      <c r="G63" s="107"/>
      <c r="H63" s="107"/>
    </row>
    <row r="64" customFormat="false" ht="33.75" hidden="false" customHeight="true" outlineLevel="0" collapsed="false">
      <c r="B64" s="102" t="s">
        <v>405</v>
      </c>
      <c r="C64" s="108" t="s">
        <v>406</v>
      </c>
      <c r="D64" s="108"/>
      <c r="E64" s="108"/>
      <c r="F64" s="104" t="s">
        <v>407</v>
      </c>
      <c r="G64" s="104"/>
      <c r="H64" s="104"/>
    </row>
    <row r="65" customFormat="false" ht="33.75" hidden="false" customHeight="true" outlineLevel="0" collapsed="false">
      <c r="B65" s="105" t="s">
        <v>408</v>
      </c>
      <c r="C65" s="106" t="s">
        <v>409</v>
      </c>
      <c r="D65" s="106"/>
      <c r="E65" s="106"/>
      <c r="F65" s="107" t="s">
        <v>410</v>
      </c>
      <c r="G65" s="107"/>
      <c r="H65" s="107"/>
    </row>
    <row r="66" customFormat="false" ht="33.75" hidden="false" customHeight="true" outlineLevel="0" collapsed="false">
      <c r="B66" s="102" t="s">
        <v>411</v>
      </c>
      <c r="C66" s="108" t="s">
        <v>412</v>
      </c>
      <c r="D66" s="108"/>
      <c r="E66" s="108"/>
      <c r="F66" s="104" t="s">
        <v>413</v>
      </c>
      <c r="G66" s="104"/>
      <c r="H66" s="104"/>
    </row>
    <row r="67" customFormat="false" ht="33.75" hidden="false" customHeight="true" outlineLevel="0" collapsed="false">
      <c r="B67" s="105" t="s">
        <v>414</v>
      </c>
      <c r="C67" s="106" t="s">
        <v>415</v>
      </c>
      <c r="D67" s="106"/>
      <c r="E67" s="106"/>
      <c r="F67" s="107" t="s">
        <v>416</v>
      </c>
      <c r="G67" s="107"/>
      <c r="H67" s="107"/>
    </row>
    <row r="68" customFormat="false" ht="46.5" hidden="false" customHeight="true" outlineLevel="0" collapsed="false">
      <c r="B68" s="102" t="s">
        <v>417</v>
      </c>
      <c r="C68" s="108" t="s">
        <v>418</v>
      </c>
      <c r="D68" s="108"/>
      <c r="E68" s="108"/>
      <c r="F68" s="104" t="s">
        <v>419</v>
      </c>
      <c r="G68" s="104"/>
      <c r="H68" s="104"/>
    </row>
    <row r="70" customFormat="false" ht="21.75" hidden="false" customHeight="true" outlineLevel="0" collapsed="false">
      <c r="B70" s="6" t="s">
        <v>420</v>
      </c>
      <c r="C70" s="6"/>
      <c r="D70" s="6"/>
      <c r="E70" s="6"/>
      <c r="F70" s="6"/>
      <c r="G70" s="6"/>
      <c r="H70" s="6"/>
    </row>
    <row r="71" customFormat="false" ht="33.75" hidden="false" customHeight="true" outlineLevel="0" collapsed="false">
      <c r="B71" s="108" t="s">
        <v>184</v>
      </c>
      <c r="C71" s="104" t="s">
        <v>421</v>
      </c>
      <c r="D71" s="104"/>
      <c r="E71" s="104"/>
      <c r="F71" s="104"/>
      <c r="G71" s="104"/>
      <c r="H71" s="104"/>
    </row>
    <row r="72" customFormat="false" ht="33.75" hidden="false" customHeight="true" outlineLevel="0" collapsed="false">
      <c r="B72" s="106" t="s">
        <v>171</v>
      </c>
      <c r="C72" s="107" t="s">
        <v>422</v>
      </c>
      <c r="D72" s="107"/>
      <c r="E72" s="107"/>
      <c r="F72" s="107"/>
      <c r="G72" s="107"/>
      <c r="H72" s="107"/>
    </row>
    <row r="73" customFormat="false" ht="33.75" hidden="false" customHeight="true" outlineLevel="0" collapsed="false">
      <c r="B73" s="108" t="s">
        <v>423</v>
      </c>
      <c r="C73" s="104" t="s">
        <v>424</v>
      </c>
      <c r="D73" s="104"/>
      <c r="E73" s="104"/>
      <c r="F73" s="104"/>
      <c r="G73" s="104"/>
      <c r="H73" s="104"/>
    </row>
    <row r="74" customFormat="false" ht="27.75" hidden="false" customHeight="true" outlineLevel="0" collapsed="false">
      <c r="B74" s="106" t="s">
        <v>173</v>
      </c>
      <c r="C74" s="107" t="s">
        <v>425</v>
      </c>
      <c r="D74" s="107"/>
      <c r="E74" s="107"/>
      <c r="F74" s="107"/>
      <c r="G74" s="107"/>
      <c r="H74" s="107"/>
    </row>
    <row r="75" customFormat="false" ht="27.75" hidden="false" customHeight="true" outlineLevel="0" collapsed="false">
      <c r="B75" s="108" t="s">
        <v>426</v>
      </c>
      <c r="C75" s="104" t="s">
        <v>427</v>
      </c>
      <c r="D75" s="104"/>
      <c r="E75" s="104"/>
      <c r="F75" s="104"/>
      <c r="G75" s="104"/>
      <c r="H75" s="104"/>
    </row>
    <row r="76" customFormat="false" ht="27.75" hidden="false" customHeight="true" outlineLevel="0" collapsed="false">
      <c r="B76" s="106" t="s">
        <v>428</v>
      </c>
      <c r="C76" s="107" t="s">
        <v>429</v>
      </c>
      <c r="D76" s="107"/>
      <c r="E76" s="107"/>
      <c r="F76" s="107"/>
      <c r="G76" s="107"/>
      <c r="H76" s="107"/>
    </row>
    <row r="77" customFormat="false" ht="33.75" hidden="false" customHeight="true" outlineLevel="0" collapsed="false">
      <c r="B77" s="108" t="s">
        <v>430</v>
      </c>
      <c r="C77" s="104" t="s">
        <v>431</v>
      </c>
      <c r="D77" s="104"/>
      <c r="E77" s="104"/>
      <c r="F77" s="104"/>
      <c r="G77" s="104"/>
      <c r="H77" s="104"/>
    </row>
    <row r="78" customFormat="false" ht="33.75" hidden="false" customHeight="true" outlineLevel="0" collapsed="false">
      <c r="B78" s="106" t="s">
        <v>432</v>
      </c>
      <c r="C78" s="107" t="s">
        <v>433</v>
      </c>
      <c r="D78" s="107"/>
      <c r="E78" s="107"/>
      <c r="F78" s="107"/>
      <c r="G78" s="107"/>
      <c r="H78" s="107"/>
    </row>
    <row r="79" customFormat="false" ht="33.75" hidden="false" customHeight="true" outlineLevel="0" collapsed="false">
      <c r="B79" s="108" t="s">
        <v>204</v>
      </c>
      <c r="C79" s="104" t="s">
        <v>434</v>
      </c>
      <c r="D79" s="104"/>
      <c r="E79" s="104"/>
      <c r="F79" s="104"/>
      <c r="G79" s="104"/>
      <c r="H79" s="104"/>
    </row>
    <row r="80" customFormat="false" ht="33.75" hidden="false" customHeight="true" outlineLevel="0" collapsed="false">
      <c r="B80" s="106" t="s">
        <v>223</v>
      </c>
      <c r="C80" s="107" t="s">
        <v>435</v>
      </c>
      <c r="D80" s="107"/>
      <c r="E80" s="107"/>
      <c r="F80" s="107"/>
      <c r="G80" s="107"/>
      <c r="H80" s="107"/>
    </row>
    <row r="81" customFormat="false" ht="33.75" hidden="false" customHeight="true" outlineLevel="0" collapsed="false">
      <c r="B81" s="108" t="s">
        <v>285</v>
      </c>
      <c r="C81" s="104" t="s">
        <v>436</v>
      </c>
      <c r="D81" s="104"/>
      <c r="E81" s="104"/>
      <c r="F81" s="104"/>
      <c r="G81" s="104"/>
      <c r="H81" s="104"/>
    </row>
    <row r="82" customFormat="false" ht="33.75" hidden="false" customHeight="true" outlineLevel="0" collapsed="false">
      <c r="B82" s="106" t="s">
        <v>286</v>
      </c>
      <c r="C82" s="107" t="s">
        <v>437</v>
      </c>
      <c r="D82" s="107"/>
      <c r="E82" s="107"/>
      <c r="F82" s="107"/>
      <c r="G82" s="107"/>
      <c r="H82" s="107"/>
    </row>
    <row r="83" customFormat="false" ht="33.75" hidden="false" customHeight="true" outlineLevel="0" collapsed="false">
      <c r="B83" s="108" t="s">
        <v>438</v>
      </c>
      <c r="C83" s="104" t="s">
        <v>439</v>
      </c>
      <c r="D83" s="104"/>
      <c r="E83" s="104"/>
      <c r="F83" s="104"/>
      <c r="G83" s="104"/>
      <c r="H83" s="104"/>
    </row>
    <row r="84" customFormat="false" ht="33.75" hidden="false" customHeight="true" outlineLevel="0" collapsed="false">
      <c r="B84" s="106" t="s">
        <v>440</v>
      </c>
      <c r="C84" s="107" t="s">
        <v>441</v>
      </c>
      <c r="D84" s="107"/>
      <c r="E84" s="107"/>
      <c r="F84" s="107"/>
      <c r="G84" s="107"/>
      <c r="H84" s="107"/>
    </row>
    <row r="85" customFormat="false" ht="33.75" hidden="false" customHeight="true" outlineLevel="0" collapsed="false">
      <c r="B85" s="108" t="s">
        <v>442</v>
      </c>
      <c r="C85" s="104" t="s">
        <v>443</v>
      </c>
      <c r="D85" s="104"/>
      <c r="E85" s="104"/>
      <c r="F85" s="104"/>
      <c r="G85" s="104"/>
      <c r="H85" s="104"/>
    </row>
    <row r="86" customFormat="false" ht="27.75" hidden="false" customHeight="true" outlineLevel="0" collapsed="false">
      <c r="B86" s="106" t="s">
        <v>444</v>
      </c>
      <c r="C86" s="107" t="s">
        <v>445</v>
      </c>
      <c r="D86" s="107"/>
      <c r="E86" s="107"/>
      <c r="F86" s="107"/>
      <c r="G86" s="107"/>
      <c r="H86" s="107"/>
    </row>
    <row r="88" customFormat="false" ht="21.75" hidden="false" customHeight="true" outlineLevel="0" collapsed="false">
      <c r="B88" s="6" t="s">
        <v>446</v>
      </c>
      <c r="C88" s="6"/>
      <c r="D88" s="6"/>
      <c r="E88" s="6"/>
      <c r="F88" s="6"/>
      <c r="G88" s="6"/>
      <c r="H88" s="6"/>
    </row>
    <row r="89" customFormat="false" ht="19.5" hidden="false" customHeight="true" outlineLevel="0" collapsed="false">
      <c r="B89" s="10" t="s">
        <v>447</v>
      </c>
      <c r="C89" s="10" t="s">
        <v>448</v>
      </c>
      <c r="D89" s="10"/>
      <c r="E89" s="10"/>
      <c r="F89" s="10" t="s">
        <v>228</v>
      </c>
      <c r="G89" s="10"/>
      <c r="H89" s="10"/>
    </row>
    <row r="90" customFormat="false" ht="33.75" hidden="false" customHeight="true" outlineLevel="0" collapsed="false">
      <c r="B90" s="108" t="s">
        <v>449</v>
      </c>
      <c r="C90" s="104" t="s">
        <v>450</v>
      </c>
      <c r="D90" s="104"/>
      <c r="E90" s="104"/>
      <c r="F90" s="104" t="s">
        <v>451</v>
      </c>
      <c r="G90" s="104"/>
      <c r="H90" s="104"/>
    </row>
    <row r="91" customFormat="false" ht="33.75" hidden="false" customHeight="true" outlineLevel="0" collapsed="false">
      <c r="B91" s="106" t="s">
        <v>223</v>
      </c>
      <c r="C91" s="107" t="s">
        <v>452</v>
      </c>
      <c r="D91" s="107"/>
      <c r="E91" s="107"/>
      <c r="F91" s="107" t="s">
        <v>453</v>
      </c>
      <c r="G91" s="107"/>
      <c r="H91" s="107"/>
    </row>
    <row r="92" customFormat="false" ht="33.75" hidden="false" customHeight="true" outlineLevel="0" collapsed="false">
      <c r="B92" s="108" t="s">
        <v>432</v>
      </c>
      <c r="C92" s="104" t="s">
        <v>454</v>
      </c>
      <c r="D92" s="104"/>
      <c r="E92" s="104"/>
      <c r="F92" s="104" t="s">
        <v>455</v>
      </c>
      <c r="G92" s="104"/>
      <c r="H92" s="104"/>
    </row>
    <row r="93" customFormat="false" ht="33.75" hidden="false" customHeight="true" outlineLevel="0" collapsed="false">
      <c r="B93" s="106" t="s">
        <v>171</v>
      </c>
      <c r="C93" s="107" t="s">
        <v>456</v>
      </c>
      <c r="D93" s="107"/>
      <c r="E93" s="107"/>
      <c r="F93" s="107" t="s">
        <v>457</v>
      </c>
      <c r="G93" s="107"/>
      <c r="H93" s="107"/>
    </row>
    <row r="94" customFormat="false" ht="33.75" hidden="false" customHeight="true" outlineLevel="0" collapsed="false">
      <c r="B94" s="108" t="s">
        <v>438</v>
      </c>
      <c r="C94" s="104" t="s">
        <v>458</v>
      </c>
      <c r="D94" s="104"/>
      <c r="E94" s="104"/>
      <c r="F94" s="104" t="s">
        <v>459</v>
      </c>
      <c r="G94" s="104"/>
      <c r="H94" s="104"/>
    </row>
    <row r="95" customFormat="false" ht="33.75" hidden="false" customHeight="true" outlineLevel="0" collapsed="false">
      <c r="B95" s="106" t="s">
        <v>212</v>
      </c>
      <c r="C95" s="107" t="s">
        <v>460</v>
      </c>
      <c r="D95" s="107"/>
      <c r="E95" s="107"/>
      <c r="F95" s="107" t="s">
        <v>461</v>
      </c>
      <c r="G95" s="107"/>
      <c r="H95" s="107"/>
    </row>
    <row r="97" customFormat="false" ht="21.75" hidden="false" customHeight="true" outlineLevel="0" collapsed="false">
      <c r="B97" s="6" t="s">
        <v>462</v>
      </c>
      <c r="C97" s="6"/>
      <c r="D97" s="6"/>
      <c r="E97" s="6"/>
      <c r="F97" s="6"/>
      <c r="G97" s="6"/>
      <c r="H97" s="6"/>
    </row>
    <row r="98" customFormat="false" ht="18.75" hidden="false" customHeight="true" outlineLevel="0" collapsed="false">
      <c r="B98" s="109" t="s">
        <v>463</v>
      </c>
      <c r="C98" s="110" t="s">
        <v>464</v>
      </c>
      <c r="D98" s="110"/>
      <c r="E98" s="110"/>
      <c r="F98" s="110"/>
      <c r="G98" s="110"/>
      <c r="H98" s="110"/>
    </row>
    <row r="99" customFormat="false" ht="18.75" hidden="false" customHeight="true" outlineLevel="0" collapsed="false">
      <c r="B99" s="111" t="s">
        <v>465</v>
      </c>
      <c r="C99" s="110" t="s">
        <v>466</v>
      </c>
      <c r="D99" s="110"/>
      <c r="E99" s="110"/>
      <c r="F99" s="110"/>
      <c r="G99" s="110"/>
      <c r="H99" s="110"/>
    </row>
    <row r="100" customFormat="false" ht="18.75" hidden="false" customHeight="true" outlineLevel="0" collapsed="false">
      <c r="B100" s="112" t="s">
        <v>467</v>
      </c>
      <c r="C100" s="110" t="s">
        <v>468</v>
      </c>
      <c r="D100" s="110"/>
      <c r="E100" s="110"/>
      <c r="F100" s="110"/>
      <c r="G100" s="110"/>
      <c r="H100" s="110"/>
    </row>
    <row r="101" customFormat="false" ht="18.75" hidden="false" customHeight="true" outlineLevel="0" collapsed="false">
      <c r="B101" s="113" t="s">
        <v>469</v>
      </c>
      <c r="C101" s="110" t="s">
        <v>470</v>
      </c>
      <c r="D101" s="110"/>
      <c r="E101" s="110"/>
      <c r="F101" s="110"/>
      <c r="G101" s="110"/>
      <c r="H101" s="110"/>
    </row>
    <row r="103" customFormat="false" ht="21.75" hidden="false" customHeight="true" outlineLevel="0" collapsed="false">
      <c r="B103" s="6" t="s">
        <v>471</v>
      </c>
      <c r="C103" s="6"/>
      <c r="D103" s="6"/>
      <c r="E103" s="6"/>
      <c r="F103" s="6"/>
      <c r="G103" s="6"/>
      <c r="H103" s="6"/>
    </row>
    <row r="104" customFormat="false" ht="19.5" hidden="false" customHeight="true" outlineLevel="0" collapsed="false">
      <c r="D104" s="114" t="s">
        <v>184</v>
      </c>
      <c r="E104" s="114" t="s">
        <v>194</v>
      </c>
      <c r="F104" s="114" t="s">
        <v>472</v>
      </c>
      <c r="G104" s="114" t="s">
        <v>171</v>
      </c>
      <c r="H104" s="114" t="s">
        <v>221</v>
      </c>
    </row>
    <row r="105" customFormat="false" ht="46.5" hidden="false" customHeight="true" outlineLevel="0" collapsed="false">
      <c r="D105" s="13" t="s">
        <v>186</v>
      </c>
      <c r="E105" s="13" t="s">
        <v>198</v>
      </c>
      <c r="F105" s="13" t="s">
        <v>473</v>
      </c>
      <c r="G105" s="13" t="s">
        <v>176</v>
      </c>
      <c r="H105" s="13" t="s">
        <v>230</v>
      </c>
    </row>
    <row r="106" customFormat="false" ht="46.5" hidden="false" customHeight="true" outlineLevel="0" collapsed="false">
      <c r="D106" s="16" t="s">
        <v>187</v>
      </c>
      <c r="E106" s="16" t="s">
        <v>200</v>
      </c>
      <c r="F106" s="16" t="s">
        <v>474</v>
      </c>
      <c r="G106" s="16" t="s">
        <v>177</v>
      </c>
      <c r="H106" s="16" t="s">
        <v>262</v>
      </c>
    </row>
    <row r="107" customFormat="false" ht="46.5" hidden="false" customHeight="true" outlineLevel="0" collapsed="false">
      <c r="D107" s="13" t="s">
        <v>188</v>
      </c>
      <c r="E107" s="13" t="s">
        <v>202</v>
      </c>
      <c r="G107" s="13" t="s">
        <v>178</v>
      </c>
      <c r="H107" s="13" t="s">
        <v>239</v>
      </c>
    </row>
    <row r="108" customFormat="false" ht="46.5" hidden="false" customHeight="true" outlineLevel="0" collapsed="false">
      <c r="D108" s="16" t="s">
        <v>189</v>
      </c>
      <c r="E108" s="16" t="s">
        <v>204</v>
      </c>
      <c r="G108" s="16" t="s">
        <v>179</v>
      </c>
      <c r="H108" s="16" t="s">
        <v>245</v>
      </c>
    </row>
    <row r="109" customFormat="false" ht="46.5" hidden="false" customHeight="true" outlineLevel="0" collapsed="false">
      <c r="D109" s="13" t="s">
        <v>190</v>
      </c>
      <c r="E109" s="13" t="s">
        <v>206</v>
      </c>
      <c r="G109" s="13" t="s">
        <v>180</v>
      </c>
      <c r="H109" s="13" t="s">
        <v>253</v>
      </c>
    </row>
    <row r="110" customFormat="false" ht="46.5" hidden="false" customHeight="true" outlineLevel="0" collapsed="false">
      <c r="D110" s="16" t="s">
        <v>191</v>
      </c>
      <c r="G110" s="16" t="s">
        <v>181</v>
      </c>
      <c r="H110" s="16" t="s">
        <v>393</v>
      </c>
    </row>
    <row r="111" customFormat="false" ht="46.5" hidden="false" customHeight="true" outlineLevel="0" collapsed="false">
      <c r="D111" s="13" t="s">
        <v>192</v>
      </c>
      <c r="G111" s="13" t="s">
        <v>182</v>
      </c>
    </row>
    <row r="112" customFormat="false" ht="46.5" hidden="false" customHeight="true" outlineLevel="0" collapsed="false">
      <c r="G112" s="16" t="s">
        <v>166</v>
      </c>
    </row>
    <row r="114" customFormat="false" ht="33" hidden="false" customHeight="true" outlineLevel="0" collapsed="false">
      <c r="E114" s="114" t="s">
        <v>475</v>
      </c>
      <c r="F114" s="114" t="s">
        <v>336</v>
      </c>
      <c r="G114" s="114" t="s">
        <v>335</v>
      </c>
      <c r="H114" s="114" t="s">
        <v>476</v>
      </c>
    </row>
    <row r="115" customFormat="false" ht="33.75" hidden="false" customHeight="true" outlineLevel="0" collapsed="false">
      <c r="E115" s="13" t="s">
        <v>346</v>
      </c>
      <c r="F115" s="13" t="s">
        <v>477</v>
      </c>
      <c r="G115" s="13" t="s">
        <v>478</v>
      </c>
      <c r="H115" s="13" t="s">
        <v>343</v>
      </c>
    </row>
    <row r="116" customFormat="false" ht="33.75" hidden="false" customHeight="true" outlineLevel="0" collapsed="false">
      <c r="E116" s="16" t="s">
        <v>479</v>
      </c>
      <c r="F116" s="16" t="s">
        <v>480</v>
      </c>
      <c r="G116" s="16" t="s">
        <v>363</v>
      </c>
      <c r="H116" s="16" t="s">
        <v>347</v>
      </c>
    </row>
    <row r="117" customFormat="false" ht="33.75" hidden="false" customHeight="true" outlineLevel="0" collapsed="false">
      <c r="E117" s="13" t="s">
        <v>364</v>
      </c>
      <c r="F117" s="13" t="s">
        <v>367</v>
      </c>
      <c r="G117" s="13" t="s">
        <v>350</v>
      </c>
      <c r="H117" s="13" t="s">
        <v>353</v>
      </c>
    </row>
    <row r="118" customFormat="false" ht="33.75" hidden="false" customHeight="true" outlineLevel="0" collapsed="false">
      <c r="E118" s="16" t="s">
        <v>481</v>
      </c>
      <c r="F118" s="16" t="s">
        <v>355</v>
      </c>
      <c r="G118" s="16" t="s">
        <v>348</v>
      </c>
      <c r="H118" s="16" t="s">
        <v>482</v>
      </c>
    </row>
    <row r="119" customFormat="false" ht="33.75" hidden="false" customHeight="true" outlineLevel="0" collapsed="false">
      <c r="E119" s="13" t="s">
        <v>483</v>
      </c>
      <c r="F119" s="13" t="s">
        <v>351</v>
      </c>
      <c r="G119" s="13" t="s">
        <v>484</v>
      </c>
      <c r="H119" s="13" t="s">
        <v>359</v>
      </c>
    </row>
    <row r="120" customFormat="false" ht="33.75" hidden="false" customHeight="true" outlineLevel="0" collapsed="false">
      <c r="F120" s="16" t="s">
        <v>485</v>
      </c>
      <c r="G120" s="16" t="s">
        <v>486</v>
      </c>
      <c r="H120" s="16" t="s">
        <v>483</v>
      </c>
    </row>
    <row r="121" customFormat="false" ht="33.75" hidden="false" customHeight="true" outlineLevel="0" collapsed="false">
      <c r="F121" s="13" t="s">
        <v>487</v>
      </c>
      <c r="G121" s="13" t="s">
        <v>488</v>
      </c>
    </row>
    <row r="122" customFormat="false" ht="33.75" hidden="false" customHeight="true" outlineLevel="0" collapsed="false">
      <c r="F122" s="16" t="s">
        <v>345</v>
      </c>
      <c r="G122" s="16" t="s">
        <v>489</v>
      </c>
    </row>
    <row r="123" customFormat="false" ht="33.75" hidden="false" customHeight="true" outlineLevel="0" collapsed="false">
      <c r="F123" s="13" t="s">
        <v>490</v>
      </c>
      <c r="G123" s="13" t="s">
        <v>491</v>
      </c>
    </row>
    <row r="124" customFormat="false" ht="33.75" hidden="false" customHeight="true" outlineLevel="0" collapsed="false">
      <c r="F124" s="16" t="s">
        <v>492</v>
      </c>
      <c r="G124" s="16" t="s">
        <v>358</v>
      </c>
    </row>
    <row r="125" customFormat="false" ht="33.75" hidden="false" customHeight="true" outlineLevel="0" collapsed="false">
      <c r="F125" s="13" t="s">
        <v>493</v>
      </c>
      <c r="G125" s="13" t="s">
        <v>344</v>
      </c>
    </row>
    <row r="126" customFormat="false" ht="33.75" hidden="false" customHeight="true" outlineLevel="0" collapsed="false">
      <c r="F126" s="16" t="s">
        <v>494</v>
      </c>
      <c r="G126" s="16" t="s">
        <v>495</v>
      </c>
    </row>
    <row r="127" customFormat="false" ht="33.75" hidden="false" customHeight="true" outlineLevel="0" collapsed="false">
      <c r="F127" s="13" t="s">
        <v>496</v>
      </c>
      <c r="G127" s="13" t="s">
        <v>497</v>
      </c>
    </row>
    <row r="128" customFormat="false" ht="33.75" hidden="false" customHeight="true" outlineLevel="0" collapsed="false">
      <c r="F128" s="16" t="s">
        <v>361</v>
      </c>
      <c r="G128" s="16" t="s">
        <v>354</v>
      </c>
    </row>
    <row r="129" customFormat="false" ht="33.75" hidden="false" customHeight="true" outlineLevel="0" collapsed="false">
      <c r="G129" s="13" t="s">
        <v>360</v>
      </c>
    </row>
    <row r="130" customFormat="false" ht="18" hidden="false" customHeight="true" outlineLevel="0" collapsed="false">
      <c r="B130" s="47" t="s">
        <v>120</v>
      </c>
      <c r="C130" s="47"/>
      <c r="D130" s="47"/>
      <c r="E130" s="47"/>
      <c r="F130" s="47"/>
      <c r="G130" s="47"/>
      <c r="H130" s="47"/>
    </row>
  </sheetData>
  <mergeCells count="96">
    <mergeCell ref="B1:H1"/>
    <mergeCell ref="B2:H2"/>
    <mergeCell ref="B4:H4"/>
    <mergeCell ref="B6:H6"/>
    <mergeCell ref="C7:F7"/>
    <mergeCell ref="G7:H7"/>
    <mergeCell ref="C8:F8"/>
    <mergeCell ref="G8:H8"/>
    <mergeCell ref="C9:F9"/>
    <mergeCell ref="G9:H9"/>
    <mergeCell ref="C10:F10"/>
    <mergeCell ref="G10:H10"/>
    <mergeCell ref="C11:F11"/>
    <mergeCell ref="G11:H11"/>
    <mergeCell ref="C12:F12"/>
    <mergeCell ref="G12:H12"/>
    <mergeCell ref="C13:F13"/>
    <mergeCell ref="G13:H13"/>
    <mergeCell ref="B15:H15"/>
    <mergeCell ref="B16:H25"/>
    <mergeCell ref="B27:H27"/>
    <mergeCell ref="B28:H35"/>
    <mergeCell ref="B37:H37"/>
    <mergeCell ref="B38:H48"/>
    <mergeCell ref="B50:H50"/>
    <mergeCell ref="D51:F51"/>
    <mergeCell ref="G51:H51"/>
    <mergeCell ref="D52:F52"/>
    <mergeCell ref="G52:H52"/>
    <mergeCell ref="D53:F53"/>
    <mergeCell ref="G53:H53"/>
    <mergeCell ref="D54:F54"/>
    <mergeCell ref="G54:H54"/>
    <mergeCell ref="D55:F55"/>
    <mergeCell ref="G55:H55"/>
    <mergeCell ref="D56:F56"/>
    <mergeCell ref="G56:H56"/>
    <mergeCell ref="D57:F57"/>
    <mergeCell ref="G57:H57"/>
    <mergeCell ref="B58:H58"/>
    <mergeCell ref="B60:H60"/>
    <mergeCell ref="C61:E61"/>
    <mergeCell ref="F61:H61"/>
    <mergeCell ref="C62:E62"/>
    <mergeCell ref="F62:H62"/>
    <mergeCell ref="C63:E63"/>
    <mergeCell ref="F63:H63"/>
    <mergeCell ref="C64:E64"/>
    <mergeCell ref="F64:H64"/>
    <mergeCell ref="C65:E65"/>
    <mergeCell ref="F65:H65"/>
    <mergeCell ref="C66:E66"/>
    <mergeCell ref="F66:H66"/>
    <mergeCell ref="C67:E67"/>
    <mergeCell ref="F67:H67"/>
    <mergeCell ref="C68:E68"/>
    <mergeCell ref="F68:H68"/>
    <mergeCell ref="B70:H70"/>
    <mergeCell ref="C71:H71"/>
    <mergeCell ref="C72:H72"/>
    <mergeCell ref="C73:H73"/>
    <mergeCell ref="C74:H74"/>
    <mergeCell ref="C75:H75"/>
    <mergeCell ref="C76:H76"/>
    <mergeCell ref="C77:H77"/>
    <mergeCell ref="C78:H78"/>
    <mergeCell ref="C79:H79"/>
    <mergeCell ref="C80:H80"/>
    <mergeCell ref="C81:H81"/>
    <mergeCell ref="C82:H82"/>
    <mergeCell ref="C83:H83"/>
    <mergeCell ref="C84:H84"/>
    <mergeCell ref="C85:H85"/>
    <mergeCell ref="C86:H86"/>
    <mergeCell ref="B88:H88"/>
    <mergeCell ref="C89:E89"/>
    <mergeCell ref="F89:H89"/>
    <mergeCell ref="C90:E90"/>
    <mergeCell ref="F90:H90"/>
    <mergeCell ref="C91:E91"/>
    <mergeCell ref="F91:H91"/>
    <mergeCell ref="C92:E92"/>
    <mergeCell ref="F92:H92"/>
    <mergeCell ref="C93:E93"/>
    <mergeCell ref="F93:H93"/>
    <mergeCell ref="C94:E94"/>
    <mergeCell ref="F94:H94"/>
    <mergeCell ref="C95:E95"/>
    <mergeCell ref="F95:H95"/>
    <mergeCell ref="B97:H97"/>
    <mergeCell ref="C98:H98"/>
    <mergeCell ref="C99:H99"/>
    <mergeCell ref="C100:H100"/>
    <mergeCell ref="C101:H101"/>
    <mergeCell ref="B103:H103"/>
    <mergeCell ref="B130:H130"/>
  </mergeCells>
  <hyperlinks>
    <hyperlink ref="B130" r:id="rId1" display="Visit mastt.com"/>
  </hyperlinks>
  <printOptions headings="false" gridLines="false" gridLinesSet="true" horizontalCentered="false" verticalCentered="false"/>
  <pageMargins left="0.3" right="0.3" top="0.5" bottom="0.5" header="0.511811023622047" footer="0.511811023622047"/>
  <pageSetup paperSize="8" scale="100" fitToWidth="1" fitToHeight="0" pageOrder="downThenOver" orientation="landscape" blackAndWhite="false" draft="false" cellComments="none" horizontalDpi="300" verticalDpi="300" copies="1"/>
  <headerFooter differentFirst="false" differentOddEven="false">
    <oddHeader/>
    <oddFooter/>
  </headerFooter>
  <rowBreaks count="5" manualBreakCount="5">
    <brk id="14" man="true" max="16383" min="0"/>
    <brk id="59" man="true" max="16383" min="0"/>
    <brk id="69" man="true" max="16383" min="0"/>
    <brk id="103" man="true" max="16383" min="0"/>
    <brk id="113" man="true" max="16383" min="0"/>
  </rowBreaks>
  <drawing r:id="rId2"/>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2026-08-18T08:43:38Z</dcterms:created>
  <dc:creator>openpyxl</dc:creator>
  <dc:description/>
  <dc:language>en-US</dc:language>
  <cp:lastModifiedBy/>
  <dcterms:modified xsi:type="dcterms:W3CDTF">2026-08-18T08:43:39Z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