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6.xml.rels" ContentType="application/vnd.openxmlformats-package.relationships+xml"/>
  <Override PartName="/xl/worksheets/_rels/sheet5.xml.rels" ContentType="application/vnd.openxmlformats-package.relationship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6.xml.rels" ContentType="application/vnd.openxmlformats-package.relationships+xml"/>
  <Override PartName="/xl/drawings/_rels/drawing5.xml.rels" ContentType="application/vnd.openxmlformats-package.relationships+xml"/>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ver" sheetId="1" state="visible" r:id="rId3"/>
    <sheet name="Setup" sheetId="2" state="visible" r:id="rId4"/>
    <sheet name="Summary" sheetId="3" state="visible" r:id="rId5"/>
    <sheet name="Network" sheetId="4" state="visible" r:id="rId6"/>
    <sheet name="Network Diagram" sheetId="5" state="visible" r:id="rId7"/>
    <sheet name="Reference" sheetId="6" state="visible" r:id="rId8"/>
  </sheets>
  <definedNames>
    <definedName function="false" hidden="false" localSheetId="0" name="_xlnm.Print_Area" vbProcedure="false">Cover!$A$1:$G$54</definedName>
    <definedName function="false" hidden="false" localSheetId="3" name="_xlnm.Print_Area" vbProcedure="false">Network!$A$1:$V$32</definedName>
    <definedName function="false" hidden="false" localSheetId="3" name="_xlnm.Print_Titles" vbProcedure="false">Network!$6:$6</definedName>
    <definedName function="false" hidden="true" localSheetId="3" name="_xlnm._FilterDatabase" vbProcedure="false">Network!$B$6:$V$28</definedName>
    <definedName function="false" hidden="false" localSheetId="4" name="_xlnm.Print_Area" vbProcedure="false">'Network Diagram'!$A$1:$CA$49</definedName>
    <definedName function="false" hidden="false" localSheetId="5" name="_xlnm.Print_Area" vbProcedure="false">Reference!$A$1:$H$34</definedName>
    <definedName function="false" hidden="false" localSheetId="1" name="_xlnm.Print_Area" vbProcedure="false">Setup!$A$1:$H$36</definedName>
    <definedName function="false" hidden="false" localSheetId="2" name="_xlnm.Print_Area" vbProcedure="false">Summary!$A$1:$I$50</definedName>
  </definedNames>
  <calcPr fullCalcOnLoad="1"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<sst xmlns="http://schemas.openxmlformats.org/spreadsheetml/2006/main" count="277" uniqueCount="234">
  <si>
    <t xml:space="preserve">PERT Chart</t>
  </si>
  <si>
    <t xml:space="preserve">Three estimates, a calculated network, and the arithmetic nobody else does</t>
  </si>
  <si>
    <t xml:space="preserve">Give every activity a best, most likely and worst case and say what it comes after. This works out the early and late dates, both floats, the critical path, and the chance of hitting a date - and draws the network from START to FINISH as you type.</t>
  </si>
  <si>
    <t xml:space="preserve">HOW TO USE IT</t>
  </si>
  <si>
    <t xml:space="preserve">1.   Fill in Setup</t>
  </si>
  <si>
    <t xml:space="preserve">Project, start date, calendar, estimating convention, required finish date.</t>
  </si>
  <si>
    <t xml:space="preserve">2.   List the activities</t>
  </si>
  <si>
    <t xml:space="preserve">Three estimates and the IDs it comes after. It must sit BELOW those rows.</t>
  </si>
  <si>
    <t xml:space="preserve">3.   Clear the Check column</t>
  </si>
  <si>
    <t xml:space="preserve">It names the fault in words and colours the row until you deal with it.</t>
  </si>
  <si>
    <t xml:space="preserve">4.   Read the Network Diagram</t>
  </si>
  <si>
    <t xml:space="preserve">It draws itself from what you typed. Red boxes are the critical path.</t>
  </si>
  <si>
    <t xml:space="preserve">5.   Read the Summary</t>
  </si>
  <si>
    <t xml:space="preserve">Duration, finish date, how much is critical, and the chance of a date.</t>
  </si>
  <si>
    <t xml:space="preserve">WHAT IS IN THE WORKBOOK</t>
  </si>
  <si>
    <t xml:space="preserve">Setup</t>
  </si>
  <si>
    <t xml:space="preserve">Project, start date, calendar, estimating convention and the two thresholds.</t>
  </si>
  <si>
    <t xml:space="preserve">Summary</t>
  </si>
  <si>
    <t xml:space="preserve">Duration, finish date, how much of the work is critical, and the chance of a target date.</t>
  </si>
  <si>
    <t xml:space="preserve">Network</t>
  </si>
  <si>
    <t xml:space="preserve">One row per activity. Three estimates in; every date, both floats and the critical flag out.</t>
  </si>
  <si>
    <t xml:space="preserve">Network Diagram</t>
  </si>
  <si>
    <t xml:space="preserve">The network drawn - a box per activity, a line per dependency, START to FINISH, red on the critical path.</t>
  </si>
  <si>
    <t xml:space="preserve">Reference</t>
  </si>
  <si>
    <t xml:space="preserve">The colour key and every dropdown source. Edit a list here and every list in the workbook follows.</t>
  </si>
  <si>
    <t xml:space="preserve">The colour key, what each cell colour means and every dropdown source are on the Reference sheet.</t>
  </si>
  <si>
    <t xml:space="preserve">IMPORTANT</t>
  </si>
  <si>
    <t xml:space="preserve">A planning aid, not a scheduling tool. It models finish-to-start links on one calendar with no lags, no leads and no resource levelling - real programmes have all three, and any of them can move the critical path. The probability follows one path, so it is optimistic wherever paths converge; the Summary counts those merge points beside it. Take your own scheduling advice before relying on a date contractually.</t>
  </si>
  <si>
    <t xml:space="preserve">Built for teams delivering capital projects, programs and portfolios  ·  mastt.com</t>
  </si>
  <si>
    <t xml:space="preserve">PERT CHART     ·     SETUP</t>
  </si>
  <si>
    <t xml:space="preserve">The project, the start date and the calendar everything is counted from, which estimating formula to use, and the two thresholds the flags derive from.</t>
  </si>
  <si>
    <t xml:space="preserve">1  ·  THE PROJECT</t>
  </si>
  <si>
    <t xml:space="preserve">Project</t>
  </si>
  <si>
    <t xml:space="preserve">EXAMPLE - Northgate Depot refurbishment</t>
  </si>
  <si>
    <t xml:space="preserve">Project number</t>
  </si>
  <si>
    <t xml:space="preserve">EX-2026-114</t>
  </si>
  <si>
    <t xml:space="preserve">Client or business unit</t>
  </si>
  <si>
    <t xml:space="preserve">Facilities and Assets</t>
  </si>
  <si>
    <t xml:space="preserve">Programme prepared by</t>
  </si>
  <si>
    <t xml:space="preserve">H. Nakamura, PMO</t>
  </si>
  <si>
    <t xml:space="preserve">Project start date</t>
  </si>
  <si>
    <t xml:space="preserve">Day 1 of the network. Every date in the workbook counts forward from here.</t>
  </si>
  <si>
    <t xml:space="preserve">Calendar</t>
  </si>
  <si>
    <t xml:space="preserve">5-day working week</t>
  </si>
  <si>
    <t xml:space="preserve">Durations are entered in this unit. A 5-day week skips weekends.</t>
  </si>
  <si>
    <t xml:space="preserve">2  ·  HOW THE THREE ESTIMATES ARE COMBINED</t>
  </si>
  <si>
    <t xml:space="preserve">Two weightings are in common use and neither is a law. The weighted form pulls the answer towards the most likely value; the triangular form treats the three equally and is more pessimistic wherever the worst case sits a long way out. Reference sets out both.</t>
  </si>
  <si>
    <t xml:space="preserve">Estimating method</t>
  </si>
  <si>
    <t xml:space="preserve">PERT weighted</t>
  </si>
  <si>
    <t xml:space="preserve">Weighted: best plus four times most likely plus worst, over six. Triangular: the plain average of the three.</t>
  </si>
  <si>
    <t xml:space="preserve">3  ·  THE TWO THRESHOLDS EVERYTHING DERIVES FROM</t>
  </si>
  <si>
    <t xml:space="preserve">Treat float at or under this as nearly critical (days)</t>
  </si>
  <si>
    <t xml:space="preserve">The least float in the network is the critical path. This is the band just above it - the activities nobody watches, and the ones that become critical first.</t>
  </si>
  <si>
    <t xml:space="preserve">Confidence level for the date question (%)</t>
  </si>
  <si>
    <t xml:space="preserve">The Summary works out the finish date that carries this confidence. Yours to set.</t>
  </si>
  <si>
    <t xml:space="preserve">4  ·  DATES YOU ARE MEASURED AGAINST (OPTIONAL)</t>
  </si>
  <si>
    <t xml:space="preserve">Required finish date</t>
  </si>
  <si>
    <t xml:space="preserve">Blank measures float against the calculated finish. Fill it in and a date that cannot be met shows NEGATIVE float - the amount to recover.</t>
  </si>
  <si>
    <t xml:space="preserve">Test the chance of finishing by</t>
  </si>
  <si>
    <t xml:space="preserve">Any date. The Summary works out how likely it is, and why that is optimistic.</t>
  </si>
  <si>
    <t xml:space="preserve">CALCULATED FROM THE NETWORK - DO NOT TYPE HERE</t>
  </si>
  <si>
    <t xml:space="preserve">Calculated duration (days)</t>
  </si>
  <si>
    <t xml:space="preserve">The longest path through the network.</t>
  </si>
  <si>
    <t xml:space="preserve">Required finish, as a day number</t>
  </si>
  <si>
    <t xml:space="preserve">Converted so the network can measure float against it.</t>
  </si>
  <si>
    <t xml:space="preserve">The backward pass runs from</t>
  </si>
  <si>
    <t xml:space="preserve">The required date if you set one, otherwise the calculated finish.</t>
  </si>
  <si>
    <t xml:space="preserve">Least float in the network (days)</t>
  </si>
  <si>
    <t xml:space="preserve">Critical is read off this rather than off zero, so the longest path is still identified when an imposed date makes every float positive or every float negative.</t>
  </si>
  <si>
    <t xml:space="preserve">Variance along the critical path</t>
  </si>
  <si>
    <t xml:space="preserve">Added along the one longest chain, not across every low-float row.</t>
  </si>
  <si>
    <t xml:space="preserve">Target date, as a day number</t>
  </si>
  <si>
    <t xml:space="preserve">Used for the probability question on the Summary.</t>
  </si>
  <si>
    <t xml:space="preserve">IS THE SHEET READY?</t>
  </si>
  <si>
    <t xml:space="preserve">Setup complete</t>
  </si>
  <si>
    <t xml:space="preserve">Everything above the optional dates filled in.</t>
  </si>
  <si>
    <t xml:space="preserve">Visit mastt.com</t>
  </si>
  <si>
    <t xml:space="preserve">PERT CHART     ·     SUMMARY</t>
  </si>
  <si>
    <t xml:space="preserve">The board read. Every figure counts itself from the Network - none of it is typed. Read the probability with the caution beside it.</t>
  </si>
  <si>
    <t xml:space="preserve">WHERE THE PROGRAMME STANDS</t>
  </si>
  <si>
    <t xml:space="preserve">Activities in the network</t>
  </si>
  <si>
    <t xml:space="preserve">Expected duration (days)</t>
  </si>
  <si>
    <t xml:space="preserve">Expected finish</t>
  </si>
  <si>
    <t xml:space="preserve">On the critical path</t>
  </si>
  <si>
    <t xml:space="preserve">Nearly critical</t>
  </si>
  <si>
    <t xml:space="preserve">Behind the required date</t>
  </si>
  <si>
    <t xml:space="preserve">Rows the sheet cannot calculate</t>
  </si>
  <si>
    <t xml:space="preserve">Merge points</t>
  </si>
  <si>
    <t xml:space="preserve">HOW LIKELY IS THE DATE</t>
  </si>
  <si>
    <t xml:space="preserve">Three estimates give a spread as well as an average, and the spread along the critical path is what makes these two questions answerable at all. Both figures below are OPTIMISTIC wherever chains merge - see the tile above for how many merge points this network has, and Reference for why. Read them as a best case, not as a forecast.</t>
  </si>
  <si>
    <t xml:space="preserve">Standard deviation of the critical path (days)</t>
  </si>
  <si>
    <t xml:space="preserve">Added along the longest chain, from the spread between your best and worst cases. A big number here is a schedule nobody should be quoting a single date for.</t>
  </si>
  <si>
    <t xml:space="preserve">Chance of finishing by the target date</t>
  </si>
  <si>
    <t xml:space="preserve">Set the target on Setup. Blank means no target set, or the estimates leave no spread to work with.</t>
  </si>
  <si>
    <t xml:space="preserve">Finish date you would need for that confidence</t>
  </si>
  <si>
    <t xml:space="preserve">The date that carries the confidence level set on Setup. The gap between this and the expected finish is what a contingency allowance on time is actually for.</t>
  </si>
  <si>
    <t xml:space="preserve">Days of contingency that implies</t>
  </si>
  <si>
    <t xml:space="preserve">The difference between the two dates above, in whichever unit your calendar uses.</t>
  </si>
  <si>
    <t xml:space="preserve">Widest spread on any one activity (days)</t>
  </si>
  <si>
    <t xml:space="preserve">Best case to worst case on the single most uncertain activity. Compare it with the standard deviation above: if one activity carries most of the uncertainty in the network, the normal-curve arithmetic is on thinner ice than usual.</t>
  </si>
  <si>
    <t xml:space="preserve">THE CRITICAL PATH - IN ORDER</t>
  </si>
  <si>
    <t xml:space="preserve">Activity</t>
  </si>
  <si>
    <t xml:space="preserve">Expected</t>
  </si>
  <si>
    <t xml:space="preserve">Starts</t>
  </si>
  <si>
    <t xml:space="preserve">Finishes</t>
  </si>
  <si>
    <t xml:space="preserve">The longest path through the network. Shows the first 12 - if the count in the tile above is larger than that, the rest are on the Network sheet with CRITICAL against them.</t>
  </si>
  <si>
    <t xml:space="preserve">NEARLY CRITICAL - THE ONES NOBODY WATCHES</t>
  </si>
  <si>
    <t xml:space="preserve">Float</t>
  </si>
  <si>
    <t xml:space="preserve">Float above zero but inside the threshold on Setup. A near-critical chain with a wide spread of estimates is more dangerous than a critical chain everybody is already watching, and it becomes the critical path the first time it slips.</t>
  </si>
  <si>
    <t xml:space="preserve">PERT CHART     ·     NETWORK</t>
  </si>
  <si>
    <t xml:space="preserve">One row per activity, and every column from Expected rightwards is calculated. An activity has to sit BELOW everything it comes after - a spreadsheet cannot resolve links that point upwards - and the Check column says so by name when one does not.</t>
  </si>
  <si>
    <t xml:space="preserve">ID</t>
  </si>
  <si>
    <t xml:space="preserve">After 1</t>
  </si>
  <si>
    <t xml:space="preserve">After 2</t>
  </si>
  <si>
    <t xml:space="preserve">After 3</t>
  </si>
  <si>
    <t xml:space="preserve">Best case
(o)</t>
  </si>
  <si>
    <t xml:space="preserve">Most likely
(m)</t>
  </si>
  <si>
    <t xml:space="preserve">Worst case
(p)</t>
  </si>
  <si>
    <t xml:space="preserve">Variance</t>
  </si>
  <si>
    <t xml:space="preserve">Early
start</t>
  </si>
  <si>
    <t xml:space="preserve">Early
finish</t>
  </si>
  <si>
    <t xml:space="preserve">Late
start</t>
  </si>
  <si>
    <t xml:space="preserve">Late
finish</t>
  </si>
  <si>
    <t xml:space="preserve">Total
float</t>
  </si>
  <si>
    <t xml:space="preserve">Free
float</t>
  </si>
  <si>
    <t xml:space="preserve">Status</t>
  </si>
  <si>
    <t xml:space="preserve">Owner</t>
  </si>
  <si>
    <t xml:space="preserve">Check</t>
  </si>
  <si>
    <t xml:space="preserve">Site establishment and hoarding</t>
  </si>
  <si>
    <t xml:space="preserve">Complete</t>
  </si>
  <si>
    <t xml:space="preserve">M. Okonkwo</t>
  </si>
  <si>
    <t xml:space="preserve">Demolition and strip-out</t>
  </si>
  <si>
    <t xml:space="preserve">Asbestos clearance certificate</t>
  </si>
  <si>
    <t xml:space="preserve">R. Adeyemi</t>
  </si>
  <si>
    <t xml:space="preserve">Structural steel - shop drawings</t>
  </si>
  <si>
    <t xml:space="preserve">In progress</t>
  </si>
  <si>
    <t xml:space="preserve">L. Brandt</t>
  </si>
  <si>
    <t xml:space="preserve">Structural steel - fabrication</t>
  </si>
  <si>
    <t xml:space="preserve">Not started</t>
  </si>
  <si>
    <t xml:space="preserve">Structural steel - erection</t>
  </si>
  <si>
    <t xml:space="preserve">Facade - procurement</t>
  </si>
  <si>
    <t xml:space="preserve">P. Nakamura</t>
  </si>
  <si>
    <t xml:space="preserve">Facade - installation</t>
  </si>
  <si>
    <t xml:space="preserve">Mechanical services - rough-in</t>
  </si>
  <si>
    <t xml:space="preserve">S. Villalobos</t>
  </si>
  <si>
    <t xml:space="preserve">Electrical services - rough-in</t>
  </si>
  <si>
    <t xml:space="preserve">Services - coordination and testing</t>
  </si>
  <si>
    <t xml:space="preserve">Internal linings and finishes</t>
  </si>
  <si>
    <t xml:space="preserve">K. Osei</t>
  </si>
  <si>
    <t xml:space="preserve">Joinery and fixed furniture</t>
  </si>
  <si>
    <t xml:space="preserve">Commissioning and witness testing</t>
  </si>
  <si>
    <t xml:space="preserve">Practical completion inspection</t>
  </si>
  <si>
    <t xml:space="preserve">Expected duration, both floats and the critical flag are calculated from the three estimates and the comes-after columns. Nothing about the path is typed, so a changed estimate moves every date that depends on it. Total float is late start less early start; free float is how long this activity can slip before the next one has to move, which is the smaller and more useful of the two.</t>
  </si>
  <si>
    <t xml:space="preserve">PERT CHART     ·     NETWORK DIAGRAM</t>
  </si>
  <si>
    <t xml:space="preserve">Every box and every line here is generated from the comes-after columns on the Network sheet. One continuous run, START to FINISH, left to right - a column is one step deeper into the network, so nothing in a column waits for anything else in it. Red is critical.</t>
  </si>
  <si>
    <t xml:space="preserve">HOW TO READ A BOX</t>
  </si>
  <si>
    <t xml:space="preserve">Early start</t>
  </si>
  <si>
    <t xml:space="preserve">Duration</t>
  </si>
  <si>
    <t xml:space="preserve">Early finish</t>
  </si>
  <si>
    <t xml:space="preserve">Top row of a box: the earliest the activity can start and finish. Bottom row: the latest it can start and finish without moving the end date, and the float between the two. A RED box is on the critical path - it carries the least float in the network, so any delay to it is a delay to the project. Orange is nearly critical, blue has float, grey is missing its estimates. The thin navy line is a dependency: it leaves the right of one box and enters the left of the next, stepping up or down the vertical rule where the two are not in the same lane. Anything nothing waits for is fed from START; anything nothing waits on runs to FINISH.</t>
  </si>
  <si>
    <t xml:space="preserve">Activity name</t>
  </si>
  <si>
    <t xml:space="preserve">Late start</t>
  </si>
  <si>
    <t xml:space="preserve">Late finish</t>
  </si>
  <si>
    <t xml:space="preserve">ID  ·  comes after</t>
  </si>
  <si>
    <t xml:space="preserve">THE NETWORK  ·  START TO FINISH  ·  12 LEVELS, 5 LANES</t>
  </si>
  <si>
    <t xml:space="preserve">Level 1</t>
  </si>
  <si>
    <t xml:space="preserve">Level 2</t>
  </si>
  <si>
    <t xml:space="preserve">Level 3</t>
  </si>
  <si>
    <t xml:space="preserve">Level 4</t>
  </si>
  <si>
    <t xml:space="preserve">Level 5</t>
  </si>
  <si>
    <t xml:space="preserve">Level 6</t>
  </si>
  <si>
    <t xml:space="preserve">Level 7</t>
  </si>
  <si>
    <t xml:space="preserve">Level 8</t>
  </si>
  <si>
    <t xml:space="preserve">Level 9</t>
  </si>
  <si>
    <t xml:space="preserve">Level 10</t>
  </si>
  <si>
    <t xml:space="preserve">Level 11</t>
  </si>
  <si>
    <t xml:space="preserve">Level 12</t>
  </si>
  <si>
    <t xml:space="preserve">START</t>
  </si>
  <si>
    <t xml:space="preserve">FINISH</t>
  </si>
  <si>
    <t xml:space="preserve">Activities with no room on this diagram</t>
  </si>
  <si>
    <t xml:space="preserve">The diagram holds 12 levels of 5 lanes. Anything past that is counted here rather than quietly dropped - it is still in the Network and still in every total.</t>
  </si>
  <si>
    <t xml:space="preserve">Links that could not be drawn</t>
  </si>
  <si>
    <t xml:space="preserve">A link skipping levels holds its lane across them. If a box lands in that lane the box wins and the line breaks - counted here, and still named in that box's own after line.</t>
  </si>
  <si>
    <t xml:space="preserve">A column is a network level, not a phase: everything in one column has the same number of activities in front of it, so nothing in a column waits for anything else in it. This is an activity-on-node view - boxes for activities, lines for the links between them - which is the form modern scheduling uses and the form most people now mean by a PERT chart. Add an activity on the Network sheet and it appears here, in a lane, wired to what it comes after. The sheet is deliberately long: it prints across two A3 landscape pages side by side, and reads as one continuous run on screen.</t>
  </si>
  <si>
    <t xml:space="preserve">PERT CHART     ·     REFERENCE</t>
  </si>
  <si>
    <t xml:space="preserve">The colour key and every dropdown source. Edit a list here and every list in the workbook follows it.</t>
  </si>
  <si>
    <t xml:space="preserve">THE COLOUR KEY - THE SAME SIX MEANINGS ON EVERY SHEET</t>
  </si>
  <si>
    <t xml:space="preserve">Colour</t>
  </si>
  <si>
    <t xml:space="preserve">It means</t>
  </si>
  <si>
    <t xml:space="preserve">When you will see it</t>
  </si>
  <si>
    <t xml:space="preserve">CRITICAL</t>
  </si>
  <si>
    <t xml:space="preserve">Critical</t>
  </si>
  <si>
    <t xml:space="preserve">Least float in the network. Any delay here moves the finish.</t>
  </si>
  <si>
    <t xml:space="preserve">NEARLY CRITICAL</t>
  </si>
  <si>
    <t xml:space="preserve">Within your near-critical threshold of the least float. Where schedules usually fail.</t>
  </si>
  <si>
    <t xml:space="preserve">WATCH</t>
  </si>
  <si>
    <t xml:space="preserve">Watch</t>
  </si>
  <si>
    <t xml:space="preserve">Something needs a decision - an estimate missing, or a wide spread.</t>
  </si>
  <si>
    <t xml:space="preserve">HAS FLOAT</t>
  </si>
  <si>
    <t xml:space="preserve">Has float</t>
  </si>
  <si>
    <t xml:space="preserve">Comfortable float. It can slip without moving the finish.</t>
  </si>
  <si>
    <t xml:space="preserve">COMPLETE</t>
  </si>
  <si>
    <t xml:space="preserve">Recorded as done.</t>
  </si>
  <si>
    <t xml:space="preserve">NOT APPLICABLE</t>
  </si>
  <si>
    <t xml:space="preserve">Not applicable</t>
  </si>
  <si>
    <t xml:space="preserve">Not started, out of scope, or nothing to calculate yet.</t>
  </si>
  <si>
    <t xml:space="preserve">HOW TO READ A CELL</t>
  </si>
  <si>
    <t xml:space="preserve">Pale blue</t>
  </si>
  <si>
    <t xml:space="preserve">You type in it.</t>
  </si>
  <si>
    <t xml:space="preserve">Off-white</t>
  </si>
  <si>
    <t xml:space="preserve">Calculated. Typing in it breaks the network.</t>
  </si>
  <si>
    <t xml:space="preserve">Red row</t>
  </si>
  <si>
    <t xml:space="preserve">Critical. No float.</t>
  </si>
  <si>
    <t xml:space="preserve">Orange row</t>
  </si>
  <si>
    <t xml:space="preserve">Near-critical. Inside the threshold on Setup.</t>
  </si>
  <si>
    <t xml:space="preserve">A dash</t>
  </si>
  <si>
    <t xml:space="preserve">Nothing to calculate yet - usually a missing estimate or a missing link.</t>
  </si>
  <si>
    <t xml:space="preserve">DROPDOWN SOURCES - EDIT THESE AND EVERY LIST IN THE WORKBOOK FOLLOWS</t>
  </si>
  <si>
    <t xml:space="preserve">Yes or no</t>
  </si>
  <si>
    <t xml:space="preserve">Phase</t>
  </si>
  <si>
    <t xml:space="preserve">Yes</t>
  </si>
  <si>
    <t xml:space="preserve">Enabling</t>
  </si>
  <si>
    <t xml:space="preserve">Triangular</t>
  </si>
  <si>
    <t xml:space="preserve">No</t>
  </si>
  <si>
    <t xml:space="preserve">Substructure</t>
  </si>
  <si>
    <t xml:space="preserve">7-day calendar week</t>
  </si>
  <si>
    <t xml:space="preserve">Structure</t>
  </si>
  <si>
    <t xml:space="preserve">On hold</t>
  </si>
  <si>
    <t xml:space="preserve">Envelope</t>
  </si>
  <si>
    <t xml:space="preserve">Services</t>
  </si>
  <si>
    <t xml:space="preserve">Fit-out</t>
  </si>
  <si>
    <t xml:space="preserve">Commissioning</t>
  </si>
  <si>
    <t xml:space="preserve">Handover</t>
  </si>
  <si>
    <t xml:space="preserve">Not set</t>
  </si>
</sst>
</file>

<file path=xl/styles.xml><?xml version="1.0" encoding="utf-8"?>
<styleSheet xmlns="http://schemas.openxmlformats.org/spreadsheetml/2006/main">
  <numFmts count="12">
    <numFmt numFmtId="164" formatCode="General"/>
    <numFmt numFmtId="165" formatCode="d\ mmm\ yyyy"/>
    <numFmt numFmtId="166" formatCode="0"/>
    <numFmt numFmtId="167" formatCode="0%;\-0%;\-"/>
    <numFmt numFmtId="168" formatCode="#,##0.0;[RED]\-#,##0.0;\-"/>
    <numFmt numFmtId="169" formatCode="#,##0;[RED]\-#,##0;\-"/>
    <numFmt numFmtId="170" formatCode="#,##0.00;\-#,##0.00;\-"/>
    <numFmt numFmtId="171" formatCode="#,##0;\-#,##0;\-"/>
    <numFmt numFmtId="172" formatCode="#,##0.0;\-#,##0.0;\-"/>
    <numFmt numFmtId="173" formatCode="#,##0;[RED]\-#,##0;&quot;&quot;"/>
    <numFmt numFmtId="174" formatCode="General"/>
    <numFmt numFmtId="175" formatCode="#,##0"/>
  </numFmts>
  <fonts count="36">
    <font>
      <sz val="11"/>
      <color theme="1"/>
      <name val="Calibri"/>
      <family val="2"/>
      <charset val="1"/>
    </font>
    <font>
      <sz val="10"/>
      <name val="Arial"/>
      <family val="0"/>
    </font>
    <font>
      <sz val="10"/>
      <name val="Arial"/>
      <family val="0"/>
    </font>
    <font>
      <sz val="10"/>
      <name val="Arial"/>
      <family val="0"/>
    </font>
    <font>
      <b val="true"/>
      <sz val="11"/>
      <color rgb="FFFFFFFF"/>
      <name val="Inter"/>
      <family val="0"/>
      <charset val="1"/>
    </font>
    <font>
      <b val="true"/>
      <sz val="26"/>
      <color rgb="FF1D3245"/>
      <name val="Inter"/>
      <family val="0"/>
      <charset val="1"/>
    </font>
    <font>
      <sz val="12"/>
      <color rgb="FF3480BC"/>
      <name val="Inter"/>
      <family val="0"/>
      <charset val="1"/>
    </font>
    <font>
      <sz val="10.5"/>
      <color rgb="FF1D3245"/>
      <name val="Inter"/>
      <family val="0"/>
      <charset val="1"/>
    </font>
    <font>
      <b val="true"/>
      <sz val="10"/>
      <color rgb="FF0D3C61"/>
      <name val="Inter"/>
      <family val="0"/>
      <charset val="1"/>
    </font>
    <font>
      <sz val="9.5"/>
      <color rgb="FF1D3245"/>
      <name val="Inter"/>
      <family val="0"/>
      <charset val="1"/>
    </font>
    <font>
      <i val="true"/>
      <sz val="9.5"/>
      <color rgb="FF8E98A2"/>
      <name val="Inter"/>
      <family val="0"/>
      <charset val="1"/>
    </font>
    <font>
      <b val="true"/>
      <sz val="10"/>
      <color rgb="FFEC6917"/>
      <name val="Inter"/>
      <family val="0"/>
      <charset val="1"/>
    </font>
    <font>
      <u val="single"/>
      <sz val="9.5"/>
      <color rgb="FF3480BC"/>
      <name val="Inter"/>
      <family val="0"/>
      <charset val="1"/>
    </font>
    <font>
      <b val="true"/>
      <sz val="13"/>
      <color rgb="FFFFFFFF"/>
      <name val="Inter"/>
      <family val="0"/>
      <charset val="1"/>
    </font>
    <font>
      <i val="true"/>
      <sz val="9"/>
      <color rgb="FF8E98A2"/>
      <name val="Inter"/>
      <family val="0"/>
      <charset val="1"/>
    </font>
    <font>
      <sz val="10"/>
      <color rgb="FF1D3245"/>
      <name val="Inter"/>
      <family val="0"/>
      <charset val="1"/>
    </font>
    <font>
      <sz val="10"/>
      <color rgb="FF0D3C61"/>
      <name val="Inter"/>
      <family val="0"/>
      <charset val="1"/>
    </font>
    <font>
      <b val="true"/>
      <sz val="10"/>
      <color rgb="FF1D3245"/>
      <name val="Inter"/>
      <family val="0"/>
      <charset val="1"/>
    </font>
    <font>
      <b val="true"/>
      <sz val="9.5"/>
      <color rgb="FF1D3245"/>
      <name val="Inter"/>
      <family val="0"/>
      <charset val="1"/>
    </font>
    <font>
      <b val="true"/>
      <sz val="19"/>
      <color rgb="FF0B79D0"/>
      <name val="Inter"/>
      <family val="0"/>
      <charset val="1"/>
    </font>
    <font>
      <b val="true"/>
      <sz val="19"/>
      <color rgb="FFE31B0C"/>
      <name val="Inter"/>
      <family val="0"/>
      <charset val="1"/>
    </font>
    <font>
      <b val="true"/>
      <sz val="19"/>
      <color rgb="FFEC6917"/>
      <name val="Inter"/>
      <family val="0"/>
      <charset val="1"/>
    </font>
    <font>
      <b val="true"/>
      <sz val="19"/>
      <color rgb="FFFFB547"/>
      <name val="Inter"/>
      <family val="0"/>
      <charset val="1"/>
    </font>
    <font>
      <b val="true"/>
      <sz val="9.5"/>
      <color rgb="FF0D3C61"/>
      <name val="Inter"/>
      <family val="0"/>
      <charset val="1"/>
    </font>
    <font>
      <sz val="9.5"/>
      <color rgb="FF0D3C61"/>
      <name val="Inter"/>
      <family val="0"/>
      <charset val="1"/>
    </font>
    <font>
      <b val="true"/>
      <sz val="8.5"/>
      <color rgb="FF0D3C61"/>
      <name val="Inter"/>
      <family val="0"/>
      <charset val="1"/>
    </font>
    <font>
      <sz val="8.5"/>
      <color rgb="FF8E98A2"/>
      <name val="Inter"/>
      <family val="0"/>
      <charset val="1"/>
    </font>
    <font>
      <b val="true"/>
      <sz val="9"/>
      <color rgb="FF1D3245"/>
      <name val="Inter"/>
      <family val="0"/>
      <charset val="1"/>
    </font>
    <font>
      <i val="true"/>
      <sz val="8.5"/>
      <color rgb="FF8E98A2"/>
      <name val="Inter"/>
      <family val="0"/>
      <charset val="1"/>
    </font>
    <font>
      <b val="true"/>
      <sz val="9.5"/>
      <color rgb="FFFFFFFF"/>
      <name val="Inter"/>
      <family val="0"/>
      <charset val="1"/>
    </font>
    <font>
      <b val="true"/>
      <sz val="9.5"/>
      <color rgb="FFE31B0C"/>
      <name val="Inter"/>
      <family val="0"/>
      <charset val="1"/>
    </font>
    <font>
      <b val="true"/>
      <sz val="9.5"/>
      <color rgb="FFEC6917"/>
      <name val="Inter"/>
      <family val="0"/>
      <charset val="1"/>
    </font>
    <font>
      <b val="true"/>
      <sz val="9.5"/>
      <color rgb="FFFFB547"/>
      <name val="Inter"/>
      <family val="0"/>
      <charset val="1"/>
    </font>
    <font>
      <b val="true"/>
      <sz val="9.5"/>
      <color rgb="FF0B79D0"/>
      <name val="Inter"/>
      <family val="0"/>
      <charset val="1"/>
    </font>
    <font>
      <b val="true"/>
      <sz val="9.5"/>
      <color rgb="FF4CAF50"/>
      <name val="Inter"/>
      <family val="0"/>
      <charset val="1"/>
    </font>
    <font>
      <b val="true"/>
      <sz val="9.5"/>
      <color rgb="FF8E98A2"/>
      <name val="Inter"/>
      <family val="0"/>
      <charset val="1"/>
    </font>
  </fonts>
  <fills count="25">
    <fill>
      <patternFill patternType="none"/>
    </fill>
    <fill>
      <patternFill patternType="gray125"/>
    </fill>
    <fill>
      <patternFill patternType="solid">
        <fgColor rgb="FF1D3245"/>
        <bgColor rgb="FF0D3C61"/>
      </patternFill>
    </fill>
    <fill>
      <patternFill patternType="solid">
        <fgColor rgb="FF3480BC"/>
        <bgColor rgb="FF0B79D0"/>
      </patternFill>
    </fill>
    <fill>
      <patternFill patternType="solid">
        <fgColor rgb="FF0D3C61"/>
        <bgColor rgb="FF1D3245"/>
      </patternFill>
    </fill>
    <fill>
      <patternFill patternType="solid">
        <fgColor rgb="FFFFF4E0"/>
        <bgColor rgb="FFFDEBE0"/>
      </patternFill>
    </fill>
    <fill>
      <patternFill patternType="solid">
        <fgColor rgb="FF215383"/>
        <bgColor rgb="FF0D3C61"/>
      </patternFill>
    </fill>
    <fill>
      <patternFill patternType="solid">
        <fgColor rgb="FFE3F0FA"/>
        <bgColor rgb="FFDCE9F4"/>
      </patternFill>
    </fill>
    <fill>
      <patternFill patternType="solid">
        <fgColor rgb="FFF6F9FC"/>
        <bgColor rgb="FFF5F5F5"/>
      </patternFill>
    </fill>
    <fill>
      <patternFill patternType="solid">
        <fgColor rgb="FFFDEBE9"/>
        <bgColor rgb="FFFDEBE0"/>
      </patternFill>
    </fill>
    <fill>
      <patternFill patternType="solid">
        <fgColor rgb="FFFDEBE0"/>
        <bgColor rgb="FFFDEBE9"/>
      </patternFill>
    </fill>
    <fill>
      <patternFill patternType="solid">
        <fgColor rgb="FFDCE9F4"/>
        <bgColor rgb="FFE3F0FA"/>
      </patternFill>
    </fill>
    <fill>
      <patternFill patternType="solid">
        <fgColor rgb="FF0B79D0"/>
        <bgColor rgb="FF3480BC"/>
      </patternFill>
    </fill>
    <fill>
      <patternFill patternType="solid">
        <fgColor rgb="FFD3DEE9"/>
        <bgColor rgb="FFE0E0E0"/>
      </patternFill>
    </fill>
    <fill>
      <patternFill patternType="solid">
        <fgColor rgb="FFFFFFFF"/>
        <bgColor rgb="FFF6F9FC"/>
      </patternFill>
    </fill>
    <fill>
      <patternFill patternType="solid">
        <fgColor rgb="FFF5F5F5"/>
        <bgColor rgb="FFF6F9FC"/>
      </patternFill>
    </fill>
    <fill>
      <patternFill patternType="solid">
        <fgColor rgb="FFEC6917"/>
        <bgColor rgb="FFFF9900"/>
      </patternFill>
    </fill>
    <fill>
      <patternFill patternType="solid">
        <fgColor rgb="FF8E98A2"/>
        <bgColor rgb="FF808080"/>
      </patternFill>
    </fill>
    <fill>
      <patternFill patternType="solid">
        <fgColor rgb="FFE31B0C"/>
        <bgColor rgb="FF993300"/>
      </patternFill>
    </fill>
    <fill>
      <patternFill patternType="solid">
        <fgColor rgb="FFFFB547"/>
        <bgColor rgb="FFFF9900"/>
      </patternFill>
    </fill>
    <fill>
      <patternFill patternType="solid">
        <fgColor rgb="FF64B6F7"/>
        <bgColor rgb="FF33CCCC"/>
      </patternFill>
    </fill>
    <fill>
      <patternFill patternType="solid">
        <fgColor rgb="FF4CAF50"/>
        <bgColor rgb="FF8E98A2"/>
      </patternFill>
    </fill>
    <fill>
      <patternFill patternType="solid">
        <fgColor rgb="FFE8F5E9"/>
        <bgColor rgb="FFEEEEEE"/>
      </patternFill>
    </fill>
    <fill>
      <patternFill patternType="solid">
        <fgColor rgb="FFE0E0E0"/>
        <bgColor rgb="FFD3DEE9"/>
      </patternFill>
    </fill>
    <fill>
      <patternFill patternType="solid">
        <fgColor rgb="FFEEEEEE"/>
        <bgColor rgb="FFE8F5E9"/>
      </patternFill>
    </fill>
  </fills>
  <borders count="3">
    <border diagonalUp="false" diagonalDown="false">
      <left/>
      <right/>
      <top/>
      <bottom/>
      <diagonal/>
    </border>
    <border diagonalUp="false" diagonalDown="false">
      <left style="thin">
        <color rgb="FFE0E0E0"/>
      </left>
      <right style="thin">
        <color rgb="FFE0E0E0"/>
      </right>
      <top style="thin">
        <color rgb="FFE0E0E0"/>
      </top>
      <bottom style="thin">
        <color rgb="FFE0E0E0"/>
      </bottom>
      <diagonal/>
    </border>
    <border diagonalUp="false" diagonalDown="false">
      <left style="thin">
        <color rgb="FFE0E0E0"/>
      </left>
      <right style="thin">
        <color rgb="FFE0E0E0"/>
      </right>
      <top style="thin">
        <color rgb="FFE0E0E0"/>
      </top>
      <bottom style="medium">
        <color rgb="FF3480B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0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4" fillId="3" borderId="0" xfId="0" applyFont="true" applyBorder="true" applyAlignment="true" applyProtection="false">
      <alignment horizontal="left" vertical="center" textRotation="0" wrapText="false" indent="1" shrinkToFit="false"/>
      <protection locked="true" hidden="false"/>
    </xf>
    <xf numFmtId="164" fontId="5" fillId="0" borderId="0" xfId="0" applyFont="true" applyBorder="true" applyAlignment="true" applyProtection="false">
      <alignment horizontal="left" vertical="center" textRotation="0" wrapText="false" indent="1" shrinkToFit="false"/>
      <protection locked="true" hidden="false"/>
    </xf>
    <xf numFmtId="164" fontId="6" fillId="0" borderId="0" xfId="0" applyFont="true" applyBorder="true" applyAlignment="true" applyProtection="false">
      <alignment horizontal="left" vertical="center" textRotation="0" wrapText="false" indent="1" shrinkToFit="false"/>
      <protection locked="true" hidden="false"/>
    </xf>
    <xf numFmtId="164" fontId="7" fillId="0" borderId="0" xfId="0" applyFont="true" applyBorder="true" applyAlignment="true" applyProtection="false">
      <alignment horizontal="left" vertical="top" textRotation="0" wrapText="true" indent="1" shrinkToFit="false"/>
      <protection locked="true" hidden="false"/>
    </xf>
    <xf numFmtId="164" fontId="4" fillId="4" borderId="0" xfId="0" applyFont="true" applyBorder="true" applyAlignment="true" applyProtection="false">
      <alignment horizontal="left" vertical="center" textRotation="0" wrapText="false" indent="1" shrinkToFit="false"/>
      <protection locked="true" hidden="false"/>
    </xf>
    <xf numFmtId="164" fontId="8" fillId="0" borderId="0" xfId="0" applyFont="true" applyBorder="true" applyAlignment="true" applyProtection="false">
      <alignment horizontal="left" vertical="top" textRotation="0" wrapText="true" indent="1" shrinkToFit="false"/>
      <protection locked="true" hidden="false"/>
    </xf>
    <xf numFmtId="164" fontId="9" fillId="0" borderId="0" xfId="0" applyFont="true" applyBorder="true" applyAlignment="true" applyProtection="false">
      <alignment horizontal="left" vertical="top" textRotation="0" wrapText="true" indent="1" shrinkToFit="false"/>
      <protection locked="true" hidden="false"/>
    </xf>
    <xf numFmtId="164" fontId="10" fillId="0" borderId="0" xfId="0" applyFont="true" applyBorder="true" applyAlignment="true" applyProtection="false">
      <alignment horizontal="left" vertical="center" textRotation="0" wrapText="false" indent="1" shrinkToFit="false"/>
      <protection locked="true" hidden="false"/>
    </xf>
    <xf numFmtId="164" fontId="11" fillId="5" borderId="1" xfId="0" applyFont="true" applyBorder="true" applyAlignment="true" applyProtection="false">
      <alignment horizontal="left" vertical="top" textRotation="0" wrapText="false" indent="1" shrinkToFit="false"/>
      <protection locked="true" hidden="false"/>
    </xf>
    <xf numFmtId="164" fontId="9" fillId="5" borderId="1" xfId="0" applyFont="true" applyBorder="true" applyAlignment="true" applyProtection="false">
      <alignment horizontal="left" vertical="top" textRotation="0" wrapText="true" indent="1" shrinkToFit="false"/>
      <protection locked="true" hidden="false"/>
    </xf>
    <xf numFmtId="164" fontId="12" fillId="0" borderId="0" xfId="0" applyFont="true" applyBorder="true" applyAlignment="true" applyProtection="false">
      <alignment horizontal="left" vertical="center" textRotation="0" wrapText="false" indent="1" shrinkToFit="false"/>
      <protection locked="true" hidden="false"/>
    </xf>
    <xf numFmtId="164" fontId="13" fillId="2" borderId="0" xfId="0" applyFont="true" applyBorder="true" applyAlignment="true" applyProtection="false">
      <alignment horizontal="left" vertical="center" textRotation="0" wrapText="false" indent="15" shrinkToFit="false"/>
      <protection locked="true" hidden="false"/>
    </xf>
    <xf numFmtId="164" fontId="4" fillId="6" borderId="0" xfId="0" applyFont="true" applyBorder="true" applyAlignment="true" applyProtection="false">
      <alignment horizontal="left" vertical="center" textRotation="0" wrapText="false" indent="1" shrinkToFit="false"/>
      <protection locked="true" hidden="false"/>
    </xf>
    <xf numFmtId="164" fontId="14" fillId="0" borderId="0" xfId="0" applyFont="true" applyBorder="true" applyAlignment="true" applyProtection="false">
      <alignment horizontal="left" vertical="top" textRotation="0" wrapText="true" indent="1" shrinkToFit="false"/>
      <protection locked="true" hidden="false"/>
    </xf>
    <xf numFmtId="164" fontId="15" fillId="0" borderId="0" xfId="0" applyFont="true" applyBorder="false" applyAlignment="true" applyProtection="false">
      <alignment horizontal="left" vertical="center" textRotation="0" wrapText="true" indent="1" shrinkToFit="false"/>
      <protection locked="true" hidden="false"/>
    </xf>
    <xf numFmtId="164" fontId="16" fillId="7" borderId="1" xfId="0" applyFont="true" applyBorder="true" applyAlignment="true" applyProtection="false">
      <alignment horizontal="left" vertical="center" textRotation="0" wrapText="false" indent="1" shrinkToFit="false"/>
      <protection locked="true" hidden="false"/>
    </xf>
    <xf numFmtId="165" fontId="16" fillId="7" borderId="1" xfId="0" applyFont="true" applyBorder="true" applyAlignment="true" applyProtection="false">
      <alignment horizontal="left" vertical="center" textRotation="0" wrapText="false" indent="1" shrinkToFit="false"/>
      <protection locked="true" hidden="false"/>
    </xf>
    <xf numFmtId="166" fontId="16" fillId="7" borderId="1" xfId="0" applyFont="true" applyBorder="true" applyAlignment="true" applyProtection="false">
      <alignment horizontal="left" vertical="center" textRotation="0" wrapText="false" indent="1" shrinkToFit="false"/>
      <protection locked="true" hidden="false"/>
    </xf>
    <xf numFmtId="167" fontId="16" fillId="7" borderId="1" xfId="0" applyFont="true" applyBorder="true" applyAlignment="true" applyProtection="false">
      <alignment horizontal="left" vertical="center" textRotation="0" wrapText="false" indent="1" shrinkToFit="false"/>
      <protection locked="true" hidden="false"/>
    </xf>
    <xf numFmtId="168" fontId="15" fillId="8" borderId="1" xfId="0" applyFont="true" applyBorder="true" applyAlignment="true" applyProtection="false">
      <alignment horizontal="center" vertical="center" textRotation="0" wrapText="false" indent="1" shrinkToFit="false"/>
      <protection locked="true" hidden="false"/>
    </xf>
    <xf numFmtId="169" fontId="15" fillId="8" borderId="1" xfId="0" applyFont="true" applyBorder="true" applyAlignment="true" applyProtection="false">
      <alignment horizontal="center" vertical="center" textRotation="0" wrapText="false" indent="1" shrinkToFit="false"/>
      <protection locked="true" hidden="false"/>
    </xf>
    <xf numFmtId="170" fontId="15" fillId="8" borderId="1" xfId="0" applyFont="true" applyBorder="true" applyAlignment="true" applyProtection="false">
      <alignment horizontal="center" vertical="center" textRotation="0" wrapText="false" indent="1" shrinkToFit="false"/>
      <protection locked="true" hidden="false"/>
    </xf>
    <xf numFmtId="167" fontId="17" fillId="8" borderId="1" xfId="0" applyFont="true" applyBorder="true" applyAlignment="true" applyProtection="false">
      <alignment horizontal="center" vertical="center" textRotation="0" wrapText="false" indent="1" shrinkToFit="false"/>
      <protection locked="true" hidden="false"/>
    </xf>
    <xf numFmtId="164" fontId="12" fillId="0" borderId="0" xfId="0" applyFont="true" applyBorder="true" applyAlignment="true" applyProtection="false">
      <alignment horizontal="right" vertical="center" textRotation="0" wrapText="false" indent="1" shrinkToFit="false"/>
      <protection locked="true" hidden="false"/>
    </xf>
    <xf numFmtId="164" fontId="18" fillId="0" borderId="0" xfId="0" applyFont="true" applyBorder="true" applyAlignment="true" applyProtection="false">
      <alignment horizontal="left" vertical="center" textRotation="0" wrapText="false" indent="1" shrinkToFit="false"/>
      <protection locked="true" hidden="false"/>
    </xf>
    <xf numFmtId="164" fontId="18" fillId="7" borderId="1" xfId="0" applyFont="true" applyBorder="true" applyAlignment="true" applyProtection="false">
      <alignment horizontal="center" vertical="center" textRotation="0" wrapText="true" indent="0" shrinkToFit="false"/>
      <protection locked="true" hidden="false"/>
    </xf>
    <xf numFmtId="164" fontId="18" fillId="9" borderId="1" xfId="0" applyFont="true" applyBorder="true" applyAlignment="true" applyProtection="false">
      <alignment horizontal="center" vertical="center" textRotation="0" wrapText="true" indent="0" shrinkToFit="false"/>
      <protection locked="true" hidden="false"/>
    </xf>
    <xf numFmtId="171" fontId="19" fillId="7" borderId="1" xfId="0" applyFont="true" applyBorder="true" applyAlignment="true" applyProtection="false">
      <alignment horizontal="center" vertical="center" textRotation="0" wrapText="false" indent="0" shrinkToFit="false"/>
      <protection locked="true" hidden="false"/>
    </xf>
    <xf numFmtId="168" fontId="19" fillId="7" borderId="1" xfId="0" applyFont="true" applyBorder="true" applyAlignment="true" applyProtection="false">
      <alignment horizontal="center" vertical="center" textRotation="0" wrapText="false" indent="0" shrinkToFit="false"/>
      <protection locked="true" hidden="false"/>
    </xf>
    <xf numFmtId="165" fontId="19" fillId="7" borderId="1" xfId="0" applyFont="true" applyBorder="true" applyAlignment="true" applyProtection="false">
      <alignment horizontal="center" vertical="center" textRotation="0" wrapText="false" indent="0" shrinkToFit="false"/>
      <protection locked="true" hidden="false"/>
    </xf>
    <xf numFmtId="171" fontId="20" fillId="9" borderId="1" xfId="0" applyFont="true" applyBorder="true" applyAlignment="true" applyProtection="false">
      <alignment horizontal="center" vertical="center" textRotation="0" wrapText="false" indent="0" shrinkToFit="false"/>
      <protection locked="true" hidden="false"/>
    </xf>
    <xf numFmtId="164" fontId="18" fillId="10" borderId="1" xfId="0" applyFont="true" applyBorder="true" applyAlignment="true" applyProtection="false">
      <alignment horizontal="center" vertical="center" textRotation="0" wrapText="true" indent="0" shrinkToFit="false"/>
      <protection locked="true" hidden="false"/>
    </xf>
    <xf numFmtId="164" fontId="18" fillId="5" borderId="1" xfId="0" applyFont="true" applyBorder="true" applyAlignment="true" applyProtection="false">
      <alignment horizontal="center" vertical="center" textRotation="0" wrapText="true" indent="0" shrinkToFit="false"/>
      <protection locked="true" hidden="false"/>
    </xf>
    <xf numFmtId="171" fontId="21" fillId="10" borderId="1" xfId="0" applyFont="true" applyBorder="true" applyAlignment="true" applyProtection="false">
      <alignment horizontal="center" vertical="center" textRotation="0" wrapText="false" indent="0" shrinkToFit="false"/>
      <protection locked="true" hidden="false"/>
    </xf>
    <xf numFmtId="171" fontId="22" fillId="5" borderId="1" xfId="0" applyFont="true" applyBorder="true" applyAlignment="true" applyProtection="false">
      <alignment horizontal="center" vertical="center" textRotation="0" wrapText="false" indent="0" shrinkToFit="false"/>
      <protection locked="true" hidden="false"/>
    </xf>
    <xf numFmtId="168" fontId="17" fillId="8" borderId="1" xfId="0" applyFont="true" applyBorder="true" applyAlignment="true" applyProtection="false">
      <alignment horizontal="center" vertical="center" textRotation="0" wrapText="false" indent="1" shrinkToFit="false"/>
      <protection locked="true" hidden="false"/>
    </xf>
    <xf numFmtId="165" fontId="17" fillId="8" borderId="1" xfId="0" applyFont="true" applyBorder="true" applyAlignment="true" applyProtection="false">
      <alignment horizontal="center" vertical="center" textRotation="0" wrapText="false" indent="1" shrinkToFit="false"/>
      <protection locked="true" hidden="false"/>
    </xf>
    <xf numFmtId="169" fontId="17" fillId="8" borderId="1" xfId="0" applyFont="true" applyBorder="true" applyAlignment="true" applyProtection="false">
      <alignment horizontal="center" vertical="center" textRotation="0" wrapText="false" indent="1" shrinkToFit="false"/>
      <protection locked="true" hidden="false"/>
    </xf>
    <xf numFmtId="164" fontId="23" fillId="11" borderId="2" xfId="0" applyFont="true" applyBorder="true" applyAlignment="true" applyProtection="false">
      <alignment horizontal="center" vertical="center" textRotation="0" wrapText="true" indent="0" shrinkToFit="false"/>
      <protection locked="true" hidden="false"/>
    </xf>
    <xf numFmtId="164" fontId="9" fillId="9" borderId="1" xfId="0" applyFont="true" applyBorder="true" applyAlignment="true" applyProtection="false">
      <alignment horizontal="left" vertical="center" textRotation="0" wrapText="false" indent="1" shrinkToFit="false"/>
      <protection locked="true" hidden="false"/>
    </xf>
    <xf numFmtId="168" fontId="9" fillId="9" borderId="1" xfId="0" applyFont="true" applyBorder="true" applyAlignment="true" applyProtection="false">
      <alignment horizontal="right" vertical="center" textRotation="0" wrapText="false" indent="1" shrinkToFit="false"/>
      <protection locked="true" hidden="false"/>
    </xf>
    <xf numFmtId="165" fontId="9" fillId="9" borderId="1" xfId="0" applyFont="true" applyBorder="true" applyAlignment="true" applyProtection="false">
      <alignment horizontal="center" vertical="center" textRotation="0" wrapText="false" indent="0" shrinkToFit="false"/>
      <protection locked="true" hidden="false"/>
    </xf>
    <xf numFmtId="164" fontId="9" fillId="10" borderId="1" xfId="0" applyFont="true" applyBorder="true" applyAlignment="true" applyProtection="false">
      <alignment horizontal="left" vertical="center" textRotation="0" wrapText="false" indent="1" shrinkToFit="false"/>
      <protection locked="true" hidden="false"/>
    </xf>
    <xf numFmtId="168" fontId="9" fillId="10" borderId="1" xfId="0" applyFont="true" applyBorder="true" applyAlignment="true" applyProtection="false">
      <alignment horizontal="right" vertical="center" textRotation="0" wrapText="false" indent="1" shrinkToFit="false"/>
      <protection locked="true" hidden="false"/>
    </xf>
    <xf numFmtId="165" fontId="9" fillId="10" borderId="1" xfId="0" applyFont="true" applyBorder="true" applyAlignment="true" applyProtection="false">
      <alignment horizontal="center" vertical="center" textRotation="0" wrapText="false" indent="0" shrinkToFit="false"/>
      <protection locked="true" hidden="false"/>
    </xf>
    <xf numFmtId="164" fontId="4" fillId="12" borderId="0" xfId="0" applyFont="true" applyBorder="true" applyAlignment="true" applyProtection="false">
      <alignment horizontal="left" vertical="center" textRotation="0" wrapText="false" indent="1" shrinkToFit="false"/>
      <protection locked="true" hidden="false"/>
    </xf>
    <xf numFmtId="164" fontId="23" fillId="13" borderId="2" xfId="0" applyFont="true" applyBorder="true" applyAlignment="true" applyProtection="false">
      <alignment horizontal="center" vertical="center" textRotation="0" wrapText="true" indent="0" shrinkToFit="false"/>
      <protection locked="true" hidden="false"/>
    </xf>
    <xf numFmtId="164" fontId="23" fillId="14" borderId="1" xfId="0" applyFont="true" applyBorder="true" applyAlignment="true" applyProtection="false">
      <alignment horizontal="center" vertical="center" textRotation="0" wrapText="false" indent="0" shrinkToFit="false"/>
      <protection locked="true" hidden="false"/>
    </xf>
    <xf numFmtId="164" fontId="24" fillId="14" borderId="1" xfId="0" applyFont="true" applyBorder="true" applyAlignment="true" applyProtection="false">
      <alignment horizontal="left" vertical="center" textRotation="0" wrapText="true" indent="1" shrinkToFit="false"/>
      <protection locked="true" hidden="false"/>
    </xf>
    <xf numFmtId="164" fontId="24" fillId="14" borderId="1" xfId="0" applyFont="true" applyBorder="true" applyAlignment="true" applyProtection="false">
      <alignment horizontal="center" vertical="center" textRotation="0" wrapText="false" indent="0" shrinkToFit="false"/>
      <protection locked="true" hidden="false"/>
    </xf>
    <xf numFmtId="172" fontId="24" fillId="14" borderId="1" xfId="0" applyFont="true" applyBorder="true" applyAlignment="true" applyProtection="false">
      <alignment horizontal="right" vertical="center" textRotation="0" wrapText="false" indent="1" shrinkToFit="false"/>
      <protection locked="true" hidden="false"/>
    </xf>
    <xf numFmtId="172" fontId="9" fillId="8" borderId="1" xfId="0" applyFont="true" applyBorder="true" applyAlignment="true" applyProtection="false">
      <alignment horizontal="right" vertical="center" textRotation="0" wrapText="false" indent="1" shrinkToFit="false"/>
      <protection locked="true" hidden="false"/>
    </xf>
    <xf numFmtId="170" fontId="9" fillId="8" borderId="1" xfId="0" applyFont="true" applyBorder="true" applyAlignment="true" applyProtection="false">
      <alignment horizontal="right" vertical="center" textRotation="0" wrapText="false" indent="1" shrinkToFit="false"/>
      <protection locked="true" hidden="false"/>
    </xf>
    <xf numFmtId="173" fontId="9" fillId="8" borderId="1" xfId="0" applyFont="true" applyBorder="true" applyAlignment="true" applyProtection="false">
      <alignment horizontal="right" vertical="center" textRotation="0" wrapText="false" indent="1" shrinkToFit="false"/>
      <protection locked="true" hidden="false"/>
    </xf>
    <xf numFmtId="169" fontId="9" fillId="8" borderId="1" xfId="0" applyFont="true" applyBorder="true" applyAlignment="true" applyProtection="false">
      <alignment horizontal="right" vertical="center" textRotation="0" wrapText="false" indent="1" shrinkToFit="false"/>
      <protection locked="true" hidden="false"/>
    </xf>
    <xf numFmtId="168" fontId="9" fillId="8" borderId="1" xfId="0" applyFont="true" applyBorder="true" applyAlignment="true" applyProtection="false">
      <alignment horizontal="right" vertical="center" textRotation="0" wrapText="false" indent="1" shrinkToFit="false"/>
      <protection locked="true" hidden="false"/>
    </xf>
    <xf numFmtId="165" fontId="9" fillId="8" borderId="1" xfId="0" applyFont="true" applyBorder="true" applyAlignment="true" applyProtection="false">
      <alignment horizontal="center" vertical="center" textRotation="0" wrapText="false" indent="0" shrinkToFit="false"/>
      <protection locked="true" hidden="false"/>
    </xf>
    <xf numFmtId="164" fontId="9" fillId="8" borderId="1" xfId="0" applyFont="true" applyBorder="true" applyAlignment="true" applyProtection="false">
      <alignment horizontal="left" vertical="center" textRotation="0" wrapText="true" indent="1" shrinkToFit="false"/>
      <protection locked="true" hidden="false"/>
    </xf>
    <xf numFmtId="174" fontId="0" fillId="0" borderId="0" xfId="0" applyFont="false" applyBorder="false" applyAlignment="false" applyProtection="false">
      <alignment horizontal="general" vertical="bottom" textRotation="0" wrapText="false" indent="0" shrinkToFit="false"/>
      <protection locked="true" hidden="false"/>
    </xf>
    <xf numFmtId="164" fontId="23" fillId="15" borderId="1" xfId="0" applyFont="true" applyBorder="true" applyAlignment="true" applyProtection="false">
      <alignment horizontal="center" vertical="center" textRotation="0" wrapText="false" indent="0" shrinkToFit="false"/>
      <protection locked="true" hidden="false"/>
    </xf>
    <xf numFmtId="164" fontId="24" fillId="15" borderId="1" xfId="0" applyFont="true" applyBorder="true" applyAlignment="true" applyProtection="false">
      <alignment horizontal="left" vertical="center" textRotation="0" wrapText="true" indent="1" shrinkToFit="false"/>
      <protection locked="true" hidden="false"/>
    </xf>
    <xf numFmtId="164" fontId="24" fillId="15" borderId="1" xfId="0" applyFont="true" applyBorder="true" applyAlignment="true" applyProtection="false">
      <alignment horizontal="center" vertical="center" textRotation="0" wrapText="false" indent="0" shrinkToFit="false"/>
      <protection locked="true" hidden="false"/>
    </xf>
    <xf numFmtId="172" fontId="24" fillId="15" borderId="1" xfId="0" applyFont="true" applyBorder="true" applyAlignment="true" applyProtection="false">
      <alignment horizontal="right" vertical="center" textRotation="0" wrapText="false" indent="1" shrinkToFit="false"/>
      <protection locked="true" hidden="false"/>
    </xf>
    <xf numFmtId="164" fontId="4" fillId="16" borderId="0" xfId="0" applyFont="true" applyBorder="true" applyAlignment="true" applyProtection="false">
      <alignment horizontal="left" vertical="center" textRotation="0" wrapText="false" indent="1" shrinkToFit="false"/>
      <protection locked="true" hidden="false"/>
    </xf>
    <xf numFmtId="164" fontId="17" fillId="0" borderId="0" xfId="0" applyFont="true" applyBorder="true" applyAlignment="true" applyProtection="false">
      <alignment horizontal="left" vertical="center" textRotation="0" wrapText="false" indent="0" shrinkToFit="false"/>
      <protection locked="true" hidden="false"/>
    </xf>
    <xf numFmtId="164" fontId="25" fillId="11" borderId="0" xfId="0" applyFont="true" applyBorder="false" applyAlignment="true" applyProtection="false">
      <alignment horizontal="center" vertical="center" textRotation="0" wrapText="true" indent="0" shrinkToFit="false"/>
      <protection locked="true" hidden="false"/>
    </xf>
    <xf numFmtId="164" fontId="18" fillId="11" borderId="0" xfId="0" applyFont="true" applyBorder="true" applyAlignment="true" applyProtection="false">
      <alignment horizontal="left" vertical="center" textRotation="0" wrapText="false" indent="1" shrinkToFit="false"/>
      <protection locked="true" hidden="false"/>
    </xf>
    <xf numFmtId="164" fontId="0" fillId="11"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26" fillId="11" borderId="0" xfId="0" applyFont="true" applyBorder="true" applyAlignment="true" applyProtection="false">
      <alignment horizontal="left" vertical="center" textRotation="0" wrapText="false" indent="1" shrinkToFit="false"/>
      <protection locked="true" hidden="false"/>
    </xf>
    <xf numFmtId="164" fontId="23" fillId="11" borderId="2" xfId="0" applyFont="true" applyBorder="true" applyAlignment="true" applyProtection="false">
      <alignment horizontal="center" vertical="center" textRotation="0" wrapText="false" indent="0" shrinkToFit="false"/>
      <protection locked="true" hidden="false"/>
    </xf>
    <xf numFmtId="164" fontId="4" fillId="2" borderId="0" xfId="0" applyFont="true" applyBorder="true" applyAlignment="true" applyProtection="false">
      <alignment horizontal="center" vertical="center" textRotation="0" wrapText="false" indent="0" shrinkToFit="false"/>
      <protection locked="true" hidden="false"/>
    </xf>
    <xf numFmtId="171" fontId="26" fillId="0" borderId="0" xfId="0" applyFont="true" applyBorder="false" applyAlignment="true" applyProtection="false">
      <alignment horizontal="center" vertical="center" textRotation="0" wrapText="false" indent="0" shrinkToFit="false"/>
      <protection locked="true" hidden="false"/>
    </xf>
    <xf numFmtId="172" fontId="26" fillId="0" borderId="0" xfId="0" applyFont="true" applyBorder="false" applyAlignment="true" applyProtection="false">
      <alignment horizontal="center" vertical="center" textRotation="0" wrapText="false" indent="0" shrinkToFit="false"/>
      <protection locked="true" hidden="false"/>
    </xf>
    <xf numFmtId="164" fontId="27" fillId="0" borderId="0" xfId="0" applyFont="true" applyBorder="true" applyAlignment="true" applyProtection="false">
      <alignment horizontal="left" vertical="center" textRotation="0" wrapText="true" indent="1" shrinkToFit="false"/>
      <protection locked="true" hidden="false"/>
    </xf>
    <xf numFmtId="168" fontId="26" fillId="0" borderId="0" xfId="0" applyFont="true" applyBorder="false" applyAlignment="true" applyProtection="false">
      <alignment horizontal="center" vertical="center" textRotation="0" wrapText="false" indent="0" shrinkToFit="false"/>
      <protection locked="true" hidden="false"/>
    </xf>
    <xf numFmtId="164" fontId="26" fillId="0" borderId="0" xfId="0" applyFont="true" applyBorder="true" applyAlignment="true" applyProtection="false">
      <alignment horizontal="left" vertical="center" textRotation="0" wrapText="false" indent="1" shrinkToFit="false"/>
      <protection locked="true" hidden="false"/>
    </xf>
    <xf numFmtId="164" fontId="15" fillId="0" borderId="0" xfId="0" applyFont="true" applyBorder="true" applyAlignment="true" applyProtection="false">
      <alignment horizontal="left" vertical="center" textRotation="0" wrapText="true" indent="0" shrinkToFit="false"/>
      <protection locked="true" hidden="false"/>
    </xf>
    <xf numFmtId="175" fontId="17" fillId="8" borderId="1" xfId="0" applyFont="true" applyBorder="true" applyAlignment="true" applyProtection="false">
      <alignment horizontal="center" vertical="center" textRotation="0" wrapText="false" indent="1" shrinkToFit="false"/>
      <protection locked="true" hidden="false"/>
    </xf>
    <xf numFmtId="164" fontId="28" fillId="0" borderId="0" xfId="0" applyFont="true" applyBorder="true" applyAlignment="true" applyProtection="false">
      <alignment horizontal="left" vertical="top" textRotation="0" wrapText="true" indent="1" shrinkToFit="false"/>
      <protection locked="true" hidden="false"/>
    </xf>
    <xf numFmtId="164" fontId="4" fillId="17" borderId="0" xfId="0" applyFont="true" applyBorder="true" applyAlignment="true" applyProtection="false">
      <alignment horizontal="left" vertical="center" textRotation="0" wrapText="false" indent="1" shrinkToFit="false"/>
      <protection locked="true" hidden="false"/>
    </xf>
    <xf numFmtId="164" fontId="29" fillId="18" borderId="1" xfId="0" applyFont="true" applyBorder="true" applyAlignment="true" applyProtection="false">
      <alignment horizontal="center" vertical="center" textRotation="0" wrapText="false" indent="0" shrinkToFit="false"/>
      <protection locked="true" hidden="false"/>
    </xf>
    <xf numFmtId="164" fontId="30" fillId="9" borderId="1" xfId="0" applyFont="true" applyBorder="true" applyAlignment="true" applyProtection="false">
      <alignment horizontal="left" vertical="center" textRotation="0" wrapText="false" indent="1" shrinkToFit="false"/>
      <protection locked="true" hidden="false"/>
    </xf>
    <xf numFmtId="164" fontId="9" fillId="0" borderId="1" xfId="0" applyFont="true" applyBorder="true" applyAlignment="true" applyProtection="false">
      <alignment horizontal="left" vertical="center" textRotation="0" wrapText="true" indent="1" shrinkToFit="false"/>
      <protection locked="true" hidden="false"/>
    </xf>
    <xf numFmtId="164" fontId="29" fillId="16" borderId="1" xfId="0" applyFont="true" applyBorder="true" applyAlignment="true" applyProtection="false">
      <alignment horizontal="center" vertical="center" textRotation="0" wrapText="false" indent="0" shrinkToFit="false"/>
      <protection locked="true" hidden="false"/>
    </xf>
    <xf numFmtId="164" fontId="31" fillId="10" borderId="1" xfId="0" applyFont="true" applyBorder="true" applyAlignment="true" applyProtection="false">
      <alignment horizontal="left" vertical="center" textRotation="0" wrapText="false" indent="1" shrinkToFit="false"/>
      <protection locked="true" hidden="false"/>
    </xf>
    <xf numFmtId="164" fontId="18" fillId="19" borderId="1" xfId="0" applyFont="true" applyBorder="true" applyAlignment="true" applyProtection="false">
      <alignment horizontal="center" vertical="center" textRotation="0" wrapText="false" indent="0" shrinkToFit="false"/>
      <protection locked="true" hidden="false"/>
    </xf>
    <xf numFmtId="164" fontId="32" fillId="5" borderId="1" xfId="0" applyFont="true" applyBorder="true" applyAlignment="true" applyProtection="false">
      <alignment horizontal="left" vertical="center" textRotation="0" wrapText="false" indent="1" shrinkToFit="false"/>
      <protection locked="true" hidden="false"/>
    </xf>
    <xf numFmtId="164" fontId="18" fillId="20" borderId="1" xfId="0" applyFont="true" applyBorder="true" applyAlignment="true" applyProtection="false">
      <alignment horizontal="center" vertical="center" textRotation="0" wrapText="false" indent="0" shrinkToFit="false"/>
      <protection locked="true" hidden="false"/>
    </xf>
    <xf numFmtId="164" fontId="33" fillId="7" borderId="1" xfId="0" applyFont="true" applyBorder="true" applyAlignment="true" applyProtection="false">
      <alignment horizontal="left" vertical="center" textRotation="0" wrapText="false" indent="1" shrinkToFit="false"/>
      <protection locked="true" hidden="false"/>
    </xf>
    <xf numFmtId="164" fontId="18" fillId="21" borderId="1" xfId="0" applyFont="true" applyBorder="true" applyAlignment="true" applyProtection="false">
      <alignment horizontal="center" vertical="center" textRotation="0" wrapText="false" indent="0" shrinkToFit="false"/>
      <protection locked="true" hidden="false"/>
    </xf>
    <xf numFmtId="164" fontId="34" fillId="22" borderId="1" xfId="0" applyFont="true" applyBorder="true" applyAlignment="true" applyProtection="false">
      <alignment horizontal="left" vertical="center" textRotation="0" wrapText="false" indent="1" shrinkToFit="false"/>
      <protection locked="true" hidden="false"/>
    </xf>
    <xf numFmtId="164" fontId="18" fillId="23" borderId="1" xfId="0" applyFont="true" applyBorder="true" applyAlignment="true" applyProtection="false">
      <alignment horizontal="center" vertical="center" textRotation="0" wrapText="false" indent="0" shrinkToFit="false"/>
      <protection locked="true" hidden="false"/>
    </xf>
    <xf numFmtId="164" fontId="35" fillId="24" borderId="1" xfId="0" applyFont="true" applyBorder="true" applyAlignment="true" applyProtection="false">
      <alignment horizontal="left" vertical="center" textRotation="0" wrapText="false" indent="1" shrinkToFit="false"/>
      <protection locked="true" hidden="false"/>
    </xf>
    <xf numFmtId="164" fontId="23" fillId="15" borderId="1" xfId="0" applyFont="true" applyBorder="true" applyAlignment="true" applyProtection="false">
      <alignment horizontal="left" vertical="center" textRotation="0" wrapText="false" indent="1" shrinkToFit="false"/>
      <protection locked="true" hidden="false"/>
    </xf>
    <xf numFmtId="164" fontId="23" fillId="11" borderId="2" xfId="0" applyFont="true" applyBorder="true" applyAlignment="true" applyProtection="false">
      <alignment horizontal="left" vertical="center" textRotation="0" wrapText="true" indent="1" shrinkToFit="false"/>
      <protection locked="true" hidden="false"/>
    </xf>
    <xf numFmtId="164" fontId="9" fillId="14" borderId="1" xfId="0" applyFont="true" applyBorder="true" applyAlignment="true" applyProtection="false">
      <alignment horizontal="left" vertical="center" textRotation="0" wrapText="true" indent="1" shrinkToFit="false"/>
      <protection locked="true" hidden="false"/>
    </xf>
    <xf numFmtId="164" fontId="9" fillId="15" borderId="1" xfId="0" applyFont="true" applyBorder="true" applyAlignment="true" applyProtection="false">
      <alignment horizontal="left" vertical="center"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7">
    <dxf>
      <fill>
        <patternFill>
          <bgColor rgb="FFFFF4E0"/>
        </patternFill>
      </fill>
    </dxf>
    <dxf>
      <fill>
        <patternFill patternType="solid">
          <fgColor rgb="FFDCE9F4"/>
          <bgColor rgb="FF000000"/>
        </patternFill>
      </fill>
    </dxf>
    <dxf>
      <fill>
        <patternFill patternType="solid">
          <fgColor rgb="FFE3F0FA"/>
          <bgColor rgb="FF000000"/>
        </patternFill>
      </fill>
    </dxf>
    <dxf>
      <fill>
        <patternFill patternType="solid">
          <fgColor rgb="FFF5F5F5"/>
          <bgColor rgb="FF000000"/>
        </patternFill>
      </fill>
    </dxf>
    <dxf>
      <fill>
        <patternFill patternType="solid">
          <fgColor rgb="FFFDEBE0"/>
          <bgColor rgb="FF000000"/>
        </patternFill>
      </fill>
    </dxf>
    <dxf>
      <fill>
        <patternFill patternType="solid">
          <fgColor rgb="FFFDEBE9"/>
          <bgColor rgb="FF000000"/>
        </patternFill>
      </fill>
    </dxf>
    <dxf>
      <fill>
        <patternFill patternType="solid">
          <fgColor rgb="FFFFFFFF"/>
          <bgColor rgb="FF000000"/>
        </patternFill>
      </fill>
    </dxf>
    <dxf>
      <fill>
        <patternFill patternType="solid">
          <fgColor rgb="FF0D3C61"/>
          <bgColor rgb="FF000000"/>
        </patternFill>
      </fill>
    </dxf>
    <dxf>
      <fill>
        <patternFill patternType="solid">
          <fgColor rgb="FFD3DEE9"/>
          <bgColor rgb="FF000000"/>
        </patternFill>
      </fill>
    </dxf>
    <dxf>
      <fill>
        <patternFill patternType="solid">
          <fgColor rgb="FFF6F9FC"/>
          <bgColor rgb="FF000000"/>
        </patternFill>
      </fill>
    </dxf>
    <dxf>
      <fill>
        <patternFill patternType="solid">
          <fgColor rgb="FF1D3245"/>
          <bgColor rgb="FF000000"/>
        </patternFill>
      </fill>
    </dxf>
    <dxf>
      <fill>
        <patternFill>
          <bgColor rgb="FFFDEBE9"/>
        </patternFill>
      </fill>
    </dxf>
    <dxf>
      <fill>
        <patternFill>
          <bgColor rgb="FFFDEBE0"/>
        </patternFill>
      </fill>
    </dxf>
    <dxf>
      <fill>
        <patternFill>
          <bgColor rgb="FFE8F5E9"/>
        </patternFill>
      </fill>
    </dxf>
    <dxf>
      <fill>
        <patternFill>
          <bgColor rgb="FFE3F0FA"/>
        </patternFill>
      </fill>
    </dxf>
    <dxf>
      <fill>
        <patternFill>
          <bgColor rgb="FF1D3245"/>
        </patternFill>
      </fill>
    </dxf>
    <dxf>
      <fill>
        <patternFill>
          <bgColor rgb="FFEEEEEE"/>
        </patternFill>
      </fill>
    </dxf>
  </dxfs>
  <colors>
    <indexedColors>
      <rgbColor rgb="FF000000"/>
      <rgbColor rgb="FFFFFFFF"/>
      <rgbColor rgb="FFE31B0C"/>
      <rgbColor rgb="FF00FF00"/>
      <rgbColor rgb="FF0000FF"/>
      <rgbColor rgb="FFF6F9FC"/>
      <rgbColor rgb="FFFF00FF"/>
      <rgbColor rgb="FF00FFFF"/>
      <rgbColor rgb="FF800000"/>
      <rgbColor rgb="FF008000"/>
      <rgbColor rgb="FF000080"/>
      <rgbColor rgb="FF808000"/>
      <rgbColor rgb="FF800080"/>
      <rgbColor rgb="FF008080"/>
      <rgbColor rgb="FFE0E0E0"/>
      <rgbColor rgb="FF808080"/>
      <rgbColor rgb="FF9999FF"/>
      <rgbColor rgb="FF993366"/>
      <rgbColor rgb="FFFFF4E0"/>
      <rgbColor rgb="FFE3F0FA"/>
      <rgbColor rgb="FF660066"/>
      <rgbColor rgb="FFFF8080"/>
      <rgbColor rgb="FF0B79D0"/>
      <rgbColor rgb="FFD3DEE9"/>
      <rgbColor rgb="FF000080"/>
      <rgbColor rgb="FFFF00FF"/>
      <rgbColor rgb="FFFFFF00"/>
      <rgbColor rgb="FF00FFFF"/>
      <rgbColor rgb="FF800080"/>
      <rgbColor rgb="FF800000"/>
      <rgbColor rgb="FF008080"/>
      <rgbColor rgb="FF0000FF"/>
      <rgbColor rgb="FF00CCFF"/>
      <rgbColor rgb="FFE8F5E9"/>
      <rgbColor rgb="FFDCE9F4"/>
      <rgbColor rgb="FFFDEBE0"/>
      <rgbColor rgb="FF64B6F7"/>
      <rgbColor rgb="FFEEEEEE"/>
      <rgbColor rgb="FFF5F5F5"/>
      <rgbColor rgb="FFFDEBE9"/>
      <rgbColor rgb="FF3480BC"/>
      <rgbColor rgb="FF33CCCC"/>
      <rgbColor rgb="FF99CC00"/>
      <rgbColor rgb="FFFFB547"/>
      <rgbColor rgb="FFFF9900"/>
      <rgbColor rgb="FFEC6917"/>
      <rgbColor rgb="FF666699"/>
      <rgbColor rgb="FF8E98A2"/>
      <rgbColor rgb="FF0D3C61"/>
      <rgbColor rgb="FF4CAF50"/>
      <rgbColor rgb="FF003300"/>
      <rgbColor rgb="FF333300"/>
      <rgbColor rgb="FF993300"/>
      <rgbColor rgb="FF993366"/>
      <rgbColor rgb="FF215383"/>
      <rgbColor rgb="FF1D3245"/>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2.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3.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4.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5.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6.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95400</xdr:colOff>
      <xdr:row>0</xdr:row>
      <xdr:rowOff>114480</xdr:rowOff>
    </xdr:from>
    <xdr:to>
      <xdr:col>1</xdr:col>
      <xdr:colOff>1523880</xdr:colOff>
      <xdr:row>0</xdr:row>
      <xdr:rowOff>542880</xdr:rowOff>
    </xdr:to>
    <xdr:pic>
      <xdr:nvPicPr>
        <xdr:cNvPr id="0"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50200" y="114480"/>
          <a:ext cx="1428480" cy="42840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1"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2"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317520</xdr:colOff>
      <xdr:row>0</xdr:row>
      <xdr:rowOff>313920</xdr:rowOff>
    </xdr:to>
    <xdr:pic>
      <xdr:nvPicPr>
        <xdr:cNvPr id="3"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5</xdr:col>
      <xdr:colOff>28800</xdr:colOff>
      <xdr:row>0</xdr:row>
      <xdr:rowOff>313920</xdr:rowOff>
    </xdr:to>
    <xdr:pic>
      <xdr:nvPicPr>
        <xdr:cNvPr id="4"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5"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5.xml"/>
</Relationships>
</file>

<file path=xl/worksheets/_rels/sheet6.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6.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1:G54"/>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28"/>
    <col collapsed="false" customWidth="true" hidden="false" outlineLevel="0" max="7" min="3" style="0" width="15"/>
    <col collapsed="false" customWidth="true" hidden="false" outlineLevel="0" max="8" min="8" style="0" width="2.2"/>
  </cols>
  <sheetData>
    <row r="1" customFormat="false" ht="48" hidden="false" customHeight="true" outlineLevel="0" collapsed="false">
      <c r="B1" s="1"/>
      <c r="C1" s="1"/>
      <c r="D1" s="1"/>
      <c r="E1" s="1"/>
      <c r="F1" s="1"/>
      <c r="G1" s="1"/>
    </row>
    <row r="2" customFormat="false" ht="4.5" hidden="false" customHeight="true" outlineLevel="0" collapsed="false">
      <c r="B2" s="2"/>
      <c r="C2" s="2"/>
      <c r="D2" s="2"/>
      <c r="E2" s="2"/>
      <c r="F2" s="2"/>
      <c r="G2" s="2"/>
    </row>
    <row r="4" customFormat="false" ht="39.75" hidden="false" customHeight="true" outlineLevel="0" collapsed="false">
      <c r="B4" s="3" t="s">
        <v>0</v>
      </c>
      <c r="C4" s="3"/>
      <c r="D4" s="3"/>
      <c r="E4" s="3"/>
      <c r="F4" s="3"/>
      <c r="G4" s="3"/>
    </row>
    <row r="5" customFormat="false" ht="24" hidden="false" customHeight="true" outlineLevel="0" collapsed="false">
      <c r="B5" s="4" t="s">
        <v>1</v>
      </c>
      <c r="C5" s="4"/>
      <c r="D5" s="4"/>
      <c r="E5" s="4"/>
      <c r="F5" s="4"/>
      <c r="G5" s="4"/>
    </row>
    <row r="7" customFormat="false" ht="15" hidden="false" customHeight="true" outlineLevel="0" collapsed="false">
      <c r="B7" s="5" t="s">
        <v>2</v>
      </c>
      <c r="C7" s="5"/>
      <c r="D7" s="5"/>
      <c r="E7" s="5"/>
      <c r="F7" s="5"/>
      <c r="G7" s="5"/>
    </row>
    <row r="8" customFormat="false" ht="15" hidden="false" customHeight="true" outlineLevel="0" collapsed="false">
      <c r="B8" s="5"/>
      <c r="C8" s="5"/>
      <c r="D8" s="5"/>
      <c r="E8" s="5"/>
      <c r="F8" s="5"/>
      <c r="G8" s="5"/>
    </row>
    <row r="9" customFormat="false" ht="15" hidden="false" customHeight="true" outlineLevel="0" collapsed="false">
      <c r="B9" s="5"/>
      <c r="C9" s="5"/>
      <c r="D9" s="5"/>
      <c r="E9" s="5"/>
      <c r="F9" s="5"/>
      <c r="G9" s="5"/>
    </row>
    <row r="11" customFormat="false" ht="21.75" hidden="false" customHeight="true" outlineLevel="0" collapsed="false">
      <c r="B11" s="6" t="s">
        <v>3</v>
      </c>
      <c r="C11" s="6"/>
      <c r="D11" s="6"/>
      <c r="E11" s="6"/>
      <c r="F11" s="6"/>
      <c r="G11" s="6"/>
    </row>
    <row r="12" customFormat="false" ht="13.5" hidden="false" customHeight="true" outlineLevel="0" collapsed="false">
      <c r="B12" s="7" t="s">
        <v>4</v>
      </c>
      <c r="C12" s="7"/>
      <c r="D12" s="8" t="s">
        <v>5</v>
      </c>
      <c r="E12" s="8"/>
      <c r="F12" s="8"/>
      <c r="G12" s="8"/>
    </row>
    <row r="13" customFormat="false" ht="13.5" hidden="false" customHeight="true" outlineLevel="0" collapsed="false">
      <c r="B13" s="7"/>
      <c r="C13" s="7"/>
      <c r="D13" s="8"/>
      <c r="E13" s="8"/>
      <c r="F13" s="8"/>
      <c r="G13" s="8"/>
    </row>
    <row r="14" customFormat="false" ht="6" hidden="false" customHeight="true" outlineLevel="0" collapsed="false"/>
    <row r="15" customFormat="false" ht="13.5" hidden="false" customHeight="true" outlineLevel="0" collapsed="false">
      <c r="B15" s="7" t="s">
        <v>6</v>
      </c>
      <c r="C15" s="7"/>
      <c r="D15" s="8" t="s">
        <v>7</v>
      </c>
      <c r="E15" s="8"/>
      <c r="F15" s="8"/>
      <c r="G15" s="8"/>
    </row>
    <row r="16" customFormat="false" ht="13.5" hidden="false" customHeight="true" outlineLevel="0" collapsed="false">
      <c r="B16" s="7"/>
      <c r="C16" s="7"/>
      <c r="D16" s="8"/>
      <c r="E16" s="8"/>
      <c r="F16" s="8"/>
      <c r="G16" s="8"/>
    </row>
    <row r="17" customFormat="false" ht="6" hidden="false" customHeight="true" outlineLevel="0" collapsed="false"/>
    <row r="18" customFormat="false" ht="13.5" hidden="false" customHeight="true" outlineLevel="0" collapsed="false">
      <c r="B18" s="7" t="s">
        <v>8</v>
      </c>
      <c r="C18" s="7"/>
      <c r="D18" s="8" t="s">
        <v>9</v>
      </c>
      <c r="E18" s="8"/>
      <c r="F18" s="8"/>
      <c r="G18" s="8"/>
    </row>
    <row r="19" customFormat="false" ht="13.5" hidden="false" customHeight="true" outlineLevel="0" collapsed="false">
      <c r="B19" s="7"/>
      <c r="C19" s="7"/>
      <c r="D19" s="8"/>
      <c r="E19" s="8"/>
      <c r="F19" s="8"/>
      <c r="G19" s="8"/>
    </row>
    <row r="20" customFormat="false" ht="6" hidden="false" customHeight="true" outlineLevel="0" collapsed="false"/>
    <row r="21" customFormat="false" ht="13.5" hidden="false" customHeight="true" outlineLevel="0" collapsed="false">
      <c r="B21" s="7" t="s">
        <v>10</v>
      </c>
      <c r="C21" s="7"/>
      <c r="D21" s="8" t="s">
        <v>11</v>
      </c>
      <c r="E21" s="8"/>
      <c r="F21" s="8"/>
      <c r="G21" s="8"/>
    </row>
    <row r="22" customFormat="false" ht="13.5" hidden="false" customHeight="true" outlineLevel="0" collapsed="false">
      <c r="B22" s="7"/>
      <c r="C22" s="7"/>
      <c r="D22" s="8"/>
      <c r="E22" s="8"/>
      <c r="F22" s="8"/>
      <c r="G22" s="8"/>
    </row>
    <row r="23" customFormat="false" ht="6" hidden="false" customHeight="true" outlineLevel="0" collapsed="false"/>
    <row r="24" customFormat="false" ht="13.5" hidden="false" customHeight="true" outlineLevel="0" collapsed="false">
      <c r="B24" s="7" t="s">
        <v>12</v>
      </c>
      <c r="C24" s="7"/>
      <c r="D24" s="8" t="s">
        <v>13</v>
      </c>
      <c r="E24" s="8"/>
      <c r="F24" s="8"/>
      <c r="G24" s="8"/>
    </row>
    <row r="25" customFormat="false" ht="13.5" hidden="false" customHeight="true" outlineLevel="0" collapsed="false">
      <c r="B25" s="7"/>
      <c r="C25" s="7"/>
      <c r="D25" s="8"/>
      <c r="E25" s="8"/>
      <c r="F25" s="8"/>
      <c r="G25" s="8"/>
    </row>
    <row r="26" customFormat="false" ht="6" hidden="false" customHeight="true" outlineLevel="0" collapsed="false"/>
    <row r="27" customFormat="false" ht="21.75" hidden="false" customHeight="true" outlineLevel="0" collapsed="false">
      <c r="B27" s="6" t="s">
        <v>14</v>
      </c>
      <c r="C27" s="6"/>
      <c r="D27" s="6"/>
      <c r="E27" s="6"/>
      <c r="F27" s="6"/>
      <c r="G27" s="6"/>
    </row>
    <row r="28" customFormat="false" ht="13.5" hidden="false" customHeight="true" outlineLevel="0" collapsed="false">
      <c r="B28" s="7" t="s">
        <v>15</v>
      </c>
      <c r="C28" s="7"/>
      <c r="D28" s="8" t="s">
        <v>16</v>
      </c>
      <c r="E28" s="8"/>
      <c r="F28" s="8"/>
      <c r="G28" s="8"/>
    </row>
    <row r="29" customFormat="false" ht="13.5" hidden="false" customHeight="true" outlineLevel="0" collapsed="false">
      <c r="B29" s="7"/>
      <c r="C29" s="7"/>
      <c r="D29" s="8"/>
      <c r="E29" s="8"/>
      <c r="F29" s="8"/>
      <c r="G29" s="8"/>
    </row>
    <row r="30" customFormat="false" ht="6" hidden="false" customHeight="true" outlineLevel="0" collapsed="false"/>
    <row r="31" customFormat="false" ht="13.5" hidden="false" customHeight="true" outlineLevel="0" collapsed="false">
      <c r="B31" s="7" t="s">
        <v>17</v>
      </c>
      <c r="C31" s="7"/>
      <c r="D31" s="8" t="s">
        <v>18</v>
      </c>
      <c r="E31" s="8"/>
      <c r="F31" s="8"/>
      <c r="G31" s="8"/>
    </row>
    <row r="32" customFormat="false" ht="13.5" hidden="false" customHeight="true" outlineLevel="0" collapsed="false">
      <c r="B32" s="7"/>
      <c r="C32" s="7"/>
      <c r="D32" s="8"/>
      <c r="E32" s="8"/>
      <c r="F32" s="8"/>
      <c r="G32" s="8"/>
    </row>
    <row r="33" customFormat="false" ht="6" hidden="false" customHeight="true" outlineLevel="0" collapsed="false"/>
    <row r="34" customFormat="false" ht="13.5" hidden="false" customHeight="true" outlineLevel="0" collapsed="false">
      <c r="B34" s="7" t="s">
        <v>19</v>
      </c>
      <c r="C34" s="7"/>
      <c r="D34" s="8" t="s">
        <v>20</v>
      </c>
      <c r="E34" s="8"/>
      <c r="F34" s="8"/>
      <c r="G34" s="8"/>
    </row>
    <row r="35" customFormat="false" ht="13.5" hidden="false" customHeight="true" outlineLevel="0" collapsed="false">
      <c r="B35" s="7"/>
      <c r="C35" s="7"/>
      <c r="D35" s="8"/>
      <c r="E35" s="8"/>
      <c r="F35" s="8"/>
      <c r="G35" s="8"/>
    </row>
    <row r="36" customFormat="false" ht="6" hidden="false" customHeight="true" outlineLevel="0" collapsed="false"/>
    <row r="37" customFormat="false" ht="13.5" hidden="false" customHeight="true" outlineLevel="0" collapsed="false">
      <c r="B37" s="7" t="s">
        <v>21</v>
      </c>
      <c r="C37" s="7"/>
      <c r="D37" s="8" t="s">
        <v>22</v>
      </c>
      <c r="E37" s="8"/>
      <c r="F37" s="8"/>
      <c r="G37" s="8"/>
    </row>
    <row r="38" customFormat="false" ht="13.5" hidden="false" customHeight="true" outlineLevel="0" collapsed="false">
      <c r="B38" s="7"/>
      <c r="C38" s="7"/>
      <c r="D38" s="8"/>
      <c r="E38" s="8"/>
      <c r="F38" s="8"/>
      <c r="G38" s="8"/>
    </row>
    <row r="39" customFormat="false" ht="13.5" hidden="false" customHeight="true" outlineLevel="0" collapsed="false">
      <c r="B39" s="7"/>
      <c r="C39" s="7"/>
      <c r="D39" s="8"/>
      <c r="E39" s="8"/>
      <c r="F39" s="8"/>
      <c r="G39" s="8"/>
    </row>
    <row r="40" customFormat="false" ht="6" hidden="false" customHeight="true" outlineLevel="0" collapsed="false"/>
    <row r="41" customFormat="false" ht="13.5" hidden="false" customHeight="true" outlineLevel="0" collapsed="false">
      <c r="B41" s="7" t="s">
        <v>23</v>
      </c>
      <c r="C41" s="7"/>
      <c r="D41" s="8" t="s">
        <v>24</v>
      </c>
      <c r="E41" s="8"/>
      <c r="F41" s="8"/>
      <c r="G41" s="8"/>
    </row>
    <row r="42" customFormat="false" ht="13.5" hidden="false" customHeight="true" outlineLevel="0" collapsed="false">
      <c r="B42" s="7"/>
      <c r="C42" s="7"/>
      <c r="D42" s="8"/>
      <c r="E42" s="8"/>
      <c r="F42" s="8"/>
      <c r="G42" s="8"/>
    </row>
    <row r="43" customFormat="false" ht="6" hidden="false" customHeight="true" outlineLevel="0" collapsed="false"/>
    <row r="44" customFormat="false" ht="18" hidden="false" customHeight="true" outlineLevel="0" collapsed="false">
      <c r="B44" s="9" t="s">
        <v>25</v>
      </c>
      <c r="C44" s="9"/>
      <c r="D44" s="9"/>
      <c r="E44" s="9"/>
      <c r="F44" s="9"/>
      <c r="G44" s="9"/>
    </row>
    <row r="46" customFormat="false" ht="13.5" hidden="false" customHeight="true" outlineLevel="0" collapsed="false">
      <c r="B46" s="10" t="s">
        <v>26</v>
      </c>
      <c r="C46" s="11" t="s">
        <v>27</v>
      </c>
      <c r="D46" s="11"/>
      <c r="E46" s="11"/>
      <c r="F46" s="11"/>
      <c r="G46" s="11"/>
    </row>
    <row r="47" customFormat="false" ht="13.5" hidden="false" customHeight="true" outlineLevel="0" collapsed="false">
      <c r="B47" s="10"/>
      <c r="C47" s="10"/>
      <c r="D47" s="11"/>
      <c r="E47" s="11"/>
      <c r="F47" s="11"/>
      <c r="G47" s="11"/>
    </row>
    <row r="48" customFormat="false" ht="13.5" hidden="false" customHeight="true" outlineLevel="0" collapsed="false">
      <c r="B48" s="10"/>
      <c r="C48" s="10"/>
      <c r="D48" s="11"/>
      <c r="E48" s="11"/>
      <c r="F48" s="11"/>
      <c r="G48" s="11"/>
    </row>
    <row r="49" customFormat="false" ht="13.5" hidden="false" customHeight="true" outlineLevel="0" collapsed="false">
      <c r="B49" s="10"/>
      <c r="C49" s="10"/>
      <c r="D49" s="11"/>
      <c r="E49" s="11"/>
      <c r="F49" s="11"/>
      <c r="G49" s="11"/>
    </row>
    <row r="50" customFormat="false" ht="13.5" hidden="false" customHeight="true" outlineLevel="0" collapsed="false">
      <c r="B50" s="10"/>
      <c r="C50" s="10"/>
      <c r="D50" s="11"/>
      <c r="E50" s="11"/>
      <c r="F50" s="11"/>
      <c r="G50" s="11"/>
    </row>
    <row r="51" customFormat="false" ht="13.5" hidden="false" customHeight="true" outlineLevel="0" collapsed="false">
      <c r="B51" s="10"/>
      <c r="C51" s="10"/>
      <c r="D51" s="11"/>
      <c r="E51" s="11"/>
      <c r="F51" s="11"/>
      <c r="G51" s="11"/>
    </row>
    <row r="52" customFormat="false" ht="13.5" hidden="false" customHeight="true" outlineLevel="0" collapsed="false">
      <c r="B52" s="10"/>
      <c r="C52" s="10"/>
      <c r="D52" s="11"/>
      <c r="E52" s="11"/>
      <c r="F52" s="11"/>
      <c r="G52" s="11"/>
    </row>
    <row r="54" customFormat="false" ht="19.5" hidden="false" customHeight="true" outlineLevel="0" collapsed="false">
      <c r="B54" s="12" t="s">
        <v>28</v>
      </c>
      <c r="C54" s="12"/>
      <c r="D54" s="12"/>
      <c r="E54" s="12"/>
      <c r="F54" s="12"/>
      <c r="G54" s="12"/>
    </row>
  </sheetData>
  <mergeCells count="31">
    <mergeCell ref="B1:G1"/>
    <mergeCell ref="B2:G2"/>
    <mergeCell ref="B4:G4"/>
    <mergeCell ref="B5:G5"/>
    <mergeCell ref="B7:G9"/>
    <mergeCell ref="B11:G11"/>
    <mergeCell ref="B12:C13"/>
    <mergeCell ref="D12:G13"/>
    <mergeCell ref="B15:C16"/>
    <mergeCell ref="D15:G16"/>
    <mergeCell ref="B18:C19"/>
    <mergeCell ref="D18:G19"/>
    <mergeCell ref="B21:C22"/>
    <mergeCell ref="D21:G22"/>
    <mergeCell ref="B24:C25"/>
    <mergeCell ref="D24:G25"/>
    <mergeCell ref="B27:G27"/>
    <mergeCell ref="B28:C29"/>
    <mergeCell ref="D28:G29"/>
    <mergeCell ref="B31:C32"/>
    <mergeCell ref="D31:G32"/>
    <mergeCell ref="B34:C35"/>
    <mergeCell ref="D34:G35"/>
    <mergeCell ref="B37:C39"/>
    <mergeCell ref="D37:G39"/>
    <mergeCell ref="B41:C42"/>
    <mergeCell ref="D41:G42"/>
    <mergeCell ref="B44:G44"/>
    <mergeCell ref="B46:B52"/>
    <mergeCell ref="C46:G52"/>
    <mergeCell ref="B54:G54"/>
  </mergeCells>
  <hyperlinks>
    <hyperlink ref="B54" r:id="rId1" display="Built for teams delivering capital projects, programs and portfolios  ·  mastt.com"/>
  </hyperlinks>
  <printOptions headings="false" gridLines="false" gridLinesSet="true" horizontalCentered="false" verticalCentered="false"/>
  <pageMargins left="0.3" right="0.3" top="0.4" bottom="0.4"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15383"/>
    <pageSetUpPr fitToPage="true"/>
  </sheetPr>
  <dimension ref="B1:H3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48"/>
    <col collapsed="false" customWidth="true" hidden="false" outlineLevel="0" max="3" min="3" style="0" width="4"/>
    <col collapsed="false" customWidth="true" hidden="false" outlineLevel="0" max="4" min="4" style="0" width="24"/>
    <col collapsed="false" customWidth="true" hidden="false" outlineLevel="0" max="5" min="5" style="0" width="22"/>
    <col collapsed="false" customWidth="true" hidden="false" outlineLevel="0" max="7" min="6" style="0" width="24"/>
    <col collapsed="false" customWidth="true" hidden="false" outlineLevel="0" max="8" min="8" style="0" width="50"/>
    <col collapsed="false" customWidth="true" hidden="false" outlineLevel="0" max="9" min="9" style="0" width="2.2"/>
  </cols>
  <sheetData>
    <row r="1" customFormat="false" ht="33.75" hidden="false" customHeight="true" outlineLevel="0" collapsed="false">
      <c r="B1" s="13" t="s">
        <v>29</v>
      </c>
      <c r="C1" s="13"/>
      <c r="D1" s="13"/>
      <c r="E1" s="13"/>
      <c r="F1" s="13"/>
      <c r="G1" s="13"/>
      <c r="H1" s="13"/>
    </row>
    <row r="2" customFormat="false" ht="4.5" hidden="false" customHeight="true" outlineLevel="0" collapsed="false">
      <c r="B2" s="14"/>
      <c r="C2" s="14"/>
      <c r="D2" s="14"/>
      <c r="E2" s="14"/>
      <c r="F2" s="14"/>
      <c r="G2" s="14"/>
      <c r="H2" s="14"/>
    </row>
    <row r="4" customFormat="false" ht="25.5" hidden="false" customHeight="true" outlineLevel="0" collapsed="false">
      <c r="B4" s="15" t="s">
        <v>30</v>
      </c>
      <c r="C4" s="15"/>
      <c r="D4" s="15"/>
      <c r="E4" s="15"/>
      <c r="F4" s="15"/>
      <c r="G4" s="15"/>
      <c r="H4" s="15"/>
    </row>
    <row r="6" customFormat="false" ht="21.75" hidden="false" customHeight="true" outlineLevel="0" collapsed="false">
      <c r="B6" s="6" t="s">
        <v>31</v>
      </c>
      <c r="C6" s="6"/>
      <c r="D6" s="6"/>
      <c r="E6" s="6"/>
      <c r="F6" s="6"/>
      <c r="G6" s="6"/>
      <c r="H6" s="6"/>
    </row>
    <row r="7" customFormat="false" ht="21" hidden="false" customHeight="true" outlineLevel="0" collapsed="false">
      <c r="B7" s="16" t="s">
        <v>32</v>
      </c>
      <c r="D7" s="17" t="s">
        <v>33</v>
      </c>
      <c r="E7" s="17"/>
    </row>
    <row r="8" customFormat="false" ht="21" hidden="false" customHeight="true" outlineLevel="0" collapsed="false">
      <c r="B8" s="16" t="s">
        <v>34</v>
      </c>
      <c r="D8" s="17" t="s">
        <v>35</v>
      </c>
      <c r="E8" s="17"/>
    </row>
    <row r="9" customFormat="false" ht="21" hidden="false" customHeight="true" outlineLevel="0" collapsed="false">
      <c r="B9" s="16" t="s">
        <v>36</v>
      </c>
      <c r="D9" s="17" t="s">
        <v>37</v>
      </c>
      <c r="E9" s="17"/>
    </row>
    <row r="10" customFormat="false" ht="21" hidden="false" customHeight="true" outlineLevel="0" collapsed="false">
      <c r="B10" s="16" t="s">
        <v>38</v>
      </c>
      <c r="D10" s="17" t="s">
        <v>39</v>
      </c>
      <c r="E10" s="17"/>
    </row>
    <row r="11" customFormat="false" ht="21" hidden="false" customHeight="true" outlineLevel="0" collapsed="false">
      <c r="B11" s="16" t="s">
        <v>40</v>
      </c>
      <c r="D11" s="18" t="n">
        <f aca="true">TODAY()</f>
        <v>46253</v>
      </c>
      <c r="E11" s="18"/>
      <c r="F11" s="15" t="s">
        <v>41</v>
      </c>
      <c r="G11" s="15"/>
      <c r="H11" s="15"/>
    </row>
    <row r="12" customFormat="false" ht="21" hidden="false" customHeight="true" outlineLevel="0" collapsed="false">
      <c r="B12" s="16" t="s">
        <v>42</v>
      </c>
      <c r="D12" s="17" t="s">
        <v>43</v>
      </c>
      <c r="E12" s="17"/>
      <c r="F12" s="15" t="s">
        <v>44</v>
      </c>
      <c r="G12" s="15"/>
      <c r="H12" s="15"/>
    </row>
    <row r="14" customFormat="false" ht="21.75" hidden="false" customHeight="true" outlineLevel="0" collapsed="false">
      <c r="B14" s="6" t="s">
        <v>45</v>
      </c>
      <c r="C14" s="6"/>
      <c r="D14" s="6"/>
      <c r="E14" s="6"/>
      <c r="F14" s="6"/>
      <c r="G14" s="6"/>
      <c r="H14" s="6"/>
    </row>
    <row r="15" customFormat="false" ht="12.75" hidden="false" customHeight="true" outlineLevel="0" collapsed="false">
      <c r="B15" s="15" t="s">
        <v>46</v>
      </c>
      <c r="C15" s="15"/>
      <c r="D15" s="15"/>
      <c r="E15" s="15"/>
      <c r="F15" s="15"/>
      <c r="G15" s="15"/>
      <c r="H15" s="15"/>
    </row>
    <row r="16" customFormat="false" ht="12.75" hidden="false" customHeight="true" outlineLevel="0" collapsed="false">
      <c r="B16" s="15"/>
      <c r="C16" s="15"/>
      <c r="D16" s="15"/>
      <c r="E16" s="15"/>
      <c r="F16" s="15"/>
      <c r="G16" s="15"/>
      <c r="H16" s="15"/>
    </row>
    <row r="17" customFormat="false" ht="31.5" hidden="false" customHeight="true" outlineLevel="0" collapsed="false">
      <c r="B17" s="16" t="s">
        <v>47</v>
      </c>
      <c r="D17" s="17" t="s">
        <v>48</v>
      </c>
      <c r="E17" s="17"/>
      <c r="F17" s="15" t="s">
        <v>49</v>
      </c>
      <c r="G17" s="15"/>
      <c r="H17" s="15"/>
    </row>
    <row r="19" customFormat="false" ht="21.75" hidden="false" customHeight="true" outlineLevel="0" collapsed="false">
      <c r="B19" s="6" t="s">
        <v>50</v>
      </c>
      <c r="C19" s="6"/>
      <c r="D19" s="6"/>
      <c r="E19" s="6"/>
      <c r="F19" s="6"/>
      <c r="G19" s="6"/>
      <c r="H19" s="6"/>
    </row>
    <row r="20" customFormat="false" ht="31.5" hidden="false" customHeight="true" outlineLevel="0" collapsed="false">
      <c r="B20" s="16" t="s">
        <v>51</v>
      </c>
      <c r="D20" s="19" t="n">
        <v>5</v>
      </c>
      <c r="E20" s="19"/>
      <c r="F20" s="15" t="s">
        <v>52</v>
      </c>
      <c r="G20" s="15"/>
      <c r="H20" s="15"/>
    </row>
    <row r="21" customFormat="false" ht="31.5" hidden="false" customHeight="true" outlineLevel="0" collapsed="false">
      <c r="B21" s="16" t="s">
        <v>53</v>
      </c>
      <c r="D21" s="20" t="n">
        <v>0.8</v>
      </c>
      <c r="E21" s="20"/>
      <c r="F21" s="15" t="s">
        <v>54</v>
      </c>
      <c r="G21" s="15"/>
      <c r="H21" s="15"/>
    </row>
    <row r="23" customFormat="false" ht="21.75" hidden="false" customHeight="true" outlineLevel="0" collapsed="false">
      <c r="B23" s="6" t="s">
        <v>55</v>
      </c>
      <c r="C23" s="6"/>
      <c r="D23" s="6"/>
      <c r="E23" s="6"/>
      <c r="F23" s="6"/>
      <c r="G23" s="6"/>
      <c r="H23" s="6"/>
    </row>
    <row r="24" customFormat="false" ht="31.5" hidden="false" customHeight="true" outlineLevel="0" collapsed="false">
      <c r="B24" s="16" t="s">
        <v>56</v>
      </c>
      <c r="D24" s="18"/>
      <c r="E24" s="18"/>
      <c r="F24" s="15" t="s">
        <v>57</v>
      </c>
      <c r="G24" s="15"/>
      <c r="H24" s="15"/>
    </row>
    <row r="25" customFormat="false" ht="21" hidden="false" customHeight="true" outlineLevel="0" collapsed="false">
      <c r="B25" s="16" t="s">
        <v>58</v>
      </c>
      <c r="D25" s="18" t="n">
        <f aca="true">WORKDAY(TODAY()-1,148)</f>
        <v>46458</v>
      </c>
      <c r="E25" s="18"/>
      <c r="F25" s="15" t="s">
        <v>59</v>
      </c>
      <c r="G25" s="15"/>
      <c r="H25" s="15"/>
    </row>
    <row r="27" customFormat="false" ht="21.75" hidden="false" customHeight="true" outlineLevel="0" collapsed="false">
      <c r="B27" s="6" t="s">
        <v>60</v>
      </c>
      <c r="C27" s="6"/>
      <c r="D27" s="6"/>
      <c r="E27" s="6"/>
      <c r="F27" s="6"/>
      <c r="G27" s="6"/>
      <c r="H27" s="6"/>
    </row>
    <row r="28" customFormat="false" ht="19.5" hidden="false" customHeight="true" outlineLevel="0" collapsed="false">
      <c r="B28" s="16" t="s">
        <v>61</v>
      </c>
      <c r="D28" s="21" t="n">
        <f aca="false">IF(MAX(Network!$M$7:$M$28)=0,"",MAX(Network!$M$7:$M$28))</f>
        <v>143.166666666667</v>
      </c>
      <c r="E28" s="21"/>
      <c r="F28" s="15" t="s">
        <v>62</v>
      </c>
      <c r="G28" s="15"/>
      <c r="H28" s="15"/>
    </row>
    <row r="29" customFormat="false" ht="19.5" hidden="false" customHeight="true" outlineLevel="0" collapsed="false">
      <c r="B29" s="16" t="s">
        <v>63</v>
      </c>
      <c r="D29" s="22" t="str">
        <f aca="false">IF(Setup!$D$24="","",IF(Setup!$D$12="5-day working week",NETWORKDAYS(Setup!$D$11,Setup!$D$24),Setup!$D$24-Setup!$D$11+1))</f>
        <v/>
      </c>
      <c r="E29" s="22"/>
      <c r="F29" s="15" t="s">
        <v>64</v>
      </c>
      <c r="G29" s="15"/>
      <c r="H29" s="15"/>
    </row>
    <row r="30" customFormat="false" ht="19.5" hidden="false" customHeight="true" outlineLevel="0" collapsed="false">
      <c r="B30" s="16" t="s">
        <v>65</v>
      </c>
      <c r="D30" s="21" t="n">
        <f aca="false">IF(Setup!$D$29&lt;&gt;"",Setup!$D$29,IF(Setup!$D$28="",0,Setup!$D$28))</f>
        <v>143.166666666667</v>
      </c>
      <c r="E30" s="21"/>
      <c r="F30" s="15" t="s">
        <v>66</v>
      </c>
      <c r="G30" s="15"/>
      <c r="H30" s="15"/>
    </row>
    <row r="31" customFormat="false" ht="42" hidden="false" customHeight="true" outlineLevel="0" collapsed="false">
      <c r="B31" s="16" t="s">
        <v>67</v>
      </c>
      <c r="D31" s="21" t="n">
        <f aca="false">IF(COUNT(Network!$P$7:$P$28)=0,0,MIN(Network!$P$7:$P$28))</f>
        <v>0</v>
      </c>
      <c r="E31" s="21"/>
      <c r="F31" s="15" t="s">
        <v>68</v>
      </c>
      <c r="G31" s="15"/>
      <c r="H31" s="15"/>
    </row>
    <row r="32" customFormat="false" ht="19.5" hidden="false" customHeight="true" outlineLevel="0" collapsed="false">
      <c r="B32" s="16" t="s">
        <v>69</v>
      </c>
      <c r="D32" s="23" t="n">
        <f aca="false">IF(Setup!$D$28="",0,SUMPRODUCT((Network!$W$7:$W$28&gt;=Setup!$D$28-0.000001)*Network!$AD$7:$AD$28))</f>
        <v>54.6944444444445</v>
      </c>
      <c r="E32" s="23"/>
      <c r="F32" s="15" t="s">
        <v>70</v>
      </c>
      <c r="G32" s="15"/>
      <c r="H32" s="15"/>
    </row>
    <row r="33" customFormat="false" ht="19.5" hidden="false" customHeight="true" outlineLevel="0" collapsed="false">
      <c r="B33" s="16" t="s">
        <v>71</v>
      </c>
      <c r="D33" s="22" t="n">
        <f aca="false">IF(Setup!$D$25="","",IF(Setup!$D$12="5-day working week",NETWORKDAYS(Setup!$D$11,Setup!$D$25),Setup!$D$25-Setup!$D$11+1))</f>
        <v>148</v>
      </c>
      <c r="E33" s="22"/>
      <c r="F33" s="15" t="s">
        <v>72</v>
      </c>
      <c r="G33" s="15"/>
      <c r="H33" s="15"/>
    </row>
    <row r="34" customFormat="false" ht="21.75" hidden="false" customHeight="true" outlineLevel="0" collapsed="false">
      <c r="B34" s="6" t="s">
        <v>73</v>
      </c>
      <c r="C34" s="6"/>
      <c r="D34" s="6"/>
      <c r="E34" s="6"/>
      <c r="F34" s="6"/>
      <c r="G34" s="6"/>
      <c r="H34" s="6"/>
    </row>
    <row r="35" customFormat="false" ht="21.75" hidden="false" customHeight="true" outlineLevel="0" collapsed="false">
      <c r="B35" s="16" t="s">
        <v>74</v>
      </c>
      <c r="D35" s="24" t="n">
        <f aca="false">(IF(Setup!$D$7="",0,1)+IF(Setup!$D$9="",0,1)+IF(Setup!$D$10="",0,1)+IF(Setup!$D$11="",0,1)+IF(Setup!$D$12="",0,1)+IF(Setup!$D$17="",0,1)+IF(Setup!$D$20="",0,1)+IF(Setup!$D$21="",0,1))/8</f>
        <v>1</v>
      </c>
      <c r="E35" s="24"/>
      <c r="F35" s="15" t="s">
        <v>75</v>
      </c>
      <c r="G35" s="15"/>
      <c r="H35" s="15"/>
    </row>
    <row r="36" customFormat="false" ht="18" hidden="false" customHeight="true" outlineLevel="0" collapsed="false">
      <c r="B36" s="25" t="s">
        <v>76</v>
      </c>
      <c r="C36" s="25"/>
      <c r="D36" s="25"/>
      <c r="E36" s="25"/>
      <c r="F36" s="25"/>
      <c r="G36" s="25"/>
      <c r="H36" s="25"/>
    </row>
  </sheetData>
  <mergeCells count="43">
    <mergeCell ref="B1:H1"/>
    <mergeCell ref="B2:H2"/>
    <mergeCell ref="B4:H4"/>
    <mergeCell ref="B6:H6"/>
    <mergeCell ref="D7:E7"/>
    <mergeCell ref="D8:E8"/>
    <mergeCell ref="D9:E9"/>
    <mergeCell ref="D10:E10"/>
    <mergeCell ref="D11:E11"/>
    <mergeCell ref="F11:H11"/>
    <mergeCell ref="D12:E12"/>
    <mergeCell ref="F12:H12"/>
    <mergeCell ref="B14:H14"/>
    <mergeCell ref="B15:H16"/>
    <mergeCell ref="D17:E17"/>
    <mergeCell ref="F17:H17"/>
    <mergeCell ref="B19:H19"/>
    <mergeCell ref="D20:E20"/>
    <mergeCell ref="F20:H20"/>
    <mergeCell ref="D21:E21"/>
    <mergeCell ref="F21:H21"/>
    <mergeCell ref="B23:H23"/>
    <mergeCell ref="D24:E24"/>
    <mergeCell ref="F24:H24"/>
    <mergeCell ref="D25:E25"/>
    <mergeCell ref="F25:H25"/>
    <mergeCell ref="B27:H27"/>
    <mergeCell ref="D28:E28"/>
    <mergeCell ref="F28:H28"/>
    <mergeCell ref="D29:E29"/>
    <mergeCell ref="F29:H29"/>
    <mergeCell ref="D30:E30"/>
    <mergeCell ref="F30:H30"/>
    <mergeCell ref="D31:E31"/>
    <mergeCell ref="F31:H31"/>
    <mergeCell ref="D32:E32"/>
    <mergeCell ref="F32:H32"/>
    <mergeCell ref="D33:E33"/>
    <mergeCell ref="F33:H33"/>
    <mergeCell ref="B34:H34"/>
    <mergeCell ref="D35:E35"/>
    <mergeCell ref="F35:H35"/>
    <mergeCell ref="B36:H36"/>
  </mergeCells>
  <dataValidations count="2">
    <dataValidation allowBlank="true" errorStyle="stop" operator="between" showDropDown="false" showErrorMessage="false" showInputMessage="false" sqref="D12" type="list">
      <formula1>Reference!$H$24:$H$25</formula1>
      <formula2>0</formula2>
    </dataValidation>
    <dataValidation allowBlank="true" errorStyle="stop" operator="between" showDropDown="false" showErrorMessage="false" showInputMessage="false" sqref="D17" type="list">
      <formula1>Reference!$D$24:$D$25</formula1>
      <formula2>0</formula2>
    </dataValidation>
  </dataValidations>
  <hyperlinks>
    <hyperlink ref="B36" r:id="rId1" display="Visit mastt.com"/>
  </hyperlinks>
  <printOptions headings="false" gridLines="false" gridLinesSet="true" horizontalCentered="false" verticalCentered="false"/>
  <pageMargins left="0.3" right="0.3" top="0.4" bottom="0.4"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D3C61"/>
    <pageSetUpPr fitToPage="true"/>
  </sheetPr>
  <dimension ref="B1:I5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40"/>
    <col collapsed="false" customWidth="true" hidden="false" outlineLevel="0" max="8" min="3" style="0" width="19"/>
    <col collapsed="false" customWidth="true" hidden="false" outlineLevel="0" max="9" min="9" style="0" width="34"/>
    <col collapsed="false" customWidth="true" hidden="false" outlineLevel="0" max="10" min="10" style="0" width="2.2"/>
  </cols>
  <sheetData>
    <row r="1" customFormat="false" ht="33.75" hidden="false" customHeight="true" outlineLevel="0" collapsed="false">
      <c r="B1" s="13" t="s">
        <v>77</v>
      </c>
      <c r="C1" s="13"/>
      <c r="D1" s="13"/>
      <c r="E1" s="13"/>
      <c r="F1" s="13"/>
      <c r="G1" s="13"/>
      <c r="H1" s="13"/>
      <c r="I1" s="13"/>
    </row>
    <row r="2" customFormat="false" ht="4.5" hidden="false" customHeight="true" outlineLevel="0" collapsed="false">
      <c r="B2" s="6"/>
      <c r="C2" s="6"/>
      <c r="D2" s="6"/>
      <c r="E2" s="6"/>
      <c r="F2" s="6"/>
      <c r="G2" s="6"/>
      <c r="H2" s="6"/>
      <c r="I2" s="6"/>
    </row>
    <row r="3" customFormat="false" ht="16.5" hidden="false" customHeight="true" outlineLevel="0" collapsed="false">
      <c r="B3" s="26" t="str">
        <f aca="false">IF(LEFT(Setup!$D$7,7)&lt;&gt;"EXAMPLE","","EXAMPLE DATA - type your own project name on Setup to clear this.")</f>
        <v>EXAMPLE DATA - type your own project name on Setup to clear this.</v>
      </c>
      <c r="C3" s="26"/>
      <c r="D3" s="26"/>
      <c r="E3" s="26"/>
      <c r="F3" s="26"/>
      <c r="G3" s="26"/>
      <c r="H3" s="26"/>
      <c r="I3" s="26"/>
    </row>
    <row r="4" customFormat="false" ht="25.5" hidden="false" customHeight="true" outlineLevel="0" collapsed="false">
      <c r="B4" s="15" t="s">
        <v>78</v>
      </c>
      <c r="C4" s="15"/>
      <c r="D4" s="15"/>
      <c r="E4" s="15"/>
      <c r="F4" s="15"/>
      <c r="G4" s="15"/>
      <c r="H4" s="15"/>
      <c r="I4" s="15"/>
    </row>
    <row r="6" customFormat="false" ht="21.75" hidden="false" customHeight="true" outlineLevel="0" collapsed="false">
      <c r="B6" s="6" t="s">
        <v>79</v>
      </c>
      <c r="C6" s="6"/>
      <c r="D6" s="6"/>
      <c r="E6" s="6"/>
      <c r="F6" s="6"/>
      <c r="G6" s="6"/>
      <c r="H6" s="6"/>
      <c r="I6" s="6"/>
    </row>
    <row r="7" customFormat="false" ht="30" hidden="false" customHeight="true" outlineLevel="0" collapsed="false">
      <c r="B7" s="27" t="s">
        <v>80</v>
      </c>
      <c r="C7" s="27"/>
      <c r="D7" s="27" t="s">
        <v>81</v>
      </c>
      <c r="E7" s="27"/>
      <c r="F7" s="27" t="s">
        <v>82</v>
      </c>
      <c r="G7" s="27"/>
      <c r="H7" s="28" t="s">
        <v>83</v>
      </c>
      <c r="I7" s="28"/>
    </row>
    <row r="8" customFormat="false" ht="33.75" hidden="false" customHeight="true" outlineLevel="0" collapsed="false">
      <c r="B8" s="29" t="n">
        <f aca="false">COUNTIF(Network!$C$7:$C$28,"&lt;&gt;")</f>
        <v>15</v>
      </c>
      <c r="C8" s="29"/>
      <c r="D8" s="30" t="n">
        <f aca="false">IF(Setup!$D$28="","",Setup!$D$28)</f>
        <v>143.166666666667</v>
      </c>
      <c r="E8" s="30"/>
      <c r="F8" s="31" t="n">
        <f aca="false">IF(Setup!$D$28="","",IF(Setup!$D$12="5-day working week",WORKDAY(Setup!$D$11-1,ROUNDUP(Setup!$D$28,0)),Setup!$D$11+ROUNDUP(Setup!$D$28,0)-1))</f>
        <v>46454</v>
      </c>
      <c r="G8" s="31"/>
      <c r="H8" s="32" t="n">
        <f aca="false">COUNTIF(Network!$P$7:$P$28,"&lt;="&amp;Setup!$D$31)</f>
        <v>11</v>
      </c>
      <c r="I8" s="32"/>
    </row>
    <row r="10" customFormat="false" ht="30" hidden="false" customHeight="true" outlineLevel="0" collapsed="false">
      <c r="B10" s="33" t="s">
        <v>84</v>
      </c>
      <c r="C10" s="33"/>
      <c r="D10" s="28" t="s">
        <v>85</v>
      </c>
      <c r="E10" s="28"/>
      <c r="F10" s="34" t="s">
        <v>86</v>
      </c>
      <c r="G10" s="34"/>
      <c r="H10" s="33" t="s">
        <v>87</v>
      </c>
      <c r="I10" s="33"/>
    </row>
    <row r="11" customFormat="false" ht="33.75" hidden="false" customHeight="true" outlineLevel="0" collapsed="false">
      <c r="B11" s="35" t="n">
        <f aca="false">COUNTIFS(Network!$P$7:$P$28,"&gt;"&amp;Setup!$D$31,Network!$P$7:$P$28,"&lt;="&amp;Setup!$D$31+Setup!$D$20)</f>
        <v>3</v>
      </c>
      <c r="C11" s="35"/>
      <c r="D11" s="32" t="n">
        <f aca="false">COUNTIF(Network!$P$7:$P$28,"&lt;0")</f>
        <v>0</v>
      </c>
      <c r="E11" s="32"/>
      <c r="F11" s="36" t="n">
        <f aca="false">COUNTIF(Network!$V$7:$V$28,"Estimates missing")+COUNTIF(Network!$V$7:$V$28,"Comes after an ID that is not on the list")+COUNTIF(Network!$V$7:$V$28,"Comes after a row BELOW this one - reorder")+COUNTIF(Network!$V$7:$V$28,"Duplicate ID")+COUNTIF(Network!$V$7:$V$28,"Estimates out of order - best, likely, worst")</f>
        <v>0</v>
      </c>
      <c r="G11" s="36"/>
      <c r="H11" s="35" t="n">
        <f aca="false">IF(Network!$C7="",0,IF((IF(Network!$D7="",0,1)+IF(Network!$E7="",0,1)+IF(Network!$F7="",0,1))&gt;1,1,0))+IF(Network!$C8="",0,IF((IF(Network!$D8="",0,1)+IF(Network!$E8="",0,1)+IF(Network!$F8="",0,1))&gt;1,1,0))+IF(Network!$C9="",0,IF((IF(Network!$D9="",0,1)+IF(Network!$E9="",0,1)+IF(Network!$F9="",0,1))&gt;1,1,0))+IF(Network!$C10="",0,IF((IF(Network!$D10="",0,1)+IF(Network!$E10="",0,1)+IF(Network!$F10="",0,1))&gt;1,1,0))+IF(Network!$C11="",0,IF((IF(Network!$D11="",0,1)+IF(Network!$E11="",0,1)+IF(Network!$F11="",0,1))&gt;1,1,0))+IF(Network!$C12="",0,IF((IF(Network!$D12="",0,1)+IF(Network!$E12="",0,1)+IF(Network!$F12="",0,1))&gt;1,1,0))+IF(Network!$C13="",0,IF((IF(Network!$D13="",0,1)+IF(Network!$E13="",0,1)+IF(Network!$F13="",0,1))&gt;1,1,0))+IF(Network!$C14="",0,IF((IF(Network!$D14="",0,1)+IF(Network!$E14="",0,1)+IF(Network!$F14="",0,1))&gt;1,1,0))+IF(Network!$C15="",0,IF((IF(Network!$D15="",0,1)+IF(Network!$E15="",0,1)+IF(Network!$F15="",0,1))&gt;1,1,0))+IF(Network!$C16="",0,IF((IF(Network!$D16="",0,1)+IF(Network!$E16="",0,1)+IF(Network!$F16="",0,1))&gt;1,1,0))+IF(Network!$C17="",0,IF((IF(Network!$D17="",0,1)+IF(Network!$E17="",0,1)+IF(Network!$F17="",0,1))&gt;1,1,0))+IF(Network!$C18="",0,IF((IF(Network!$D18="",0,1)+IF(Network!$E18="",0,1)+IF(Network!$F18="",0,1))&gt;1,1,0))+IF(Network!$C19="",0,IF((IF(Network!$D19="",0,1)+IF(Network!$E19="",0,1)+IF(Network!$F19="",0,1))&gt;1,1,0))+IF(Network!$C20="",0,IF((IF(Network!$D20="",0,1)+IF(Network!$E20="",0,1)+IF(Network!$F20="",0,1))&gt;1,1,0))+IF(Network!$C21="",0,IF((IF(Network!$D21="",0,1)+IF(Network!$E21="",0,1)+IF(Network!$F21="",0,1))&gt;1,1,0))+IF(Network!$C22="",0,IF((IF(Network!$D22="",0,1)+IF(Network!$E22="",0,1)+IF(Network!$F22="",0,1))&gt;1,1,0))+IF(Network!$C23="",0,IF((IF(Network!$D23="",0,1)+IF(Network!$E23="",0,1)+IF(Network!$F23="",0,1))&gt;1,1,0))+IF(Network!$C24="",0,IF((IF(Network!$D24="",0,1)+IF(Network!$E24="",0,1)+IF(Network!$F24="",0,1))&gt;1,1,0))+IF(Network!$C25="",0,IF((IF(Network!$D25="",0,1)+IF(Network!$E25="",0,1)+IF(Network!$F25="",0,1))&gt;1,1,0))+IF(Network!$C26="",0,IF((IF(Network!$D26="",0,1)+IF(Network!$E26="",0,1)+IF(Network!$F26="",0,1))&gt;1,1,0))+IF(Network!$C27="",0,IF((IF(Network!$D27="",0,1)+IF(Network!$E27="",0,1)+IF(Network!$F27="",0,1))&gt;1,1,0))+IF(Network!$C28="",0,IF((IF(Network!$D28="",0,1)+IF(Network!$E28="",0,1)+IF(Network!$F28="",0,1))&gt;1,1,0))</f>
        <v>4</v>
      </c>
      <c r="I11" s="35"/>
    </row>
    <row r="13" customFormat="false" ht="21.75" hidden="false" customHeight="true" outlineLevel="0" collapsed="false">
      <c r="B13" s="6" t="s">
        <v>88</v>
      </c>
      <c r="C13" s="6"/>
      <c r="D13" s="6"/>
      <c r="E13" s="6"/>
      <c r="F13" s="6"/>
      <c r="G13" s="6"/>
      <c r="H13" s="6"/>
      <c r="I13" s="6"/>
    </row>
    <row r="14" customFormat="false" ht="12.75" hidden="false" customHeight="true" outlineLevel="0" collapsed="false">
      <c r="B14" s="15" t="s">
        <v>89</v>
      </c>
      <c r="C14" s="15"/>
      <c r="D14" s="15"/>
      <c r="E14" s="15"/>
      <c r="F14" s="15"/>
      <c r="G14" s="15"/>
      <c r="H14" s="15"/>
      <c r="I14" s="15"/>
    </row>
    <row r="15" customFormat="false" ht="12.75" hidden="false" customHeight="true" outlineLevel="0" collapsed="false">
      <c r="B15" s="15"/>
      <c r="C15" s="15"/>
      <c r="D15" s="15"/>
      <c r="E15" s="15"/>
      <c r="F15" s="15"/>
      <c r="G15" s="15"/>
      <c r="H15" s="15"/>
      <c r="I15" s="15"/>
    </row>
    <row r="16" customFormat="false" ht="31.5" hidden="false" customHeight="true" outlineLevel="0" collapsed="false">
      <c r="B16" s="16" t="s">
        <v>90</v>
      </c>
      <c r="C16" s="37" t="n">
        <f aca="false">IF(Setup!$D$28="","",SQRT(Setup!$D$32))</f>
        <v>7.39556924411126</v>
      </c>
      <c r="D16" s="37"/>
      <c r="E16" s="15" t="s">
        <v>91</v>
      </c>
      <c r="F16" s="15"/>
      <c r="G16" s="15"/>
      <c r="H16" s="15"/>
      <c r="I16" s="15"/>
    </row>
    <row r="17" customFormat="false" ht="31.5" hidden="false" customHeight="true" outlineLevel="0" collapsed="false">
      <c r="B17" s="16" t="s">
        <v>92</v>
      </c>
      <c r="C17" s="24" t="n">
        <f aca="false">IF(OR(Setup!$D$33="",Setup!$D$28="",SQRT(Setup!$D$32)=0),"",NORMSDIST((Setup!$D$33-Setup!$D$28)/SQRT(Setup!$D$32)))</f>
        <v>0.743297332816913</v>
      </c>
      <c r="D17" s="24"/>
      <c r="E17" s="15" t="s">
        <v>93</v>
      </c>
      <c r="F17" s="15"/>
      <c r="G17" s="15"/>
      <c r="H17" s="15"/>
      <c r="I17" s="15"/>
    </row>
    <row r="18" customFormat="false" ht="31.5" hidden="false" customHeight="true" outlineLevel="0" collapsed="false">
      <c r="B18" s="16" t="s">
        <v>94</v>
      </c>
      <c r="C18" s="38" t="n">
        <f aca="false">IF(OR(Setup!$D$28="",SQRT(Setup!$D$32)=0),"",IF(Setup!$D$12="5-day working week",WORKDAY(Setup!$D$11-1,ROUNDUP(Setup!$D$28+NORMSINV(Setup!$D$21)*SQRT(Setup!$D$32),0)),Setup!$D$11+ROUNDUP(Setup!$D$28+NORMSINV(Setup!$D$21)*SQRT(Setup!$D$32),0)-1))</f>
        <v>46462</v>
      </c>
      <c r="D18" s="38"/>
      <c r="E18" s="15" t="s">
        <v>95</v>
      </c>
      <c r="F18" s="15"/>
      <c r="G18" s="15"/>
      <c r="H18" s="15"/>
      <c r="I18" s="15"/>
    </row>
    <row r="19" customFormat="false" ht="31.5" hidden="false" customHeight="true" outlineLevel="0" collapsed="false">
      <c r="B19" s="16" t="s">
        <v>96</v>
      </c>
      <c r="C19" s="39" t="n">
        <f aca="false">IF(OR(Setup!$D$28="",SQRT(Setup!$D$32)=0),"",ROUNDUP(NORMSINV(Setup!$D$21)*SQRT(Setup!$D$32),0))</f>
        <v>7</v>
      </c>
      <c r="D19" s="39"/>
      <c r="E19" s="15" t="s">
        <v>97</v>
      </c>
      <c r="F19" s="15"/>
      <c r="G19" s="15"/>
      <c r="H19" s="15"/>
      <c r="I19" s="15"/>
    </row>
    <row r="20" customFormat="false" ht="43.5" hidden="false" customHeight="true" outlineLevel="0" collapsed="false">
      <c r="B20" s="16" t="s">
        <v>98</v>
      </c>
      <c r="C20" s="37" t="n">
        <f aca="false">IF(COUNTIF(Network!$C$7:$C$28,"&lt;&gt;")=0,"",MAX(Network!$AC$7:$AC$28))</f>
        <v>22</v>
      </c>
      <c r="D20" s="37"/>
      <c r="E20" s="15" t="s">
        <v>99</v>
      </c>
      <c r="F20" s="15"/>
      <c r="G20" s="15"/>
      <c r="H20" s="15"/>
      <c r="I20" s="15"/>
    </row>
    <row r="22" customFormat="false" ht="21.75" hidden="false" customHeight="true" outlineLevel="0" collapsed="false">
      <c r="B22" s="6" t="s">
        <v>100</v>
      </c>
      <c r="C22" s="6"/>
      <c r="D22" s="6"/>
      <c r="E22" s="6"/>
      <c r="F22" s="6"/>
      <c r="G22" s="6"/>
      <c r="H22" s="6"/>
      <c r="I22" s="6"/>
    </row>
    <row r="23" customFormat="false" ht="19.5" hidden="false" customHeight="true" outlineLevel="0" collapsed="false">
      <c r="B23" s="40" t="s">
        <v>101</v>
      </c>
      <c r="C23" s="40"/>
      <c r="D23" s="40"/>
      <c r="E23" s="40"/>
      <c r="F23" s="40" t="s">
        <v>102</v>
      </c>
      <c r="G23" s="40" t="s">
        <v>103</v>
      </c>
      <c r="H23" s="40" t="s">
        <v>104</v>
      </c>
      <c r="I23" s="40"/>
    </row>
    <row r="24" customFormat="false" ht="19.5" hidden="false" customHeight="true" outlineLevel="0" collapsed="false">
      <c r="B24" s="41" t="str">
        <f aca="false">IFERROR(INDEX(Network!$B$7:$B$28,MATCH(1,Network!$AA$7:$AA$28,0))&amp;"   "&amp;INDEX(Network!$C$7:$C$28,MATCH(1,Network!$AA$7:$AA$28,0)),"")</f>
        <v>1   Site establishment and hoarding</v>
      </c>
      <c r="C24" s="41"/>
      <c r="D24" s="41"/>
      <c r="E24" s="41"/>
      <c r="F24" s="42" t="n">
        <f aca="false">IFERROR(INDEX(Network!$J$7:$J$28,MATCH(1,Network!$AA$7:$AA$28,0)),"")</f>
        <v>5.33333333333333</v>
      </c>
      <c r="G24" s="43" t="n">
        <f aca="false">IFERROR(INDEX(Network!$R$7:$R$28,MATCH(1,Network!$AA$7:$AA$28,0)),"")</f>
        <v>46253</v>
      </c>
      <c r="H24" s="43" t="n">
        <f aca="false">IFERROR(INDEX(Network!$S$7:$S$28,MATCH(1,Network!$AA$7:$AA$28,0)),"")</f>
        <v>46260</v>
      </c>
      <c r="I24" s="43"/>
    </row>
    <row r="25" customFormat="false" ht="19.5" hidden="false" customHeight="true" outlineLevel="0" collapsed="false">
      <c r="B25" s="41" t="str">
        <f aca="false">IFERROR(INDEX(Network!$B$7:$B$28,MATCH(2,Network!$AA$7:$AA$28,0))&amp;"   "&amp;INDEX(Network!$C$7:$C$28,MATCH(2,Network!$AA$7:$AA$28,0)),"")</f>
        <v>2   Demolition and strip-out</v>
      </c>
      <c r="C25" s="41"/>
      <c r="D25" s="41"/>
      <c r="E25" s="41"/>
      <c r="F25" s="42" t="n">
        <f aca="false">IFERROR(INDEX(Network!$J$7:$J$28,MATCH(2,Network!$AA$7:$AA$28,0)),"")</f>
        <v>11</v>
      </c>
      <c r="G25" s="43" t="n">
        <f aca="false">IFERROR(INDEX(Network!$R$7:$R$28,MATCH(2,Network!$AA$7:$AA$28,0)),"")</f>
        <v>46261</v>
      </c>
      <c r="H25" s="43" t="n">
        <f aca="false">IFERROR(INDEX(Network!$S$7:$S$28,MATCH(2,Network!$AA$7:$AA$28,0)),"")</f>
        <v>46275</v>
      </c>
      <c r="I25" s="43"/>
    </row>
    <row r="26" customFormat="false" ht="19.5" hidden="false" customHeight="true" outlineLevel="0" collapsed="false">
      <c r="B26" s="41" t="str">
        <f aca="false">IFERROR(INDEX(Network!$B$7:$B$28,MATCH(3,Network!$AA$7:$AA$28,0))&amp;"   "&amp;INDEX(Network!$C$7:$C$28,MATCH(3,Network!$AA$7:$AA$28,0)),"")</f>
        <v>3   Asbestos clearance certificate</v>
      </c>
      <c r="C26" s="41"/>
      <c r="D26" s="41"/>
      <c r="E26" s="41"/>
      <c r="F26" s="42" t="n">
        <f aca="false">IFERROR(INDEX(Network!$J$7:$J$28,MATCH(3,Network!$AA$7:$AA$28,0)),"")</f>
        <v>6.33333333333333</v>
      </c>
      <c r="G26" s="43" t="n">
        <f aca="false">IFERROR(INDEX(Network!$R$7:$R$28,MATCH(3,Network!$AA$7:$AA$28,0)),"")</f>
        <v>46276</v>
      </c>
      <c r="H26" s="43" t="n">
        <f aca="false">IFERROR(INDEX(Network!$S$7:$S$28,MATCH(3,Network!$AA$7:$AA$28,0)),"")</f>
        <v>46283</v>
      </c>
      <c r="I26" s="43"/>
    </row>
    <row r="27" customFormat="false" ht="19.5" hidden="false" customHeight="true" outlineLevel="0" collapsed="false">
      <c r="B27" s="41" t="str">
        <f aca="false">IFERROR(INDEX(Network!$B$7:$B$28,MATCH(4,Network!$AA$7:$AA$28,0))&amp;"   "&amp;INDEX(Network!$C$7:$C$28,MATCH(4,Network!$AA$7:$AA$28,0)),"")</f>
        <v>4   Structural steel - shop drawings</v>
      </c>
      <c r="C27" s="41"/>
      <c r="D27" s="41"/>
      <c r="E27" s="41"/>
      <c r="F27" s="42" t="n">
        <f aca="false">IFERROR(INDEX(Network!$J$7:$J$28,MATCH(4,Network!$AA$7:$AA$28,0)),"")</f>
        <v>12.6666666666667</v>
      </c>
      <c r="G27" s="43" t="n">
        <f aca="false">IFERROR(INDEX(Network!$R$7:$R$28,MATCH(4,Network!$AA$7:$AA$28,0)),"")</f>
        <v>46286</v>
      </c>
      <c r="H27" s="43" t="n">
        <f aca="false">IFERROR(INDEX(Network!$S$7:$S$28,MATCH(4,Network!$AA$7:$AA$28,0)),"")</f>
        <v>46302</v>
      </c>
      <c r="I27" s="43"/>
    </row>
    <row r="28" customFormat="false" ht="19.5" hidden="false" customHeight="true" outlineLevel="0" collapsed="false">
      <c r="B28" s="41" t="str">
        <f aca="false">IFERROR(INDEX(Network!$B$7:$B$28,MATCH(5,Network!$AA$7:$AA$28,0))&amp;"   "&amp;INDEX(Network!$C$7:$C$28,MATCH(5,Network!$AA$7:$AA$28,0)),"")</f>
        <v>5   Structural steel - fabrication</v>
      </c>
      <c r="C28" s="41"/>
      <c r="D28" s="41"/>
      <c r="E28" s="41"/>
      <c r="F28" s="42" t="n">
        <f aca="false">IFERROR(INDEX(Network!$J$7:$J$28,MATCH(5,Network!$AA$7:$AA$28,0)),"")</f>
        <v>26.6666666666667</v>
      </c>
      <c r="G28" s="43" t="n">
        <f aca="false">IFERROR(INDEX(Network!$R$7:$R$28,MATCH(5,Network!$AA$7:$AA$28,0)),"")</f>
        <v>46303</v>
      </c>
      <c r="H28" s="43" t="n">
        <f aca="false">IFERROR(INDEX(Network!$S$7:$S$28,MATCH(5,Network!$AA$7:$AA$28,0)),"")</f>
        <v>46338</v>
      </c>
      <c r="I28" s="43"/>
    </row>
    <row r="29" customFormat="false" ht="19.5" hidden="false" customHeight="true" outlineLevel="0" collapsed="false">
      <c r="B29" s="41" t="str">
        <f aca="false">IFERROR(INDEX(Network!$B$7:$B$28,MATCH(6,Network!$AA$7:$AA$28,0))&amp;"   "&amp;INDEX(Network!$C$7:$C$28,MATCH(6,Network!$AA$7:$AA$28,0)),"")</f>
        <v>6   Structural steel - erection</v>
      </c>
      <c r="C29" s="41"/>
      <c r="D29" s="41"/>
      <c r="E29" s="41"/>
      <c r="F29" s="42" t="n">
        <f aca="false">IFERROR(INDEX(Network!$J$7:$J$28,MATCH(6,Network!$AA$7:$AA$28,0)),"")</f>
        <v>14.6666666666667</v>
      </c>
      <c r="G29" s="43" t="n">
        <f aca="false">IFERROR(INDEX(Network!$R$7:$R$28,MATCH(6,Network!$AA$7:$AA$28,0)),"")</f>
        <v>46339</v>
      </c>
      <c r="H29" s="43" t="n">
        <f aca="false">IFERROR(INDEX(Network!$S$7:$S$28,MATCH(6,Network!$AA$7:$AA$28,0)),"")</f>
        <v>46359</v>
      </c>
      <c r="I29" s="43"/>
    </row>
    <row r="30" customFormat="false" ht="19.5" hidden="false" customHeight="true" outlineLevel="0" collapsed="false">
      <c r="B30" s="41" t="str">
        <f aca="false">IFERROR(INDEX(Network!$B$7:$B$28,MATCH(7,Network!$AA$7:$AA$28,0))&amp;"   "&amp;INDEX(Network!$C$7:$C$28,MATCH(7,Network!$AA$7:$AA$28,0)),"")</f>
        <v>9   Mechanical services - rough-in</v>
      </c>
      <c r="C30" s="41"/>
      <c r="D30" s="41"/>
      <c r="E30" s="41"/>
      <c r="F30" s="42" t="n">
        <f aca="false">IFERROR(INDEX(Network!$J$7:$J$28,MATCH(7,Network!$AA$7:$AA$28,0)),"")</f>
        <v>19.6666666666667</v>
      </c>
      <c r="G30" s="43" t="n">
        <f aca="false">IFERROR(INDEX(Network!$R$7:$R$28,MATCH(7,Network!$AA$7:$AA$28,0)),"")</f>
        <v>46360</v>
      </c>
      <c r="H30" s="43" t="n">
        <f aca="false">IFERROR(INDEX(Network!$S$7:$S$28,MATCH(7,Network!$AA$7:$AA$28,0)),"")</f>
        <v>46387</v>
      </c>
      <c r="I30" s="43"/>
    </row>
    <row r="31" customFormat="false" ht="19.5" hidden="false" customHeight="true" outlineLevel="0" collapsed="false">
      <c r="B31" s="41" t="str">
        <f aca="false">IFERROR(INDEX(Network!$B$7:$B$28,MATCH(8,Network!$AA$7:$AA$28,0))&amp;"   "&amp;INDEX(Network!$C$7:$C$28,MATCH(8,Network!$AA$7:$AA$28,0)),"")</f>
        <v>11   Services - coordination and testing</v>
      </c>
      <c r="C31" s="41"/>
      <c r="D31" s="41"/>
      <c r="E31" s="41"/>
      <c r="F31" s="42" t="n">
        <f aca="false">IFERROR(INDEX(Network!$J$7:$J$28,MATCH(8,Network!$AA$7:$AA$28,0)),"")</f>
        <v>10.3333333333333</v>
      </c>
      <c r="G31" s="43" t="n">
        <f aca="false">IFERROR(INDEX(Network!$R$7:$R$28,MATCH(8,Network!$AA$7:$AA$28,0)),"")</f>
        <v>46388</v>
      </c>
      <c r="H31" s="43" t="n">
        <f aca="false">IFERROR(INDEX(Network!$S$7:$S$28,MATCH(8,Network!$AA$7:$AA$28,0)),"")</f>
        <v>46401</v>
      </c>
      <c r="I31" s="43"/>
    </row>
    <row r="32" customFormat="false" ht="19.5" hidden="false" customHeight="true" outlineLevel="0" collapsed="false">
      <c r="B32" s="41" t="str">
        <f aca="false">IFERROR(INDEX(Network!$B$7:$B$28,MATCH(9,Network!$AA$7:$AA$28,0))&amp;"   "&amp;INDEX(Network!$C$7:$C$28,MATCH(9,Network!$AA$7:$AA$28,0)),"")</f>
        <v>12   Internal linings and finishes</v>
      </c>
      <c r="C32" s="41"/>
      <c r="D32" s="41"/>
      <c r="E32" s="41"/>
      <c r="F32" s="42" t="n">
        <f aca="false">IFERROR(INDEX(Network!$J$7:$J$28,MATCH(9,Network!$AA$7:$AA$28,0)),"")</f>
        <v>20.8333333333333</v>
      </c>
      <c r="G32" s="43" t="n">
        <f aca="false">IFERROR(INDEX(Network!$R$7:$R$28,MATCH(9,Network!$AA$7:$AA$28,0)),"")</f>
        <v>46402</v>
      </c>
      <c r="H32" s="43" t="n">
        <f aca="false">IFERROR(INDEX(Network!$S$7:$S$28,MATCH(9,Network!$AA$7:$AA$28,0)),"")</f>
        <v>46430</v>
      </c>
      <c r="I32" s="43"/>
    </row>
    <row r="33" customFormat="false" ht="19.5" hidden="false" customHeight="true" outlineLevel="0" collapsed="false">
      <c r="B33" s="41" t="str">
        <f aca="false">IFERROR(INDEX(Network!$B$7:$B$28,MATCH(10,Network!$AA$7:$AA$28,0))&amp;"   "&amp;INDEX(Network!$C$7:$C$28,MATCH(10,Network!$AA$7:$AA$28,0)),"")</f>
        <v>13   Joinery and fixed furniture</v>
      </c>
      <c r="C33" s="41"/>
      <c r="D33" s="41"/>
      <c r="E33" s="41"/>
      <c r="F33" s="42" t="n">
        <f aca="false">IFERROR(INDEX(Network!$J$7:$J$28,MATCH(10,Network!$AA$7:$AA$28,0)),"")</f>
        <v>12.3333333333333</v>
      </c>
      <c r="G33" s="43" t="n">
        <f aca="false">IFERROR(INDEX(Network!$R$7:$R$28,MATCH(10,Network!$AA$7:$AA$28,0)),"")</f>
        <v>46433</v>
      </c>
      <c r="H33" s="43" t="n">
        <f aca="false">IFERROR(INDEX(Network!$S$7:$S$28,MATCH(10,Network!$AA$7:$AA$28,0)),"")</f>
        <v>46448</v>
      </c>
      <c r="I33" s="43"/>
    </row>
    <row r="34" customFormat="false" ht="19.5" hidden="false" customHeight="true" outlineLevel="0" collapsed="false">
      <c r="B34" s="41" t="str">
        <f aca="false">IFERROR(INDEX(Network!$B$7:$B$28,MATCH(11,Network!$AA$7:$AA$28,0))&amp;"   "&amp;INDEX(Network!$C$7:$C$28,MATCH(11,Network!$AA$7:$AA$28,0)),"")</f>
        <v>15   Practical completion inspection</v>
      </c>
      <c r="C34" s="41"/>
      <c r="D34" s="41"/>
      <c r="E34" s="41"/>
      <c r="F34" s="42" t="n">
        <f aca="false">IFERROR(INDEX(Network!$J$7:$J$28,MATCH(11,Network!$AA$7:$AA$28,0)),"")</f>
        <v>3.33333333333333</v>
      </c>
      <c r="G34" s="43" t="n">
        <f aca="false">IFERROR(INDEX(Network!$R$7:$R$28,MATCH(11,Network!$AA$7:$AA$28,0)),"")</f>
        <v>46449</v>
      </c>
      <c r="H34" s="43" t="n">
        <f aca="false">IFERROR(INDEX(Network!$S$7:$S$28,MATCH(11,Network!$AA$7:$AA$28,0)),"")</f>
        <v>46454</v>
      </c>
      <c r="I34" s="43"/>
    </row>
    <row r="35" customFormat="false" ht="19.5" hidden="false" customHeight="true" outlineLevel="0" collapsed="false">
      <c r="B35" s="41" t="str">
        <f aca="false">IFERROR(INDEX(Network!$B$7:$B$28,MATCH(12,Network!$AA$7:$AA$28,0))&amp;"   "&amp;INDEX(Network!$C$7:$C$28,MATCH(12,Network!$AA$7:$AA$28,0)),"")</f>
        <v/>
      </c>
      <c r="C35" s="41"/>
      <c r="D35" s="41"/>
      <c r="E35" s="41"/>
      <c r="F35" s="42" t="str">
        <f aca="false">IFERROR(INDEX(Network!$J$7:$J$28,MATCH(12,Network!$AA$7:$AA$28,0)),"")</f>
        <v/>
      </c>
      <c r="G35" s="43" t="str">
        <f aca="false">IFERROR(INDEX(Network!$R$7:$R$28,MATCH(12,Network!$AA$7:$AA$28,0)),"")</f>
        <v/>
      </c>
      <c r="H35" s="43" t="str">
        <f aca="false">IFERROR(INDEX(Network!$S$7:$S$28,MATCH(12,Network!$AA$7:$AA$28,0)),"")</f>
        <v/>
      </c>
      <c r="I35" s="43"/>
    </row>
    <row r="36" customFormat="false" ht="13.5" hidden="false" customHeight="true" outlineLevel="0" collapsed="false">
      <c r="B36" s="15" t="s">
        <v>105</v>
      </c>
      <c r="C36" s="15"/>
      <c r="D36" s="15"/>
      <c r="E36" s="15"/>
      <c r="F36" s="15"/>
      <c r="G36" s="15"/>
      <c r="H36" s="15"/>
      <c r="I36" s="15"/>
    </row>
    <row r="38" customFormat="false" ht="21.75" hidden="false" customHeight="true" outlineLevel="0" collapsed="false">
      <c r="B38" s="6" t="s">
        <v>106</v>
      </c>
      <c r="C38" s="6"/>
      <c r="D38" s="6"/>
      <c r="E38" s="6"/>
      <c r="F38" s="6"/>
      <c r="G38" s="6"/>
      <c r="H38" s="6"/>
      <c r="I38" s="6"/>
    </row>
    <row r="39" customFormat="false" ht="19.5" hidden="false" customHeight="true" outlineLevel="0" collapsed="false">
      <c r="B39" s="40" t="s">
        <v>101</v>
      </c>
      <c r="C39" s="40"/>
      <c r="D39" s="40"/>
      <c r="E39" s="40"/>
      <c r="F39" s="40" t="s">
        <v>107</v>
      </c>
      <c r="G39" s="40" t="s">
        <v>102</v>
      </c>
      <c r="H39" s="40" t="s">
        <v>104</v>
      </c>
      <c r="I39" s="40"/>
    </row>
    <row r="40" customFormat="false" ht="19.5" hidden="false" customHeight="true" outlineLevel="0" collapsed="false">
      <c r="B40" s="44" t="str">
        <f aca="false">IFERROR(INDEX(Network!$B$7:$B$28,MATCH(1,Network!$AB$7:$AB$28,0))&amp;"   "&amp;INDEX(Network!$C$7:$C$28,MATCH(1,Network!$AB$7:$AB$28,0)),"")</f>
        <v>8   Facade - installation</v>
      </c>
      <c r="C40" s="44"/>
      <c r="D40" s="44"/>
      <c r="E40" s="44"/>
      <c r="F40" s="45" t="n">
        <f aca="false">IFERROR(INDEX(Network!$P$7:$P$28,MATCH(1,Network!$AB$7:$AB$28,0)),"")</f>
        <v>4.333333</v>
      </c>
      <c r="G40" s="45" t="n">
        <f aca="false">IFERROR(INDEX(Network!$J$7:$J$28,MATCH(1,Network!$AB$7:$AB$28,0)),"")</f>
        <v>25.6666666666667</v>
      </c>
      <c r="H40" s="46" t="n">
        <f aca="false">IFERROR(INDEX(Network!$S$7:$S$28,MATCH(1,Network!$AB$7:$AB$28,0)),"")</f>
        <v>46395</v>
      </c>
      <c r="I40" s="46"/>
    </row>
    <row r="41" customFormat="false" ht="19.5" hidden="false" customHeight="true" outlineLevel="0" collapsed="false">
      <c r="B41" s="44" t="str">
        <f aca="false">IFERROR(INDEX(Network!$B$7:$B$28,MATCH(2,Network!$AB$7:$AB$28,0))&amp;"   "&amp;INDEX(Network!$C$7:$C$28,MATCH(2,Network!$AB$7:$AB$28,0)),"")</f>
        <v>10   Electrical services - rough-in</v>
      </c>
      <c r="C41" s="44"/>
      <c r="D41" s="44"/>
      <c r="E41" s="44"/>
      <c r="F41" s="45" t="n">
        <f aca="false">IFERROR(INDEX(Network!$P$7:$P$28,MATCH(2,Network!$AB$7:$AB$28,0)),"")</f>
        <v>3</v>
      </c>
      <c r="G41" s="45" t="n">
        <f aca="false">IFERROR(INDEX(Network!$J$7:$J$28,MATCH(2,Network!$AB$7:$AB$28,0)),"")</f>
        <v>16.6666666666667</v>
      </c>
      <c r="H41" s="46" t="n">
        <f aca="false">IFERROR(INDEX(Network!$S$7:$S$28,MATCH(2,Network!$AB$7:$AB$28,0)),"")</f>
        <v>46384</v>
      </c>
      <c r="I41" s="46"/>
    </row>
    <row r="42" customFormat="false" ht="19.5" hidden="false" customHeight="true" outlineLevel="0" collapsed="false">
      <c r="B42" s="44" t="str">
        <f aca="false">IFERROR(INDEX(Network!$B$7:$B$28,MATCH(3,Network!$AB$7:$AB$28,0))&amp;"   "&amp;INDEX(Network!$C$7:$C$28,MATCH(3,Network!$AB$7:$AB$28,0)),"")</f>
        <v>14   Commissioning and witness testing</v>
      </c>
      <c r="C42" s="44"/>
      <c r="D42" s="44"/>
      <c r="E42" s="44"/>
      <c r="F42" s="45" t="n">
        <f aca="false">IFERROR(INDEX(Network!$P$7:$P$28,MATCH(3,Network!$AB$7:$AB$28,0)),"")</f>
        <v>1.166667</v>
      </c>
      <c r="G42" s="45" t="n">
        <f aca="false">IFERROR(INDEX(Network!$J$7:$J$28,MATCH(3,Network!$AB$7:$AB$28,0)),"")</f>
        <v>11.1666666666667</v>
      </c>
      <c r="H42" s="46" t="n">
        <f aca="false">IFERROR(INDEX(Network!$S$7:$S$28,MATCH(3,Network!$AB$7:$AB$28,0)),"")</f>
        <v>46447</v>
      </c>
      <c r="I42" s="46"/>
    </row>
    <row r="43" customFormat="false" ht="19.5" hidden="false" customHeight="true" outlineLevel="0" collapsed="false">
      <c r="B43" s="44" t="str">
        <f aca="false">IFERROR(INDEX(Network!$B$7:$B$28,MATCH(4,Network!$AB$7:$AB$28,0))&amp;"   "&amp;INDEX(Network!$C$7:$C$28,MATCH(4,Network!$AB$7:$AB$28,0)),"")</f>
        <v/>
      </c>
      <c r="C43" s="44"/>
      <c r="D43" s="44"/>
      <c r="E43" s="44"/>
      <c r="F43" s="45" t="str">
        <f aca="false">IFERROR(INDEX(Network!$P$7:$P$28,MATCH(4,Network!$AB$7:$AB$28,0)),"")</f>
        <v/>
      </c>
      <c r="G43" s="45" t="str">
        <f aca="false">IFERROR(INDEX(Network!$J$7:$J$28,MATCH(4,Network!$AB$7:$AB$28,0)),"")</f>
        <v/>
      </c>
      <c r="H43" s="46" t="str">
        <f aca="false">IFERROR(INDEX(Network!$S$7:$S$28,MATCH(4,Network!$AB$7:$AB$28,0)),"")</f>
        <v/>
      </c>
      <c r="I43" s="46"/>
    </row>
    <row r="44" customFormat="false" ht="19.5" hidden="false" customHeight="true" outlineLevel="0" collapsed="false">
      <c r="B44" s="44" t="str">
        <f aca="false">IFERROR(INDEX(Network!$B$7:$B$28,MATCH(5,Network!$AB$7:$AB$28,0))&amp;"   "&amp;INDEX(Network!$C$7:$C$28,MATCH(5,Network!$AB$7:$AB$28,0)),"")</f>
        <v/>
      </c>
      <c r="C44" s="44"/>
      <c r="D44" s="44"/>
      <c r="E44" s="44"/>
      <c r="F44" s="45" t="str">
        <f aca="false">IFERROR(INDEX(Network!$P$7:$P$28,MATCH(5,Network!$AB$7:$AB$28,0)),"")</f>
        <v/>
      </c>
      <c r="G44" s="45" t="str">
        <f aca="false">IFERROR(INDEX(Network!$J$7:$J$28,MATCH(5,Network!$AB$7:$AB$28,0)),"")</f>
        <v/>
      </c>
      <c r="H44" s="46" t="str">
        <f aca="false">IFERROR(INDEX(Network!$S$7:$S$28,MATCH(5,Network!$AB$7:$AB$28,0)),"")</f>
        <v/>
      </c>
      <c r="I44" s="46"/>
    </row>
    <row r="45" customFormat="false" ht="19.5" hidden="false" customHeight="true" outlineLevel="0" collapsed="false">
      <c r="B45" s="44" t="str">
        <f aca="false">IFERROR(INDEX(Network!$B$7:$B$28,MATCH(6,Network!$AB$7:$AB$28,0))&amp;"   "&amp;INDEX(Network!$C$7:$C$28,MATCH(6,Network!$AB$7:$AB$28,0)),"")</f>
        <v/>
      </c>
      <c r="C45" s="44"/>
      <c r="D45" s="44"/>
      <c r="E45" s="44"/>
      <c r="F45" s="45" t="str">
        <f aca="false">IFERROR(INDEX(Network!$P$7:$P$28,MATCH(6,Network!$AB$7:$AB$28,0)),"")</f>
        <v/>
      </c>
      <c r="G45" s="45" t="str">
        <f aca="false">IFERROR(INDEX(Network!$J$7:$J$28,MATCH(6,Network!$AB$7:$AB$28,0)),"")</f>
        <v/>
      </c>
      <c r="H45" s="46" t="str">
        <f aca="false">IFERROR(INDEX(Network!$S$7:$S$28,MATCH(6,Network!$AB$7:$AB$28,0)),"")</f>
        <v/>
      </c>
      <c r="I45" s="46"/>
    </row>
    <row r="46" customFormat="false" ht="19.5" hidden="false" customHeight="true" outlineLevel="0" collapsed="false">
      <c r="B46" s="44" t="str">
        <f aca="false">IFERROR(INDEX(Network!$B$7:$B$28,MATCH(7,Network!$AB$7:$AB$28,0))&amp;"   "&amp;INDEX(Network!$C$7:$C$28,MATCH(7,Network!$AB$7:$AB$28,0)),"")</f>
        <v/>
      </c>
      <c r="C46" s="44"/>
      <c r="D46" s="44"/>
      <c r="E46" s="44"/>
      <c r="F46" s="45" t="str">
        <f aca="false">IFERROR(INDEX(Network!$P$7:$P$28,MATCH(7,Network!$AB$7:$AB$28,0)),"")</f>
        <v/>
      </c>
      <c r="G46" s="45" t="str">
        <f aca="false">IFERROR(INDEX(Network!$J$7:$J$28,MATCH(7,Network!$AB$7:$AB$28,0)),"")</f>
        <v/>
      </c>
      <c r="H46" s="46" t="str">
        <f aca="false">IFERROR(INDEX(Network!$S$7:$S$28,MATCH(7,Network!$AB$7:$AB$28,0)),"")</f>
        <v/>
      </c>
      <c r="I46" s="46"/>
    </row>
    <row r="47" customFormat="false" ht="19.5" hidden="false" customHeight="true" outlineLevel="0" collapsed="false">
      <c r="B47" s="44" t="str">
        <f aca="false">IFERROR(INDEX(Network!$B$7:$B$28,MATCH(8,Network!$AB$7:$AB$28,0))&amp;"   "&amp;INDEX(Network!$C$7:$C$28,MATCH(8,Network!$AB$7:$AB$28,0)),"")</f>
        <v/>
      </c>
      <c r="C47" s="44"/>
      <c r="D47" s="44"/>
      <c r="E47" s="44"/>
      <c r="F47" s="45" t="str">
        <f aca="false">IFERROR(INDEX(Network!$P$7:$P$28,MATCH(8,Network!$AB$7:$AB$28,0)),"")</f>
        <v/>
      </c>
      <c r="G47" s="45" t="str">
        <f aca="false">IFERROR(INDEX(Network!$J$7:$J$28,MATCH(8,Network!$AB$7:$AB$28,0)),"")</f>
        <v/>
      </c>
      <c r="H47" s="46" t="str">
        <f aca="false">IFERROR(INDEX(Network!$S$7:$S$28,MATCH(8,Network!$AB$7:$AB$28,0)),"")</f>
        <v/>
      </c>
      <c r="I47" s="46"/>
    </row>
    <row r="48" customFormat="false" ht="13.5" hidden="false" customHeight="true" outlineLevel="0" collapsed="false">
      <c r="B48" s="15" t="s">
        <v>108</v>
      </c>
      <c r="C48" s="15"/>
      <c r="D48" s="15"/>
      <c r="E48" s="15"/>
      <c r="F48" s="15"/>
      <c r="G48" s="15"/>
      <c r="H48" s="15"/>
      <c r="I48" s="15"/>
    </row>
    <row r="50" customFormat="false" ht="18" hidden="false" customHeight="true" outlineLevel="0" collapsed="false">
      <c r="B50" s="25" t="s">
        <v>76</v>
      </c>
      <c r="C50" s="25"/>
      <c r="D50" s="25"/>
      <c r="E50" s="25"/>
      <c r="F50" s="25"/>
      <c r="G50" s="25"/>
      <c r="H50" s="25"/>
      <c r="I50" s="25"/>
    </row>
  </sheetData>
  <mergeCells count="82">
    <mergeCell ref="B1:I1"/>
    <mergeCell ref="B2:I2"/>
    <mergeCell ref="B3:I3"/>
    <mergeCell ref="B4:I4"/>
    <mergeCell ref="B6:I6"/>
    <mergeCell ref="B7:C7"/>
    <mergeCell ref="D7:E7"/>
    <mergeCell ref="F7:G7"/>
    <mergeCell ref="H7:I7"/>
    <mergeCell ref="B8:C8"/>
    <mergeCell ref="D8:E8"/>
    <mergeCell ref="F8:G8"/>
    <mergeCell ref="H8:I8"/>
    <mergeCell ref="B10:C10"/>
    <mergeCell ref="D10:E10"/>
    <mergeCell ref="F10:G10"/>
    <mergeCell ref="H10:I10"/>
    <mergeCell ref="B11:C11"/>
    <mergeCell ref="D11:E11"/>
    <mergeCell ref="F11:G11"/>
    <mergeCell ref="H11:I11"/>
    <mergeCell ref="B13:I13"/>
    <mergeCell ref="B14:I15"/>
    <mergeCell ref="C16:D16"/>
    <mergeCell ref="E16:I16"/>
    <mergeCell ref="C17:D17"/>
    <mergeCell ref="E17:I17"/>
    <mergeCell ref="C18:D18"/>
    <mergeCell ref="E18:I18"/>
    <mergeCell ref="C19:D19"/>
    <mergeCell ref="E19:I19"/>
    <mergeCell ref="C20:D20"/>
    <mergeCell ref="E20:I20"/>
    <mergeCell ref="B22:I22"/>
    <mergeCell ref="B23:E23"/>
    <mergeCell ref="H23:I23"/>
    <mergeCell ref="B24:E24"/>
    <mergeCell ref="H24:I24"/>
    <mergeCell ref="B25:E25"/>
    <mergeCell ref="H25:I25"/>
    <mergeCell ref="B26:E26"/>
    <mergeCell ref="H26:I26"/>
    <mergeCell ref="B27:E27"/>
    <mergeCell ref="H27:I27"/>
    <mergeCell ref="B28:E28"/>
    <mergeCell ref="H28:I28"/>
    <mergeCell ref="B29:E29"/>
    <mergeCell ref="H29:I29"/>
    <mergeCell ref="B30:E30"/>
    <mergeCell ref="H30:I30"/>
    <mergeCell ref="B31:E31"/>
    <mergeCell ref="H31:I31"/>
    <mergeCell ref="B32:E32"/>
    <mergeCell ref="H32:I32"/>
    <mergeCell ref="B33:E33"/>
    <mergeCell ref="H33:I33"/>
    <mergeCell ref="B34:E34"/>
    <mergeCell ref="H34:I34"/>
    <mergeCell ref="B35:E35"/>
    <mergeCell ref="H35:I35"/>
    <mergeCell ref="B36:I36"/>
    <mergeCell ref="B38:I38"/>
    <mergeCell ref="B39:E39"/>
    <mergeCell ref="H39:I39"/>
    <mergeCell ref="B40:E40"/>
    <mergeCell ref="H40:I40"/>
    <mergeCell ref="B41:E41"/>
    <mergeCell ref="H41:I41"/>
    <mergeCell ref="B42:E42"/>
    <mergeCell ref="H42:I42"/>
    <mergeCell ref="B43:E43"/>
    <mergeCell ref="H43:I43"/>
    <mergeCell ref="B44:E44"/>
    <mergeCell ref="H44:I44"/>
    <mergeCell ref="B45:E45"/>
    <mergeCell ref="H45:I45"/>
    <mergeCell ref="B46:E46"/>
    <mergeCell ref="H46:I46"/>
    <mergeCell ref="B47:E47"/>
    <mergeCell ref="H47:I47"/>
    <mergeCell ref="B48:I48"/>
    <mergeCell ref="B50:I50"/>
  </mergeCells>
  <conditionalFormatting sqref="B3:I3">
    <cfRule type="expression" priority="2" aboveAverage="0" equalAverage="0" bottom="0" percent="0" rank="0" text="" dxfId="0">
      <formula>LEN($B$3)&gt;0</formula>
    </cfRule>
  </conditionalFormatting>
  <hyperlinks>
    <hyperlink ref="B50" r:id="rId1" display="Visit mastt.com"/>
  </hyperlinks>
  <printOptions headings="false" gridLines="false" gridLinesSet="true" horizontalCentered="false" verticalCentered="false"/>
  <pageMargins left="0.3" right="0.3" top="0.4" bottom="0.4"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rowBreaks count="1" manualBreakCount="1">
    <brk id="21" man="true" max="16383" min="0"/>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B79D0"/>
    <pageSetUpPr fitToPage="true"/>
  </sheetPr>
  <dimension ref="B1:AL3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9"/>
    <col collapsed="false" customWidth="true" hidden="false" outlineLevel="0" max="3" min="3" style="0" width="20"/>
    <col collapsed="false" customWidth="true" hidden="false" outlineLevel="0" max="6" min="4" style="0" width="8"/>
    <col collapsed="false" customWidth="true" hidden="false" outlineLevel="0" max="9" min="7" style="0" width="9"/>
    <col collapsed="false" customWidth="true" hidden="false" outlineLevel="0" max="11" min="10" style="0" width="10"/>
    <col collapsed="false" customWidth="true" hidden="false" outlineLevel="0" max="15" min="12" style="0" width="7"/>
    <col collapsed="false" customWidth="true" hidden="false" outlineLevel="0" max="17" min="16" style="0" width="9"/>
    <col collapsed="false" customWidth="true" hidden="false" outlineLevel="0" max="19" min="18" style="0" width="13"/>
    <col collapsed="false" customWidth="true" hidden="false" outlineLevel="0" max="21" min="20" style="0" width="12"/>
    <col collapsed="false" customWidth="true" hidden="false" outlineLevel="0" max="22" min="22" style="0" width="16"/>
    <col collapsed="false" customWidth="true" hidden="true" outlineLevel="0" max="25" min="23" style="0" width="13"/>
    <col collapsed="false" customWidth="true" hidden="true" outlineLevel="0" max="26" min="26" style="0" width="2.2"/>
    <col collapsed="false" customWidth="true" hidden="true" outlineLevel="0" max="38" min="27" style="0" width="13"/>
  </cols>
  <sheetData>
    <row r="1" customFormat="false" ht="33.75" hidden="false" customHeight="true" outlineLevel="0" collapsed="false">
      <c r="B1" s="13" t="s">
        <v>109</v>
      </c>
      <c r="C1" s="13"/>
      <c r="D1" s="13"/>
      <c r="E1" s="13"/>
      <c r="F1" s="13"/>
      <c r="G1" s="13"/>
      <c r="H1" s="13"/>
      <c r="I1" s="13"/>
      <c r="J1" s="13"/>
      <c r="K1" s="13"/>
      <c r="L1" s="13"/>
      <c r="M1" s="13"/>
      <c r="N1" s="13"/>
      <c r="O1" s="13"/>
      <c r="P1" s="13"/>
      <c r="Q1" s="13"/>
      <c r="R1" s="13"/>
      <c r="S1" s="13"/>
      <c r="T1" s="13"/>
      <c r="U1" s="13"/>
      <c r="V1" s="13"/>
    </row>
    <row r="2" customFormat="false" ht="4.5" hidden="false" customHeight="true" outlineLevel="0" collapsed="false">
      <c r="B2" s="47"/>
      <c r="C2" s="47"/>
      <c r="D2" s="47"/>
      <c r="E2" s="47"/>
      <c r="F2" s="47"/>
      <c r="G2" s="47"/>
      <c r="H2" s="47"/>
      <c r="I2" s="47"/>
      <c r="J2" s="47"/>
      <c r="K2" s="47"/>
      <c r="L2" s="47"/>
      <c r="M2" s="47"/>
      <c r="N2" s="47"/>
      <c r="O2" s="47"/>
      <c r="P2" s="47"/>
      <c r="Q2" s="47"/>
      <c r="R2" s="47"/>
      <c r="S2" s="47"/>
      <c r="T2" s="47"/>
      <c r="U2" s="47"/>
      <c r="V2" s="47"/>
    </row>
    <row r="3" customFormat="false" ht="16.5" hidden="false" customHeight="true" outlineLevel="0" collapsed="false">
      <c r="B3" s="26" t="str">
        <f aca="false">IF(LEFT(Setup!$D$7,7)&lt;&gt;"EXAMPLE","","EXAMPLE DATA - type your own project name on Setup to clear this.")</f>
        <v>EXAMPLE DATA - type your own project name on Setup to clear this.</v>
      </c>
      <c r="C3" s="26"/>
      <c r="D3" s="26"/>
      <c r="E3" s="26"/>
      <c r="F3" s="26"/>
      <c r="G3" s="26"/>
      <c r="H3" s="26"/>
      <c r="I3" s="26"/>
      <c r="J3" s="26"/>
      <c r="K3" s="26"/>
      <c r="L3" s="26"/>
      <c r="M3" s="26"/>
      <c r="N3" s="26"/>
      <c r="O3" s="26"/>
      <c r="P3" s="26"/>
      <c r="Q3" s="26"/>
      <c r="R3" s="26"/>
      <c r="S3" s="26"/>
      <c r="T3" s="26"/>
      <c r="U3" s="26"/>
      <c r="V3" s="26"/>
    </row>
    <row r="4" customFormat="false" ht="25.5" hidden="false" customHeight="true" outlineLevel="0" collapsed="false">
      <c r="B4" s="15" t="s">
        <v>110</v>
      </c>
      <c r="C4" s="15"/>
      <c r="D4" s="15"/>
      <c r="E4" s="15"/>
      <c r="F4" s="15"/>
      <c r="G4" s="15"/>
      <c r="H4" s="15"/>
      <c r="I4" s="15"/>
      <c r="J4" s="15"/>
      <c r="K4" s="15"/>
      <c r="L4" s="15"/>
      <c r="M4" s="15"/>
      <c r="N4" s="15"/>
      <c r="O4" s="15"/>
      <c r="P4" s="15"/>
      <c r="Q4" s="15"/>
      <c r="R4" s="15"/>
      <c r="S4" s="15"/>
      <c r="T4" s="15"/>
      <c r="U4" s="15"/>
      <c r="V4" s="15"/>
    </row>
    <row r="6" customFormat="false" ht="60" hidden="false" customHeight="true" outlineLevel="0" collapsed="false">
      <c r="B6" s="40" t="s">
        <v>111</v>
      </c>
      <c r="C6" s="40" t="s">
        <v>101</v>
      </c>
      <c r="D6" s="40" t="s">
        <v>112</v>
      </c>
      <c r="E6" s="40" t="s">
        <v>113</v>
      </c>
      <c r="F6" s="40" t="s">
        <v>114</v>
      </c>
      <c r="G6" s="40" t="s">
        <v>115</v>
      </c>
      <c r="H6" s="40" t="s">
        <v>116</v>
      </c>
      <c r="I6" s="40" t="s">
        <v>117</v>
      </c>
      <c r="J6" s="48" t="s">
        <v>102</v>
      </c>
      <c r="K6" s="48" t="s">
        <v>118</v>
      </c>
      <c r="L6" s="48" t="s">
        <v>119</v>
      </c>
      <c r="M6" s="48" t="s">
        <v>120</v>
      </c>
      <c r="N6" s="48" t="s">
        <v>121</v>
      </c>
      <c r="O6" s="48" t="s">
        <v>122</v>
      </c>
      <c r="P6" s="48" t="s">
        <v>123</v>
      </c>
      <c r="Q6" s="48" t="s">
        <v>124</v>
      </c>
      <c r="R6" s="48" t="s">
        <v>103</v>
      </c>
      <c r="S6" s="48" t="s">
        <v>104</v>
      </c>
      <c r="T6" s="40" t="s">
        <v>125</v>
      </c>
      <c r="U6" s="40" t="s">
        <v>126</v>
      </c>
      <c r="V6" s="48" t="s">
        <v>127</v>
      </c>
    </row>
    <row r="7" customFormat="false" ht="46.5" hidden="false" customHeight="true" outlineLevel="0" collapsed="false">
      <c r="B7" s="49" t="n">
        <v>1</v>
      </c>
      <c r="C7" s="50" t="s">
        <v>128</v>
      </c>
      <c r="D7" s="51"/>
      <c r="E7" s="51"/>
      <c r="F7" s="51"/>
      <c r="G7" s="52" t="n">
        <v>4</v>
      </c>
      <c r="H7" s="52" t="n">
        <v>5</v>
      </c>
      <c r="I7" s="52" t="n">
        <v>8</v>
      </c>
      <c r="J7" s="53" t="n">
        <f aca="false">IF(OR($C7="",$G7="",$H7="",$I7=""),"",IF(Setup!$D$17="Triangular",($G7+$H7+$I7)/3,($G7+4*$H7+$I7)/6))</f>
        <v>5.33333333333333</v>
      </c>
      <c r="K7" s="54" t="n">
        <f aca="false">IF($J7="","",IF(Setup!$D$17="Triangular",($G7^2+$H7^2+$I7^2-$G7*$H7-$G7*$I7-$H7*$I7)/18,(($I7-$G7)/6)^2))</f>
        <v>0.444444444444444</v>
      </c>
      <c r="L7" s="55" t="n">
        <f aca="false">IF(OR($C7="",$J7=""),0,1)</f>
        <v>1</v>
      </c>
      <c r="M7" s="55" t="n">
        <f aca="false">IF($L7=0,0,$L7+$J7-1)</f>
        <v>5.33333333333333</v>
      </c>
      <c r="N7" s="56" t="n">
        <f aca="false">IF($W7=0,"",Setup!$D$30-$W7+1)</f>
        <v>1</v>
      </c>
      <c r="O7" s="56" t="n">
        <f aca="false">IF($N7="","",$N7+$J7-1)</f>
        <v>5.33333333333333</v>
      </c>
      <c r="P7" s="57" t="n">
        <f aca="false">IF(OR($N7="",$L7=0),"",ROUND($N7-$L7,6))</f>
        <v>0</v>
      </c>
      <c r="Q7" s="57" t="n">
        <f aca="false">IF($L7=0,"",ROUND(IF(SUMPRODUCT(((($D8:$D$28=$B7)+($E8:$E$28=$B7)+($F8:$F$28=$B7))&gt;0)*1)=0,Setup!$D$30-$M7,(1000000-SUMPRODUCT(MAX(((($D8:$D$28=$B7)+($E8:$E$28=$B7)+($F8:$F$28=$B7))&gt;0)*(1000000-$L8:$L$28))))-$M7-1),6))</f>
        <v>0</v>
      </c>
      <c r="R7" s="58" t="n">
        <f aca="false">IF($L7=0,"",IF(Setup!$D$12="5-day working week",WORKDAY(Setup!$D$11-1,ROUNDUP($L7,0)),Setup!$D$11+ROUNDUP($L7,0)-1))</f>
        <v>46253</v>
      </c>
      <c r="S7" s="58" t="n">
        <f aca="false">IF($M7=0,"",IF(Setup!$D$12="5-day working week",WORKDAY(Setup!$D$11-1,ROUNDUP($M7,0)),Setup!$D$11+ROUNDUP($M7,0)-1))</f>
        <v>46260</v>
      </c>
      <c r="T7" s="50" t="s">
        <v>129</v>
      </c>
      <c r="U7" s="50" t="s">
        <v>130</v>
      </c>
      <c r="V7" s="59" t="str">
        <f aca="false">IF($C7="","",IF(COUNTIF($B$7:$B$28,$B7)&gt;1,"Duplicate ID",IF($B7="","Give it an ID",IF(IF($D7="",0,IF(COUNTIF($B$7:$B$28,$D7)=0,1,0))+IF($E7="",0,IF(COUNTIF($B$7:$B$28,$E7)=0,1,0))+IF($F7="",0,IF(COUNTIF($B$7:$B$28,$F7)=0,1,0))&gt;0,"Comes after an ID that is not on the list",IF(IF($D7="",0,1)+IF($E7="",0,1)+IF($F7="",0,1)&gt;0,"Comes after a row BELOW this one - reorder",IF(OR($G7="",$H7="",$I7=""),"Estimates missing",IF(OR($G7&gt;$H7,$H7&gt;$I7),"Estimates out of order - best, likely, worst",IF(AND($P7&lt;0,$P7&lt;=Setup!$D$31),"CRITICAL - BEHIND THE DATE",IF($P7&lt;0,"Behind the required date",IF($P7&lt;=Setup!$D$31,"CRITICAL",IF($T7="Complete","Complete",IF($P7&lt;=Setup!$D$31+Setup!$D$20,"Nearly critical","Has float"))))))))))))</f>
        <v>CRITICAL</v>
      </c>
      <c r="W7" s="60" t="n">
        <f aca="false">IF(OR($C7="",$J7=""),0,$J7+SUMPRODUCT(MAX(((($D8:$D$28=$B7)+($E8:$E$28=$B7)+($F8:$F$28=$B7))&gt;0)*$W8:$W$28)))</f>
        <v>143.166666666667</v>
      </c>
      <c r="X7" s="60" t="n">
        <f aca="false">IF($C7="",0,1)</f>
        <v>1</v>
      </c>
      <c r="Y7" s="60" t="n">
        <f aca="false">IF($C7="",0,1)</f>
        <v>1</v>
      </c>
      <c r="Z7" s="0" t="n">
        <v>1</v>
      </c>
      <c r="AA7" s="60" t="n">
        <f aca="false">IF(OR($C7="",$P7=""),"",IF($P7&lt;=Setup!$D$31,COUNTIF($P$7:$P7,"&lt;="&amp;Setup!$D$31),""))</f>
        <v>1</v>
      </c>
      <c r="AB7" s="0" t="str">
        <f aca="false">IF(OR($C7="",$P7=""),"",IF(AND($P7&gt;Setup!$D$31,$P7&lt;=Setup!$D$31+Setup!$D$20),COUNTIFS($P$7:$P7,"&gt;"&amp;Setup!$D$31,$P$7:$P7,"&lt;="&amp;Setup!$D$31+Setup!$D$20),""))</f>
        <v/>
      </c>
      <c r="AC7" s="60" t="n">
        <f aca="false">IF(OR($C7="",$G7="",$I7=""),0,$I7-$G7)</f>
        <v>4</v>
      </c>
      <c r="AD7" s="60" t="n">
        <f aca="false">IF($C7="",0,IF($K7="",0,$K7)+SUMPRODUCT(MAX(((($D8:$D$28=$B7)+($E8:$E$28=$B7)+($F8:$F$28=$B7))&gt;0)*($W8:$W$28=SUMPRODUCT(MAX(((($D8:$D$28=$B7)+($E8:$E$28=$B7)+($F8:$F$28=$B7))&gt;0)*$W8:$W$28)))*$AD8:$AD$28)))</f>
        <v>54.6944444444445</v>
      </c>
      <c r="AE7" s="0" t="n">
        <v>0</v>
      </c>
      <c r="AF7" s="0" t="n">
        <v>0</v>
      </c>
      <c r="AG7" s="0" t="n">
        <v>0</v>
      </c>
      <c r="AH7" s="0" t="n">
        <v>0</v>
      </c>
      <c r="AI7" s="0" t="n">
        <v>0</v>
      </c>
      <c r="AJ7" s="0" t="n">
        <v>0</v>
      </c>
      <c r="AK7" s="0" t="n">
        <v>0</v>
      </c>
      <c r="AL7" s="60" t="n">
        <f aca="false">IF(OR($C7="",$B7=""),0,IF(COUNTIF($D$7:$D$28,$B7)+COUNTIF($E$7:$E$28,$B7)+COUNTIF($F$7:$F$28,$B7)&gt;0,0,1))</f>
        <v>0</v>
      </c>
    </row>
    <row r="8" customFormat="false" ht="46.5" hidden="false" customHeight="true" outlineLevel="0" collapsed="false">
      <c r="B8" s="61" t="n">
        <v>2</v>
      </c>
      <c r="C8" s="62" t="s">
        <v>131</v>
      </c>
      <c r="D8" s="63" t="n">
        <v>1</v>
      </c>
      <c r="E8" s="63"/>
      <c r="F8" s="63"/>
      <c r="G8" s="64" t="n">
        <v>8</v>
      </c>
      <c r="H8" s="64" t="n">
        <v>10</v>
      </c>
      <c r="I8" s="64" t="n">
        <v>18</v>
      </c>
      <c r="J8" s="53" t="n">
        <f aca="false">IF(OR($C8="",$G8="",$H8="",$I8=""),"",IF(Setup!$D$17="Triangular",($G8+$H8+$I8)/3,($G8+4*$H8+$I8)/6))</f>
        <v>11</v>
      </c>
      <c r="K8" s="54" t="n">
        <f aca="false">IF($J8="","",IF(Setup!$D$17="Triangular",($G8^2+$H8^2+$I8^2-$G8*$H8-$G8*$I8-$H8*$I8)/18,(($I8-$G8)/6)^2))</f>
        <v>2.77777777777778</v>
      </c>
      <c r="L8" s="55" t="n">
        <f aca="false">IF(OR($C8="",$J8=""),0,MAX(1,IF($D8="",0,IFERROR(INDEX($M$7:$M7,MATCH($D8,$B$7:$B7,0)),0))+1,IF($E8="",0,IFERROR(INDEX($M$7:$M7,MATCH($E8,$B$7:$B7,0)),0))+1,IF($F8="",0,IFERROR(INDEX($M$7:$M7,MATCH($F8,$B$7:$B7,0)),0))+1))</f>
        <v>6.33333333333333</v>
      </c>
      <c r="M8" s="55" t="n">
        <f aca="false">IF($L8=0,0,$L8+$J8-1)</f>
        <v>16.3333333333333</v>
      </c>
      <c r="N8" s="56" t="n">
        <f aca="false">IF($W8=0,"",Setup!$D$30-$W8+1)</f>
        <v>6.33333333333334</v>
      </c>
      <c r="O8" s="56" t="n">
        <f aca="false">IF($N8="","",$N8+$J8-1)</f>
        <v>16.3333333333333</v>
      </c>
      <c r="P8" s="57" t="n">
        <f aca="false">IF(OR($N8="",$L8=0),"",ROUND($N8-$L8,6))</f>
        <v>0</v>
      </c>
      <c r="Q8" s="57" t="n">
        <f aca="false">IF($L8=0,"",ROUND(IF(SUMPRODUCT(((($D9:$D$28=$B8)+($E9:$E$28=$B8)+($F9:$F$28=$B8))&gt;0)*1)=0,Setup!$D$30-$M8,(1000000-SUMPRODUCT(MAX(((($D9:$D$28=$B8)+($E9:$E$28=$B8)+($F9:$F$28=$B8))&gt;0)*(1000000-$L9:$L$28))))-$M8-1),6))</f>
        <v>0</v>
      </c>
      <c r="R8" s="58" t="n">
        <f aca="false">IF($L8=0,"",IF(Setup!$D$12="5-day working week",WORKDAY(Setup!$D$11-1,ROUNDUP($L8,0)),Setup!$D$11+ROUNDUP($L8,0)-1))</f>
        <v>46261</v>
      </c>
      <c r="S8" s="58" t="n">
        <f aca="false">IF($M8=0,"",IF(Setup!$D$12="5-day working week",WORKDAY(Setup!$D$11-1,ROUNDUP($M8,0)),Setup!$D$11+ROUNDUP($M8,0)-1))</f>
        <v>46275</v>
      </c>
      <c r="T8" s="62" t="s">
        <v>129</v>
      </c>
      <c r="U8" s="62" t="s">
        <v>130</v>
      </c>
      <c r="V8" s="59" t="str">
        <f aca="false">IF($C8="","",IF(COUNTIF($B$7:$B$28,$B8)&gt;1,"Duplicate ID",IF($B8="","Give it an ID",IF(IF($D8="",0,IF(COUNTIF($B$7:$B$28,$D8)=0,1,0))+IF($E8="",0,IF(COUNTIF($B$7:$B$28,$E8)=0,1,0))+IF($F8="",0,IF(COUNTIF($B$7:$B$28,$F8)=0,1,0))&gt;0,"Comes after an ID that is not on the list",IF(IF($D8="",0,IF(COUNTIF($B$7:$B7,$D8)=0,1,0))+IF($E8="",0,IF(COUNTIF($B$7:$B7,$E8)=0,1,0))+IF($F8="",0,IF(COUNTIF($B$7:$B7,$F8)=0,1,0))&gt;0,"Comes after a row BELOW this one - reorder",IF(OR($G8="",$H8="",$I8=""),"Estimates missing",IF(OR($G8&gt;$H8,$H8&gt;$I8),"Estimates out of order - best, likely, worst",IF(AND($P8&lt;0,$P8&lt;=Setup!$D$31),"CRITICAL - BEHIND THE DATE",IF($P8&lt;0,"Behind the required date",IF($P8&lt;=Setup!$D$31,"CRITICAL",IF($T8="Complete","Complete",IF($P8&lt;=Setup!$D$31+Setup!$D$20,"Nearly critical","Has float"))))))))))))</f>
        <v>CRITICAL</v>
      </c>
      <c r="W8" s="60" t="n">
        <f aca="false">IF(OR($C8="",$J8=""),0,$J8+SUMPRODUCT(MAX(((($D9:$D$28=$B8)+($E9:$E$28=$B8)+($F9:$F$28=$B8))&gt;0)*$W9:$W$28)))</f>
        <v>137.833333333333</v>
      </c>
      <c r="X8" s="60" t="n">
        <f aca="false">IF($C8="",0,1+MAX(0,IF($D8="",0,IFERROR(INDEX($X$7:$X7,MATCH($D8,$B$7:$B7,0)),0)),IF($E8="",0,IFERROR(INDEX($X$7:$X7,MATCH($E8,$B$7:$B7,0)),0)),IF($F8="",0,IFERROR(INDEX($X$7:$X7,MATCH($F8,$B$7:$B7,0)),0))))</f>
        <v>2</v>
      </c>
      <c r="Y8" s="60" t="n">
        <f aca="false">IF($C8="",0,IF(AND($AK8&gt;0,COUNTIFS($X$7:$X7,$X8,$Y$7:$Y7,$AK8)=0),$AK8,IF(COUNTIFS($X$7:$X7,$X8,$Y$7:$Y7,1)=0,1,IF(COUNTIFS($X$7:$X7,$X8,$Y$7:$Y7,2)=0,2,IF(COUNTIFS($X$7:$X7,$X8,$Y$7:$Y7,3)=0,3,IF(COUNTIFS($X$7:$X7,$X8,$Y$7:$Y7,4)=0,4,IF(COUNTIFS($X$7:$X7,$X8,$Y$7:$Y7,5)=0,5,6)))))))</f>
        <v>1</v>
      </c>
      <c r="Z8" s="0" t="n">
        <v>2</v>
      </c>
      <c r="AA8" s="60" t="n">
        <f aca="false">IF(OR($C8="",$P8=""),"",IF($P8&lt;=Setup!$D$31,COUNTIF($P$7:$P8,"&lt;="&amp;Setup!$D$31),""))</f>
        <v>2</v>
      </c>
      <c r="AB8" s="0" t="str">
        <f aca="false">IF(OR($C8="",$P8=""),"",IF(AND($P8&gt;Setup!$D$31,$P8&lt;=Setup!$D$31+Setup!$D$20),COUNTIFS($P$7:$P8,"&gt;"&amp;Setup!$D$31,$P$7:$P8,"&lt;="&amp;Setup!$D$31+Setup!$D$20),""))</f>
        <v/>
      </c>
      <c r="AC8" s="60" t="n">
        <f aca="false">IF(OR($C8="",$G8="",$I8=""),0,$I8-$G8)</f>
        <v>10</v>
      </c>
      <c r="AD8" s="60" t="n">
        <f aca="false">IF($C8="",0,IF($K8="",0,$K8)+SUMPRODUCT(MAX(((($D9:$D$28=$B8)+($E9:$E$28=$B8)+($F9:$F$28=$B8))&gt;0)*($W9:$W$28=SUMPRODUCT(MAX(((($D9:$D$28=$B8)+($E9:$E$28=$B8)+($F9:$F$28=$B8))&gt;0)*$W9:$W$28)))*$AD9:$AD$28)))</f>
        <v>54.25</v>
      </c>
      <c r="AE8" s="60" t="n">
        <f aca="false">IF($D8="",0,IFERROR(INDEX($X$7:$X7,MATCH($D8,$B$7:$B7,0)),0))</f>
        <v>1</v>
      </c>
      <c r="AF8" s="60" t="n">
        <f aca="false">IF($E8="",0,IFERROR(INDEX($X$7:$X7,MATCH($E8,$B$7:$B7,0)),0))</f>
        <v>0</v>
      </c>
      <c r="AG8" s="60" t="n">
        <f aca="false">IF($F8="",0,IFERROR(INDEX($X$7:$X7,MATCH($F8,$B$7:$B7,0)),0))</f>
        <v>0</v>
      </c>
      <c r="AH8" s="60" t="n">
        <f aca="false">IF($D8="",0,IFERROR(INDEX($Y$7:$Y7,MATCH($D8,$B$7:$B7,0)),0))</f>
        <v>1</v>
      </c>
      <c r="AI8" s="60" t="n">
        <f aca="false">IF($E8="",0,IFERROR(INDEX($Y$7:$Y7,MATCH($E8,$B$7:$B7,0)),0))</f>
        <v>0</v>
      </c>
      <c r="AJ8" s="60" t="n">
        <f aca="false">IF($F8="",0,IFERROR(INDEX($Y$7:$Y7,MATCH($F8,$B$7:$B7,0)),0))</f>
        <v>0</v>
      </c>
      <c r="AK8" s="60" t="n">
        <f aca="false">IF($C8="",0,IF(IF(AND($AE8&gt;0,$AE8=$X8-1),$AH8,IF(AND($AF8&gt;0,$AF8=$X8-1),$AI8,IF(AND($AG8&gt;0,$AG8=$X8-1),$AJ8,0)))&gt;0,IF(AND($AE8&gt;0,$AE8=$X8-1),$AH8,IF(AND($AF8&gt;0,$AF8=$X8-1),$AI8,IF(AND($AG8&gt;0,$AG8=$X8-1),$AJ8,0))),IF($AE8&gt;0,$AH8,IF($AF8&gt;0,$AI8,IF($AG8&gt;0,$AJ8,0)))))</f>
        <v>1</v>
      </c>
      <c r="AL8" s="60" t="n">
        <f aca="false">IF(OR($C8="",$B8=""),0,IF(COUNTIF($D$7:$D$28,$B8)+COUNTIF($E$7:$E$28,$B8)+COUNTIF($F$7:$F$28,$B8)&gt;0,0,1))</f>
        <v>0</v>
      </c>
    </row>
    <row r="9" customFormat="false" ht="46.5" hidden="false" customHeight="true" outlineLevel="0" collapsed="false">
      <c r="B9" s="49" t="n">
        <v>3</v>
      </c>
      <c r="C9" s="50" t="s">
        <v>132</v>
      </c>
      <c r="D9" s="51" t="n">
        <v>2</v>
      </c>
      <c r="E9" s="51"/>
      <c r="F9" s="51"/>
      <c r="G9" s="52" t="n">
        <v>3</v>
      </c>
      <c r="H9" s="52" t="n">
        <v>5</v>
      </c>
      <c r="I9" s="52" t="n">
        <v>15</v>
      </c>
      <c r="J9" s="53" t="n">
        <f aca="false">IF(OR($C9="",$G9="",$H9="",$I9=""),"",IF(Setup!$D$17="Triangular",($G9+$H9+$I9)/3,($G9+4*$H9+$I9)/6))</f>
        <v>6.33333333333333</v>
      </c>
      <c r="K9" s="54" t="n">
        <f aca="false">IF($J9="","",IF(Setup!$D$17="Triangular",($G9^2+$H9^2+$I9^2-$G9*$H9-$G9*$I9-$H9*$I9)/18,(($I9-$G9)/6)^2))</f>
        <v>4</v>
      </c>
      <c r="L9" s="55" t="n">
        <f aca="false">IF(OR($C9="",$J9=""),0,MAX(1,IF($D9="",0,IFERROR(INDEX($M$7:$M8,MATCH($D9,$B$7:$B8,0)),0))+1,IF($E9="",0,IFERROR(INDEX($M$7:$M8,MATCH($E9,$B$7:$B8,0)),0))+1,IF($F9="",0,IFERROR(INDEX($M$7:$M8,MATCH($F9,$B$7:$B8,0)),0))+1))</f>
        <v>17.3333333333333</v>
      </c>
      <c r="M9" s="55" t="n">
        <f aca="false">IF($L9=0,0,$L9+$J9-1)</f>
        <v>22.6666666666667</v>
      </c>
      <c r="N9" s="56" t="n">
        <f aca="false">IF($W9=0,"",Setup!$D$30-$W9+1)</f>
        <v>17.3333333333333</v>
      </c>
      <c r="O9" s="56" t="n">
        <f aca="false">IF($N9="","",$N9+$J9-1)</f>
        <v>22.6666666666667</v>
      </c>
      <c r="P9" s="57" t="n">
        <f aca="false">IF(OR($N9="",$L9=0),"",ROUND($N9-$L9,6))</f>
        <v>0</v>
      </c>
      <c r="Q9" s="57" t="n">
        <f aca="false">IF($L9=0,"",ROUND(IF(SUMPRODUCT(((($D10:$D$28=$B9)+($E10:$E$28=$B9)+($F10:$F$28=$B9))&gt;0)*1)=0,Setup!$D$30-$M9,(1000000-SUMPRODUCT(MAX(((($D10:$D$28=$B9)+($E10:$E$28=$B9)+($F10:$F$28=$B9))&gt;0)*(1000000-$L10:$L$28))))-$M9-1),6))</f>
        <v>-0</v>
      </c>
      <c r="R9" s="58" t="n">
        <f aca="false">IF($L9=0,"",IF(Setup!$D$12="5-day working week",WORKDAY(Setup!$D$11-1,ROUNDUP($L9,0)),Setup!$D$11+ROUNDUP($L9,0)-1))</f>
        <v>46276</v>
      </c>
      <c r="S9" s="58" t="n">
        <f aca="false">IF($M9=0,"",IF(Setup!$D$12="5-day working week",WORKDAY(Setup!$D$11-1,ROUNDUP($M9,0)),Setup!$D$11+ROUNDUP($M9,0)-1))</f>
        <v>46283</v>
      </c>
      <c r="T9" s="50" t="s">
        <v>129</v>
      </c>
      <c r="U9" s="50" t="s">
        <v>133</v>
      </c>
      <c r="V9" s="59" t="str">
        <f aca="false">IF($C9="","",IF(COUNTIF($B$7:$B$28,$B9)&gt;1,"Duplicate ID",IF($B9="","Give it an ID",IF(IF($D9="",0,IF(COUNTIF($B$7:$B$28,$D9)=0,1,0))+IF($E9="",0,IF(COUNTIF($B$7:$B$28,$E9)=0,1,0))+IF($F9="",0,IF(COUNTIF($B$7:$B$28,$F9)=0,1,0))&gt;0,"Comes after an ID that is not on the list",IF(IF($D9="",0,IF(COUNTIF($B$7:$B8,$D9)=0,1,0))+IF($E9="",0,IF(COUNTIF($B$7:$B8,$E9)=0,1,0))+IF($F9="",0,IF(COUNTIF($B$7:$B8,$F9)=0,1,0))&gt;0,"Comes after a row BELOW this one - reorder",IF(OR($G9="",$H9="",$I9=""),"Estimates missing",IF(OR($G9&gt;$H9,$H9&gt;$I9),"Estimates out of order - best, likely, worst",IF(AND($P9&lt;0,$P9&lt;=Setup!$D$31),"CRITICAL - BEHIND THE DATE",IF($P9&lt;0,"Behind the required date",IF($P9&lt;=Setup!$D$31,"CRITICAL",IF($T9="Complete","Complete",IF($P9&lt;=Setup!$D$31+Setup!$D$20,"Nearly critical","Has float"))))))))))))</f>
        <v>CRITICAL</v>
      </c>
      <c r="W9" s="60" t="n">
        <f aca="false">IF(OR($C9="",$J9=""),0,$J9+SUMPRODUCT(MAX(((($D10:$D$28=$B9)+($E10:$E$28=$B9)+($F10:$F$28=$B9))&gt;0)*$W10:$W$28)))</f>
        <v>126.833333333333</v>
      </c>
      <c r="X9" s="60" t="n">
        <f aca="false">IF($C9="",0,1+MAX(0,IF($D9="",0,IFERROR(INDEX($X$7:$X8,MATCH($D9,$B$7:$B8,0)),0)),IF($E9="",0,IFERROR(INDEX($X$7:$X8,MATCH($E9,$B$7:$B8,0)),0)),IF($F9="",0,IFERROR(INDEX($X$7:$X8,MATCH($F9,$B$7:$B8,0)),0))))</f>
        <v>3</v>
      </c>
      <c r="Y9" s="60" t="n">
        <f aca="false">IF($C9="",0,IF(AND($AK9&gt;0,COUNTIFS($X$7:$X8,$X9,$Y$7:$Y8,$AK9)=0),$AK9,IF(COUNTIFS($X$7:$X8,$X9,$Y$7:$Y8,1)=0,1,IF(COUNTIFS($X$7:$X8,$X9,$Y$7:$Y8,2)=0,2,IF(COUNTIFS($X$7:$X8,$X9,$Y$7:$Y8,3)=0,3,IF(COUNTIFS($X$7:$X8,$X9,$Y$7:$Y8,4)=0,4,IF(COUNTIFS($X$7:$X8,$X9,$Y$7:$Y8,5)=0,5,6)))))))</f>
        <v>1</v>
      </c>
      <c r="Z9" s="0" t="n">
        <v>3</v>
      </c>
      <c r="AA9" s="60" t="n">
        <f aca="false">IF(OR($C9="",$P9=""),"",IF($P9&lt;=Setup!$D$31,COUNTIF($P$7:$P9,"&lt;="&amp;Setup!$D$31),""))</f>
        <v>3</v>
      </c>
      <c r="AB9" s="0" t="str">
        <f aca="false">IF(OR($C9="",$P9=""),"",IF(AND($P9&gt;Setup!$D$31,$P9&lt;=Setup!$D$31+Setup!$D$20),COUNTIFS($P$7:$P9,"&gt;"&amp;Setup!$D$31,$P$7:$P9,"&lt;="&amp;Setup!$D$31+Setup!$D$20),""))</f>
        <v/>
      </c>
      <c r="AC9" s="60" t="n">
        <f aca="false">IF(OR($C9="",$G9="",$I9=""),0,$I9-$G9)</f>
        <v>12</v>
      </c>
      <c r="AD9" s="60" t="n">
        <f aca="false">IF($C9="",0,IF($K9="",0,$K9)+SUMPRODUCT(MAX(((($D10:$D$28=$B9)+($E10:$E$28=$B9)+($F10:$F$28=$B9))&gt;0)*($W10:$W$28=SUMPRODUCT(MAX(((($D10:$D$28=$B9)+($E10:$E$28=$B9)+($F10:$F$28=$B9))&gt;0)*$W10:$W$28)))*$AD10:$AD$28)))</f>
        <v>51.4722222222222</v>
      </c>
      <c r="AE9" s="60" t="n">
        <f aca="false">IF($D9="",0,IFERROR(INDEX($X$7:$X8,MATCH($D9,$B$7:$B8,0)),0))</f>
        <v>2</v>
      </c>
      <c r="AF9" s="60" t="n">
        <f aca="false">IF($E9="",0,IFERROR(INDEX($X$7:$X8,MATCH($E9,$B$7:$B8,0)),0))</f>
        <v>0</v>
      </c>
      <c r="AG9" s="60" t="n">
        <f aca="false">IF($F9="",0,IFERROR(INDEX($X$7:$X8,MATCH($F9,$B$7:$B8,0)),0))</f>
        <v>0</v>
      </c>
      <c r="AH9" s="60" t="n">
        <f aca="false">IF($D9="",0,IFERROR(INDEX($Y$7:$Y8,MATCH($D9,$B$7:$B8,0)),0))</f>
        <v>1</v>
      </c>
      <c r="AI9" s="60" t="n">
        <f aca="false">IF($E9="",0,IFERROR(INDEX($Y$7:$Y8,MATCH($E9,$B$7:$B8,0)),0))</f>
        <v>0</v>
      </c>
      <c r="AJ9" s="60" t="n">
        <f aca="false">IF($F9="",0,IFERROR(INDEX($Y$7:$Y8,MATCH($F9,$B$7:$B8,0)),0))</f>
        <v>0</v>
      </c>
      <c r="AK9" s="60" t="n">
        <f aca="false">IF($C9="",0,IF(IF(AND($AE9&gt;0,$AE9=$X9-1),$AH9,IF(AND($AF9&gt;0,$AF9=$X9-1),$AI9,IF(AND($AG9&gt;0,$AG9=$X9-1),$AJ9,0)))&gt;0,IF(AND($AE9&gt;0,$AE9=$X9-1),$AH9,IF(AND($AF9&gt;0,$AF9=$X9-1),$AI9,IF(AND($AG9&gt;0,$AG9=$X9-1),$AJ9,0))),IF($AE9&gt;0,$AH9,IF($AF9&gt;0,$AI9,IF($AG9&gt;0,$AJ9,0)))))</f>
        <v>1</v>
      </c>
      <c r="AL9" s="60" t="n">
        <f aca="false">IF(OR($C9="",$B9=""),0,IF(COUNTIF($D$7:$D$28,$B9)+COUNTIF($E$7:$E$28,$B9)+COUNTIF($F$7:$F$28,$B9)&gt;0,0,1))</f>
        <v>0</v>
      </c>
    </row>
    <row r="10" customFormat="false" ht="46.5" hidden="false" customHeight="true" outlineLevel="0" collapsed="false">
      <c r="B10" s="61" t="n">
        <v>4</v>
      </c>
      <c r="C10" s="62" t="s">
        <v>134</v>
      </c>
      <c r="D10" s="63" t="n">
        <v>3</v>
      </c>
      <c r="E10" s="63"/>
      <c r="F10" s="63"/>
      <c r="G10" s="64" t="n">
        <v>8</v>
      </c>
      <c r="H10" s="64" t="n">
        <v>12</v>
      </c>
      <c r="I10" s="64" t="n">
        <v>20</v>
      </c>
      <c r="J10" s="53" t="n">
        <f aca="false">IF(OR($C10="",$G10="",$H10="",$I10=""),"",IF(Setup!$D$17="Triangular",($G10+$H10+$I10)/3,($G10+4*$H10+$I10)/6))</f>
        <v>12.6666666666667</v>
      </c>
      <c r="K10" s="54" t="n">
        <f aca="false">IF($J10="","",IF(Setup!$D$17="Triangular",($G10^2+$H10^2+$I10^2-$G10*$H10-$G10*$I10-$H10*$I10)/18,(($I10-$G10)/6)^2))</f>
        <v>4</v>
      </c>
      <c r="L10" s="55" t="n">
        <f aca="false">IF(OR($C10="",$J10=""),0,MAX(1,IF($D10="",0,IFERROR(INDEX($M$7:$M9,MATCH($D10,$B$7:$B9,0)),0))+1,IF($E10="",0,IFERROR(INDEX($M$7:$M9,MATCH($E10,$B$7:$B9,0)),0))+1,IF($F10="",0,IFERROR(INDEX($M$7:$M9,MATCH($F10,$B$7:$B9,0)),0))+1))</f>
        <v>23.6666666666667</v>
      </c>
      <c r="M10" s="55" t="n">
        <f aca="false">IF($L10=0,0,$L10+$J10-1)</f>
        <v>35.3333333333333</v>
      </c>
      <c r="N10" s="56" t="n">
        <f aca="false">IF($W10=0,"",Setup!$D$30-$W10+1)</f>
        <v>23.6666666666667</v>
      </c>
      <c r="O10" s="56" t="n">
        <f aca="false">IF($N10="","",$N10+$J10-1)</f>
        <v>35.3333333333333</v>
      </c>
      <c r="P10" s="57" t="n">
        <f aca="false">IF(OR($N10="",$L10=0),"",ROUND($N10-$L10,6))</f>
        <v>0</v>
      </c>
      <c r="Q10" s="57" t="n">
        <f aca="false">IF($L10=0,"",ROUND(IF(SUMPRODUCT(((($D11:$D$28=$B10)+($E11:$E$28=$B10)+($F11:$F$28=$B10))&gt;0)*1)=0,Setup!$D$30-$M10,(1000000-SUMPRODUCT(MAX(((($D11:$D$28=$B10)+($E11:$E$28=$B10)+($F11:$F$28=$B10))&gt;0)*(1000000-$L11:$L$28))))-$M10-1),6))</f>
        <v>0</v>
      </c>
      <c r="R10" s="58" t="n">
        <f aca="false">IF($L10=0,"",IF(Setup!$D$12="5-day working week",WORKDAY(Setup!$D$11-1,ROUNDUP($L10,0)),Setup!$D$11+ROUNDUP($L10,0)-1))</f>
        <v>46286</v>
      </c>
      <c r="S10" s="58" t="n">
        <f aca="false">IF($M10=0,"",IF(Setup!$D$12="5-day working week",WORKDAY(Setup!$D$11-1,ROUNDUP($M10,0)),Setup!$D$11+ROUNDUP($M10,0)-1))</f>
        <v>46302</v>
      </c>
      <c r="T10" s="62" t="s">
        <v>135</v>
      </c>
      <c r="U10" s="62" t="s">
        <v>136</v>
      </c>
      <c r="V10" s="59" t="str">
        <f aca="false">IF($C10="","",IF(COUNTIF($B$7:$B$28,$B10)&gt;1,"Duplicate ID",IF($B10="","Give it an ID",IF(IF($D10="",0,IF(COUNTIF($B$7:$B$28,$D10)=0,1,0))+IF($E10="",0,IF(COUNTIF($B$7:$B$28,$E10)=0,1,0))+IF($F10="",0,IF(COUNTIF($B$7:$B$28,$F10)=0,1,0))&gt;0,"Comes after an ID that is not on the list",IF(IF($D10="",0,IF(COUNTIF($B$7:$B9,$D10)=0,1,0))+IF($E10="",0,IF(COUNTIF($B$7:$B9,$E10)=0,1,0))+IF($F10="",0,IF(COUNTIF($B$7:$B9,$F10)=0,1,0))&gt;0,"Comes after a row BELOW this one - reorder",IF(OR($G10="",$H10="",$I10=""),"Estimates missing",IF(OR($G10&gt;$H10,$H10&gt;$I10),"Estimates out of order - best, likely, worst",IF(AND($P10&lt;0,$P10&lt;=Setup!$D$31),"CRITICAL - BEHIND THE DATE",IF($P10&lt;0,"Behind the required date",IF($P10&lt;=Setup!$D$31,"CRITICAL",IF($T10="Complete","Complete",IF($P10&lt;=Setup!$D$31+Setup!$D$20,"Nearly critical","Has float"))))))))))))</f>
        <v>CRITICAL</v>
      </c>
      <c r="W10" s="60" t="n">
        <f aca="false">IF(OR($C10="",$J10=""),0,$J10+SUMPRODUCT(MAX(((($D11:$D$28=$B10)+($E11:$E$28=$B10)+($F11:$F$28=$B10))&gt;0)*$W11:$W$28)))</f>
        <v>120.5</v>
      </c>
      <c r="X10" s="60" t="n">
        <f aca="false">IF($C10="",0,1+MAX(0,IF($D10="",0,IFERROR(INDEX($X$7:$X9,MATCH($D10,$B$7:$B9,0)),0)),IF($E10="",0,IFERROR(INDEX($X$7:$X9,MATCH($E10,$B$7:$B9,0)),0)),IF($F10="",0,IFERROR(INDEX($X$7:$X9,MATCH($F10,$B$7:$B9,0)),0))))</f>
        <v>4</v>
      </c>
      <c r="Y10" s="60" t="n">
        <f aca="false">IF($C10="",0,IF(AND($AK10&gt;0,COUNTIFS($X$7:$X9,$X10,$Y$7:$Y9,$AK10)=0),$AK10,IF(COUNTIFS($X$7:$X9,$X10,$Y$7:$Y9,1)=0,1,IF(COUNTIFS($X$7:$X9,$X10,$Y$7:$Y9,2)=0,2,IF(COUNTIFS($X$7:$X9,$X10,$Y$7:$Y9,3)=0,3,IF(COUNTIFS($X$7:$X9,$X10,$Y$7:$Y9,4)=0,4,IF(COUNTIFS($X$7:$X9,$X10,$Y$7:$Y9,5)=0,5,6)))))))</f>
        <v>1</v>
      </c>
      <c r="Z10" s="0" t="n">
        <v>4</v>
      </c>
      <c r="AA10" s="60" t="n">
        <f aca="false">IF(OR($C10="",$P10=""),"",IF($P10&lt;=Setup!$D$31,COUNTIF($P$7:$P10,"&lt;="&amp;Setup!$D$31),""))</f>
        <v>4</v>
      </c>
      <c r="AB10" s="0" t="str">
        <f aca="false">IF(OR($C10="",$P10=""),"",IF(AND($P10&gt;Setup!$D$31,$P10&lt;=Setup!$D$31+Setup!$D$20),COUNTIFS($P$7:$P10,"&gt;"&amp;Setup!$D$31,$P$7:$P10,"&lt;="&amp;Setup!$D$31+Setup!$D$20),""))</f>
        <v/>
      </c>
      <c r="AC10" s="60" t="n">
        <f aca="false">IF(OR($C10="",$G10="",$I10=""),0,$I10-$G10)</f>
        <v>12</v>
      </c>
      <c r="AD10" s="60" t="n">
        <f aca="false">IF($C10="",0,IF($K10="",0,$K10)+SUMPRODUCT(MAX(((($D11:$D$28=$B10)+($E11:$E$28=$B10)+($F11:$F$28=$B10))&gt;0)*($W11:$W$28=SUMPRODUCT(MAX(((($D11:$D$28=$B10)+($E11:$E$28=$B10)+($F11:$F$28=$B10))&gt;0)*$W11:$W$28)))*$AD11:$AD$28)))</f>
        <v>47.4722222222222</v>
      </c>
      <c r="AE10" s="60" t="n">
        <f aca="false">IF($D10="",0,IFERROR(INDEX($X$7:$X9,MATCH($D10,$B$7:$B9,0)),0))</f>
        <v>3</v>
      </c>
      <c r="AF10" s="60" t="n">
        <f aca="false">IF($E10="",0,IFERROR(INDEX($X$7:$X9,MATCH($E10,$B$7:$B9,0)),0))</f>
        <v>0</v>
      </c>
      <c r="AG10" s="60" t="n">
        <f aca="false">IF($F10="",0,IFERROR(INDEX($X$7:$X9,MATCH($F10,$B$7:$B9,0)),0))</f>
        <v>0</v>
      </c>
      <c r="AH10" s="60" t="n">
        <f aca="false">IF($D10="",0,IFERROR(INDEX($Y$7:$Y9,MATCH($D10,$B$7:$B9,0)),0))</f>
        <v>1</v>
      </c>
      <c r="AI10" s="60" t="n">
        <f aca="false">IF($E10="",0,IFERROR(INDEX($Y$7:$Y9,MATCH($E10,$B$7:$B9,0)),0))</f>
        <v>0</v>
      </c>
      <c r="AJ10" s="60" t="n">
        <f aca="false">IF($F10="",0,IFERROR(INDEX($Y$7:$Y9,MATCH($F10,$B$7:$B9,0)),0))</f>
        <v>0</v>
      </c>
      <c r="AK10" s="60" t="n">
        <f aca="false">IF($C10="",0,IF(IF(AND($AE10&gt;0,$AE10=$X10-1),$AH10,IF(AND($AF10&gt;0,$AF10=$X10-1),$AI10,IF(AND($AG10&gt;0,$AG10=$X10-1),$AJ10,0)))&gt;0,IF(AND($AE10&gt;0,$AE10=$X10-1),$AH10,IF(AND($AF10&gt;0,$AF10=$X10-1),$AI10,IF(AND($AG10&gt;0,$AG10=$X10-1),$AJ10,0))),IF($AE10&gt;0,$AH10,IF($AF10&gt;0,$AI10,IF($AG10&gt;0,$AJ10,0)))))</f>
        <v>1</v>
      </c>
      <c r="AL10" s="60" t="n">
        <f aca="false">IF(OR($C10="",$B10=""),0,IF(COUNTIF($D$7:$D$28,$B10)+COUNTIF($E$7:$E$28,$B10)+COUNTIF($F$7:$F$28,$B10)&gt;0,0,1))</f>
        <v>0</v>
      </c>
    </row>
    <row r="11" customFormat="false" ht="46.5" hidden="false" customHeight="true" outlineLevel="0" collapsed="false">
      <c r="B11" s="49" t="n">
        <v>5</v>
      </c>
      <c r="C11" s="50" t="s">
        <v>137</v>
      </c>
      <c r="D11" s="51" t="n">
        <v>4</v>
      </c>
      <c r="E11" s="51"/>
      <c r="F11" s="51"/>
      <c r="G11" s="52" t="n">
        <v>20</v>
      </c>
      <c r="H11" s="52" t="n">
        <v>25</v>
      </c>
      <c r="I11" s="52" t="n">
        <v>40</v>
      </c>
      <c r="J11" s="53" t="n">
        <f aca="false">IF(OR($C11="",$G11="",$H11="",$I11=""),"",IF(Setup!$D$17="Triangular",($G11+$H11+$I11)/3,($G11+4*$H11+$I11)/6))</f>
        <v>26.6666666666667</v>
      </c>
      <c r="K11" s="54" t="n">
        <f aca="false">IF($J11="","",IF(Setup!$D$17="Triangular",($G11^2+$H11^2+$I11^2-$G11*$H11-$G11*$I11-$H11*$I11)/18,(($I11-$G11)/6)^2))</f>
        <v>11.1111111111111</v>
      </c>
      <c r="L11" s="55" t="n">
        <f aca="false">IF(OR($C11="",$J11=""),0,MAX(1,IF($D11="",0,IFERROR(INDEX($M$7:$M10,MATCH($D11,$B$7:$B10,0)),0))+1,IF($E11="",0,IFERROR(INDEX($M$7:$M10,MATCH($E11,$B$7:$B10,0)),0))+1,IF($F11="",0,IFERROR(INDEX($M$7:$M10,MATCH($F11,$B$7:$B10,0)),0))+1))</f>
        <v>36.3333333333333</v>
      </c>
      <c r="M11" s="55" t="n">
        <f aca="false">IF($L11=0,0,$L11+$J11-1)</f>
        <v>62</v>
      </c>
      <c r="N11" s="56" t="n">
        <f aca="false">IF($W11=0,"",Setup!$D$30-$W11+1)</f>
        <v>36.3333333333333</v>
      </c>
      <c r="O11" s="56" t="n">
        <f aca="false">IF($N11="","",$N11+$J11-1)</f>
        <v>62</v>
      </c>
      <c r="P11" s="57" t="n">
        <f aca="false">IF(OR($N11="",$L11=0),"",ROUND($N11-$L11,6))</f>
        <v>0</v>
      </c>
      <c r="Q11" s="57" t="n">
        <f aca="false">IF($L11=0,"",ROUND(IF(SUMPRODUCT(((($D12:$D$28=$B11)+($E12:$E$28=$B11)+($F12:$F$28=$B11))&gt;0)*1)=0,Setup!$D$30-$M11,(1000000-SUMPRODUCT(MAX(((($D12:$D$28=$B11)+($E12:$E$28=$B11)+($F12:$F$28=$B11))&gt;0)*(1000000-$L12:$L$28))))-$M11-1),6))</f>
        <v>0</v>
      </c>
      <c r="R11" s="58" t="n">
        <f aca="false">IF($L11=0,"",IF(Setup!$D$12="5-day working week",WORKDAY(Setup!$D$11-1,ROUNDUP($L11,0)),Setup!$D$11+ROUNDUP($L11,0)-1))</f>
        <v>46303</v>
      </c>
      <c r="S11" s="58" t="n">
        <f aca="false">IF($M11=0,"",IF(Setup!$D$12="5-day working week",WORKDAY(Setup!$D$11-1,ROUNDUP($M11,0)),Setup!$D$11+ROUNDUP($M11,0)-1))</f>
        <v>46338</v>
      </c>
      <c r="T11" s="50" t="s">
        <v>138</v>
      </c>
      <c r="U11" s="50" t="s">
        <v>136</v>
      </c>
      <c r="V11" s="59" t="str">
        <f aca="false">IF($C11="","",IF(COUNTIF($B$7:$B$28,$B11)&gt;1,"Duplicate ID",IF($B11="","Give it an ID",IF(IF($D11="",0,IF(COUNTIF($B$7:$B$28,$D11)=0,1,0))+IF($E11="",0,IF(COUNTIF($B$7:$B$28,$E11)=0,1,0))+IF($F11="",0,IF(COUNTIF($B$7:$B$28,$F11)=0,1,0))&gt;0,"Comes after an ID that is not on the list",IF(IF($D11="",0,IF(COUNTIF($B$7:$B10,$D11)=0,1,0))+IF($E11="",0,IF(COUNTIF($B$7:$B10,$E11)=0,1,0))+IF($F11="",0,IF(COUNTIF($B$7:$B10,$F11)=0,1,0))&gt;0,"Comes after a row BELOW this one - reorder",IF(OR($G11="",$H11="",$I11=""),"Estimates missing",IF(OR($G11&gt;$H11,$H11&gt;$I11),"Estimates out of order - best, likely, worst",IF(AND($P11&lt;0,$P11&lt;=Setup!$D$31),"CRITICAL - BEHIND THE DATE",IF($P11&lt;0,"Behind the required date",IF($P11&lt;=Setup!$D$31,"CRITICAL",IF($T11="Complete","Complete",IF($P11&lt;=Setup!$D$31+Setup!$D$20,"Nearly critical","Has float"))))))))))))</f>
        <v>CRITICAL</v>
      </c>
      <c r="W11" s="60" t="n">
        <f aca="false">IF(OR($C11="",$J11=""),0,$J11+SUMPRODUCT(MAX(((($D12:$D$28=$B11)+($E12:$E$28=$B11)+($F12:$F$28=$B11))&gt;0)*$W12:$W$28)))</f>
        <v>107.833333333333</v>
      </c>
      <c r="X11" s="60" t="n">
        <f aca="false">IF($C11="",0,1+MAX(0,IF($D11="",0,IFERROR(INDEX($X$7:$X10,MATCH($D11,$B$7:$B10,0)),0)),IF($E11="",0,IFERROR(INDEX($X$7:$X10,MATCH($E11,$B$7:$B10,0)),0)),IF($F11="",0,IFERROR(INDEX($X$7:$X10,MATCH($F11,$B$7:$B10,0)),0))))</f>
        <v>5</v>
      </c>
      <c r="Y11" s="60" t="n">
        <f aca="false">IF($C11="",0,IF(AND($AK11&gt;0,COUNTIFS($X$7:$X10,$X11,$Y$7:$Y10,$AK11)=0),$AK11,IF(COUNTIFS($X$7:$X10,$X11,$Y$7:$Y10,1)=0,1,IF(COUNTIFS($X$7:$X10,$X11,$Y$7:$Y10,2)=0,2,IF(COUNTIFS($X$7:$X10,$X11,$Y$7:$Y10,3)=0,3,IF(COUNTIFS($X$7:$X10,$X11,$Y$7:$Y10,4)=0,4,IF(COUNTIFS($X$7:$X10,$X11,$Y$7:$Y10,5)=0,5,6)))))))</f>
        <v>1</v>
      </c>
      <c r="Z11" s="0" t="n">
        <v>5</v>
      </c>
      <c r="AA11" s="60" t="n">
        <f aca="false">IF(OR($C11="",$P11=""),"",IF($P11&lt;=Setup!$D$31,COUNTIF($P$7:$P11,"&lt;="&amp;Setup!$D$31),""))</f>
        <v>5</v>
      </c>
      <c r="AB11" s="0" t="str">
        <f aca="false">IF(OR($C11="",$P11=""),"",IF(AND($P11&gt;Setup!$D$31,$P11&lt;=Setup!$D$31+Setup!$D$20),COUNTIFS($P$7:$P11,"&gt;"&amp;Setup!$D$31,$P$7:$P11,"&lt;="&amp;Setup!$D$31+Setup!$D$20),""))</f>
        <v/>
      </c>
      <c r="AC11" s="60" t="n">
        <f aca="false">IF(OR($C11="",$G11="",$I11=""),0,$I11-$G11)</f>
        <v>20</v>
      </c>
      <c r="AD11" s="60" t="n">
        <f aca="false">IF($C11="",0,IF($K11="",0,$K11)+SUMPRODUCT(MAX(((($D12:$D$28=$B11)+($E12:$E$28=$B11)+($F12:$F$28=$B11))&gt;0)*($W12:$W$28=SUMPRODUCT(MAX(((($D12:$D$28=$B11)+($E12:$E$28=$B11)+($F12:$F$28=$B11))&gt;0)*$W12:$W$28)))*$AD12:$AD$28)))</f>
        <v>43.4722222222222</v>
      </c>
      <c r="AE11" s="60" t="n">
        <f aca="false">IF($D11="",0,IFERROR(INDEX($X$7:$X10,MATCH($D11,$B$7:$B10,0)),0))</f>
        <v>4</v>
      </c>
      <c r="AF11" s="60" t="n">
        <f aca="false">IF($E11="",0,IFERROR(INDEX($X$7:$X10,MATCH($E11,$B$7:$B10,0)),0))</f>
        <v>0</v>
      </c>
      <c r="AG11" s="60" t="n">
        <f aca="false">IF($F11="",0,IFERROR(INDEX($X$7:$X10,MATCH($F11,$B$7:$B10,0)),0))</f>
        <v>0</v>
      </c>
      <c r="AH11" s="60" t="n">
        <f aca="false">IF($D11="",0,IFERROR(INDEX($Y$7:$Y10,MATCH($D11,$B$7:$B10,0)),0))</f>
        <v>1</v>
      </c>
      <c r="AI11" s="60" t="n">
        <f aca="false">IF($E11="",0,IFERROR(INDEX($Y$7:$Y10,MATCH($E11,$B$7:$B10,0)),0))</f>
        <v>0</v>
      </c>
      <c r="AJ11" s="60" t="n">
        <f aca="false">IF($F11="",0,IFERROR(INDEX($Y$7:$Y10,MATCH($F11,$B$7:$B10,0)),0))</f>
        <v>0</v>
      </c>
      <c r="AK11" s="60" t="n">
        <f aca="false">IF($C11="",0,IF(IF(AND($AE11&gt;0,$AE11=$X11-1),$AH11,IF(AND($AF11&gt;0,$AF11=$X11-1),$AI11,IF(AND($AG11&gt;0,$AG11=$X11-1),$AJ11,0)))&gt;0,IF(AND($AE11&gt;0,$AE11=$X11-1),$AH11,IF(AND($AF11&gt;0,$AF11=$X11-1),$AI11,IF(AND($AG11&gt;0,$AG11=$X11-1),$AJ11,0))),IF($AE11&gt;0,$AH11,IF($AF11&gt;0,$AI11,IF($AG11&gt;0,$AJ11,0)))))</f>
        <v>1</v>
      </c>
      <c r="AL11" s="60" t="n">
        <f aca="false">IF(OR($C11="",$B11=""),0,IF(COUNTIF($D$7:$D$28,$B11)+COUNTIF($E$7:$E$28,$B11)+COUNTIF($F$7:$F$28,$B11)&gt;0,0,1))</f>
        <v>0</v>
      </c>
    </row>
    <row r="12" customFormat="false" ht="46.5" hidden="false" customHeight="true" outlineLevel="0" collapsed="false">
      <c r="B12" s="61" t="n">
        <v>6</v>
      </c>
      <c r="C12" s="62" t="s">
        <v>139</v>
      </c>
      <c r="D12" s="63" t="n">
        <v>5</v>
      </c>
      <c r="E12" s="63"/>
      <c r="F12" s="63"/>
      <c r="G12" s="64" t="n">
        <v>10</v>
      </c>
      <c r="H12" s="64" t="n">
        <v>14</v>
      </c>
      <c r="I12" s="64" t="n">
        <v>22</v>
      </c>
      <c r="J12" s="53" t="n">
        <f aca="false">IF(OR($C12="",$G12="",$H12="",$I12=""),"",IF(Setup!$D$17="Triangular",($G12+$H12+$I12)/3,($G12+4*$H12+$I12)/6))</f>
        <v>14.6666666666667</v>
      </c>
      <c r="K12" s="54" t="n">
        <f aca="false">IF($J12="","",IF(Setup!$D$17="Triangular",($G12^2+$H12^2+$I12^2-$G12*$H12-$G12*$I12-$H12*$I12)/18,(($I12-$G12)/6)^2))</f>
        <v>4</v>
      </c>
      <c r="L12" s="55" t="n">
        <f aca="false">IF(OR($C12="",$J12=""),0,MAX(1,IF($D12="",0,IFERROR(INDEX($M$7:$M11,MATCH($D12,$B$7:$B11,0)),0))+1,IF($E12="",0,IFERROR(INDEX($M$7:$M11,MATCH($E12,$B$7:$B11,0)),0))+1,IF($F12="",0,IFERROR(INDEX($M$7:$M11,MATCH($F12,$B$7:$B11,0)),0))+1))</f>
        <v>63</v>
      </c>
      <c r="M12" s="55" t="n">
        <f aca="false">IF($L12=0,0,$L12+$J12-1)</f>
        <v>76.6666666666667</v>
      </c>
      <c r="N12" s="56" t="n">
        <f aca="false">IF($W12=0,"",Setup!$D$30-$W12+1)</f>
        <v>63</v>
      </c>
      <c r="O12" s="56" t="n">
        <f aca="false">IF($N12="","",$N12+$J12-1)</f>
        <v>76.6666666666667</v>
      </c>
      <c r="P12" s="57" t="n">
        <f aca="false">IF(OR($N12="",$L12=0),"",ROUND($N12-$L12,6))</f>
        <v>0</v>
      </c>
      <c r="Q12" s="57" t="n">
        <f aca="false">IF($L12=0,"",ROUND(IF(SUMPRODUCT(((($D13:$D$28=$B12)+($E13:$E$28=$B12)+($F13:$F$28=$B12))&gt;0)*1)=0,Setup!$D$30-$M12,(1000000-SUMPRODUCT(MAX(((($D13:$D$28=$B12)+($E13:$E$28=$B12)+($F13:$F$28=$B12))&gt;0)*(1000000-$L13:$L$28))))-$M12-1),6))</f>
        <v>-0</v>
      </c>
      <c r="R12" s="58" t="n">
        <f aca="false">IF($L12=0,"",IF(Setup!$D$12="5-day working week",WORKDAY(Setup!$D$11-1,ROUNDUP($L12,0)),Setup!$D$11+ROUNDUP($L12,0)-1))</f>
        <v>46339</v>
      </c>
      <c r="S12" s="58" t="n">
        <f aca="false">IF($M12=0,"",IF(Setup!$D$12="5-day working week",WORKDAY(Setup!$D$11-1,ROUNDUP($M12,0)),Setup!$D$11+ROUNDUP($M12,0)-1))</f>
        <v>46359</v>
      </c>
      <c r="T12" s="62" t="s">
        <v>138</v>
      </c>
      <c r="U12" s="62" t="s">
        <v>136</v>
      </c>
      <c r="V12" s="59" t="str">
        <f aca="false">IF($C12="","",IF(COUNTIF($B$7:$B$28,$B12)&gt;1,"Duplicate ID",IF($B12="","Give it an ID",IF(IF($D12="",0,IF(COUNTIF($B$7:$B$28,$D12)=0,1,0))+IF($E12="",0,IF(COUNTIF($B$7:$B$28,$E12)=0,1,0))+IF($F12="",0,IF(COUNTIF($B$7:$B$28,$F12)=0,1,0))&gt;0,"Comes after an ID that is not on the list",IF(IF($D12="",0,IF(COUNTIF($B$7:$B11,$D12)=0,1,0))+IF($E12="",0,IF(COUNTIF($B$7:$B11,$E12)=0,1,0))+IF($F12="",0,IF(COUNTIF($B$7:$B11,$F12)=0,1,0))&gt;0,"Comes after a row BELOW this one - reorder",IF(OR($G12="",$H12="",$I12=""),"Estimates missing",IF(OR($G12&gt;$H12,$H12&gt;$I12),"Estimates out of order - best, likely, worst",IF(AND($P12&lt;0,$P12&lt;=Setup!$D$31),"CRITICAL - BEHIND THE DATE",IF($P12&lt;0,"Behind the required date",IF($P12&lt;=Setup!$D$31,"CRITICAL",IF($T12="Complete","Complete",IF($P12&lt;=Setup!$D$31+Setup!$D$20,"Nearly critical","Has float"))))))))))))</f>
        <v>CRITICAL</v>
      </c>
      <c r="W12" s="60" t="n">
        <f aca="false">IF(OR($C12="",$J12=""),0,$J12+SUMPRODUCT(MAX(((($D13:$D$28=$B12)+($E13:$E$28=$B12)+($F13:$F$28=$B12))&gt;0)*$W13:$W$28)))</f>
        <v>81.1666666666667</v>
      </c>
      <c r="X12" s="60" t="n">
        <f aca="false">IF($C12="",0,1+MAX(0,IF($D12="",0,IFERROR(INDEX($X$7:$X11,MATCH($D12,$B$7:$B11,0)),0)),IF($E12="",0,IFERROR(INDEX($X$7:$X11,MATCH($E12,$B$7:$B11,0)),0)),IF($F12="",0,IFERROR(INDEX($X$7:$X11,MATCH($F12,$B$7:$B11,0)),0))))</f>
        <v>6</v>
      </c>
      <c r="Y12" s="60" t="n">
        <f aca="false">IF($C12="",0,IF(AND($AK12&gt;0,COUNTIFS($X$7:$X11,$X12,$Y$7:$Y11,$AK12)=0),$AK12,IF(COUNTIFS($X$7:$X11,$X12,$Y$7:$Y11,1)=0,1,IF(COUNTIFS($X$7:$X11,$X12,$Y$7:$Y11,2)=0,2,IF(COUNTIFS($X$7:$X11,$X12,$Y$7:$Y11,3)=0,3,IF(COUNTIFS($X$7:$X11,$X12,$Y$7:$Y11,4)=0,4,IF(COUNTIFS($X$7:$X11,$X12,$Y$7:$Y11,5)=0,5,6)))))))</f>
        <v>1</v>
      </c>
      <c r="Z12" s="0" t="n">
        <v>6</v>
      </c>
      <c r="AA12" s="60" t="n">
        <f aca="false">IF(OR($C12="",$P12=""),"",IF($P12&lt;=Setup!$D$31,COUNTIF($P$7:$P12,"&lt;="&amp;Setup!$D$31),""))</f>
        <v>6</v>
      </c>
      <c r="AB12" s="0" t="str">
        <f aca="false">IF(OR($C12="",$P12=""),"",IF(AND($P12&gt;Setup!$D$31,$P12&lt;=Setup!$D$31+Setup!$D$20),COUNTIFS($P$7:$P12,"&gt;"&amp;Setup!$D$31,$P$7:$P12,"&lt;="&amp;Setup!$D$31+Setup!$D$20),""))</f>
        <v/>
      </c>
      <c r="AC12" s="60" t="n">
        <f aca="false">IF(OR($C12="",$G12="",$I12=""),0,$I12-$G12)</f>
        <v>12</v>
      </c>
      <c r="AD12" s="60" t="n">
        <f aca="false">IF($C12="",0,IF($K12="",0,$K12)+SUMPRODUCT(MAX(((($D13:$D$28=$B12)+($E13:$E$28=$B12)+($F13:$F$28=$B12))&gt;0)*($W13:$W$28=SUMPRODUCT(MAX(((($D13:$D$28=$B12)+($E13:$E$28=$B12)+($F13:$F$28=$B12))&gt;0)*$W13:$W$28)))*$AD13:$AD$28)))</f>
        <v>32.3611111111111</v>
      </c>
      <c r="AE12" s="60" t="n">
        <f aca="false">IF($D12="",0,IFERROR(INDEX($X$7:$X11,MATCH($D12,$B$7:$B11,0)),0))</f>
        <v>5</v>
      </c>
      <c r="AF12" s="60" t="n">
        <f aca="false">IF($E12="",0,IFERROR(INDEX($X$7:$X11,MATCH($E12,$B$7:$B11,0)),0))</f>
        <v>0</v>
      </c>
      <c r="AG12" s="60" t="n">
        <f aca="false">IF($F12="",0,IFERROR(INDEX($X$7:$X11,MATCH($F12,$B$7:$B11,0)),0))</f>
        <v>0</v>
      </c>
      <c r="AH12" s="60" t="n">
        <f aca="false">IF($D12="",0,IFERROR(INDEX($Y$7:$Y11,MATCH($D12,$B$7:$B11,0)),0))</f>
        <v>1</v>
      </c>
      <c r="AI12" s="60" t="n">
        <f aca="false">IF($E12="",0,IFERROR(INDEX($Y$7:$Y11,MATCH($E12,$B$7:$B11,0)),0))</f>
        <v>0</v>
      </c>
      <c r="AJ12" s="60" t="n">
        <f aca="false">IF($F12="",0,IFERROR(INDEX($Y$7:$Y11,MATCH($F12,$B$7:$B11,0)),0))</f>
        <v>0</v>
      </c>
      <c r="AK12" s="60" t="n">
        <f aca="false">IF($C12="",0,IF(IF(AND($AE12&gt;0,$AE12=$X12-1),$AH12,IF(AND($AF12&gt;0,$AF12=$X12-1),$AI12,IF(AND($AG12&gt;0,$AG12=$X12-1),$AJ12,0)))&gt;0,IF(AND($AE12&gt;0,$AE12=$X12-1),$AH12,IF(AND($AF12&gt;0,$AF12=$X12-1),$AI12,IF(AND($AG12&gt;0,$AG12=$X12-1),$AJ12,0))),IF($AE12&gt;0,$AH12,IF($AF12&gt;0,$AI12,IF($AG12&gt;0,$AJ12,0)))))</f>
        <v>1</v>
      </c>
      <c r="AL12" s="60" t="n">
        <f aca="false">IF(OR($C12="",$B12=""),0,IF(COUNTIF($D$7:$D$28,$B12)+COUNTIF($E$7:$E$28,$B12)+COUNTIF($F$7:$F$28,$B12)&gt;0,0,1))</f>
        <v>0</v>
      </c>
    </row>
    <row r="13" customFormat="false" ht="46.5" hidden="false" customHeight="true" outlineLevel="0" collapsed="false">
      <c r="B13" s="49" t="n">
        <v>7</v>
      </c>
      <c r="C13" s="50" t="s">
        <v>140</v>
      </c>
      <c r="D13" s="51" t="n">
        <v>3</v>
      </c>
      <c r="E13" s="51"/>
      <c r="F13" s="51"/>
      <c r="G13" s="52" t="n">
        <v>15</v>
      </c>
      <c r="H13" s="52" t="n">
        <v>20</v>
      </c>
      <c r="I13" s="52" t="n">
        <v>35</v>
      </c>
      <c r="J13" s="53" t="n">
        <f aca="false">IF(OR($C13="",$G13="",$H13="",$I13=""),"",IF(Setup!$D$17="Triangular",($G13+$H13+$I13)/3,($G13+4*$H13+$I13)/6))</f>
        <v>21.6666666666667</v>
      </c>
      <c r="K13" s="54" t="n">
        <f aca="false">IF($J13="","",IF(Setup!$D$17="Triangular",($G13^2+$H13^2+$I13^2-$G13*$H13-$G13*$I13-$H13*$I13)/18,(($I13-$G13)/6)^2))</f>
        <v>11.1111111111111</v>
      </c>
      <c r="L13" s="55" t="n">
        <f aca="false">IF(OR($C13="",$J13=""),0,MAX(1,IF($D13="",0,IFERROR(INDEX($M$7:$M12,MATCH($D13,$B$7:$B12,0)),0))+1,IF($E13="",0,IFERROR(INDEX($M$7:$M12,MATCH($E13,$B$7:$B12,0)),0))+1,IF($F13="",0,IFERROR(INDEX($M$7:$M12,MATCH($F13,$B$7:$B12,0)),0))+1))</f>
        <v>23.6666666666667</v>
      </c>
      <c r="M13" s="55" t="n">
        <f aca="false">IF($L13=0,0,$L13+$J13-1)</f>
        <v>44.3333333333333</v>
      </c>
      <c r="N13" s="56" t="n">
        <f aca="false">IF($W13=0,"",Setup!$D$30-$W13+1)</f>
        <v>60.3333333333333</v>
      </c>
      <c r="O13" s="56" t="n">
        <f aca="false">IF($N13="","",$N13+$J13-1)</f>
        <v>81</v>
      </c>
      <c r="P13" s="57" t="n">
        <f aca="false">IF(OR($N13="",$L13=0),"",ROUND($N13-$L13,6))</f>
        <v>36.666667</v>
      </c>
      <c r="Q13" s="57" t="n">
        <f aca="false">IF($L13=0,"",ROUND(IF(SUMPRODUCT(((($D14:$D$28=$B13)+($E14:$E$28=$B13)+($F14:$F$28=$B13))&gt;0)*1)=0,Setup!$D$30-$M13,(1000000-SUMPRODUCT(MAX(((($D14:$D$28=$B13)+($E14:$E$28=$B13)+($F14:$F$28=$B13))&gt;0)*(1000000-$L14:$L$28))))-$M13-1),6))</f>
        <v>32.333333</v>
      </c>
      <c r="R13" s="58" t="n">
        <f aca="false">IF($L13=0,"",IF(Setup!$D$12="5-day working week",WORKDAY(Setup!$D$11-1,ROUNDUP($L13,0)),Setup!$D$11+ROUNDUP($L13,0)-1))</f>
        <v>46286</v>
      </c>
      <c r="S13" s="58" t="n">
        <f aca="false">IF($M13=0,"",IF(Setup!$D$12="5-day working week",WORKDAY(Setup!$D$11-1,ROUNDUP($M13,0)),Setup!$D$11+ROUNDUP($M13,0)-1))</f>
        <v>46315</v>
      </c>
      <c r="T13" s="50" t="s">
        <v>138</v>
      </c>
      <c r="U13" s="50" t="s">
        <v>141</v>
      </c>
      <c r="V13" s="59" t="str">
        <f aca="false">IF($C13="","",IF(COUNTIF($B$7:$B$28,$B13)&gt;1,"Duplicate ID",IF($B13="","Give it an ID",IF(IF($D13="",0,IF(COUNTIF($B$7:$B$28,$D13)=0,1,0))+IF($E13="",0,IF(COUNTIF($B$7:$B$28,$E13)=0,1,0))+IF($F13="",0,IF(COUNTIF($B$7:$B$28,$F13)=0,1,0))&gt;0,"Comes after an ID that is not on the list",IF(IF($D13="",0,IF(COUNTIF($B$7:$B12,$D13)=0,1,0))+IF($E13="",0,IF(COUNTIF($B$7:$B12,$E13)=0,1,0))+IF($F13="",0,IF(COUNTIF($B$7:$B12,$F13)=0,1,0))&gt;0,"Comes after a row BELOW this one - reorder",IF(OR($G13="",$H13="",$I13=""),"Estimates missing",IF(OR($G13&gt;$H13,$H13&gt;$I13),"Estimates out of order - best, likely, worst",IF(AND($P13&lt;0,$P13&lt;=Setup!$D$31),"CRITICAL - BEHIND THE DATE",IF($P13&lt;0,"Behind the required date",IF($P13&lt;=Setup!$D$31,"CRITICAL",IF($T13="Complete","Complete",IF($P13&lt;=Setup!$D$31+Setup!$D$20,"Nearly critical","Has float"))))))))))))</f>
        <v>Has float</v>
      </c>
      <c r="W13" s="60" t="n">
        <f aca="false">IF(OR($C13="",$J13=""),0,$J13+SUMPRODUCT(MAX(((($D14:$D$28=$B13)+($E14:$E$28=$B13)+($F14:$F$28=$B13))&gt;0)*$W14:$W$28)))</f>
        <v>83.8333333333333</v>
      </c>
      <c r="X13" s="60" t="n">
        <f aca="false">IF($C13="",0,1+MAX(0,IF($D13="",0,IFERROR(INDEX($X$7:$X12,MATCH($D13,$B$7:$B12,0)),0)),IF($E13="",0,IFERROR(INDEX($X$7:$X12,MATCH($E13,$B$7:$B12,0)),0)),IF($F13="",0,IFERROR(INDEX($X$7:$X12,MATCH($F13,$B$7:$B12,0)),0))))</f>
        <v>4</v>
      </c>
      <c r="Y13" s="60" t="n">
        <f aca="false">IF($C13="",0,IF(AND($AK13&gt;0,COUNTIFS($X$7:$X12,$X13,$Y$7:$Y12,$AK13)=0),$AK13,IF(COUNTIFS($X$7:$X12,$X13,$Y$7:$Y12,1)=0,1,IF(COUNTIFS($X$7:$X12,$X13,$Y$7:$Y12,2)=0,2,IF(COUNTIFS($X$7:$X12,$X13,$Y$7:$Y12,3)=0,3,IF(COUNTIFS($X$7:$X12,$X13,$Y$7:$Y12,4)=0,4,IF(COUNTIFS($X$7:$X12,$X13,$Y$7:$Y12,5)=0,5,6)))))))</f>
        <v>2</v>
      </c>
      <c r="Z13" s="0" t="n">
        <v>7</v>
      </c>
      <c r="AA13" s="0" t="str">
        <f aca="false">IF(OR($C13="",$P13=""),"",IF($P13&lt;=Setup!$D$31,COUNTIF($P$7:$P13,"&lt;="&amp;Setup!$D$31),""))</f>
        <v/>
      </c>
      <c r="AB13" s="0" t="str">
        <f aca="false">IF(OR($C13="",$P13=""),"",IF(AND($P13&gt;Setup!$D$31,$P13&lt;=Setup!$D$31+Setup!$D$20),COUNTIFS($P$7:$P13,"&gt;"&amp;Setup!$D$31,$P$7:$P13,"&lt;="&amp;Setup!$D$31+Setup!$D$20),""))</f>
        <v/>
      </c>
      <c r="AC13" s="60" t="n">
        <f aca="false">IF(OR($C13="",$G13="",$I13=""),0,$I13-$G13)</f>
        <v>20</v>
      </c>
      <c r="AD13" s="60" t="n">
        <f aca="false">IF($C13="",0,IF($K13="",0,$K13)+SUMPRODUCT(MAX(((($D14:$D$28=$B13)+($E14:$E$28=$B13)+($F14:$F$28=$B13))&gt;0)*($W14:$W$28=SUMPRODUCT(MAX(((($D14:$D$28=$B13)+($E14:$E$28=$B13)+($F14:$F$28=$B13))&gt;0)*$W14:$W$28)))*$AD14:$AD$28)))</f>
        <v>34.0277777777778</v>
      </c>
      <c r="AE13" s="60" t="n">
        <f aca="false">IF($D13="",0,IFERROR(INDEX($X$7:$X12,MATCH($D13,$B$7:$B12,0)),0))</f>
        <v>3</v>
      </c>
      <c r="AF13" s="60" t="n">
        <f aca="false">IF($E13="",0,IFERROR(INDEX($X$7:$X12,MATCH($E13,$B$7:$B12,0)),0))</f>
        <v>0</v>
      </c>
      <c r="AG13" s="60" t="n">
        <f aca="false">IF($F13="",0,IFERROR(INDEX($X$7:$X12,MATCH($F13,$B$7:$B12,0)),0))</f>
        <v>0</v>
      </c>
      <c r="AH13" s="60" t="n">
        <f aca="false">IF($D13="",0,IFERROR(INDEX($Y$7:$Y12,MATCH($D13,$B$7:$B12,0)),0))</f>
        <v>1</v>
      </c>
      <c r="AI13" s="60" t="n">
        <f aca="false">IF($E13="",0,IFERROR(INDEX($Y$7:$Y12,MATCH($E13,$B$7:$B12,0)),0))</f>
        <v>0</v>
      </c>
      <c r="AJ13" s="60" t="n">
        <f aca="false">IF($F13="",0,IFERROR(INDEX($Y$7:$Y12,MATCH($F13,$B$7:$B12,0)),0))</f>
        <v>0</v>
      </c>
      <c r="AK13" s="60" t="n">
        <f aca="false">IF($C13="",0,IF(IF(AND($AE13&gt;0,$AE13=$X13-1),$AH13,IF(AND($AF13&gt;0,$AF13=$X13-1),$AI13,IF(AND($AG13&gt;0,$AG13=$X13-1),$AJ13,0)))&gt;0,IF(AND($AE13&gt;0,$AE13=$X13-1),$AH13,IF(AND($AF13&gt;0,$AF13=$X13-1),$AI13,IF(AND($AG13&gt;0,$AG13=$X13-1),$AJ13,0))),IF($AE13&gt;0,$AH13,IF($AF13&gt;0,$AI13,IF($AG13&gt;0,$AJ13,0)))))</f>
        <v>1</v>
      </c>
      <c r="AL13" s="60" t="n">
        <f aca="false">IF(OR($C13="",$B13=""),0,IF(COUNTIF($D$7:$D$28,$B13)+COUNTIF($E$7:$E$28,$B13)+COUNTIF($F$7:$F$28,$B13)&gt;0,0,1))</f>
        <v>0</v>
      </c>
    </row>
    <row r="14" customFormat="false" ht="46.5" hidden="false" customHeight="true" outlineLevel="0" collapsed="false">
      <c r="B14" s="61" t="n">
        <v>8</v>
      </c>
      <c r="C14" s="62" t="s">
        <v>142</v>
      </c>
      <c r="D14" s="63" t="n">
        <v>6</v>
      </c>
      <c r="E14" s="63" t="n">
        <v>7</v>
      </c>
      <c r="F14" s="63"/>
      <c r="G14" s="64" t="n">
        <v>18</v>
      </c>
      <c r="H14" s="64" t="n">
        <v>24</v>
      </c>
      <c r="I14" s="64" t="n">
        <v>40</v>
      </c>
      <c r="J14" s="53" t="n">
        <f aca="false">IF(OR($C14="",$G14="",$H14="",$I14=""),"",IF(Setup!$D$17="Triangular",($G14+$H14+$I14)/3,($G14+4*$H14+$I14)/6))</f>
        <v>25.6666666666667</v>
      </c>
      <c r="K14" s="54" t="n">
        <f aca="false">IF($J14="","",IF(Setup!$D$17="Triangular",($G14^2+$H14^2+$I14^2-$G14*$H14-$G14*$I14-$H14*$I14)/18,(($I14-$G14)/6)^2))</f>
        <v>13.4444444444444</v>
      </c>
      <c r="L14" s="55" t="n">
        <f aca="false">IF(OR($C14="",$J14=""),0,MAX(1,IF($D14="",0,IFERROR(INDEX($M$7:$M13,MATCH($D14,$B$7:$B13,0)),0))+1,IF($E14="",0,IFERROR(INDEX($M$7:$M13,MATCH($E14,$B$7:$B13,0)),0))+1,IF($F14="",0,IFERROR(INDEX($M$7:$M13,MATCH($F14,$B$7:$B13,0)),0))+1))</f>
        <v>77.6666666666667</v>
      </c>
      <c r="M14" s="55" t="n">
        <f aca="false">IF($L14=0,0,$L14+$J14-1)</f>
        <v>102.333333333333</v>
      </c>
      <c r="N14" s="56" t="n">
        <f aca="false">IF($W14=0,"",Setup!$D$30-$W14+1)</f>
        <v>82</v>
      </c>
      <c r="O14" s="56" t="n">
        <f aca="false">IF($N14="","",$N14+$J14-1)</f>
        <v>106.666666666667</v>
      </c>
      <c r="P14" s="57" t="n">
        <f aca="false">IF(OR($N14="",$L14=0),"",ROUND($N14-$L14,6))</f>
        <v>4.333333</v>
      </c>
      <c r="Q14" s="57" t="n">
        <f aca="false">IF($L14=0,"",ROUND(IF(SUMPRODUCT(((($D15:$D$28=$B14)+($E15:$E$28=$B14)+($F15:$F$28=$B14))&gt;0)*1)=0,Setup!$D$30-$M14,(1000000-SUMPRODUCT(MAX(((($D15:$D$28=$B14)+($E15:$E$28=$B14)+($F15:$F$28=$B14))&gt;0)*(1000000-$L15:$L$28))))-$M14-1),6))</f>
        <v>4.333333</v>
      </c>
      <c r="R14" s="58" t="n">
        <f aca="false">IF($L14=0,"",IF(Setup!$D$12="5-day working week",WORKDAY(Setup!$D$11-1,ROUNDUP($L14,0)),Setup!$D$11+ROUNDUP($L14,0)-1))</f>
        <v>46360</v>
      </c>
      <c r="S14" s="58" t="n">
        <f aca="false">IF($M14=0,"",IF(Setup!$D$12="5-day working week",WORKDAY(Setup!$D$11-1,ROUNDUP($M14,0)),Setup!$D$11+ROUNDUP($M14,0)-1))</f>
        <v>46395</v>
      </c>
      <c r="T14" s="62" t="s">
        <v>138</v>
      </c>
      <c r="U14" s="62" t="s">
        <v>141</v>
      </c>
      <c r="V14" s="59" t="str">
        <f aca="false">IF($C14="","",IF(COUNTIF($B$7:$B$28,$B14)&gt;1,"Duplicate ID",IF($B14="","Give it an ID",IF(IF($D14="",0,IF(COUNTIF($B$7:$B$28,$D14)=0,1,0))+IF($E14="",0,IF(COUNTIF($B$7:$B$28,$E14)=0,1,0))+IF($F14="",0,IF(COUNTIF($B$7:$B$28,$F14)=0,1,0))&gt;0,"Comes after an ID that is not on the list",IF(IF($D14="",0,IF(COUNTIF($B$7:$B13,$D14)=0,1,0))+IF($E14="",0,IF(COUNTIF($B$7:$B13,$E14)=0,1,0))+IF($F14="",0,IF(COUNTIF($B$7:$B13,$F14)=0,1,0))&gt;0,"Comes after a row BELOW this one - reorder",IF(OR($G14="",$H14="",$I14=""),"Estimates missing",IF(OR($G14&gt;$H14,$H14&gt;$I14),"Estimates out of order - best, likely, worst",IF(AND($P14&lt;0,$P14&lt;=Setup!$D$31),"CRITICAL - BEHIND THE DATE",IF($P14&lt;0,"Behind the required date",IF($P14&lt;=Setup!$D$31,"CRITICAL",IF($T14="Complete","Complete",IF($P14&lt;=Setup!$D$31+Setup!$D$20,"Nearly critical","Has float"))))))))))))</f>
        <v>Nearly critical</v>
      </c>
      <c r="W14" s="60" t="n">
        <f aca="false">IF(OR($C14="",$J14=""),0,$J14+SUMPRODUCT(MAX(((($D15:$D$28=$B14)+($E15:$E$28=$B14)+($F15:$F$28=$B14))&gt;0)*$W15:$W$28)))</f>
        <v>62.1666666666667</v>
      </c>
      <c r="X14" s="60" t="n">
        <f aca="false">IF($C14="",0,1+MAX(0,IF($D14="",0,IFERROR(INDEX($X$7:$X13,MATCH($D14,$B$7:$B13,0)),0)),IF($E14="",0,IFERROR(INDEX($X$7:$X13,MATCH($E14,$B$7:$B13,0)),0)),IF($F14="",0,IFERROR(INDEX($X$7:$X13,MATCH($F14,$B$7:$B13,0)),0))))</f>
        <v>7</v>
      </c>
      <c r="Y14" s="60" t="n">
        <f aca="false">IF($C14="",0,IF(AND($AK14&gt;0,COUNTIFS($X$7:$X13,$X14,$Y$7:$Y13,$AK14)=0),$AK14,IF(COUNTIFS($X$7:$X13,$X14,$Y$7:$Y13,1)=0,1,IF(COUNTIFS($X$7:$X13,$X14,$Y$7:$Y13,2)=0,2,IF(COUNTIFS($X$7:$X13,$X14,$Y$7:$Y13,3)=0,3,IF(COUNTIFS($X$7:$X13,$X14,$Y$7:$Y13,4)=0,4,IF(COUNTIFS($X$7:$X13,$X14,$Y$7:$Y13,5)=0,5,6)))))))</f>
        <v>1</v>
      </c>
      <c r="Z14" s="0" t="n">
        <v>8</v>
      </c>
      <c r="AA14" s="0" t="str">
        <f aca="false">IF(OR($C14="",$P14=""),"",IF($P14&lt;=Setup!$D$31,COUNTIF($P$7:$P14,"&lt;="&amp;Setup!$D$31),""))</f>
        <v/>
      </c>
      <c r="AB14" s="60" t="n">
        <f aca="false">IF(OR($C14="",$P14=""),"",IF(AND($P14&gt;Setup!$D$31,$P14&lt;=Setup!$D$31+Setup!$D$20),COUNTIFS($P$7:$P14,"&gt;"&amp;Setup!$D$31,$P$7:$P14,"&lt;="&amp;Setup!$D$31+Setup!$D$20),""))</f>
        <v>1</v>
      </c>
      <c r="AC14" s="60" t="n">
        <f aca="false">IF(OR($C14="",$G14="",$I14=""),0,$I14-$G14)</f>
        <v>22</v>
      </c>
      <c r="AD14" s="60" t="n">
        <f aca="false">IF($C14="",0,IF($K14="",0,$K14)+SUMPRODUCT(MAX(((($D15:$D$28=$B14)+($E15:$E$28=$B14)+($F15:$F$28=$B14))&gt;0)*($W15:$W$28=SUMPRODUCT(MAX(((($D15:$D$28=$B14)+($E15:$E$28=$B14)+($F15:$F$28=$B14))&gt;0)*$W15:$W$28)))*$AD15:$AD$28)))</f>
        <v>22.9166666666667</v>
      </c>
      <c r="AE14" s="60" t="n">
        <f aca="false">IF($D14="",0,IFERROR(INDEX($X$7:$X13,MATCH($D14,$B$7:$B13,0)),0))</f>
        <v>6</v>
      </c>
      <c r="AF14" s="60" t="n">
        <f aca="false">IF($E14="",0,IFERROR(INDEX($X$7:$X13,MATCH($E14,$B$7:$B13,0)),0))</f>
        <v>4</v>
      </c>
      <c r="AG14" s="60" t="n">
        <f aca="false">IF($F14="",0,IFERROR(INDEX($X$7:$X13,MATCH($F14,$B$7:$B13,0)),0))</f>
        <v>0</v>
      </c>
      <c r="AH14" s="60" t="n">
        <f aca="false">IF($D14="",0,IFERROR(INDEX($Y$7:$Y13,MATCH($D14,$B$7:$B13,0)),0))</f>
        <v>1</v>
      </c>
      <c r="AI14" s="60" t="n">
        <f aca="false">IF($E14="",0,IFERROR(INDEX($Y$7:$Y13,MATCH($E14,$B$7:$B13,0)),0))</f>
        <v>2</v>
      </c>
      <c r="AJ14" s="60" t="n">
        <f aca="false">IF($F14="",0,IFERROR(INDEX($Y$7:$Y13,MATCH($F14,$B$7:$B13,0)),0))</f>
        <v>0</v>
      </c>
      <c r="AK14" s="60" t="n">
        <f aca="false">IF($C14="",0,IF(IF(AND($AE14&gt;0,$AE14=$X14-1),$AH14,IF(AND($AF14&gt;0,$AF14=$X14-1),$AI14,IF(AND($AG14&gt;0,$AG14=$X14-1),$AJ14,0)))&gt;0,IF(AND($AE14&gt;0,$AE14=$X14-1),$AH14,IF(AND($AF14&gt;0,$AF14=$X14-1),$AI14,IF(AND($AG14&gt;0,$AG14=$X14-1),$AJ14,0))),IF($AE14&gt;0,$AH14,IF($AF14&gt;0,$AI14,IF($AG14&gt;0,$AJ14,0)))))</f>
        <v>1</v>
      </c>
      <c r="AL14" s="60" t="n">
        <f aca="false">IF(OR($C14="",$B14=""),0,IF(COUNTIF($D$7:$D$28,$B14)+COUNTIF($E$7:$E$28,$B14)+COUNTIF($F$7:$F$28,$B14)&gt;0,0,1))</f>
        <v>0</v>
      </c>
    </row>
    <row r="15" customFormat="false" ht="46.5" hidden="false" customHeight="true" outlineLevel="0" collapsed="false">
      <c r="B15" s="49" t="n">
        <v>9</v>
      </c>
      <c r="C15" s="50" t="s">
        <v>143</v>
      </c>
      <c r="D15" s="51" t="n">
        <v>6</v>
      </c>
      <c r="E15" s="51"/>
      <c r="F15" s="51"/>
      <c r="G15" s="52" t="n">
        <v>12</v>
      </c>
      <c r="H15" s="52" t="n">
        <v>18</v>
      </c>
      <c r="I15" s="52" t="n">
        <v>34</v>
      </c>
      <c r="J15" s="53" t="n">
        <f aca="false">IF(OR($C15="",$G15="",$H15="",$I15=""),"",IF(Setup!$D$17="Triangular",($G15+$H15+$I15)/3,($G15+4*$H15+$I15)/6))</f>
        <v>19.6666666666667</v>
      </c>
      <c r="K15" s="54" t="n">
        <f aca="false">IF($J15="","",IF(Setup!$D$17="Triangular",($G15^2+$H15^2+$I15^2-$G15*$H15-$G15*$I15-$H15*$I15)/18,(($I15-$G15)/6)^2))</f>
        <v>13.4444444444444</v>
      </c>
      <c r="L15" s="55" t="n">
        <f aca="false">IF(OR($C15="",$J15=""),0,MAX(1,IF($D15="",0,IFERROR(INDEX($M$7:$M14,MATCH($D15,$B$7:$B14,0)),0))+1,IF($E15="",0,IFERROR(INDEX($M$7:$M14,MATCH($E15,$B$7:$B14,0)),0))+1,IF($F15="",0,IFERROR(INDEX($M$7:$M14,MATCH($F15,$B$7:$B14,0)),0))+1))</f>
        <v>77.6666666666667</v>
      </c>
      <c r="M15" s="55" t="n">
        <f aca="false">IF($L15=0,0,$L15+$J15-1)</f>
        <v>96.3333333333333</v>
      </c>
      <c r="N15" s="56" t="n">
        <f aca="false">IF($W15=0,"",Setup!$D$30-$W15+1)</f>
        <v>77.6666666666667</v>
      </c>
      <c r="O15" s="56" t="n">
        <f aca="false">IF($N15="","",$N15+$J15-1)</f>
        <v>96.3333333333334</v>
      </c>
      <c r="P15" s="57" t="n">
        <f aca="false">IF(OR($N15="",$L15=0),"",ROUND($N15-$L15,6))</f>
        <v>0</v>
      </c>
      <c r="Q15" s="57" t="n">
        <f aca="false">IF($L15=0,"",ROUND(IF(SUMPRODUCT(((($D16:$D$28=$B15)+($E16:$E$28=$B15)+($F16:$F$28=$B15))&gt;0)*1)=0,Setup!$D$30-$M15,(1000000-SUMPRODUCT(MAX(((($D16:$D$28=$B15)+($E16:$E$28=$B15)+($F16:$F$28=$B15))&gt;0)*(1000000-$L16:$L$28))))-$M15-1),6))</f>
        <v>0</v>
      </c>
      <c r="R15" s="58" t="n">
        <f aca="false">IF($L15=0,"",IF(Setup!$D$12="5-day working week",WORKDAY(Setup!$D$11-1,ROUNDUP($L15,0)),Setup!$D$11+ROUNDUP($L15,0)-1))</f>
        <v>46360</v>
      </c>
      <c r="S15" s="58" t="n">
        <f aca="false">IF($M15=0,"",IF(Setup!$D$12="5-day working week",WORKDAY(Setup!$D$11-1,ROUNDUP($M15,0)),Setup!$D$11+ROUNDUP($M15,0)-1))</f>
        <v>46387</v>
      </c>
      <c r="T15" s="50" t="s">
        <v>138</v>
      </c>
      <c r="U15" s="50" t="s">
        <v>144</v>
      </c>
      <c r="V15" s="59" t="str">
        <f aca="false">IF($C15="","",IF(COUNTIF($B$7:$B$28,$B15)&gt;1,"Duplicate ID",IF($B15="","Give it an ID",IF(IF($D15="",0,IF(COUNTIF($B$7:$B$28,$D15)=0,1,0))+IF($E15="",0,IF(COUNTIF($B$7:$B$28,$E15)=0,1,0))+IF($F15="",0,IF(COUNTIF($B$7:$B$28,$F15)=0,1,0))&gt;0,"Comes after an ID that is not on the list",IF(IF($D15="",0,IF(COUNTIF($B$7:$B14,$D15)=0,1,0))+IF($E15="",0,IF(COUNTIF($B$7:$B14,$E15)=0,1,0))+IF($F15="",0,IF(COUNTIF($B$7:$B14,$F15)=0,1,0))&gt;0,"Comes after a row BELOW this one - reorder",IF(OR($G15="",$H15="",$I15=""),"Estimates missing",IF(OR($G15&gt;$H15,$H15&gt;$I15),"Estimates out of order - best, likely, worst",IF(AND($P15&lt;0,$P15&lt;=Setup!$D$31),"CRITICAL - BEHIND THE DATE",IF($P15&lt;0,"Behind the required date",IF($P15&lt;=Setup!$D$31,"CRITICAL",IF($T15="Complete","Complete",IF($P15&lt;=Setup!$D$31+Setup!$D$20,"Nearly critical","Has float"))))))))))))</f>
        <v>CRITICAL</v>
      </c>
      <c r="W15" s="60" t="n">
        <f aca="false">IF(OR($C15="",$J15=""),0,$J15+SUMPRODUCT(MAX(((($D16:$D$28=$B15)+($E16:$E$28=$B15)+($F16:$F$28=$B15))&gt;0)*$W16:$W$28)))</f>
        <v>66.5</v>
      </c>
      <c r="X15" s="60" t="n">
        <f aca="false">IF($C15="",0,1+MAX(0,IF($D15="",0,IFERROR(INDEX($X$7:$X14,MATCH($D15,$B$7:$B14,0)),0)),IF($E15="",0,IFERROR(INDEX($X$7:$X14,MATCH($E15,$B$7:$B14,0)),0)),IF($F15="",0,IFERROR(INDEX($X$7:$X14,MATCH($F15,$B$7:$B14,0)),0))))</f>
        <v>7</v>
      </c>
      <c r="Y15" s="60" t="n">
        <f aca="false">IF($C15="",0,IF(AND($AK15&gt;0,COUNTIFS($X$7:$X14,$X15,$Y$7:$Y14,$AK15)=0),$AK15,IF(COUNTIFS($X$7:$X14,$X15,$Y$7:$Y14,1)=0,1,IF(COUNTIFS($X$7:$X14,$X15,$Y$7:$Y14,2)=0,2,IF(COUNTIFS($X$7:$X14,$X15,$Y$7:$Y14,3)=0,3,IF(COUNTIFS($X$7:$X14,$X15,$Y$7:$Y14,4)=0,4,IF(COUNTIFS($X$7:$X14,$X15,$Y$7:$Y14,5)=0,5,6)))))))</f>
        <v>2</v>
      </c>
      <c r="Z15" s="0" t="n">
        <v>9</v>
      </c>
      <c r="AA15" s="60" t="n">
        <f aca="false">IF(OR($C15="",$P15=""),"",IF($P15&lt;=Setup!$D$31,COUNTIF($P$7:$P15,"&lt;="&amp;Setup!$D$31),""))</f>
        <v>7</v>
      </c>
      <c r="AB15" s="0" t="str">
        <f aca="false">IF(OR($C15="",$P15=""),"",IF(AND($P15&gt;Setup!$D$31,$P15&lt;=Setup!$D$31+Setup!$D$20),COUNTIFS($P$7:$P15,"&gt;"&amp;Setup!$D$31,$P$7:$P15,"&lt;="&amp;Setup!$D$31+Setup!$D$20),""))</f>
        <v/>
      </c>
      <c r="AC15" s="60" t="n">
        <f aca="false">IF(OR($C15="",$G15="",$I15=""),0,$I15-$G15)</f>
        <v>22</v>
      </c>
      <c r="AD15" s="60" t="n">
        <f aca="false">IF($C15="",0,IF($K15="",0,$K15)+SUMPRODUCT(MAX(((($D16:$D$28=$B15)+($E16:$E$28=$B15)+($F16:$F$28=$B15))&gt;0)*($W16:$W$28=SUMPRODUCT(MAX(((($D16:$D$28=$B15)+($E16:$E$28=$B15)+($F16:$F$28=$B15))&gt;0)*$W16:$W$28)))*$AD16:$AD$28)))</f>
        <v>28.3611111111111</v>
      </c>
      <c r="AE15" s="60" t="n">
        <f aca="false">IF($D15="",0,IFERROR(INDEX($X$7:$X14,MATCH($D15,$B$7:$B14,0)),0))</f>
        <v>6</v>
      </c>
      <c r="AF15" s="60" t="n">
        <f aca="false">IF($E15="",0,IFERROR(INDEX($X$7:$X14,MATCH($E15,$B$7:$B14,0)),0))</f>
        <v>0</v>
      </c>
      <c r="AG15" s="60" t="n">
        <f aca="false">IF($F15="",0,IFERROR(INDEX($X$7:$X14,MATCH($F15,$B$7:$B14,0)),0))</f>
        <v>0</v>
      </c>
      <c r="AH15" s="60" t="n">
        <f aca="false">IF($D15="",0,IFERROR(INDEX($Y$7:$Y14,MATCH($D15,$B$7:$B14,0)),0))</f>
        <v>1</v>
      </c>
      <c r="AI15" s="60" t="n">
        <f aca="false">IF($E15="",0,IFERROR(INDEX($Y$7:$Y14,MATCH($E15,$B$7:$B14,0)),0))</f>
        <v>0</v>
      </c>
      <c r="AJ15" s="60" t="n">
        <f aca="false">IF($F15="",0,IFERROR(INDEX($Y$7:$Y14,MATCH($F15,$B$7:$B14,0)),0))</f>
        <v>0</v>
      </c>
      <c r="AK15" s="60" t="n">
        <f aca="false">IF($C15="",0,IF(IF(AND($AE15&gt;0,$AE15=$X15-1),$AH15,IF(AND($AF15&gt;0,$AF15=$X15-1),$AI15,IF(AND($AG15&gt;0,$AG15=$X15-1),$AJ15,0)))&gt;0,IF(AND($AE15&gt;0,$AE15=$X15-1),$AH15,IF(AND($AF15&gt;0,$AF15=$X15-1),$AI15,IF(AND($AG15&gt;0,$AG15=$X15-1),$AJ15,0))),IF($AE15&gt;0,$AH15,IF($AF15&gt;0,$AI15,IF($AG15&gt;0,$AJ15,0)))))</f>
        <v>1</v>
      </c>
      <c r="AL15" s="60" t="n">
        <f aca="false">IF(OR($C15="",$B15=""),0,IF(COUNTIF($D$7:$D$28,$B15)+COUNTIF($E$7:$E$28,$B15)+COUNTIF($F$7:$F$28,$B15)&gt;0,0,1))</f>
        <v>0</v>
      </c>
    </row>
    <row r="16" customFormat="false" ht="46.5" hidden="false" customHeight="true" outlineLevel="0" collapsed="false">
      <c r="B16" s="61" t="n">
        <v>10</v>
      </c>
      <c r="C16" s="62" t="s">
        <v>145</v>
      </c>
      <c r="D16" s="63" t="n">
        <v>6</v>
      </c>
      <c r="E16" s="63"/>
      <c r="F16" s="63"/>
      <c r="G16" s="64" t="n">
        <v>10</v>
      </c>
      <c r="H16" s="64" t="n">
        <v>15</v>
      </c>
      <c r="I16" s="64" t="n">
        <v>30</v>
      </c>
      <c r="J16" s="53" t="n">
        <f aca="false">IF(OR($C16="",$G16="",$H16="",$I16=""),"",IF(Setup!$D$17="Triangular",($G16+$H16+$I16)/3,($G16+4*$H16+$I16)/6))</f>
        <v>16.6666666666667</v>
      </c>
      <c r="K16" s="54" t="n">
        <f aca="false">IF($J16="","",IF(Setup!$D$17="Triangular",($G16^2+$H16^2+$I16^2-$G16*$H16-$G16*$I16-$H16*$I16)/18,(($I16-$G16)/6)^2))</f>
        <v>11.1111111111111</v>
      </c>
      <c r="L16" s="55" t="n">
        <f aca="false">IF(OR($C16="",$J16=""),0,MAX(1,IF($D16="",0,IFERROR(INDEX($M$7:$M15,MATCH($D16,$B$7:$B15,0)),0))+1,IF($E16="",0,IFERROR(INDEX($M$7:$M15,MATCH($E16,$B$7:$B15,0)),0))+1,IF($F16="",0,IFERROR(INDEX($M$7:$M15,MATCH($F16,$B$7:$B15,0)),0))+1))</f>
        <v>77.6666666666667</v>
      </c>
      <c r="M16" s="55" t="n">
        <f aca="false">IF($L16=0,0,$L16+$J16-1)</f>
        <v>93.3333333333333</v>
      </c>
      <c r="N16" s="56" t="n">
        <f aca="false">IF($W16=0,"",Setup!$D$30-$W16+1)</f>
        <v>80.6666666666667</v>
      </c>
      <c r="O16" s="56" t="n">
        <f aca="false">IF($N16="","",$N16+$J16-1)</f>
        <v>96.3333333333334</v>
      </c>
      <c r="P16" s="57" t="n">
        <f aca="false">IF(OR($N16="",$L16=0),"",ROUND($N16-$L16,6))</f>
        <v>3</v>
      </c>
      <c r="Q16" s="57" t="n">
        <f aca="false">IF($L16=0,"",ROUND(IF(SUMPRODUCT(((($D17:$D$28=$B16)+($E17:$E$28=$B16)+($F17:$F$28=$B16))&gt;0)*1)=0,Setup!$D$30-$M16,(1000000-SUMPRODUCT(MAX(((($D17:$D$28=$B16)+($E17:$E$28=$B16)+($F17:$F$28=$B16))&gt;0)*(1000000-$L17:$L$28))))-$M16-1),6))</f>
        <v>3</v>
      </c>
      <c r="R16" s="58" t="n">
        <f aca="false">IF($L16=0,"",IF(Setup!$D$12="5-day working week",WORKDAY(Setup!$D$11-1,ROUNDUP($L16,0)),Setup!$D$11+ROUNDUP($L16,0)-1))</f>
        <v>46360</v>
      </c>
      <c r="S16" s="58" t="n">
        <f aca="false">IF($M16=0,"",IF(Setup!$D$12="5-day working week",WORKDAY(Setup!$D$11-1,ROUNDUP($M16,0)),Setup!$D$11+ROUNDUP($M16,0)-1))</f>
        <v>46384</v>
      </c>
      <c r="T16" s="62" t="s">
        <v>138</v>
      </c>
      <c r="U16" s="62" t="s">
        <v>144</v>
      </c>
      <c r="V16" s="59" t="str">
        <f aca="false">IF($C16="","",IF(COUNTIF($B$7:$B$28,$B16)&gt;1,"Duplicate ID",IF($B16="","Give it an ID",IF(IF($D16="",0,IF(COUNTIF($B$7:$B$28,$D16)=0,1,0))+IF($E16="",0,IF(COUNTIF($B$7:$B$28,$E16)=0,1,0))+IF($F16="",0,IF(COUNTIF($B$7:$B$28,$F16)=0,1,0))&gt;0,"Comes after an ID that is not on the list",IF(IF($D16="",0,IF(COUNTIF($B$7:$B15,$D16)=0,1,0))+IF($E16="",0,IF(COUNTIF($B$7:$B15,$E16)=0,1,0))+IF($F16="",0,IF(COUNTIF($B$7:$B15,$F16)=0,1,0))&gt;0,"Comes after a row BELOW this one - reorder",IF(OR($G16="",$H16="",$I16=""),"Estimates missing",IF(OR($G16&gt;$H16,$H16&gt;$I16),"Estimates out of order - best, likely, worst",IF(AND($P16&lt;0,$P16&lt;=Setup!$D$31),"CRITICAL - BEHIND THE DATE",IF($P16&lt;0,"Behind the required date",IF($P16&lt;=Setup!$D$31,"CRITICAL",IF($T16="Complete","Complete",IF($P16&lt;=Setup!$D$31+Setup!$D$20,"Nearly critical","Has float"))))))))))))</f>
        <v>Nearly critical</v>
      </c>
      <c r="W16" s="60" t="n">
        <f aca="false">IF(OR($C16="",$J16=""),0,$J16+SUMPRODUCT(MAX(((($D17:$D$28=$B16)+($E17:$E$28=$B16)+($F17:$F$28=$B16))&gt;0)*$W17:$W$28)))</f>
        <v>63.5</v>
      </c>
      <c r="X16" s="60" t="n">
        <f aca="false">IF($C16="",0,1+MAX(0,IF($D16="",0,IFERROR(INDEX($X$7:$X15,MATCH($D16,$B$7:$B15,0)),0)),IF($E16="",0,IFERROR(INDEX($X$7:$X15,MATCH($E16,$B$7:$B15,0)),0)),IF($F16="",0,IFERROR(INDEX($X$7:$X15,MATCH($F16,$B$7:$B15,0)),0))))</f>
        <v>7</v>
      </c>
      <c r="Y16" s="60" t="n">
        <f aca="false">IF($C16="",0,IF(AND($AK16&gt;0,COUNTIFS($X$7:$X15,$X16,$Y$7:$Y15,$AK16)=0),$AK16,IF(COUNTIFS($X$7:$X15,$X16,$Y$7:$Y15,1)=0,1,IF(COUNTIFS($X$7:$X15,$X16,$Y$7:$Y15,2)=0,2,IF(COUNTIFS($X$7:$X15,$X16,$Y$7:$Y15,3)=0,3,IF(COUNTIFS($X$7:$X15,$X16,$Y$7:$Y15,4)=0,4,IF(COUNTIFS($X$7:$X15,$X16,$Y$7:$Y15,5)=0,5,6)))))))</f>
        <v>3</v>
      </c>
      <c r="Z16" s="0" t="n">
        <v>10</v>
      </c>
      <c r="AA16" s="0" t="str">
        <f aca="false">IF(OR($C16="",$P16=""),"",IF($P16&lt;=Setup!$D$31,COUNTIF($P$7:$P16,"&lt;="&amp;Setup!$D$31),""))</f>
        <v/>
      </c>
      <c r="AB16" s="60" t="n">
        <f aca="false">IF(OR($C16="",$P16=""),"",IF(AND($P16&gt;Setup!$D$31,$P16&lt;=Setup!$D$31+Setup!$D$20),COUNTIFS($P$7:$P16,"&gt;"&amp;Setup!$D$31,$P$7:$P16,"&lt;="&amp;Setup!$D$31+Setup!$D$20),""))</f>
        <v>2</v>
      </c>
      <c r="AC16" s="60" t="n">
        <f aca="false">IF(OR($C16="",$G16="",$I16=""),0,$I16-$G16)</f>
        <v>20</v>
      </c>
      <c r="AD16" s="60" t="n">
        <f aca="false">IF($C16="",0,IF($K16="",0,$K16)+SUMPRODUCT(MAX(((($D17:$D$28=$B16)+($E17:$E$28=$B16)+($F17:$F$28=$B16))&gt;0)*($W17:$W$28=SUMPRODUCT(MAX(((($D17:$D$28=$B16)+($E17:$E$28=$B16)+($F17:$F$28=$B16))&gt;0)*$W17:$W$28)))*$AD17:$AD$28)))</f>
        <v>26.0277777777778</v>
      </c>
      <c r="AE16" s="60" t="n">
        <f aca="false">IF($D16="",0,IFERROR(INDEX($X$7:$X15,MATCH($D16,$B$7:$B15,0)),0))</f>
        <v>6</v>
      </c>
      <c r="AF16" s="60" t="n">
        <f aca="false">IF($E16="",0,IFERROR(INDEX($X$7:$X15,MATCH($E16,$B$7:$B15,0)),0))</f>
        <v>0</v>
      </c>
      <c r="AG16" s="60" t="n">
        <f aca="false">IF($F16="",0,IFERROR(INDEX($X$7:$X15,MATCH($F16,$B$7:$B15,0)),0))</f>
        <v>0</v>
      </c>
      <c r="AH16" s="60" t="n">
        <f aca="false">IF($D16="",0,IFERROR(INDEX($Y$7:$Y15,MATCH($D16,$B$7:$B15,0)),0))</f>
        <v>1</v>
      </c>
      <c r="AI16" s="60" t="n">
        <f aca="false">IF($E16="",0,IFERROR(INDEX($Y$7:$Y15,MATCH($E16,$B$7:$B15,0)),0))</f>
        <v>0</v>
      </c>
      <c r="AJ16" s="60" t="n">
        <f aca="false">IF($F16="",0,IFERROR(INDEX($Y$7:$Y15,MATCH($F16,$B$7:$B15,0)),0))</f>
        <v>0</v>
      </c>
      <c r="AK16" s="60" t="n">
        <f aca="false">IF($C16="",0,IF(IF(AND($AE16&gt;0,$AE16=$X16-1),$AH16,IF(AND($AF16&gt;0,$AF16=$X16-1),$AI16,IF(AND($AG16&gt;0,$AG16=$X16-1),$AJ16,0)))&gt;0,IF(AND($AE16&gt;0,$AE16=$X16-1),$AH16,IF(AND($AF16&gt;0,$AF16=$X16-1),$AI16,IF(AND($AG16&gt;0,$AG16=$X16-1),$AJ16,0))),IF($AE16&gt;0,$AH16,IF($AF16&gt;0,$AI16,IF($AG16&gt;0,$AJ16,0)))))</f>
        <v>1</v>
      </c>
      <c r="AL16" s="60" t="n">
        <f aca="false">IF(OR($C16="",$B16=""),0,IF(COUNTIF($D$7:$D$28,$B16)+COUNTIF($E$7:$E$28,$B16)+COUNTIF($F$7:$F$28,$B16)&gt;0,0,1))</f>
        <v>0</v>
      </c>
    </row>
    <row r="17" customFormat="false" ht="46.5" hidden="false" customHeight="true" outlineLevel="0" collapsed="false">
      <c r="B17" s="49" t="n">
        <v>11</v>
      </c>
      <c r="C17" s="50" t="s">
        <v>146</v>
      </c>
      <c r="D17" s="51" t="n">
        <v>9</v>
      </c>
      <c r="E17" s="51" t="n">
        <v>10</v>
      </c>
      <c r="F17" s="51"/>
      <c r="G17" s="52" t="n">
        <v>6</v>
      </c>
      <c r="H17" s="52" t="n">
        <v>9</v>
      </c>
      <c r="I17" s="52" t="n">
        <v>20</v>
      </c>
      <c r="J17" s="53" t="n">
        <f aca="false">IF(OR($C17="",$G17="",$H17="",$I17=""),"",IF(Setup!$D$17="Triangular",($G17+$H17+$I17)/3,($G17+4*$H17+$I17)/6))</f>
        <v>10.3333333333333</v>
      </c>
      <c r="K17" s="54" t="n">
        <f aca="false">IF($J17="","",IF(Setup!$D$17="Triangular",($G17^2+$H17^2+$I17^2-$G17*$H17-$G17*$I17-$H17*$I17)/18,(($I17-$G17)/6)^2))</f>
        <v>5.44444444444445</v>
      </c>
      <c r="L17" s="55" t="n">
        <f aca="false">IF(OR($C17="",$J17=""),0,MAX(1,IF($D17="",0,IFERROR(INDEX($M$7:$M16,MATCH($D17,$B$7:$B16,0)),0))+1,IF($E17="",0,IFERROR(INDEX($M$7:$M16,MATCH($E17,$B$7:$B16,0)),0))+1,IF($F17="",0,IFERROR(INDEX($M$7:$M16,MATCH($F17,$B$7:$B16,0)),0))+1))</f>
        <v>97.3333333333333</v>
      </c>
      <c r="M17" s="55" t="n">
        <f aca="false">IF($L17=0,0,$L17+$J17-1)</f>
        <v>106.666666666667</v>
      </c>
      <c r="N17" s="56" t="n">
        <f aca="false">IF($W17=0,"",Setup!$D$30-$W17+1)</f>
        <v>97.3333333333333</v>
      </c>
      <c r="O17" s="56" t="n">
        <f aca="false">IF($N17="","",$N17+$J17-1)</f>
        <v>106.666666666667</v>
      </c>
      <c r="P17" s="57" t="n">
        <f aca="false">IF(OR($N17="",$L17=0),"",ROUND($N17-$L17,6))</f>
        <v>0</v>
      </c>
      <c r="Q17" s="57" t="n">
        <f aca="false">IF($L17=0,"",ROUND(IF(SUMPRODUCT(((($D18:$D$28=$B17)+($E18:$E$28=$B17)+($F18:$F$28=$B17))&gt;0)*1)=0,Setup!$D$30-$M17,(1000000-SUMPRODUCT(MAX(((($D18:$D$28=$B17)+($E18:$E$28=$B17)+($F18:$F$28=$B17))&gt;0)*(1000000-$L18:$L$28))))-$M17-1),6))</f>
        <v>-0</v>
      </c>
      <c r="R17" s="58" t="n">
        <f aca="false">IF($L17=0,"",IF(Setup!$D$12="5-day working week",WORKDAY(Setup!$D$11-1,ROUNDUP($L17,0)),Setup!$D$11+ROUNDUP($L17,0)-1))</f>
        <v>46388</v>
      </c>
      <c r="S17" s="58" t="n">
        <f aca="false">IF($M17=0,"",IF(Setup!$D$12="5-day working week",WORKDAY(Setup!$D$11-1,ROUNDUP($M17,0)),Setup!$D$11+ROUNDUP($M17,0)-1))</f>
        <v>46401</v>
      </c>
      <c r="T17" s="50" t="s">
        <v>138</v>
      </c>
      <c r="U17" s="50" t="s">
        <v>144</v>
      </c>
      <c r="V17" s="59" t="str">
        <f aca="false">IF($C17="","",IF(COUNTIF($B$7:$B$28,$B17)&gt;1,"Duplicate ID",IF($B17="","Give it an ID",IF(IF($D17="",0,IF(COUNTIF($B$7:$B$28,$D17)=0,1,0))+IF($E17="",0,IF(COUNTIF($B$7:$B$28,$E17)=0,1,0))+IF($F17="",0,IF(COUNTIF($B$7:$B$28,$F17)=0,1,0))&gt;0,"Comes after an ID that is not on the list",IF(IF($D17="",0,IF(COUNTIF($B$7:$B16,$D17)=0,1,0))+IF($E17="",0,IF(COUNTIF($B$7:$B16,$E17)=0,1,0))+IF($F17="",0,IF(COUNTIF($B$7:$B16,$F17)=0,1,0))&gt;0,"Comes after a row BELOW this one - reorder",IF(OR($G17="",$H17="",$I17=""),"Estimates missing",IF(OR($G17&gt;$H17,$H17&gt;$I17),"Estimates out of order - best, likely, worst",IF(AND($P17&lt;0,$P17&lt;=Setup!$D$31),"CRITICAL - BEHIND THE DATE",IF($P17&lt;0,"Behind the required date",IF($P17&lt;=Setup!$D$31,"CRITICAL",IF($T17="Complete","Complete",IF($P17&lt;=Setup!$D$31+Setup!$D$20,"Nearly critical","Has float"))))))))))))</f>
        <v>CRITICAL</v>
      </c>
      <c r="W17" s="60" t="n">
        <f aca="false">IF(OR($C17="",$J17=""),0,$J17+SUMPRODUCT(MAX(((($D18:$D$28=$B17)+($E18:$E$28=$B17)+($F18:$F$28=$B17))&gt;0)*$W18:$W$28)))</f>
        <v>46.8333333333333</v>
      </c>
      <c r="X17" s="60" t="n">
        <f aca="false">IF($C17="",0,1+MAX(0,IF($D17="",0,IFERROR(INDEX($X$7:$X16,MATCH($D17,$B$7:$B16,0)),0)),IF($E17="",0,IFERROR(INDEX($X$7:$X16,MATCH($E17,$B$7:$B16,0)),0)),IF($F17="",0,IFERROR(INDEX($X$7:$X16,MATCH($F17,$B$7:$B16,0)),0))))</f>
        <v>8</v>
      </c>
      <c r="Y17" s="60" t="n">
        <f aca="false">IF($C17="",0,IF(AND($AK17&gt;0,COUNTIFS($X$7:$X16,$X17,$Y$7:$Y16,$AK17)=0),$AK17,IF(COUNTIFS($X$7:$X16,$X17,$Y$7:$Y16,1)=0,1,IF(COUNTIFS($X$7:$X16,$X17,$Y$7:$Y16,2)=0,2,IF(COUNTIFS($X$7:$X16,$X17,$Y$7:$Y16,3)=0,3,IF(COUNTIFS($X$7:$X16,$X17,$Y$7:$Y16,4)=0,4,IF(COUNTIFS($X$7:$X16,$X17,$Y$7:$Y16,5)=0,5,6)))))))</f>
        <v>2</v>
      </c>
      <c r="Z17" s="0" t="n">
        <v>11</v>
      </c>
      <c r="AA17" s="60" t="n">
        <f aca="false">IF(OR($C17="",$P17=""),"",IF($P17&lt;=Setup!$D$31,COUNTIF($P$7:$P17,"&lt;="&amp;Setup!$D$31),""))</f>
        <v>8</v>
      </c>
      <c r="AB17" s="0" t="str">
        <f aca="false">IF(OR($C17="",$P17=""),"",IF(AND($P17&gt;Setup!$D$31,$P17&lt;=Setup!$D$31+Setup!$D$20),COUNTIFS($P$7:$P17,"&gt;"&amp;Setup!$D$31,$P$7:$P17,"&lt;="&amp;Setup!$D$31+Setup!$D$20),""))</f>
        <v/>
      </c>
      <c r="AC17" s="60" t="n">
        <f aca="false">IF(OR($C17="",$G17="",$I17=""),0,$I17-$G17)</f>
        <v>14</v>
      </c>
      <c r="AD17" s="60" t="n">
        <f aca="false">IF($C17="",0,IF($K17="",0,$K17)+SUMPRODUCT(MAX(((($D18:$D$28=$B17)+($E18:$E$28=$B17)+($F18:$F$28=$B17))&gt;0)*($W18:$W$28=SUMPRODUCT(MAX(((($D18:$D$28=$B17)+($E18:$E$28=$B17)+($F18:$F$28=$B17))&gt;0)*$W18:$W$28)))*$AD18:$AD$28)))</f>
        <v>14.9166666666667</v>
      </c>
      <c r="AE17" s="60" t="n">
        <f aca="false">IF($D17="",0,IFERROR(INDEX($X$7:$X16,MATCH($D17,$B$7:$B16,0)),0))</f>
        <v>7</v>
      </c>
      <c r="AF17" s="60" t="n">
        <f aca="false">IF($E17="",0,IFERROR(INDEX($X$7:$X16,MATCH($E17,$B$7:$B16,0)),0))</f>
        <v>7</v>
      </c>
      <c r="AG17" s="60" t="n">
        <f aca="false">IF($F17="",0,IFERROR(INDEX($X$7:$X16,MATCH($F17,$B$7:$B16,0)),0))</f>
        <v>0</v>
      </c>
      <c r="AH17" s="60" t="n">
        <f aca="false">IF($D17="",0,IFERROR(INDEX($Y$7:$Y16,MATCH($D17,$B$7:$B16,0)),0))</f>
        <v>2</v>
      </c>
      <c r="AI17" s="60" t="n">
        <f aca="false">IF($E17="",0,IFERROR(INDEX($Y$7:$Y16,MATCH($E17,$B$7:$B16,0)),0))</f>
        <v>3</v>
      </c>
      <c r="AJ17" s="60" t="n">
        <f aca="false">IF($F17="",0,IFERROR(INDEX($Y$7:$Y16,MATCH($F17,$B$7:$B16,0)),0))</f>
        <v>0</v>
      </c>
      <c r="AK17" s="60" t="n">
        <f aca="false">IF($C17="",0,IF(IF(AND($AE17&gt;0,$AE17=$X17-1),$AH17,IF(AND($AF17&gt;0,$AF17=$X17-1),$AI17,IF(AND($AG17&gt;0,$AG17=$X17-1),$AJ17,0)))&gt;0,IF(AND($AE17&gt;0,$AE17=$X17-1),$AH17,IF(AND($AF17&gt;0,$AF17=$X17-1),$AI17,IF(AND($AG17&gt;0,$AG17=$X17-1),$AJ17,0))),IF($AE17&gt;0,$AH17,IF($AF17&gt;0,$AI17,IF($AG17&gt;0,$AJ17,0)))))</f>
        <v>2</v>
      </c>
      <c r="AL17" s="60" t="n">
        <f aca="false">IF(OR($C17="",$B17=""),0,IF(COUNTIF($D$7:$D$28,$B17)+COUNTIF($E$7:$E$28,$B17)+COUNTIF($F$7:$F$28,$B17)&gt;0,0,1))</f>
        <v>0</v>
      </c>
    </row>
    <row r="18" customFormat="false" ht="46.5" hidden="false" customHeight="true" outlineLevel="0" collapsed="false">
      <c r="B18" s="61" t="n">
        <v>12</v>
      </c>
      <c r="C18" s="62" t="s">
        <v>147</v>
      </c>
      <c r="D18" s="63" t="n">
        <v>8</v>
      </c>
      <c r="E18" s="63" t="n">
        <v>11</v>
      </c>
      <c r="F18" s="63"/>
      <c r="G18" s="64" t="n">
        <v>15</v>
      </c>
      <c r="H18" s="64" t="n">
        <v>20</v>
      </c>
      <c r="I18" s="64" t="n">
        <v>30</v>
      </c>
      <c r="J18" s="53" t="n">
        <f aca="false">IF(OR($C18="",$G18="",$H18="",$I18=""),"",IF(Setup!$D$17="Triangular",($G18+$H18+$I18)/3,($G18+4*$H18+$I18)/6))</f>
        <v>20.8333333333333</v>
      </c>
      <c r="K18" s="54" t="n">
        <f aca="false">IF($J18="","",IF(Setup!$D$17="Triangular",($G18^2+$H18^2+$I18^2-$G18*$H18-$G18*$I18-$H18*$I18)/18,(($I18-$G18)/6)^2))</f>
        <v>6.25</v>
      </c>
      <c r="L18" s="55" t="n">
        <f aca="false">IF(OR($C18="",$J18=""),0,MAX(1,IF($D18="",0,IFERROR(INDEX($M$7:$M17,MATCH($D18,$B$7:$B17,0)),0))+1,IF($E18="",0,IFERROR(INDEX($M$7:$M17,MATCH($E18,$B$7:$B17,0)),0))+1,IF($F18="",0,IFERROR(INDEX($M$7:$M17,MATCH($F18,$B$7:$B17,0)),0))+1))</f>
        <v>107.666666666667</v>
      </c>
      <c r="M18" s="55" t="n">
        <f aca="false">IF($L18=0,0,$L18+$J18-1)</f>
        <v>127.5</v>
      </c>
      <c r="N18" s="56" t="n">
        <f aca="false">IF($W18=0,"",Setup!$D$30-$W18+1)</f>
        <v>107.666666666667</v>
      </c>
      <c r="O18" s="56" t="n">
        <f aca="false">IF($N18="","",$N18+$J18-1)</f>
        <v>127.5</v>
      </c>
      <c r="P18" s="57" t="n">
        <f aca="false">IF(OR($N18="",$L18=0),"",ROUND($N18-$L18,6))</f>
        <v>0</v>
      </c>
      <c r="Q18" s="57" t="n">
        <f aca="false">IF($L18=0,"",ROUND(IF(SUMPRODUCT(((($D19:$D$28=$B18)+($E19:$E$28=$B18)+($F19:$F$28=$B18))&gt;0)*1)=0,Setup!$D$30-$M18,(1000000-SUMPRODUCT(MAX(((($D19:$D$28=$B18)+($E19:$E$28=$B18)+($F19:$F$28=$B18))&gt;0)*(1000000-$L19:$L$28))))-$M18-1),6))</f>
        <v>0</v>
      </c>
      <c r="R18" s="58" t="n">
        <f aca="false">IF($L18=0,"",IF(Setup!$D$12="5-day working week",WORKDAY(Setup!$D$11-1,ROUNDUP($L18,0)),Setup!$D$11+ROUNDUP($L18,0)-1))</f>
        <v>46402</v>
      </c>
      <c r="S18" s="58" t="n">
        <f aca="false">IF($M18=0,"",IF(Setup!$D$12="5-day working week",WORKDAY(Setup!$D$11-1,ROUNDUP($M18,0)),Setup!$D$11+ROUNDUP($M18,0)-1))</f>
        <v>46430</v>
      </c>
      <c r="T18" s="62" t="s">
        <v>138</v>
      </c>
      <c r="U18" s="62" t="s">
        <v>148</v>
      </c>
      <c r="V18" s="59" t="str">
        <f aca="false">IF($C18="","",IF(COUNTIF($B$7:$B$28,$B18)&gt;1,"Duplicate ID",IF($B18="","Give it an ID",IF(IF($D18="",0,IF(COUNTIF($B$7:$B$28,$D18)=0,1,0))+IF($E18="",0,IF(COUNTIF($B$7:$B$28,$E18)=0,1,0))+IF($F18="",0,IF(COUNTIF($B$7:$B$28,$F18)=0,1,0))&gt;0,"Comes after an ID that is not on the list",IF(IF($D18="",0,IF(COUNTIF($B$7:$B17,$D18)=0,1,0))+IF($E18="",0,IF(COUNTIF($B$7:$B17,$E18)=0,1,0))+IF($F18="",0,IF(COUNTIF($B$7:$B17,$F18)=0,1,0))&gt;0,"Comes after a row BELOW this one - reorder",IF(OR($G18="",$H18="",$I18=""),"Estimates missing",IF(OR($G18&gt;$H18,$H18&gt;$I18),"Estimates out of order - best, likely, worst",IF(AND($P18&lt;0,$P18&lt;=Setup!$D$31),"CRITICAL - BEHIND THE DATE",IF($P18&lt;0,"Behind the required date",IF($P18&lt;=Setup!$D$31,"CRITICAL",IF($T18="Complete","Complete",IF($P18&lt;=Setup!$D$31+Setup!$D$20,"Nearly critical","Has float"))))))))))))</f>
        <v>CRITICAL</v>
      </c>
      <c r="W18" s="60" t="n">
        <f aca="false">IF(OR($C18="",$J18=""),0,$J18+SUMPRODUCT(MAX(((($D19:$D$28=$B18)+($E19:$E$28=$B18)+($F19:$F$28=$B18))&gt;0)*$W19:$W$28)))</f>
        <v>36.5</v>
      </c>
      <c r="X18" s="60" t="n">
        <f aca="false">IF($C18="",0,1+MAX(0,IF($D18="",0,IFERROR(INDEX($X$7:$X17,MATCH($D18,$B$7:$B17,0)),0)),IF($E18="",0,IFERROR(INDEX($X$7:$X17,MATCH($E18,$B$7:$B17,0)),0)),IF($F18="",0,IFERROR(INDEX($X$7:$X17,MATCH($F18,$B$7:$B17,0)),0))))</f>
        <v>9</v>
      </c>
      <c r="Y18" s="60" t="n">
        <f aca="false">IF($C18="",0,IF(AND($AK18&gt;0,COUNTIFS($X$7:$X17,$X18,$Y$7:$Y17,$AK18)=0),$AK18,IF(COUNTIFS($X$7:$X17,$X18,$Y$7:$Y17,1)=0,1,IF(COUNTIFS($X$7:$X17,$X18,$Y$7:$Y17,2)=0,2,IF(COUNTIFS($X$7:$X17,$X18,$Y$7:$Y17,3)=0,3,IF(COUNTIFS($X$7:$X17,$X18,$Y$7:$Y17,4)=0,4,IF(COUNTIFS($X$7:$X17,$X18,$Y$7:$Y17,5)=0,5,6)))))))</f>
        <v>2</v>
      </c>
      <c r="Z18" s="0" t="n">
        <v>12</v>
      </c>
      <c r="AA18" s="60" t="n">
        <f aca="false">IF(OR($C18="",$P18=""),"",IF($P18&lt;=Setup!$D$31,COUNTIF($P$7:$P18,"&lt;="&amp;Setup!$D$31),""))</f>
        <v>9</v>
      </c>
      <c r="AB18" s="0" t="str">
        <f aca="false">IF(OR($C18="",$P18=""),"",IF(AND($P18&gt;Setup!$D$31,$P18&lt;=Setup!$D$31+Setup!$D$20),COUNTIFS($P$7:$P18,"&gt;"&amp;Setup!$D$31,$P$7:$P18,"&lt;="&amp;Setup!$D$31+Setup!$D$20),""))</f>
        <v/>
      </c>
      <c r="AC18" s="60" t="n">
        <f aca="false">IF(OR($C18="",$G18="",$I18=""),0,$I18-$G18)</f>
        <v>15</v>
      </c>
      <c r="AD18" s="60" t="n">
        <f aca="false">IF($C18="",0,IF($K18="",0,$K18)+SUMPRODUCT(MAX(((($D19:$D$28=$B18)+($E19:$E$28=$B18)+($F19:$F$28=$B18))&gt;0)*($W19:$W$28=SUMPRODUCT(MAX(((($D19:$D$28=$B18)+($E19:$E$28=$B18)+($F19:$F$28=$B18))&gt;0)*$W19:$W$28)))*$AD19:$AD$28)))</f>
        <v>9.47222222222222</v>
      </c>
      <c r="AE18" s="60" t="n">
        <f aca="false">IF($D18="",0,IFERROR(INDEX($X$7:$X17,MATCH($D18,$B$7:$B17,0)),0))</f>
        <v>7</v>
      </c>
      <c r="AF18" s="60" t="n">
        <f aca="false">IF($E18="",0,IFERROR(INDEX($X$7:$X17,MATCH($E18,$B$7:$B17,0)),0))</f>
        <v>8</v>
      </c>
      <c r="AG18" s="60" t="n">
        <f aca="false">IF($F18="",0,IFERROR(INDEX($X$7:$X17,MATCH($F18,$B$7:$B17,0)),0))</f>
        <v>0</v>
      </c>
      <c r="AH18" s="60" t="n">
        <f aca="false">IF($D18="",0,IFERROR(INDEX($Y$7:$Y17,MATCH($D18,$B$7:$B17,0)),0))</f>
        <v>1</v>
      </c>
      <c r="AI18" s="60" t="n">
        <f aca="false">IF($E18="",0,IFERROR(INDEX($Y$7:$Y17,MATCH($E18,$B$7:$B17,0)),0))</f>
        <v>2</v>
      </c>
      <c r="AJ18" s="60" t="n">
        <f aca="false">IF($F18="",0,IFERROR(INDEX($Y$7:$Y17,MATCH($F18,$B$7:$B17,0)),0))</f>
        <v>0</v>
      </c>
      <c r="AK18" s="60" t="n">
        <f aca="false">IF($C18="",0,IF(IF(AND($AE18&gt;0,$AE18=$X18-1),$AH18,IF(AND($AF18&gt;0,$AF18=$X18-1),$AI18,IF(AND($AG18&gt;0,$AG18=$X18-1),$AJ18,0)))&gt;0,IF(AND($AE18&gt;0,$AE18=$X18-1),$AH18,IF(AND($AF18&gt;0,$AF18=$X18-1),$AI18,IF(AND($AG18&gt;0,$AG18=$X18-1),$AJ18,0))),IF($AE18&gt;0,$AH18,IF($AF18&gt;0,$AI18,IF($AG18&gt;0,$AJ18,0)))))</f>
        <v>2</v>
      </c>
      <c r="AL18" s="60" t="n">
        <f aca="false">IF(OR($C18="",$B18=""),0,IF(COUNTIF($D$7:$D$28,$B18)+COUNTIF($E$7:$E$28,$B18)+COUNTIF($F$7:$F$28,$B18)&gt;0,0,1))</f>
        <v>0</v>
      </c>
    </row>
    <row r="19" customFormat="false" ht="46.5" hidden="false" customHeight="true" outlineLevel="0" collapsed="false">
      <c r="B19" s="49" t="n">
        <v>13</v>
      </c>
      <c r="C19" s="50" t="s">
        <v>149</v>
      </c>
      <c r="D19" s="51" t="n">
        <v>12</v>
      </c>
      <c r="E19" s="51"/>
      <c r="F19" s="51"/>
      <c r="G19" s="52" t="n">
        <v>8</v>
      </c>
      <c r="H19" s="52" t="n">
        <v>12</v>
      </c>
      <c r="I19" s="52" t="n">
        <v>18</v>
      </c>
      <c r="J19" s="53" t="n">
        <f aca="false">IF(OR($C19="",$G19="",$H19="",$I19=""),"",IF(Setup!$D$17="Triangular",($G19+$H19+$I19)/3,($G19+4*$H19+$I19)/6))</f>
        <v>12.3333333333333</v>
      </c>
      <c r="K19" s="54" t="n">
        <f aca="false">IF($J19="","",IF(Setup!$D$17="Triangular",($G19^2+$H19^2+$I19^2-$G19*$H19-$G19*$I19-$H19*$I19)/18,(($I19-$G19)/6)^2))</f>
        <v>2.77777777777778</v>
      </c>
      <c r="L19" s="55" t="n">
        <f aca="false">IF(OR($C19="",$J19=""),0,MAX(1,IF($D19="",0,IFERROR(INDEX($M$7:$M18,MATCH($D19,$B$7:$B18,0)),0))+1,IF($E19="",0,IFERROR(INDEX($M$7:$M18,MATCH($E19,$B$7:$B18,0)),0))+1,IF($F19="",0,IFERROR(INDEX($M$7:$M18,MATCH($F19,$B$7:$B18,0)),0))+1))</f>
        <v>128.5</v>
      </c>
      <c r="M19" s="55" t="n">
        <f aca="false">IF($L19=0,0,$L19+$J19-1)</f>
        <v>139.833333333333</v>
      </c>
      <c r="N19" s="56" t="n">
        <f aca="false">IF($W19=0,"",Setup!$D$30-$W19+1)</f>
        <v>128.5</v>
      </c>
      <c r="O19" s="56" t="n">
        <f aca="false">IF($N19="","",$N19+$J19-1)</f>
        <v>139.833333333333</v>
      </c>
      <c r="P19" s="57" t="n">
        <f aca="false">IF(OR($N19="",$L19=0),"",ROUND($N19-$L19,6))</f>
        <v>0</v>
      </c>
      <c r="Q19" s="57" t="n">
        <f aca="false">IF($L19=0,"",ROUND(IF(SUMPRODUCT(((($D20:$D$28=$B19)+($E20:$E$28=$B19)+($F20:$F$28=$B19))&gt;0)*1)=0,Setup!$D$30-$M19,(1000000-SUMPRODUCT(MAX(((($D20:$D$28=$B19)+($E20:$E$28=$B19)+($F20:$F$28=$B19))&gt;0)*(1000000-$L20:$L$28))))-$M19-1),6))</f>
        <v>0</v>
      </c>
      <c r="R19" s="58" t="n">
        <f aca="false">IF($L19=0,"",IF(Setup!$D$12="5-day working week",WORKDAY(Setup!$D$11-1,ROUNDUP($L19,0)),Setup!$D$11+ROUNDUP($L19,0)-1))</f>
        <v>46433</v>
      </c>
      <c r="S19" s="58" t="n">
        <f aca="false">IF($M19=0,"",IF(Setup!$D$12="5-day working week",WORKDAY(Setup!$D$11-1,ROUNDUP($M19,0)),Setup!$D$11+ROUNDUP($M19,0)-1))</f>
        <v>46448</v>
      </c>
      <c r="T19" s="50" t="s">
        <v>138</v>
      </c>
      <c r="U19" s="50" t="s">
        <v>148</v>
      </c>
      <c r="V19" s="59" t="str">
        <f aca="false">IF($C19="","",IF(COUNTIF($B$7:$B$28,$B19)&gt;1,"Duplicate ID",IF($B19="","Give it an ID",IF(IF($D19="",0,IF(COUNTIF($B$7:$B$28,$D19)=0,1,0))+IF($E19="",0,IF(COUNTIF($B$7:$B$28,$E19)=0,1,0))+IF($F19="",0,IF(COUNTIF($B$7:$B$28,$F19)=0,1,0))&gt;0,"Comes after an ID that is not on the list",IF(IF($D19="",0,IF(COUNTIF($B$7:$B18,$D19)=0,1,0))+IF($E19="",0,IF(COUNTIF($B$7:$B18,$E19)=0,1,0))+IF($F19="",0,IF(COUNTIF($B$7:$B18,$F19)=0,1,0))&gt;0,"Comes after a row BELOW this one - reorder",IF(OR($G19="",$H19="",$I19=""),"Estimates missing",IF(OR($G19&gt;$H19,$H19&gt;$I19),"Estimates out of order - best, likely, worst",IF(AND($P19&lt;0,$P19&lt;=Setup!$D$31),"CRITICAL - BEHIND THE DATE",IF($P19&lt;0,"Behind the required date",IF($P19&lt;=Setup!$D$31,"CRITICAL",IF($T19="Complete","Complete",IF($P19&lt;=Setup!$D$31+Setup!$D$20,"Nearly critical","Has float"))))))))))))</f>
        <v>CRITICAL</v>
      </c>
      <c r="W19" s="60" t="n">
        <f aca="false">IF(OR($C19="",$J19=""),0,$J19+SUMPRODUCT(MAX(((($D20:$D$28=$B19)+($E20:$E$28=$B19)+($F20:$F$28=$B19))&gt;0)*$W20:$W$28)))</f>
        <v>15.6666666666667</v>
      </c>
      <c r="X19" s="60" t="n">
        <f aca="false">IF($C19="",0,1+MAX(0,IF($D19="",0,IFERROR(INDEX($X$7:$X18,MATCH($D19,$B$7:$B18,0)),0)),IF($E19="",0,IFERROR(INDEX($X$7:$X18,MATCH($E19,$B$7:$B18,0)),0)),IF($F19="",0,IFERROR(INDEX($X$7:$X18,MATCH($F19,$B$7:$B18,0)),0))))</f>
        <v>10</v>
      </c>
      <c r="Y19" s="60" t="n">
        <f aca="false">IF($C19="",0,IF(AND($AK19&gt;0,COUNTIFS($X$7:$X18,$X19,$Y$7:$Y18,$AK19)=0),$AK19,IF(COUNTIFS($X$7:$X18,$X19,$Y$7:$Y18,1)=0,1,IF(COUNTIFS($X$7:$X18,$X19,$Y$7:$Y18,2)=0,2,IF(COUNTIFS($X$7:$X18,$X19,$Y$7:$Y18,3)=0,3,IF(COUNTIFS($X$7:$X18,$X19,$Y$7:$Y18,4)=0,4,IF(COUNTIFS($X$7:$X18,$X19,$Y$7:$Y18,5)=0,5,6)))))))</f>
        <v>2</v>
      </c>
      <c r="Z19" s="0" t="n">
        <v>13</v>
      </c>
      <c r="AA19" s="60" t="n">
        <f aca="false">IF(OR($C19="",$P19=""),"",IF($P19&lt;=Setup!$D$31,COUNTIF($P$7:$P19,"&lt;="&amp;Setup!$D$31),""))</f>
        <v>10</v>
      </c>
      <c r="AB19" s="0" t="str">
        <f aca="false">IF(OR($C19="",$P19=""),"",IF(AND($P19&gt;Setup!$D$31,$P19&lt;=Setup!$D$31+Setup!$D$20),COUNTIFS($P$7:$P19,"&gt;"&amp;Setup!$D$31,$P$7:$P19,"&lt;="&amp;Setup!$D$31+Setup!$D$20),""))</f>
        <v/>
      </c>
      <c r="AC19" s="60" t="n">
        <f aca="false">IF(OR($C19="",$G19="",$I19=""),0,$I19-$G19)</f>
        <v>10</v>
      </c>
      <c r="AD19" s="60" t="n">
        <f aca="false">IF($C19="",0,IF($K19="",0,$K19)+SUMPRODUCT(MAX(((($D20:$D$28=$B19)+($E20:$E$28=$B19)+($F20:$F$28=$B19))&gt;0)*($W20:$W$28=SUMPRODUCT(MAX(((($D20:$D$28=$B19)+($E20:$E$28=$B19)+($F20:$F$28=$B19))&gt;0)*$W20:$W$28)))*$AD20:$AD$28)))</f>
        <v>3.22222222222222</v>
      </c>
      <c r="AE19" s="60" t="n">
        <f aca="false">IF($D19="",0,IFERROR(INDEX($X$7:$X18,MATCH($D19,$B$7:$B18,0)),0))</f>
        <v>9</v>
      </c>
      <c r="AF19" s="60" t="n">
        <f aca="false">IF($E19="",0,IFERROR(INDEX($X$7:$X18,MATCH($E19,$B$7:$B18,0)),0))</f>
        <v>0</v>
      </c>
      <c r="AG19" s="60" t="n">
        <f aca="false">IF($F19="",0,IFERROR(INDEX($X$7:$X18,MATCH($F19,$B$7:$B18,0)),0))</f>
        <v>0</v>
      </c>
      <c r="AH19" s="60" t="n">
        <f aca="false">IF($D19="",0,IFERROR(INDEX($Y$7:$Y18,MATCH($D19,$B$7:$B18,0)),0))</f>
        <v>2</v>
      </c>
      <c r="AI19" s="60" t="n">
        <f aca="false">IF($E19="",0,IFERROR(INDEX($Y$7:$Y18,MATCH($E19,$B$7:$B18,0)),0))</f>
        <v>0</v>
      </c>
      <c r="AJ19" s="60" t="n">
        <f aca="false">IF($F19="",0,IFERROR(INDEX($Y$7:$Y18,MATCH($F19,$B$7:$B18,0)),0))</f>
        <v>0</v>
      </c>
      <c r="AK19" s="60" t="n">
        <f aca="false">IF($C19="",0,IF(IF(AND($AE19&gt;0,$AE19=$X19-1),$AH19,IF(AND($AF19&gt;0,$AF19=$X19-1),$AI19,IF(AND($AG19&gt;0,$AG19=$X19-1),$AJ19,0)))&gt;0,IF(AND($AE19&gt;0,$AE19=$X19-1),$AH19,IF(AND($AF19&gt;0,$AF19=$X19-1),$AI19,IF(AND($AG19&gt;0,$AG19=$X19-1),$AJ19,0))),IF($AE19&gt;0,$AH19,IF($AF19&gt;0,$AI19,IF($AG19&gt;0,$AJ19,0)))))</f>
        <v>2</v>
      </c>
      <c r="AL19" s="60" t="n">
        <f aca="false">IF(OR($C19="",$B19=""),0,IF(COUNTIF($D$7:$D$28,$B19)+COUNTIF($E$7:$E$28,$B19)+COUNTIF($F$7:$F$28,$B19)&gt;0,0,1))</f>
        <v>0</v>
      </c>
    </row>
    <row r="20" customFormat="false" ht="46.5" hidden="false" customHeight="true" outlineLevel="0" collapsed="false">
      <c r="B20" s="61" t="n">
        <v>14</v>
      </c>
      <c r="C20" s="62" t="s">
        <v>150</v>
      </c>
      <c r="D20" s="63" t="n">
        <v>12</v>
      </c>
      <c r="E20" s="63"/>
      <c r="F20" s="63"/>
      <c r="G20" s="64" t="n">
        <v>7</v>
      </c>
      <c r="H20" s="64" t="n">
        <v>10</v>
      </c>
      <c r="I20" s="64" t="n">
        <v>20</v>
      </c>
      <c r="J20" s="53" t="n">
        <f aca="false">IF(OR($C20="",$G20="",$H20="",$I20=""),"",IF(Setup!$D$17="Triangular",($G20+$H20+$I20)/3,($G20+4*$H20+$I20)/6))</f>
        <v>11.1666666666667</v>
      </c>
      <c r="K20" s="54" t="n">
        <f aca="false">IF($J20="","",IF(Setup!$D$17="Triangular",($G20^2+$H20^2+$I20^2-$G20*$H20-$G20*$I20-$H20*$I20)/18,(($I20-$G20)/6)^2))</f>
        <v>4.69444444444444</v>
      </c>
      <c r="L20" s="55" t="n">
        <f aca="false">IF(OR($C20="",$J20=""),0,MAX(1,IF($D20="",0,IFERROR(INDEX($M$7:$M19,MATCH($D20,$B$7:$B19,0)),0))+1,IF($E20="",0,IFERROR(INDEX($M$7:$M19,MATCH($E20,$B$7:$B19,0)),0))+1,IF($F20="",0,IFERROR(INDEX($M$7:$M19,MATCH($F20,$B$7:$B19,0)),0))+1))</f>
        <v>128.5</v>
      </c>
      <c r="M20" s="55" t="n">
        <f aca="false">IF($L20=0,0,$L20+$J20-1)</f>
        <v>138.666666666667</v>
      </c>
      <c r="N20" s="56" t="n">
        <f aca="false">IF($W20=0,"",Setup!$D$30-$W20+1)</f>
        <v>129.666666666667</v>
      </c>
      <c r="O20" s="56" t="n">
        <f aca="false">IF($N20="","",$N20+$J20-1)</f>
        <v>139.833333333333</v>
      </c>
      <c r="P20" s="57" t="n">
        <f aca="false">IF(OR($N20="",$L20=0),"",ROUND($N20-$L20,6))</f>
        <v>1.166667</v>
      </c>
      <c r="Q20" s="57" t="n">
        <f aca="false">IF($L20=0,"",ROUND(IF(SUMPRODUCT(((($D21:$D$28=$B20)+($E21:$E$28=$B20)+($F21:$F$28=$B20))&gt;0)*1)=0,Setup!$D$30-$M20,(1000000-SUMPRODUCT(MAX(((($D21:$D$28=$B20)+($E21:$E$28=$B20)+($F21:$F$28=$B20))&gt;0)*(1000000-$L21:$L$28))))-$M20-1),6))</f>
        <v>1.166667</v>
      </c>
      <c r="R20" s="58" t="n">
        <f aca="false">IF($L20=0,"",IF(Setup!$D$12="5-day working week",WORKDAY(Setup!$D$11-1,ROUNDUP($L20,0)),Setup!$D$11+ROUNDUP($L20,0)-1))</f>
        <v>46433</v>
      </c>
      <c r="S20" s="58" t="n">
        <f aca="false">IF($M20=0,"",IF(Setup!$D$12="5-day working week",WORKDAY(Setup!$D$11-1,ROUNDUP($M20,0)),Setup!$D$11+ROUNDUP($M20,0)-1))</f>
        <v>46447</v>
      </c>
      <c r="T20" s="62" t="s">
        <v>138</v>
      </c>
      <c r="U20" s="62" t="s">
        <v>144</v>
      </c>
      <c r="V20" s="59" t="str">
        <f aca="false">IF($C20="","",IF(COUNTIF($B$7:$B$28,$B20)&gt;1,"Duplicate ID",IF($B20="","Give it an ID",IF(IF($D20="",0,IF(COUNTIF($B$7:$B$28,$D20)=0,1,0))+IF($E20="",0,IF(COUNTIF($B$7:$B$28,$E20)=0,1,0))+IF($F20="",0,IF(COUNTIF($B$7:$B$28,$F20)=0,1,0))&gt;0,"Comes after an ID that is not on the list",IF(IF($D20="",0,IF(COUNTIF($B$7:$B19,$D20)=0,1,0))+IF($E20="",0,IF(COUNTIF($B$7:$B19,$E20)=0,1,0))+IF($F20="",0,IF(COUNTIF($B$7:$B19,$F20)=0,1,0))&gt;0,"Comes after a row BELOW this one - reorder",IF(OR($G20="",$H20="",$I20=""),"Estimates missing",IF(OR($G20&gt;$H20,$H20&gt;$I20),"Estimates out of order - best, likely, worst",IF(AND($P20&lt;0,$P20&lt;=Setup!$D$31),"CRITICAL - BEHIND THE DATE",IF($P20&lt;0,"Behind the required date",IF($P20&lt;=Setup!$D$31,"CRITICAL",IF($T20="Complete","Complete",IF($P20&lt;=Setup!$D$31+Setup!$D$20,"Nearly critical","Has float"))))))))))))</f>
        <v>Nearly critical</v>
      </c>
      <c r="W20" s="60" t="n">
        <f aca="false">IF(OR($C20="",$J20=""),0,$J20+SUMPRODUCT(MAX(((($D21:$D$28=$B20)+($E21:$E$28=$B20)+($F21:$F$28=$B20))&gt;0)*$W21:$W$28)))</f>
        <v>14.5</v>
      </c>
      <c r="X20" s="60" t="n">
        <f aca="false">IF($C20="",0,1+MAX(0,IF($D20="",0,IFERROR(INDEX($X$7:$X19,MATCH($D20,$B$7:$B19,0)),0)),IF($E20="",0,IFERROR(INDEX($X$7:$X19,MATCH($E20,$B$7:$B19,0)),0)),IF($F20="",0,IFERROR(INDEX($X$7:$X19,MATCH($F20,$B$7:$B19,0)),0))))</f>
        <v>10</v>
      </c>
      <c r="Y20" s="60" t="n">
        <f aca="false">IF($C20="",0,IF(AND($AK20&gt;0,COUNTIFS($X$7:$X19,$X20,$Y$7:$Y19,$AK20)=0),$AK20,IF(COUNTIFS($X$7:$X19,$X20,$Y$7:$Y19,1)=0,1,IF(COUNTIFS($X$7:$X19,$X20,$Y$7:$Y19,2)=0,2,IF(COUNTIFS($X$7:$X19,$X20,$Y$7:$Y19,3)=0,3,IF(COUNTIFS($X$7:$X19,$X20,$Y$7:$Y19,4)=0,4,IF(COUNTIFS($X$7:$X19,$X20,$Y$7:$Y19,5)=0,5,6)))))))</f>
        <v>1</v>
      </c>
      <c r="Z20" s="0" t="n">
        <v>14</v>
      </c>
      <c r="AA20" s="0" t="str">
        <f aca="false">IF(OR($C20="",$P20=""),"",IF($P20&lt;=Setup!$D$31,COUNTIF($P$7:$P20,"&lt;="&amp;Setup!$D$31),""))</f>
        <v/>
      </c>
      <c r="AB20" s="60" t="n">
        <f aca="false">IF(OR($C20="",$P20=""),"",IF(AND($P20&gt;Setup!$D$31,$P20&lt;=Setup!$D$31+Setup!$D$20),COUNTIFS($P$7:$P20,"&gt;"&amp;Setup!$D$31,$P$7:$P20,"&lt;="&amp;Setup!$D$31+Setup!$D$20),""))</f>
        <v>3</v>
      </c>
      <c r="AC20" s="60" t="n">
        <f aca="false">IF(OR($C20="",$G20="",$I20=""),0,$I20-$G20)</f>
        <v>13</v>
      </c>
      <c r="AD20" s="60" t="n">
        <f aca="false">IF($C20="",0,IF($K20="",0,$K20)+SUMPRODUCT(MAX(((($D21:$D$28=$B20)+($E21:$E$28=$B20)+($F21:$F$28=$B20))&gt;0)*($W21:$W$28=SUMPRODUCT(MAX(((($D21:$D$28=$B20)+($E21:$E$28=$B20)+($F21:$F$28=$B20))&gt;0)*$W21:$W$28)))*$AD21:$AD$28)))</f>
        <v>5.13888888888889</v>
      </c>
      <c r="AE20" s="60" t="n">
        <f aca="false">IF($D20="",0,IFERROR(INDEX($X$7:$X19,MATCH($D20,$B$7:$B19,0)),0))</f>
        <v>9</v>
      </c>
      <c r="AF20" s="60" t="n">
        <f aca="false">IF($E20="",0,IFERROR(INDEX($X$7:$X19,MATCH($E20,$B$7:$B19,0)),0))</f>
        <v>0</v>
      </c>
      <c r="AG20" s="60" t="n">
        <f aca="false">IF($F20="",0,IFERROR(INDEX($X$7:$X19,MATCH($F20,$B$7:$B19,0)),0))</f>
        <v>0</v>
      </c>
      <c r="AH20" s="60" t="n">
        <f aca="false">IF($D20="",0,IFERROR(INDEX($Y$7:$Y19,MATCH($D20,$B$7:$B19,0)),0))</f>
        <v>2</v>
      </c>
      <c r="AI20" s="60" t="n">
        <f aca="false">IF($E20="",0,IFERROR(INDEX($Y$7:$Y19,MATCH($E20,$B$7:$B19,0)),0))</f>
        <v>0</v>
      </c>
      <c r="AJ20" s="60" t="n">
        <f aca="false">IF($F20="",0,IFERROR(INDEX($Y$7:$Y19,MATCH($F20,$B$7:$B19,0)),0))</f>
        <v>0</v>
      </c>
      <c r="AK20" s="60" t="n">
        <f aca="false">IF($C20="",0,IF(IF(AND($AE20&gt;0,$AE20=$X20-1),$AH20,IF(AND($AF20&gt;0,$AF20=$X20-1),$AI20,IF(AND($AG20&gt;0,$AG20=$X20-1),$AJ20,0)))&gt;0,IF(AND($AE20&gt;0,$AE20=$X20-1),$AH20,IF(AND($AF20&gt;0,$AF20=$X20-1),$AI20,IF(AND($AG20&gt;0,$AG20=$X20-1),$AJ20,0))),IF($AE20&gt;0,$AH20,IF($AF20&gt;0,$AI20,IF($AG20&gt;0,$AJ20,0)))))</f>
        <v>2</v>
      </c>
      <c r="AL20" s="60" t="n">
        <f aca="false">IF(OR($C20="",$B20=""),0,IF(COUNTIF($D$7:$D$28,$B20)+COUNTIF($E$7:$E$28,$B20)+COUNTIF($F$7:$F$28,$B20)&gt;0,0,1))</f>
        <v>0</v>
      </c>
    </row>
    <row r="21" customFormat="false" ht="46.5" hidden="false" customHeight="true" outlineLevel="0" collapsed="false">
      <c r="B21" s="49" t="n">
        <v>15</v>
      </c>
      <c r="C21" s="50" t="s">
        <v>151</v>
      </c>
      <c r="D21" s="51" t="n">
        <v>13</v>
      </c>
      <c r="E21" s="51" t="n">
        <v>14</v>
      </c>
      <c r="F21" s="51"/>
      <c r="G21" s="52" t="n">
        <v>2</v>
      </c>
      <c r="H21" s="52" t="n">
        <v>3</v>
      </c>
      <c r="I21" s="52" t="n">
        <v>6</v>
      </c>
      <c r="J21" s="53" t="n">
        <f aca="false">IF(OR($C21="",$G21="",$H21="",$I21=""),"",IF(Setup!$D$17="Triangular",($G21+$H21+$I21)/3,($G21+4*$H21+$I21)/6))</f>
        <v>3.33333333333333</v>
      </c>
      <c r="K21" s="54" t="n">
        <f aca="false">IF($J21="","",IF(Setup!$D$17="Triangular",($G21^2+$H21^2+$I21^2-$G21*$H21-$G21*$I21-$H21*$I21)/18,(($I21-$G21)/6)^2))</f>
        <v>0.444444444444444</v>
      </c>
      <c r="L21" s="55" t="n">
        <f aca="false">IF(OR($C21="",$J21=""),0,MAX(1,IF($D21="",0,IFERROR(INDEX($M$7:$M20,MATCH($D21,$B$7:$B20,0)),0))+1,IF($E21="",0,IFERROR(INDEX($M$7:$M20,MATCH($E21,$B$7:$B20,0)),0))+1,IF($F21="",0,IFERROR(INDEX($M$7:$M20,MATCH($F21,$B$7:$B20,0)),0))+1))</f>
        <v>140.833333333333</v>
      </c>
      <c r="M21" s="55" t="n">
        <f aca="false">IF($L21=0,0,$L21+$J21-1)</f>
        <v>143.166666666667</v>
      </c>
      <c r="N21" s="56" t="n">
        <f aca="false">IF($W21=0,"",Setup!$D$30-$W21+1)</f>
        <v>140.833333333333</v>
      </c>
      <c r="O21" s="56" t="n">
        <f aca="false">IF($N21="","",$N21+$J21-1)</f>
        <v>143.166666666667</v>
      </c>
      <c r="P21" s="57" t="n">
        <f aca="false">IF(OR($N21="",$L21=0),"",ROUND($N21-$L21,6))</f>
        <v>0</v>
      </c>
      <c r="Q21" s="57" t="n">
        <f aca="false">IF($L21=0,"",ROUND(IF(SUMPRODUCT(((($D22:$D$28=$B21)+($E22:$E$28=$B21)+($F22:$F$28=$B21))&gt;0)*1)=0,Setup!$D$30-$M21,(1000000-SUMPRODUCT(MAX(((($D22:$D$28=$B21)+($E22:$E$28=$B21)+($F22:$F$28=$B21))&gt;0)*(1000000-$L22:$L$28))))-$M21-1),6))</f>
        <v>0</v>
      </c>
      <c r="R21" s="58" t="n">
        <f aca="false">IF($L21=0,"",IF(Setup!$D$12="5-day working week",WORKDAY(Setup!$D$11-1,ROUNDUP($L21,0)),Setup!$D$11+ROUNDUP($L21,0)-1))</f>
        <v>46449</v>
      </c>
      <c r="S21" s="58" t="n">
        <f aca="false">IF($M21=0,"",IF(Setup!$D$12="5-day working week",WORKDAY(Setup!$D$11-1,ROUNDUP($M21,0)),Setup!$D$11+ROUNDUP($M21,0)-1))</f>
        <v>46454</v>
      </c>
      <c r="T21" s="50" t="s">
        <v>138</v>
      </c>
      <c r="U21" s="50" t="s">
        <v>133</v>
      </c>
      <c r="V21" s="59" t="str">
        <f aca="false">IF($C21="","",IF(COUNTIF($B$7:$B$28,$B21)&gt;1,"Duplicate ID",IF($B21="","Give it an ID",IF(IF($D21="",0,IF(COUNTIF($B$7:$B$28,$D21)=0,1,0))+IF($E21="",0,IF(COUNTIF($B$7:$B$28,$E21)=0,1,0))+IF($F21="",0,IF(COUNTIF($B$7:$B$28,$F21)=0,1,0))&gt;0,"Comes after an ID that is not on the list",IF(IF($D21="",0,IF(COUNTIF($B$7:$B20,$D21)=0,1,0))+IF($E21="",0,IF(COUNTIF($B$7:$B20,$E21)=0,1,0))+IF($F21="",0,IF(COUNTIF($B$7:$B20,$F21)=0,1,0))&gt;0,"Comes after a row BELOW this one - reorder",IF(OR($G21="",$H21="",$I21=""),"Estimates missing",IF(OR($G21&gt;$H21,$H21&gt;$I21),"Estimates out of order - best, likely, worst",IF(AND($P21&lt;0,$P21&lt;=Setup!$D$31),"CRITICAL - BEHIND THE DATE",IF($P21&lt;0,"Behind the required date",IF($P21&lt;=Setup!$D$31,"CRITICAL",IF($T21="Complete","Complete",IF($P21&lt;=Setup!$D$31+Setup!$D$20,"Nearly critical","Has float"))))))))))))</f>
        <v>CRITICAL</v>
      </c>
      <c r="W21" s="60" t="n">
        <f aca="false">IF(OR($C21="",$J21=""),0,$J21+SUMPRODUCT(MAX(((($D22:$D$28=$B21)+($E22:$E$28=$B21)+($F22:$F$28=$B21))&gt;0)*$W22:$W$28)))</f>
        <v>3.33333333333333</v>
      </c>
      <c r="X21" s="60" t="n">
        <f aca="false">IF($C21="",0,1+MAX(0,IF($D21="",0,IFERROR(INDEX($X$7:$X20,MATCH($D21,$B$7:$B20,0)),0)),IF($E21="",0,IFERROR(INDEX($X$7:$X20,MATCH($E21,$B$7:$B20,0)),0)),IF($F21="",0,IFERROR(INDEX($X$7:$X20,MATCH($F21,$B$7:$B20,0)),0))))</f>
        <v>11</v>
      </c>
      <c r="Y21" s="60" t="n">
        <f aca="false">IF($C21="",0,IF(AND($AK21&gt;0,COUNTIFS($X$7:$X20,$X21,$Y$7:$Y20,$AK21)=0),$AK21,IF(COUNTIFS($X$7:$X20,$X21,$Y$7:$Y20,1)=0,1,IF(COUNTIFS($X$7:$X20,$X21,$Y$7:$Y20,2)=0,2,IF(COUNTIFS($X$7:$X20,$X21,$Y$7:$Y20,3)=0,3,IF(COUNTIFS($X$7:$X20,$X21,$Y$7:$Y20,4)=0,4,IF(COUNTIFS($X$7:$X20,$X21,$Y$7:$Y20,5)=0,5,6)))))))</f>
        <v>2</v>
      </c>
      <c r="Z21" s="0" t="n">
        <v>15</v>
      </c>
      <c r="AA21" s="60" t="n">
        <f aca="false">IF(OR($C21="",$P21=""),"",IF($P21&lt;=Setup!$D$31,COUNTIF($P$7:$P21,"&lt;="&amp;Setup!$D$31),""))</f>
        <v>11</v>
      </c>
      <c r="AB21" s="0" t="str">
        <f aca="false">IF(OR($C21="",$P21=""),"",IF(AND($P21&gt;Setup!$D$31,$P21&lt;=Setup!$D$31+Setup!$D$20),COUNTIFS($P$7:$P21,"&gt;"&amp;Setup!$D$31,$P$7:$P21,"&lt;="&amp;Setup!$D$31+Setup!$D$20),""))</f>
        <v/>
      </c>
      <c r="AC21" s="60" t="n">
        <f aca="false">IF(OR($C21="",$G21="",$I21=""),0,$I21-$G21)</f>
        <v>4</v>
      </c>
      <c r="AD21" s="60" t="n">
        <f aca="false">IF($C21="",0,IF($K21="",0,$K21)+SUMPRODUCT(MAX(((($D22:$D$28=$B21)+($E22:$E$28=$B21)+($F22:$F$28=$B21))&gt;0)*($W22:$W$28=SUMPRODUCT(MAX(((($D22:$D$28=$B21)+($E22:$E$28=$B21)+($F22:$F$28=$B21))&gt;0)*$W22:$W$28)))*$AD22:$AD$28)))</f>
        <v>0.444444444444444</v>
      </c>
      <c r="AE21" s="60" t="n">
        <f aca="false">IF($D21="",0,IFERROR(INDEX($X$7:$X20,MATCH($D21,$B$7:$B20,0)),0))</f>
        <v>10</v>
      </c>
      <c r="AF21" s="60" t="n">
        <f aca="false">IF($E21="",0,IFERROR(INDEX($X$7:$X20,MATCH($E21,$B$7:$B20,0)),0))</f>
        <v>10</v>
      </c>
      <c r="AG21" s="60" t="n">
        <f aca="false">IF($F21="",0,IFERROR(INDEX($X$7:$X20,MATCH($F21,$B$7:$B20,0)),0))</f>
        <v>0</v>
      </c>
      <c r="AH21" s="60" t="n">
        <f aca="false">IF($D21="",0,IFERROR(INDEX($Y$7:$Y20,MATCH($D21,$B$7:$B20,0)),0))</f>
        <v>2</v>
      </c>
      <c r="AI21" s="60" t="n">
        <f aca="false">IF($E21="",0,IFERROR(INDEX($Y$7:$Y20,MATCH($E21,$B$7:$B20,0)),0))</f>
        <v>1</v>
      </c>
      <c r="AJ21" s="60" t="n">
        <f aca="false">IF($F21="",0,IFERROR(INDEX($Y$7:$Y20,MATCH($F21,$B$7:$B20,0)),0))</f>
        <v>0</v>
      </c>
      <c r="AK21" s="60" t="n">
        <f aca="false">IF($C21="",0,IF(IF(AND($AE21&gt;0,$AE21=$X21-1),$AH21,IF(AND($AF21&gt;0,$AF21=$X21-1),$AI21,IF(AND($AG21&gt;0,$AG21=$X21-1),$AJ21,0)))&gt;0,IF(AND($AE21&gt;0,$AE21=$X21-1),$AH21,IF(AND($AF21&gt;0,$AF21=$X21-1),$AI21,IF(AND($AG21&gt;0,$AG21=$X21-1),$AJ21,0))),IF($AE21&gt;0,$AH21,IF($AF21&gt;0,$AI21,IF($AG21&gt;0,$AJ21,0)))))</f>
        <v>2</v>
      </c>
      <c r="AL21" s="60" t="n">
        <f aca="false">IF(OR($C21="",$B21=""),0,IF(COUNTIF($D$7:$D$28,$B21)+COUNTIF($E$7:$E$28,$B21)+COUNTIF($F$7:$F$28,$B21)&gt;0,0,1))</f>
        <v>1</v>
      </c>
    </row>
    <row r="22" customFormat="false" ht="46.5" hidden="false" customHeight="true" outlineLevel="0" collapsed="false">
      <c r="B22" s="61"/>
      <c r="C22" s="62"/>
      <c r="D22" s="63"/>
      <c r="E22" s="63"/>
      <c r="F22" s="63"/>
      <c r="G22" s="64"/>
      <c r="H22" s="64"/>
      <c r="I22" s="64"/>
      <c r="J22" s="53" t="str">
        <f aca="false">IF(OR($C22="",$G22="",$H22="",$I22=""),"",IF(Setup!$D$17="Triangular",($G22+$H22+$I22)/3,($G22+4*$H22+$I22)/6))</f>
        <v/>
      </c>
      <c r="K22" s="54" t="str">
        <f aca="false">IF($J22="","",IF(Setup!$D$17="Triangular",($G22^2+$H22^2+$I22^2-$G22*$H22-$G22*$I22-$H22*$I22)/18,(($I22-$G22)/6)^2))</f>
        <v/>
      </c>
      <c r="L22" s="55" t="n">
        <f aca="false">IF(OR($C22="",$J22=""),0,MAX(1,IF($D22="",0,IFERROR(INDEX($M$7:$M21,MATCH($D22,$B$7:$B21,0)),0))+1,IF($E22="",0,IFERROR(INDEX($M$7:$M21,MATCH($E22,$B$7:$B21,0)),0))+1,IF($F22="",0,IFERROR(INDEX($M$7:$M21,MATCH($F22,$B$7:$B21,0)),0))+1))</f>
        <v>0</v>
      </c>
      <c r="M22" s="55" t="n">
        <f aca="false">IF($L22=0,0,$L22+$J22-1)</f>
        <v>0</v>
      </c>
      <c r="N22" s="56" t="str">
        <f aca="false">IF($W22=0,"",Setup!$D$30-$W22+1)</f>
        <v/>
      </c>
      <c r="O22" s="56" t="str">
        <f aca="false">IF($N22="","",$N22+$J22-1)</f>
        <v/>
      </c>
      <c r="P22" s="57" t="str">
        <f aca="false">IF(OR($N22="",$L22=0),"",ROUND($N22-$L22,6))</f>
        <v/>
      </c>
      <c r="Q22" s="57" t="str">
        <f aca="false">IF($L22=0,"",ROUND(IF(SUMPRODUCT(((($D23:$D$28=$B22)+($E23:$E$28=$B22)+($F23:$F$28=$B22))&gt;0)*1)=0,Setup!$D$30-$M22,(1000000-SUMPRODUCT(MAX(((($D23:$D$28=$B22)+($E23:$E$28=$B22)+($F23:$F$28=$B22))&gt;0)*(1000000-$L23:$L$28))))-$M22-1),6))</f>
        <v/>
      </c>
      <c r="R22" s="58" t="str">
        <f aca="false">IF($L22=0,"",IF(Setup!$D$12="5-day working week",WORKDAY(Setup!$D$11-1,ROUNDUP($L22,0)),Setup!$D$11+ROUNDUP($L22,0)-1))</f>
        <v/>
      </c>
      <c r="S22" s="58" t="str">
        <f aca="false">IF($M22=0,"",IF(Setup!$D$12="5-day working week",WORKDAY(Setup!$D$11-1,ROUNDUP($M22,0)),Setup!$D$11+ROUNDUP($M22,0)-1))</f>
        <v/>
      </c>
      <c r="T22" s="62"/>
      <c r="U22" s="62"/>
      <c r="V22" s="59" t="str">
        <f aca="false">IF($C22="","",IF(COUNTIF($B$7:$B$28,$B22)&gt;1,"Duplicate ID",IF($B22="","Give it an ID",IF(IF($D22="",0,IF(COUNTIF($B$7:$B$28,$D22)=0,1,0))+IF($E22="",0,IF(COUNTIF($B$7:$B$28,$E22)=0,1,0))+IF($F22="",0,IF(COUNTIF($B$7:$B$28,$F22)=0,1,0))&gt;0,"Comes after an ID that is not on the list",IF(IF($D22="",0,IF(COUNTIF($B$7:$B21,$D22)=0,1,0))+IF($E22="",0,IF(COUNTIF($B$7:$B21,$E22)=0,1,0))+IF($F22="",0,IF(COUNTIF($B$7:$B21,$F22)=0,1,0))&gt;0,"Comes after a row BELOW this one - reorder",IF(OR($G22="",$H22="",$I22=""),"Estimates missing",IF(OR($G22&gt;$H22,$H22&gt;$I22),"Estimates out of order - best, likely, worst",IF(AND($P22&lt;0,$P22&lt;=Setup!$D$31),"CRITICAL - BEHIND THE DATE",IF($P22&lt;0,"Behind the required date",IF($P22&lt;=Setup!$D$31,"CRITICAL",IF($T22="Complete","Complete",IF($P22&lt;=Setup!$D$31+Setup!$D$20,"Nearly critical","Has float"))))))))))))</f>
        <v/>
      </c>
      <c r="W22" s="60" t="n">
        <f aca="false">IF(OR($C22="",$J22=""),0,$J22+SUMPRODUCT(MAX(((($D23:$D$28=$B22)+($E23:$E$28=$B22)+($F23:$F$28=$B22))&gt;0)*$W23:$W$28)))</f>
        <v>0</v>
      </c>
      <c r="X22" s="60" t="n">
        <f aca="false">IF($C22="",0,1+MAX(0,IF($D22="",0,IFERROR(INDEX($X$7:$X21,MATCH($D22,$B$7:$B21,0)),0)),IF($E22="",0,IFERROR(INDEX($X$7:$X21,MATCH($E22,$B$7:$B21,0)),0)),IF($F22="",0,IFERROR(INDEX($X$7:$X21,MATCH($F22,$B$7:$B21,0)),0))))</f>
        <v>0</v>
      </c>
      <c r="Y22" s="60" t="n">
        <f aca="false">IF($C22="",0,IF(AND($AK22&gt;0,COUNTIFS($X$7:$X21,$X22,$Y$7:$Y21,$AK22)=0),$AK22,IF(COUNTIFS($X$7:$X21,$X22,$Y$7:$Y21,1)=0,1,IF(COUNTIFS($X$7:$X21,$X22,$Y$7:$Y21,2)=0,2,IF(COUNTIFS($X$7:$X21,$X22,$Y$7:$Y21,3)=0,3,IF(COUNTIFS($X$7:$X21,$X22,$Y$7:$Y21,4)=0,4,IF(COUNTIFS($X$7:$X21,$X22,$Y$7:$Y21,5)=0,5,6)))))))</f>
        <v>0</v>
      </c>
      <c r="Z22" s="0" t="n">
        <v>16</v>
      </c>
      <c r="AA22" s="0" t="str">
        <f aca="false">IF(OR($C22="",$P22=""),"",IF($P22&lt;=Setup!$D$31,COUNTIF($P$7:$P22,"&lt;="&amp;Setup!$D$31),""))</f>
        <v/>
      </c>
      <c r="AB22" s="0" t="str">
        <f aca="false">IF(OR($C22="",$P22=""),"",IF(AND($P22&gt;Setup!$D$31,$P22&lt;=Setup!$D$31+Setup!$D$20),COUNTIFS($P$7:$P22,"&gt;"&amp;Setup!$D$31,$P$7:$P22,"&lt;="&amp;Setup!$D$31+Setup!$D$20),""))</f>
        <v/>
      </c>
      <c r="AC22" s="60" t="n">
        <f aca="false">IF(OR($C22="",$G22="",$I22=""),0,$I22-$G22)</f>
        <v>0</v>
      </c>
      <c r="AD22" s="60" t="n">
        <f aca="false">IF($C22="",0,IF($K22="",0,$K22)+SUMPRODUCT(MAX(((($D23:$D$28=$B22)+($E23:$E$28=$B22)+($F23:$F$28=$B22))&gt;0)*($W23:$W$28=SUMPRODUCT(MAX(((($D23:$D$28=$B22)+($E23:$E$28=$B22)+($F23:$F$28=$B22))&gt;0)*$W23:$W$28)))*$AD23:$AD$28)))</f>
        <v>0</v>
      </c>
      <c r="AE22" s="60" t="n">
        <f aca="false">IF($D22="",0,IFERROR(INDEX($X$7:$X21,MATCH($D22,$B$7:$B21,0)),0))</f>
        <v>0</v>
      </c>
      <c r="AF22" s="60" t="n">
        <f aca="false">IF($E22="",0,IFERROR(INDEX($X$7:$X21,MATCH($E22,$B$7:$B21,0)),0))</f>
        <v>0</v>
      </c>
      <c r="AG22" s="60" t="n">
        <f aca="false">IF($F22="",0,IFERROR(INDEX($X$7:$X21,MATCH($F22,$B$7:$B21,0)),0))</f>
        <v>0</v>
      </c>
      <c r="AH22" s="60" t="n">
        <f aca="false">IF($D22="",0,IFERROR(INDEX($Y$7:$Y21,MATCH($D22,$B$7:$B21,0)),0))</f>
        <v>0</v>
      </c>
      <c r="AI22" s="60" t="n">
        <f aca="false">IF($E22="",0,IFERROR(INDEX($Y$7:$Y21,MATCH($E22,$B$7:$B21,0)),0))</f>
        <v>0</v>
      </c>
      <c r="AJ22" s="60" t="n">
        <f aca="false">IF($F22="",0,IFERROR(INDEX($Y$7:$Y21,MATCH($F22,$B$7:$B21,0)),0))</f>
        <v>0</v>
      </c>
      <c r="AK22" s="60" t="n">
        <f aca="false">IF($C22="",0,IF(IF(AND($AE22&gt;0,$AE22=$X22-1),$AH22,IF(AND($AF22&gt;0,$AF22=$X22-1),$AI22,IF(AND($AG22&gt;0,$AG22=$X22-1),$AJ22,0)))&gt;0,IF(AND($AE22&gt;0,$AE22=$X22-1),$AH22,IF(AND($AF22&gt;0,$AF22=$X22-1),$AI22,IF(AND($AG22&gt;0,$AG22=$X22-1),$AJ22,0))),IF($AE22&gt;0,$AH22,IF($AF22&gt;0,$AI22,IF($AG22&gt;0,$AJ22,0)))))</f>
        <v>0</v>
      </c>
      <c r="AL22" s="60" t="n">
        <f aca="false">IF(OR($C22="",$B22=""),0,IF(COUNTIF($D$7:$D$28,$B22)+COUNTIF($E$7:$E$28,$B22)+COUNTIF($F$7:$F$28,$B22)&gt;0,0,1))</f>
        <v>0</v>
      </c>
    </row>
    <row r="23" customFormat="false" ht="46.5" hidden="false" customHeight="true" outlineLevel="0" collapsed="false">
      <c r="B23" s="49"/>
      <c r="C23" s="50"/>
      <c r="D23" s="51"/>
      <c r="E23" s="51"/>
      <c r="F23" s="51"/>
      <c r="G23" s="52"/>
      <c r="H23" s="52"/>
      <c r="I23" s="52"/>
      <c r="J23" s="53" t="str">
        <f aca="false">IF(OR($C23="",$G23="",$H23="",$I23=""),"",IF(Setup!$D$17="Triangular",($G23+$H23+$I23)/3,($G23+4*$H23+$I23)/6))</f>
        <v/>
      </c>
      <c r="K23" s="54" t="str">
        <f aca="false">IF($J23="","",IF(Setup!$D$17="Triangular",($G23^2+$H23^2+$I23^2-$G23*$H23-$G23*$I23-$H23*$I23)/18,(($I23-$G23)/6)^2))</f>
        <v/>
      </c>
      <c r="L23" s="55" t="n">
        <f aca="false">IF(OR($C23="",$J23=""),0,MAX(1,IF($D23="",0,IFERROR(INDEX($M$7:$M22,MATCH($D23,$B$7:$B22,0)),0))+1,IF($E23="",0,IFERROR(INDEX($M$7:$M22,MATCH($E23,$B$7:$B22,0)),0))+1,IF($F23="",0,IFERROR(INDEX($M$7:$M22,MATCH($F23,$B$7:$B22,0)),0))+1))</f>
        <v>0</v>
      </c>
      <c r="M23" s="55" t="n">
        <f aca="false">IF($L23=0,0,$L23+$J23-1)</f>
        <v>0</v>
      </c>
      <c r="N23" s="56" t="str">
        <f aca="false">IF($W23=0,"",Setup!$D$30-$W23+1)</f>
        <v/>
      </c>
      <c r="O23" s="56" t="str">
        <f aca="false">IF($N23="","",$N23+$J23-1)</f>
        <v/>
      </c>
      <c r="P23" s="57" t="str">
        <f aca="false">IF(OR($N23="",$L23=0),"",ROUND($N23-$L23,6))</f>
        <v/>
      </c>
      <c r="Q23" s="57" t="str">
        <f aca="false">IF($L23=0,"",ROUND(IF(SUMPRODUCT(((($D24:$D$28=$B23)+($E24:$E$28=$B23)+($F24:$F$28=$B23))&gt;0)*1)=0,Setup!$D$30-$M23,(1000000-SUMPRODUCT(MAX(((($D24:$D$28=$B23)+($E24:$E$28=$B23)+($F24:$F$28=$B23))&gt;0)*(1000000-$L24:$L$28))))-$M23-1),6))</f>
        <v/>
      </c>
      <c r="R23" s="58" t="str">
        <f aca="false">IF($L23=0,"",IF(Setup!$D$12="5-day working week",WORKDAY(Setup!$D$11-1,ROUNDUP($L23,0)),Setup!$D$11+ROUNDUP($L23,0)-1))</f>
        <v/>
      </c>
      <c r="S23" s="58" t="str">
        <f aca="false">IF($M23=0,"",IF(Setup!$D$12="5-day working week",WORKDAY(Setup!$D$11-1,ROUNDUP($M23,0)),Setup!$D$11+ROUNDUP($M23,0)-1))</f>
        <v/>
      </c>
      <c r="T23" s="50"/>
      <c r="U23" s="50"/>
      <c r="V23" s="59" t="str">
        <f aca="false">IF($C23="","",IF(COUNTIF($B$7:$B$28,$B23)&gt;1,"Duplicate ID",IF($B23="","Give it an ID",IF(IF($D23="",0,IF(COUNTIF($B$7:$B$28,$D23)=0,1,0))+IF($E23="",0,IF(COUNTIF($B$7:$B$28,$E23)=0,1,0))+IF($F23="",0,IF(COUNTIF($B$7:$B$28,$F23)=0,1,0))&gt;0,"Comes after an ID that is not on the list",IF(IF($D23="",0,IF(COUNTIF($B$7:$B22,$D23)=0,1,0))+IF($E23="",0,IF(COUNTIF($B$7:$B22,$E23)=0,1,0))+IF($F23="",0,IF(COUNTIF($B$7:$B22,$F23)=0,1,0))&gt;0,"Comes after a row BELOW this one - reorder",IF(OR($G23="",$H23="",$I23=""),"Estimates missing",IF(OR($G23&gt;$H23,$H23&gt;$I23),"Estimates out of order - best, likely, worst",IF(AND($P23&lt;0,$P23&lt;=Setup!$D$31),"CRITICAL - BEHIND THE DATE",IF($P23&lt;0,"Behind the required date",IF($P23&lt;=Setup!$D$31,"CRITICAL",IF($T23="Complete","Complete",IF($P23&lt;=Setup!$D$31+Setup!$D$20,"Nearly critical","Has float"))))))))))))</f>
        <v/>
      </c>
      <c r="W23" s="60" t="n">
        <f aca="false">IF(OR($C23="",$J23=""),0,$J23+SUMPRODUCT(MAX(((($D24:$D$28=$B23)+($E24:$E$28=$B23)+($F24:$F$28=$B23))&gt;0)*$W24:$W$28)))</f>
        <v>0</v>
      </c>
      <c r="X23" s="60" t="n">
        <f aca="false">IF($C23="",0,1+MAX(0,IF($D23="",0,IFERROR(INDEX($X$7:$X22,MATCH($D23,$B$7:$B22,0)),0)),IF($E23="",0,IFERROR(INDEX($X$7:$X22,MATCH($E23,$B$7:$B22,0)),0)),IF($F23="",0,IFERROR(INDEX($X$7:$X22,MATCH($F23,$B$7:$B22,0)),0))))</f>
        <v>0</v>
      </c>
      <c r="Y23" s="60" t="n">
        <f aca="false">IF($C23="",0,IF(AND($AK23&gt;0,COUNTIFS($X$7:$X22,$X23,$Y$7:$Y22,$AK23)=0),$AK23,IF(COUNTIFS($X$7:$X22,$X23,$Y$7:$Y22,1)=0,1,IF(COUNTIFS($X$7:$X22,$X23,$Y$7:$Y22,2)=0,2,IF(COUNTIFS($X$7:$X22,$X23,$Y$7:$Y22,3)=0,3,IF(COUNTIFS($X$7:$X22,$X23,$Y$7:$Y22,4)=0,4,IF(COUNTIFS($X$7:$X22,$X23,$Y$7:$Y22,5)=0,5,6)))))))</f>
        <v>0</v>
      </c>
      <c r="Z23" s="0" t="n">
        <v>17</v>
      </c>
      <c r="AA23" s="0" t="str">
        <f aca="false">IF(OR($C23="",$P23=""),"",IF($P23&lt;=Setup!$D$31,COUNTIF($P$7:$P23,"&lt;="&amp;Setup!$D$31),""))</f>
        <v/>
      </c>
      <c r="AB23" s="0" t="str">
        <f aca="false">IF(OR($C23="",$P23=""),"",IF(AND($P23&gt;Setup!$D$31,$P23&lt;=Setup!$D$31+Setup!$D$20),COUNTIFS($P$7:$P23,"&gt;"&amp;Setup!$D$31,$P$7:$P23,"&lt;="&amp;Setup!$D$31+Setup!$D$20),""))</f>
        <v/>
      </c>
      <c r="AC23" s="60" t="n">
        <f aca="false">IF(OR($C23="",$G23="",$I23=""),0,$I23-$G23)</f>
        <v>0</v>
      </c>
      <c r="AD23" s="60" t="n">
        <f aca="false">IF($C23="",0,IF($K23="",0,$K23)+SUMPRODUCT(MAX(((($D24:$D$28=$B23)+($E24:$E$28=$B23)+($F24:$F$28=$B23))&gt;0)*($W24:$W$28=SUMPRODUCT(MAX(((($D24:$D$28=$B23)+($E24:$E$28=$B23)+($F24:$F$28=$B23))&gt;0)*$W24:$W$28)))*$AD24:$AD$28)))</f>
        <v>0</v>
      </c>
      <c r="AE23" s="60" t="n">
        <f aca="false">IF($D23="",0,IFERROR(INDEX($X$7:$X22,MATCH($D23,$B$7:$B22,0)),0))</f>
        <v>0</v>
      </c>
      <c r="AF23" s="60" t="n">
        <f aca="false">IF($E23="",0,IFERROR(INDEX($X$7:$X22,MATCH($E23,$B$7:$B22,0)),0))</f>
        <v>0</v>
      </c>
      <c r="AG23" s="60" t="n">
        <f aca="false">IF($F23="",0,IFERROR(INDEX($X$7:$X22,MATCH($F23,$B$7:$B22,0)),0))</f>
        <v>0</v>
      </c>
      <c r="AH23" s="60" t="n">
        <f aca="false">IF($D23="",0,IFERROR(INDEX($Y$7:$Y22,MATCH($D23,$B$7:$B22,0)),0))</f>
        <v>0</v>
      </c>
      <c r="AI23" s="60" t="n">
        <f aca="false">IF($E23="",0,IFERROR(INDEX($Y$7:$Y22,MATCH($E23,$B$7:$B22,0)),0))</f>
        <v>0</v>
      </c>
      <c r="AJ23" s="60" t="n">
        <f aca="false">IF($F23="",0,IFERROR(INDEX($Y$7:$Y22,MATCH($F23,$B$7:$B22,0)),0))</f>
        <v>0</v>
      </c>
      <c r="AK23" s="60" t="n">
        <f aca="false">IF($C23="",0,IF(IF(AND($AE23&gt;0,$AE23=$X23-1),$AH23,IF(AND($AF23&gt;0,$AF23=$X23-1),$AI23,IF(AND($AG23&gt;0,$AG23=$X23-1),$AJ23,0)))&gt;0,IF(AND($AE23&gt;0,$AE23=$X23-1),$AH23,IF(AND($AF23&gt;0,$AF23=$X23-1),$AI23,IF(AND($AG23&gt;0,$AG23=$X23-1),$AJ23,0))),IF($AE23&gt;0,$AH23,IF($AF23&gt;0,$AI23,IF($AG23&gt;0,$AJ23,0)))))</f>
        <v>0</v>
      </c>
      <c r="AL23" s="60" t="n">
        <f aca="false">IF(OR($C23="",$B23=""),0,IF(COUNTIF($D$7:$D$28,$B23)+COUNTIF($E$7:$E$28,$B23)+COUNTIF($F$7:$F$28,$B23)&gt;0,0,1))</f>
        <v>0</v>
      </c>
    </row>
    <row r="24" customFormat="false" ht="46.5" hidden="false" customHeight="true" outlineLevel="0" collapsed="false">
      <c r="B24" s="61"/>
      <c r="C24" s="62"/>
      <c r="D24" s="63"/>
      <c r="E24" s="63"/>
      <c r="F24" s="63"/>
      <c r="G24" s="64"/>
      <c r="H24" s="64"/>
      <c r="I24" s="64"/>
      <c r="J24" s="53" t="str">
        <f aca="false">IF(OR($C24="",$G24="",$H24="",$I24=""),"",IF(Setup!$D$17="Triangular",($G24+$H24+$I24)/3,($G24+4*$H24+$I24)/6))</f>
        <v/>
      </c>
      <c r="K24" s="54" t="str">
        <f aca="false">IF($J24="","",IF(Setup!$D$17="Triangular",($G24^2+$H24^2+$I24^2-$G24*$H24-$G24*$I24-$H24*$I24)/18,(($I24-$G24)/6)^2))</f>
        <v/>
      </c>
      <c r="L24" s="55" t="n">
        <f aca="false">IF(OR($C24="",$J24=""),0,MAX(1,IF($D24="",0,IFERROR(INDEX($M$7:$M23,MATCH($D24,$B$7:$B23,0)),0))+1,IF($E24="",0,IFERROR(INDEX($M$7:$M23,MATCH($E24,$B$7:$B23,0)),0))+1,IF($F24="",0,IFERROR(INDEX($M$7:$M23,MATCH($F24,$B$7:$B23,0)),0))+1))</f>
        <v>0</v>
      </c>
      <c r="M24" s="55" t="n">
        <f aca="false">IF($L24=0,0,$L24+$J24-1)</f>
        <v>0</v>
      </c>
      <c r="N24" s="56" t="str">
        <f aca="false">IF($W24=0,"",Setup!$D$30-$W24+1)</f>
        <v/>
      </c>
      <c r="O24" s="56" t="str">
        <f aca="false">IF($N24="","",$N24+$J24-1)</f>
        <v/>
      </c>
      <c r="P24" s="57" t="str">
        <f aca="false">IF(OR($N24="",$L24=0),"",ROUND($N24-$L24,6))</f>
        <v/>
      </c>
      <c r="Q24" s="57" t="str">
        <f aca="false">IF($L24=0,"",ROUND(IF(SUMPRODUCT(((($D25:$D$28=$B24)+($E25:$E$28=$B24)+($F25:$F$28=$B24))&gt;0)*1)=0,Setup!$D$30-$M24,(1000000-SUMPRODUCT(MAX(((($D25:$D$28=$B24)+($E25:$E$28=$B24)+($F25:$F$28=$B24))&gt;0)*(1000000-$L25:$L$28))))-$M24-1),6))</f>
        <v/>
      </c>
      <c r="R24" s="58" t="str">
        <f aca="false">IF($L24=0,"",IF(Setup!$D$12="5-day working week",WORKDAY(Setup!$D$11-1,ROUNDUP($L24,0)),Setup!$D$11+ROUNDUP($L24,0)-1))</f>
        <v/>
      </c>
      <c r="S24" s="58" t="str">
        <f aca="false">IF($M24=0,"",IF(Setup!$D$12="5-day working week",WORKDAY(Setup!$D$11-1,ROUNDUP($M24,0)),Setup!$D$11+ROUNDUP($M24,0)-1))</f>
        <v/>
      </c>
      <c r="T24" s="62"/>
      <c r="U24" s="62"/>
      <c r="V24" s="59" t="str">
        <f aca="false">IF($C24="","",IF(COUNTIF($B$7:$B$28,$B24)&gt;1,"Duplicate ID",IF($B24="","Give it an ID",IF(IF($D24="",0,IF(COUNTIF($B$7:$B$28,$D24)=0,1,0))+IF($E24="",0,IF(COUNTIF($B$7:$B$28,$E24)=0,1,0))+IF($F24="",0,IF(COUNTIF($B$7:$B$28,$F24)=0,1,0))&gt;0,"Comes after an ID that is not on the list",IF(IF($D24="",0,IF(COUNTIF($B$7:$B23,$D24)=0,1,0))+IF($E24="",0,IF(COUNTIF($B$7:$B23,$E24)=0,1,0))+IF($F24="",0,IF(COUNTIF($B$7:$B23,$F24)=0,1,0))&gt;0,"Comes after a row BELOW this one - reorder",IF(OR($G24="",$H24="",$I24=""),"Estimates missing",IF(OR($G24&gt;$H24,$H24&gt;$I24),"Estimates out of order - best, likely, worst",IF(AND($P24&lt;0,$P24&lt;=Setup!$D$31),"CRITICAL - BEHIND THE DATE",IF($P24&lt;0,"Behind the required date",IF($P24&lt;=Setup!$D$31,"CRITICAL",IF($T24="Complete","Complete",IF($P24&lt;=Setup!$D$31+Setup!$D$20,"Nearly critical","Has float"))))))))))))</f>
        <v/>
      </c>
      <c r="W24" s="60" t="n">
        <f aca="false">IF(OR($C24="",$J24=""),0,$J24+SUMPRODUCT(MAX(((($D25:$D$28=$B24)+($E25:$E$28=$B24)+($F25:$F$28=$B24))&gt;0)*$W25:$W$28)))</f>
        <v>0</v>
      </c>
      <c r="X24" s="60" t="n">
        <f aca="false">IF($C24="",0,1+MAX(0,IF($D24="",0,IFERROR(INDEX($X$7:$X23,MATCH($D24,$B$7:$B23,0)),0)),IF($E24="",0,IFERROR(INDEX($X$7:$X23,MATCH($E24,$B$7:$B23,0)),0)),IF($F24="",0,IFERROR(INDEX($X$7:$X23,MATCH($F24,$B$7:$B23,0)),0))))</f>
        <v>0</v>
      </c>
      <c r="Y24" s="60" t="n">
        <f aca="false">IF($C24="",0,IF(AND($AK24&gt;0,COUNTIFS($X$7:$X23,$X24,$Y$7:$Y23,$AK24)=0),$AK24,IF(COUNTIFS($X$7:$X23,$X24,$Y$7:$Y23,1)=0,1,IF(COUNTIFS($X$7:$X23,$X24,$Y$7:$Y23,2)=0,2,IF(COUNTIFS($X$7:$X23,$X24,$Y$7:$Y23,3)=0,3,IF(COUNTIFS($X$7:$X23,$X24,$Y$7:$Y23,4)=0,4,IF(COUNTIFS($X$7:$X23,$X24,$Y$7:$Y23,5)=0,5,6)))))))</f>
        <v>0</v>
      </c>
      <c r="Z24" s="0" t="n">
        <v>18</v>
      </c>
      <c r="AA24" s="0" t="str">
        <f aca="false">IF(OR($C24="",$P24=""),"",IF($P24&lt;=Setup!$D$31,COUNTIF($P$7:$P24,"&lt;="&amp;Setup!$D$31),""))</f>
        <v/>
      </c>
      <c r="AB24" s="0" t="str">
        <f aca="false">IF(OR($C24="",$P24=""),"",IF(AND($P24&gt;Setup!$D$31,$P24&lt;=Setup!$D$31+Setup!$D$20),COUNTIFS($P$7:$P24,"&gt;"&amp;Setup!$D$31,$P$7:$P24,"&lt;="&amp;Setup!$D$31+Setup!$D$20),""))</f>
        <v/>
      </c>
      <c r="AC24" s="60" t="n">
        <f aca="false">IF(OR($C24="",$G24="",$I24=""),0,$I24-$G24)</f>
        <v>0</v>
      </c>
      <c r="AD24" s="60" t="n">
        <f aca="false">IF($C24="",0,IF($K24="",0,$K24)+SUMPRODUCT(MAX(((($D25:$D$28=$B24)+($E25:$E$28=$B24)+($F25:$F$28=$B24))&gt;0)*($W25:$W$28=SUMPRODUCT(MAX(((($D25:$D$28=$B24)+($E25:$E$28=$B24)+($F25:$F$28=$B24))&gt;0)*$W25:$W$28)))*$AD25:$AD$28)))</f>
        <v>0</v>
      </c>
      <c r="AE24" s="60" t="n">
        <f aca="false">IF($D24="",0,IFERROR(INDEX($X$7:$X23,MATCH($D24,$B$7:$B23,0)),0))</f>
        <v>0</v>
      </c>
      <c r="AF24" s="60" t="n">
        <f aca="false">IF($E24="",0,IFERROR(INDEX($X$7:$X23,MATCH($E24,$B$7:$B23,0)),0))</f>
        <v>0</v>
      </c>
      <c r="AG24" s="60" t="n">
        <f aca="false">IF($F24="",0,IFERROR(INDEX($X$7:$X23,MATCH($F24,$B$7:$B23,0)),0))</f>
        <v>0</v>
      </c>
      <c r="AH24" s="60" t="n">
        <f aca="false">IF($D24="",0,IFERROR(INDEX($Y$7:$Y23,MATCH($D24,$B$7:$B23,0)),0))</f>
        <v>0</v>
      </c>
      <c r="AI24" s="60" t="n">
        <f aca="false">IF($E24="",0,IFERROR(INDEX($Y$7:$Y23,MATCH($E24,$B$7:$B23,0)),0))</f>
        <v>0</v>
      </c>
      <c r="AJ24" s="60" t="n">
        <f aca="false">IF($F24="",0,IFERROR(INDEX($Y$7:$Y23,MATCH($F24,$B$7:$B23,0)),0))</f>
        <v>0</v>
      </c>
      <c r="AK24" s="60" t="n">
        <f aca="false">IF($C24="",0,IF(IF(AND($AE24&gt;0,$AE24=$X24-1),$AH24,IF(AND($AF24&gt;0,$AF24=$X24-1),$AI24,IF(AND($AG24&gt;0,$AG24=$X24-1),$AJ24,0)))&gt;0,IF(AND($AE24&gt;0,$AE24=$X24-1),$AH24,IF(AND($AF24&gt;0,$AF24=$X24-1),$AI24,IF(AND($AG24&gt;0,$AG24=$X24-1),$AJ24,0))),IF($AE24&gt;0,$AH24,IF($AF24&gt;0,$AI24,IF($AG24&gt;0,$AJ24,0)))))</f>
        <v>0</v>
      </c>
      <c r="AL24" s="60" t="n">
        <f aca="false">IF(OR($C24="",$B24=""),0,IF(COUNTIF($D$7:$D$28,$B24)+COUNTIF($E$7:$E$28,$B24)+COUNTIF($F$7:$F$28,$B24)&gt;0,0,1))</f>
        <v>0</v>
      </c>
    </row>
    <row r="25" customFormat="false" ht="46.5" hidden="false" customHeight="true" outlineLevel="0" collapsed="false">
      <c r="B25" s="49"/>
      <c r="C25" s="50"/>
      <c r="D25" s="51"/>
      <c r="E25" s="51"/>
      <c r="F25" s="51"/>
      <c r="G25" s="52"/>
      <c r="H25" s="52"/>
      <c r="I25" s="52"/>
      <c r="J25" s="53" t="str">
        <f aca="false">IF(OR($C25="",$G25="",$H25="",$I25=""),"",IF(Setup!$D$17="Triangular",($G25+$H25+$I25)/3,($G25+4*$H25+$I25)/6))</f>
        <v/>
      </c>
      <c r="K25" s="54" t="str">
        <f aca="false">IF($J25="","",IF(Setup!$D$17="Triangular",($G25^2+$H25^2+$I25^2-$G25*$H25-$G25*$I25-$H25*$I25)/18,(($I25-$G25)/6)^2))</f>
        <v/>
      </c>
      <c r="L25" s="55" t="n">
        <f aca="false">IF(OR($C25="",$J25=""),0,MAX(1,IF($D25="",0,IFERROR(INDEX($M$7:$M24,MATCH($D25,$B$7:$B24,0)),0))+1,IF($E25="",0,IFERROR(INDEX($M$7:$M24,MATCH($E25,$B$7:$B24,0)),0))+1,IF($F25="",0,IFERROR(INDEX($M$7:$M24,MATCH($F25,$B$7:$B24,0)),0))+1))</f>
        <v>0</v>
      </c>
      <c r="M25" s="55" t="n">
        <f aca="false">IF($L25=0,0,$L25+$J25-1)</f>
        <v>0</v>
      </c>
      <c r="N25" s="56" t="str">
        <f aca="false">IF($W25=0,"",Setup!$D$30-$W25+1)</f>
        <v/>
      </c>
      <c r="O25" s="56" t="str">
        <f aca="false">IF($N25="","",$N25+$J25-1)</f>
        <v/>
      </c>
      <c r="P25" s="57" t="str">
        <f aca="false">IF(OR($N25="",$L25=0),"",ROUND($N25-$L25,6))</f>
        <v/>
      </c>
      <c r="Q25" s="57" t="str">
        <f aca="false">IF($L25=0,"",ROUND(IF(SUMPRODUCT(((($D26:$D$28=$B25)+($E26:$E$28=$B25)+($F26:$F$28=$B25))&gt;0)*1)=0,Setup!$D$30-$M25,(1000000-SUMPRODUCT(MAX(((($D26:$D$28=$B25)+($E26:$E$28=$B25)+($F26:$F$28=$B25))&gt;0)*(1000000-$L26:$L$28))))-$M25-1),6))</f>
        <v/>
      </c>
      <c r="R25" s="58" t="str">
        <f aca="false">IF($L25=0,"",IF(Setup!$D$12="5-day working week",WORKDAY(Setup!$D$11-1,ROUNDUP($L25,0)),Setup!$D$11+ROUNDUP($L25,0)-1))</f>
        <v/>
      </c>
      <c r="S25" s="58" t="str">
        <f aca="false">IF($M25=0,"",IF(Setup!$D$12="5-day working week",WORKDAY(Setup!$D$11-1,ROUNDUP($M25,0)),Setup!$D$11+ROUNDUP($M25,0)-1))</f>
        <v/>
      </c>
      <c r="T25" s="50"/>
      <c r="U25" s="50"/>
      <c r="V25" s="59" t="str">
        <f aca="false">IF($C25="","",IF(COUNTIF($B$7:$B$28,$B25)&gt;1,"Duplicate ID",IF($B25="","Give it an ID",IF(IF($D25="",0,IF(COUNTIF($B$7:$B$28,$D25)=0,1,0))+IF($E25="",0,IF(COUNTIF($B$7:$B$28,$E25)=0,1,0))+IF($F25="",0,IF(COUNTIF($B$7:$B$28,$F25)=0,1,0))&gt;0,"Comes after an ID that is not on the list",IF(IF($D25="",0,IF(COUNTIF($B$7:$B24,$D25)=0,1,0))+IF($E25="",0,IF(COUNTIF($B$7:$B24,$E25)=0,1,0))+IF($F25="",0,IF(COUNTIF($B$7:$B24,$F25)=0,1,0))&gt;0,"Comes after a row BELOW this one - reorder",IF(OR($G25="",$H25="",$I25=""),"Estimates missing",IF(OR($G25&gt;$H25,$H25&gt;$I25),"Estimates out of order - best, likely, worst",IF(AND($P25&lt;0,$P25&lt;=Setup!$D$31),"CRITICAL - BEHIND THE DATE",IF($P25&lt;0,"Behind the required date",IF($P25&lt;=Setup!$D$31,"CRITICAL",IF($T25="Complete","Complete",IF($P25&lt;=Setup!$D$31+Setup!$D$20,"Nearly critical","Has float"))))))))))))</f>
        <v/>
      </c>
      <c r="W25" s="60" t="n">
        <f aca="false">IF(OR($C25="",$J25=""),0,$J25+SUMPRODUCT(MAX(((($D26:$D$28=$B25)+($E26:$E$28=$B25)+($F26:$F$28=$B25))&gt;0)*$W26:$W$28)))</f>
        <v>0</v>
      </c>
      <c r="X25" s="60" t="n">
        <f aca="false">IF($C25="",0,1+MAX(0,IF($D25="",0,IFERROR(INDEX($X$7:$X24,MATCH($D25,$B$7:$B24,0)),0)),IF($E25="",0,IFERROR(INDEX($X$7:$X24,MATCH($E25,$B$7:$B24,0)),0)),IF($F25="",0,IFERROR(INDEX($X$7:$X24,MATCH($F25,$B$7:$B24,0)),0))))</f>
        <v>0</v>
      </c>
      <c r="Y25" s="60" t="n">
        <f aca="false">IF($C25="",0,IF(AND($AK25&gt;0,COUNTIFS($X$7:$X24,$X25,$Y$7:$Y24,$AK25)=0),$AK25,IF(COUNTIFS($X$7:$X24,$X25,$Y$7:$Y24,1)=0,1,IF(COUNTIFS($X$7:$X24,$X25,$Y$7:$Y24,2)=0,2,IF(COUNTIFS($X$7:$X24,$X25,$Y$7:$Y24,3)=0,3,IF(COUNTIFS($X$7:$X24,$X25,$Y$7:$Y24,4)=0,4,IF(COUNTIFS($X$7:$X24,$X25,$Y$7:$Y24,5)=0,5,6)))))))</f>
        <v>0</v>
      </c>
      <c r="Z25" s="0" t="n">
        <v>19</v>
      </c>
      <c r="AA25" s="0" t="str">
        <f aca="false">IF(OR($C25="",$P25=""),"",IF($P25&lt;=Setup!$D$31,COUNTIF($P$7:$P25,"&lt;="&amp;Setup!$D$31),""))</f>
        <v/>
      </c>
      <c r="AB25" s="0" t="str">
        <f aca="false">IF(OR($C25="",$P25=""),"",IF(AND($P25&gt;Setup!$D$31,$P25&lt;=Setup!$D$31+Setup!$D$20),COUNTIFS($P$7:$P25,"&gt;"&amp;Setup!$D$31,$P$7:$P25,"&lt;="&amp;Setup!$D$31+Setup!$D$20),""))</f>
        <v/>
      </c>
      <c r="AC25" s="60" t="n">
        <f aca="false">IF(OR($C25="",$G25="",$I25=""),0,$I25-$G25)</f>
        <v>0</v>
      </c>
      <c r="AD25" s="60" t="n">
        <f aca="false">IF($C25="",0,IF($K25="",0,$K25)+SUMPRODUCT(MAX(((($D26:$D$28=$B25)+($E26:$E$28=$B25)+($F26:$F$28=$B25))&gt;0)*($W26:$W$28=SUMPRODUCT(MAX(((($D26:$D$28=$B25)+($E26:$E$28=$B25)+($F26:$F$28=$B25))&gt;0)*$W26:$W$28)))*$AD26:$AD$28)))</f>
        <v>0</v>
      </c>
      <c r="AE25" s="60" t="n">
        <f aca="false">IF($D25="",0,IFERROR(INDEX($X$7:$X24,MATCH($D25,$B$7:$B24,0)),0))</f>
        <v>0</v>
      </c>
      <c r="AF25" s="60" t="n">
        <f aca="false">IF($E25="",0,IFERROR(INDEX($X$7:$X24,MATCH($E25,$B$7:$B24,0)),0))</f>
        <v>0</v>
      </c>
      <c r="AG25" s="60" t="n">
        <f aca="false">IF($F25="",0,IFERROR(INDEX($X$7:$X24,MATCH($F25,$B$7:$B24,0)),0))</f>
        <v>0</v>
      </c>
      <c r="AH25" s="60" t="n">
        <f aca="false">IF($D25="",0,IFERROR(INDEX($Y$7:$Y24,MATCH($D25,$B$7:$B24,0)),0))</f>
        <v>0</v>
      </c>
      <c r="AI25" s="60" t="n">
        <f aca="false">IF($E25="",0,IFERROR(INDEX($Y$7:$Y24,MATCH($E25,$B$7:$B24,0)),0))</f>
        <v>0</v>
      </c>
      <c r="AJ25" s="60" t="n">
        <f aca="false">IF($F25="",0,IFERROR(INDEX($Y$7:$Y24,MATCH($F25,$B$7:$B24,0)),0))</f>
        <v>0</v>
      </c>
      <c r="AK25" s="60" t="n">
        <f aca="false">IF($C25="",0,IF(IF(AND($AE25&gt;0,$AE25=$X25-1),$AH25,IF(AND($AF25&gt;0,$AF25=$X25-1),$AI25,IF(AND($AG25&gt;0,$AG25=$X25-1),$AJ25,0)))&gt;0,IF(AND($AE25&gt;0,$AE25=$X25-1),$AH25,IF(AND($AF25&gt;0,$AF25=$X25-1),$AI25,IF(AND($AG25&gt;0,$AG25=$X25-1),$AJ25,0))),IF($AE25&gt;0,$AH25,IF($AF25&gt;0,$AI25,IF($AG25&gt;0,$AJ25,0)))))</f>
        <v>0</v>
      </c>
      <c r="AL25" s="60" t="n">
        <f aca="false">IF(OR($C25="",$B25=""),0,IF(COUNTIF($D$7:$D$28,$B25)+COUNTIF($E$7:$E$28,$B25)+COUNTIF($F$7:$F$28,$B25)&gt;0,0,1))</f>
        <v>0</v>
      </c>
    </row>
    <row r="26" customFormat="false" ht="46.5" hidden="false" customHeight="true" outlineLevel="0" collapsed="false">
      <c r="B26" s="61"/>
      <c r="C26" s="62"/>
      <c r="D26" s="63"/>
      <c r="E26" s="63"/>
      <c r="F26" s="63"/>
      <c r="G26" s="64"/>
      <c r="H26" s="64"/>
      <c r="I26" s="64"/>
      <c r="J26" s="53" t="str">
        <f aca="false">IF(OR($C26="",$G26="",$H26="",$I26=""),"",IF(Setup!$D$17="Triangular",($G26+$H26+$I26)/3,($G26+4*$H26+$I26)/6))</f>
        <v/>
      </c>
      <c r="K26" s="54" t="str">
        <f aca="false">IF($J26="","",IF(Setup!$D$17="Triangular",($G26^2+$H26^2+$I26^2-$G26*$H26-$G26*$I26-$H26*$I26)/18,(($I26-$G26)/6)^2))</f>
        <v/>
      </c>
      <c r="L26" s="55" t="n">
        <f aca="false">IF(OR($C26="",$J26=""),0,MAX(1,IF($D26="",0,IFERROR(INDEX($M$7:$M25,MATCH($D26,$B$7:$B25,0)),0))+1,IF($E26="",0,IFERROR(INDEX($M$7:$M25,MATCH($E26,$B$7:$B25,0)),0))+1,IF($F26="",0,IFERROR(INDEX($M$7:$M25,MATCH($F26,$B$7:$B25,0)),0))+1))</f>
        <v>0</v>
      </c>
      <c r="M26" s="55" t="n">
        <f aca="false">IF($L26=0,0,$L26+$J26-1)</f>
        <v>0</v>
      </c>
      <c r="N26" s="56" t="str">
        <f aca="false">IF($W26=0,"",Setup!$D$30-$W26+1)</f>
        <v/>
      </c>
      <c r="O26" s="56" t="str">
        <f aca="false">IF($N26="","",$N26+$J26-1)</f>
        <v/>
      </c>
      <c r="P26" s="57" t="str">
        <f aca="false">IF(OR($N26="",$L26=0),"",ROUND($N26-$L26,6))</f>
        <v/>
      </c>
      <c r="Q26" s="57" t="str">
        <f aca="false">IF($L26=0,"",ROUND(IF(SUMPRODUCT(((($D27:$D$28=$B26)+($E27:$E$28=$B26)+($F27:$F$28=$B26))&gt;0)*1)=0,Setup!$D$30-$M26,(1000000-SUMPRODUCT(MAX(((($D27:$D$28=$B26)+($E27:$E$28=$B26)+($F27:$F$28=$B26))&gt;0)*(1000000-$L27:$L$28))))-$M26-1),6))</f>
        <v/>
      </c>
      <c r="R26" s="58" t="str">
        <f aca="false">IF($L26=0,"",IF(Setup!$D$12="5-day working week",WORKDAY(Setup!$D$11-1,ROUNDUP($L26,0)),Setup!$D$11+ROUNDUP($L26,0)-1))</f>
        <v/>
      </c>
      <c r="S26" s="58" t="str">
        <f aca="false">IF($M26=0,"",IF(Setup!$D$12="5-day working week",WORKDAY(Setup!$D$11-1,ROUNDUP($M26,0)),Setup!$D$11+ROUNDUP($M26,0)-1))</f>
        <v/>
      </c>
      <c r="T26" s="62"/>
      <c r="U26" s="62"/>
      <c r="V26" s="59" t="str">
        <f aca="false">IF($C26="","",IF(COUNTIF($B$7:$B$28,$B26)&gt;1,"Duplicate ID",IF($B26="","Give it an ID",IF(IF($D26="",0,IF(COUNTIF($B$7:$B$28,$D26)=0,1,0))+IF($E26="",0,IF(COUNTIF($B$7:$B$28,$E26)=0,1,0))+IF($F26="",0,IF(COUNTIF($B$7:$B$28,$F26)=0,1,0))&gt;0,"Comes after an ID that is not on the list",IF(IF($D26="",0,IF(COUNTIF($B$7:$B25,$D26)=0,1,0))+IF($E26="",0,IF(COUNTIF($B$7:$B25,$E26)=0,1,0))+IF($F26="",0,IF(COUNTIF($B$7:$B25,$F26)=0,1,0))&gt;0,"Comes after a row BELOW this one - reorder",IF(OR($G26="",$H26="",$I26=""),"Estimates missing",IF(OR($G26&gt;$H26,$H26&gt;$I26),"Estimates out of order - best, likely, worst",IF(AND($P26&lt;0,$P26&lt;=Setup!$D$31),"CRITICAL - BEHIND THE DATE",IF($P26&lt;0,"Behind the required date",IF($P26&lt;=Setup!$D$31,"CRITICAL",IF($T26="Complete","Complete",IF($P26&lt;=Setup!$D$31+Setup!$D$20,"Nearly critical","Has float"))))))))))))</f>
        <v/>
      </c>
      <c r="W26" s="60" t="n">
        <f aca="false">IF(OR($C26="",$J26=""),0,$J26+SUMPRODUCT(MAX(((($D27:$D$28=$B26)+($E27:$E$28=$B26)+($F27:$F$28=$B26))&gt;0)*$W27:$W$28)))</f>
        <v>0</v>
      </c>
      <c r="X26" s="60" t="n">
        <f aca="false">IF($C26="",0,1+MAX(0,IF($D26="",0,IFERROR(INDEX($X$7:$X25,MATCH($D26,$B$7:$B25,0)),0)),IF($E26="",0,IFERROR(INDEX($X$7:$X25,MATCH($E26,$B$7:$B25,0)),0)),IF($F26="",0,IFERROR(INDEX($X$7:$X25,MATCH($F26,$B$7:$B25,0)),0))))</f>
        <v>0</v>
      </c>
      <c r="Y26" s="60" t="n">
        <f aca="false">IF($C26="",0,IF(AND($AK26&gt;0,COUNTIFS($X$7:$X25,$X26,$Y$7:$Y25,$AK26)=0),$AK26,IF(COUNTIFS($X$7:$X25,$X26,$Y$7:$Y25,1)=0,1,IF(COUNTIFS($X$7:$X25,$X26,$Y$7:$Y25,2)=0,2,IF(COUNTIFS($X$7:$X25,$X26,$Y$7:$Y25,3)=0,3,IF(COUNTIFS($X$7:$X25,$X26,$Y$7:$Y25,4)=0,4,IF(COUNTIFS($X$7:$X25,$X26,$Y$7:$Y25,5)=0,5,6)))))))</f>
        <v>0</v>
      </c>
      <c r="Z26" s="0" t="n">
        <v>20</v>
      </c>
      <c r="AA26" s="0" t="str">
        <f aca="false">IF(OR($C26="",$P26=""),"",IF($P26&lt;=Setup!$D$31,COUNTIF($P$7:$P26,"&lt;="&amp;Setup!$D$31),""))</f>
        <v/>
      </c>
      <c r="AB26" s="0" t="str">
        <f aca="false">IF(OR($C26="",$P26=""),"",IF(AND($P26&gt;Setup!$D$31,$P26&lt;=Setup!$D$31+Setup!$D$20),COUNTIFS($P$7:$P26,"&gt;"&amp;Setup!$D$31,$P$7:$P26,"&lt;="&amp;Setup!$D$31+Setup!$D$20),""))</f>
        <v/>
      </c>
      <c r="AC26" s="60" t="n">
        <f aca="false">IF(OR($C26="",$G26="",$I26=""),0,$I26-$G26)</f>
        <v>0</v>
      </c>
      <c r="AD26" s="60" t="n">
        <f aca="false">IF($C26="",0,IF($K26="",0,$K26)+SUMPRODUCT(MAX(((($D27:$D$28=$B26)+($E27:$E$28=$B26)+($F27:$F$28=$B26))&gt;0)*($W27:$W$28=SUMPRODUCT(MAX(((($D27:$D$28=$B26)+($E27:$E$28=$B26)+($F27:$F$28=$B26))&gt;0)*$W27:$W$28)))*$AD27:$AD$28)))</f>
        <v>0</v>
      </c>
      <c r="AE26" s="60" t="n">
        <f aca="false">IF($D26="",0,IFERROR(INDEX($X$7:$X25,MATCH($D26,$B$7:$B25,0)),0))</f>
        <v>0</v>
      </c>
      <c r="AF26" s="60" t="n">
        <f aca="false">IF($E26="",0,IFERROR(INDEX($X$7:$X25,MATCH($E26,$B$7:$B25,0)),0))</f>
        <v>0</v>
      </c>
      <c r="AG26" s="60" t="n">
        <f aca="false">IF($F26="",0,IFERROR(INDEX($X$7:$X25,MATCH($F26,$B$7:$B25,0)),0))</f>
        <v>0</v>
      </c>
      <c r="AH26" s="60" t="n">
        <f aca="false">IF($D26="",0,IFERROR(INDEX($Y$7:$Y25,MATCH($D26,$B$7:$B25,0)),0))</f>
        <v>0</v>
      </c>
      <c r="AI26" s="60" t="n">
        <f aca="false">IF($E26="",0,IFERROR(INDEX($Y$7:$Y25,MATCH($E26,$B$7:$B25,0)),0))</f>
        <v>0</v>
      </c>
      <c r="AJ26" s="60" t="n">
        <f aca="false">IF($F26="",0,IFERROR(INDEX($Y$7:$Y25,MATCH($F26,$B$7:$B25,0)),0))</f>
        <v>0</v>
      </c>
      <c r="AK26" s="60" t="n">
        <f aca="false">IF($C26="",0,IF(IF(AND($AE26&gt;0,$AE26=$X26-1),$AH26,IF(AND($AF26&gt;0,$AF26=$X26-1),$AI26,IF(AND($AG26&gt;0,$AG26=$X26-1),$AJ26,0)))&gt;0,IF(AND($AE26&gt;0,$AE26=$X26-1),$AH26,IF(AND($AF26&gt;0,$AF26=$X26-1),$AI26,IF(AND($AG26&gt;0,$AG26=$X26-1),$AJ26,0))),IF($AE26&gt;0,$AH26,IF($AF26&gt;0,$AI26,IF($AG26&gt;0,$AJ26,0)))))</f>
        <v>0</v>
      </c>
      <c r="AL26" s="60" t="n">
        <f aca="false">IF(OR($C26="",$B26=""),0,IF(COUNTIF($D$7:$D$28,$B26)+COUNTIF($E$7:$E$28,$B26)+COUNTIF($F$7:$F$28,$B26)&gt;0,0,1))</f>
        <v>0</v>
      </c>
    </row>
    <row r="27" customFormat="false" ht="46.5" hidden="false" customHeight="true" outlineLevel="0" collapsed="false">
      <c r="B27" s="49"/>
      <c r="C27" s="50"/>
      <c r="D27" s="51"/>
      <c r="E27" s="51"/>
      <c r="F27" s="51"/>
      <c r="G27" s="52"/>
      <c r="H27" s="52"/>
      <c r="I27" s="52"/>
      <c r="J27" s="53" t="str">
        <f aca="false">IF(OR($C27="",$G27="",$H27="",$I27=""),"",IF(Setup!$D$17="Triangular",($G27+$H27+$I27)/3,($G27+4*$H27+$I27)/6))</f>
        <v/>
      </c>
      <c r="K27" s="54" t="str">
        <f aca="false">IF($J27="","",IF(Setup!$D$17="Triangular",($G27^2+$H27^2+$I27^2-$G27*$H27-$G27*$I27-$H27*$I27)/18,(($I27-$G27)/6)^2))</f>
        <v/>
      </c>
      <c r="L27" s="55" t="n">
        <f aca="false">IF(OR($C27="",$J27=""),0,MAX(1,IF($D27="",0,IFERROR(INDEX($M$7:$M26,MATCH($D27,$B$7:$B26,0)),0))+1,IF($E27="",0,IFERROR(INDEX($M$7:$M26,MATCH($E27,$B$7:$B26,0)),0))+1,IF($F27="",0,IFERROR(INDEX($M$7:$M26,MATCH($F27,$B$7:$B26,0)),0))+1))</f>
        <v>0</v>
      </c>
      <c r="M27" s="55" t="n">
        <f aca="false">IF($L27=0,0,$L27+$J27-1)</f>
        <v>0</v>
      </c>
      <c r="N27" s="56" t="str">
        <f aca="false">IF($W27=0,"",Setup!$D$30-$W27+1)</f>
        <v/>
      </c>
      <c r="O27" s="56" t="str">
        <f aca="false">IF($N27="","",$N27+$J27-1)</f>
        <v/>
      </c>
      <c r="P27" s="57" t="str">
        <f aca="false">IF(OR($N27="",$L27=0),"",ROUND($N27-$L27,6))</f>
        <v/>
      </c>
      <c r="Q27" s="57" t="str">
        <f aca="false">IF($L27=0,"",ROUND(IF(SUMPRODUCT(((($D28:$D$28=$B27)+($E28:$E$28=$B27)+($F28:$F$28=$B27))&gt;0)*1)=0,Setup!$D$30-$M27,(1000000-SUMPRODUCT(MAX(((($D28:$D$28=$B27)+($E28:$E$28=$B27)+($F28:$F$28=$B27))&gt;0)*(1000000-$L28:$L$28))))-$M27-1),6))</f>
        <v/>
      </c>
      <c r="R27" s="58" t="str">
        <f aca="false">IF($L27=0,"",IF(Setup!$D$12="5-day working week",WORKDAY(Setup!$D$11-1,ROUNDUP($L27,0)),Setup!$D$11+ROUNDUP($L27,0)-1))</f>
        <v/>
      </c>
      <c r="S27" s="58" t="str">
        <f aca="false">IF($M27=0,"",IF(Setup!$D$12="5-day working week",WORKDAY(Setup!$D$11-1,ROUNDUP($M27,0)),Setup!$D$11+ROUNDUP($M27,0)-1))</f>
        <v/>
      </c>
      <c r="T27" s="50"/>
      <c r="U27" s="50"/>
      <c r="V27" s="59" t="str">
        <f aca="false">IF($C27="","",IF(COUNTIF($B$7:$B$28,$B27)&gt;1,"Duplicate ID",IF($B27="","Give it an ID",IF(IF($D27="",0,IF(COUNTIF($B$7:$B$28,$D27)=0,1,0))+IF($E27="",0,IF(COUNTIF($B$7:$B$28,$E27)=0,1,0))+IF($F27="",0,IF(COUNTIF($B$7:$B$28,$F27)=0,1,0))&gt;0,"Comes after an ID that is not on the list",IF(IF($D27="",0,IF(COUNTIF($B$7:$B26,$D27)=0,1,0))+IF($E27="",0,IF(COUNTIF($B$7:$B26,$E27)=0,1,0))+IF($F27="",0,IF(COUNTIF($B$7:$B26,$F27)=0,1,0))&gt;0,"Comes after a row BELOW this one - reorder",IF(OR($G27="",$H27="",$I27=""),"Estimates missing",IF(OR($G27&gt;$H27,$H27&gt;$I27),"Estimates out of order - best, likely, worst",IF(AND($P27&lt;0,$P27&lt;=Setup!$D$31),"CRITICAL - BEHIND THE DATE",IF($P27&lt;0,"Behind the required date",IF($P27&lt;=Setup!$D$31,"CRITICAL",IF($T27="Complete","Complete",IF($P27&lt;=Setup!$D$31+Setup!$D$20,"Nearly critical","Has float"))))))))))))</f>
        <v/>
      </c>
      <c r="W27" s="60" t="n">
        <f aca="false">IF(OR($C27="",$J27=""),0,$J27+SUMPRODUCT(MAX(((($D28:$D$28=$B27)+($E28:$E$28=$B27)+($F28:$F$28=$B27))&gt;0)*$W28:$W$28)))</f>
        <v>0</v>
      </c>
      <c r="X27" s="60" t="n">
        <f aca="false">IF($C27="",0,1+MAX(0,IF($D27="",0,IFERROR(INDEX($X$7:$X26,MATCH($D27,$B$7:$B26,0)),0)),IF($E27="",0,IFERROR(INDEX($X$7:$X26,MATCH($E27,$B$7:$B26,0)),0)),IF($F27="",0,IFERROR(INDEX($X$7:$X26,MATCH($F27,$B$7:$B26,0)),0))))</f>
        <v>0</v>
      </c>
      <c r="Y27" s="60" t="n">
        <f aca="false">IF($C27="",0,IF(AND($AK27&gt;0,COUNTIFS($X$7:$X26,$X27,$Y$7:$Y26,$AK27)=0),$AK27,IF(COUNTIFS($X$7:$X26,$X27,$Y$7:$Y26,1)=0,1,IF(COUNTIFS($X$7:$X26,$X27,$Y$7:$Y26,2)=0,2,IF(COUNTIFS($X$7:$X26,$X27,$Y$7:$Y26,3)=0,3,IF(COUNTIFS($X$7:$X26,$X27,$Y$7:$Y26,4)=0,4,IF(COUNTIFS($X$7:$X26,$X27,$Y$7:$Y26,5)=0,5,6)))))))</f>
        <v>0</v>
      </c>
      <c r="Z27" s="0" t="n">
        <v>21</v>
      </c>
      <c r="AA27" s="0" t="str">
        <f aca="false">IF(OR($C27="",$P27=""),"",IF($P27&lt;=Setup!$D$31,COUNTIF($P$7:$P27,"&lt;="&amp;Setup!$D$31),""))</f>
        <v/>
      </c>
      <c r="AB27" s="0" t="str">
        <f aca="false">IF(OR($C27="",$P27=""),"",IF(AND($P27&gt;Setup!$D$31,$P27&lt;=Setup!$D$31+Setup!$D$20),COUNTIFS($P$7:$P27,"&gt;"&amp;Setup!$D$31,$P$7:$P27,"&lt;="&amp;Setup!$D$31+Setup!$D$20),""))</f>
        <v/>
      </c>
      <c r="AC27" s="60" t="n">
        <f aca="false">IF(OR($C27="",$G27="",$I27=""),0,$I27-$G27)</f>
        <v>0</v>
      </c>
      <c r="AD27" s="60" t="n">
        <f aca="false">IF($C27="",0,IF($K27="",0,$K27)+SUMPRODUCT(MAX(((($D28:$D$28=$B27)+($E28:$E$28=$B27)+($F28:$F$28=$B27))&gt;0)*($W28:$W$28=SUMPRODUCT(MAX(((($D28:$D$28=$B27)+($E28:$E$28=$B27)+($F28:$F$28=$B27))&gt;0)*$W28:$W$28)))*$AD28:$AD$28)))</f>
        <v>0</v>
      </c>
      <c r="AE27" s="60" t="n">
        <f aca="false">IF($D27="",0,IFERROR(INDEX($X$7:$X26,MATCH($D27,$B$7:$B26,0)),0))</f>
        <v>0</v>
      </c>
      <c r="AF27" s="60" t="n">
        <f aca="false">IF($E27="",0,IFERROR(INDEX($X$7:$X26,MATCH($E27,$B$7:$B26,0)),0))</f>
        <v>0</v>
      </c>
      <c r="AG27" s="60" t="n">
        <f aca="false">IF($F27="",0,IFERROR(INDEX($X$7:$X26,MATCH($F27,$B$7:$B26,0)),0))</f>
        <v>0</v>
      </c>
      <c r="AH27" s="60" t="n">
        <f aca="false">IF($D27="",0,IFERROR(INDEX($Y$7:$Y26,MATCH($D27,$B$7:$B26,0)),0))</f>
        <v>0</v>
      </c>
      <c r="AI27" s="60" t="n">
        <f aca="false">IF($E27="",0,IFERROR(INDEX($Y$7:$Y26,MATCH($E27,$B$7:$B26,0)),0))</f>
        <v>0</v>
      </c>
      <c r="AJ27" s="60" t="n">
        <f aca="false">IF($F27="",0,IFERROR(INDEX($Y$7:$Y26,MATCH($F27,$B$7:$B26,0)),0))</f>
        <v>0</v>
      </c>
      <c r="AK27" s="60" t="n">
        <f aca="false">IF($C27="",0,IF(IF(AND($AE27&gt;0,$AE27=$X27-1),$AH27,IF(AND($AF27&gt;0,$AF27=$X27-1),$AI27,IF(AND($AG27&gt;0,$AG27=$X27-1),$AJ27,0)))&gt;0,IF(AND($AE27&gt;0,$AE27=$X27-1),$AH27,IF(AND($AF27&gt;0,$AF27=$X27-1),$AI27,IF(AND($AG27&gt;0,$AG27=$X27-1),$AJ27,0))),IF($AE27&gt;0,$AH27,IF($AF27&gt;0,$AI27,IF($AG27&gt;0,$AJ27,0)))))</f>
        <v>0</v>
      </c>
      <c r="AL27" s="60" t="n">
        <f aca="false">IF(OR($C27="",$B27=""),0,IF(COUNTIF($D$7:$D$28,$B27)+COUNTIF($E$7:$E$28,$B27)+COUNTIF($F$7:$F$28,$B27)&gt;0,0,1))</f>
        <v>0</v>
      </c>
    </row>
    <row r="28" customFormat="false" ht="46.5" hidden="false" customHeight="true" outlineLevel="0" collapsed="false">
      <c r="B28" s="61"/>
      <c r="C28" s="62"/>
      <c r="D28" s="63"/>
      <c r="E28" s="63"/>
      <c r="F28" s="63"/>
      <c r="G28" s="64"/>
      <c r="H28" s="64"/>
      <c r="I28" s="64"/>
      <c r="J28" s="53" t="str">
        <f aca="false">IF(OR($C28="",$G28="",$H28="",$I28=""),"",IF(Setup!$D$17="Triangular",($G28+$H28+$I28)/3,($G28+4*$H28+$I28)/6))</f>
        <v/>
      </c>
      <c r="K28" s="54" t="str">
        <f aca="false">IF($J28="","",IF(Setup!$D$17="Triangular",($G28^2+$H28^2+$I28^2-$G28*$H28-$G28*$I28-$H28*$I28)/18,(($I28-$G28)/6)^2))</f>
        <v/>
      </c>
      <c r="L28" s="55" t="n">
        <f aca="false">IF(OR($C28="",$J28=""),0,MAX(1,IF($D28="",0,IFERROR(INDEX($M$7:$M27,MATCH($D28,$B$7:$B27,0)),0))+1,IF($E28="",0,IFERROR(INDEX($M$7:$M27,MATCH($E28,$B$7:$B27,0)),0))+1,IF($F28="",0,IFERROR(INDEX($M$7:$M27,MATCH($F28,$B$7:$B27,0)),0))+1))</f>
        <v>0</v>
      </c>
      <c r="M28" s="55" t="n">
        <f aca="false">IF($L28=0,0,$L28+$J28-1)</f>
        <v>0</v>
      </c>
      <c r="N28" s="56" t="str">
        <f aca="false">IF($W28=0,"",Setup!$D$30-$W28+1)</f>
        <v/>
      </c>
      <c r="O28" s="56" t="str">
        <f aca="false">IF($N28="","",$N28+$J28-1)</f>
        <v/>
      </c>
      <c r="P28" s="57" t="str">
        <f aca="false">IF(OR($N28="",$L28=0),"",ROUND($N28-$L28,6))</f>
        <v/>
      </c>
      <c r="Q28" s="57" t="str">
        <f aca="false">IF($L28=0,"",ROUND(Setup!$D$30-$M28,6))</f>
        <v/>
      </c>
      <c r="R28" s="58" t="str">
        <f aca="false">IF($L28=0,"",IF(Setup!$D$12="5-day working week",WORKDAY(Setup!$D$11-1,ROUNDUP($L28,0)),Setup!$D$11+ROUNDUP($L28,0)-1))</f>
        <v/>
      </c>
      <c r="S28" s="58" t="str">
        <f aca="false">IF($M28=0,"",IF(Setup!$D$12="5-day working week",WORKDAY(Setup!$D$11-1,ROUNDUP($M28,0)),Setup!$D$11+ROUNDUP($M28,0)-1))</f>
        <v/>
      </c>
      <c r="T28" s="62"/>
      <c r="U28" s="62"/>
      <c r="V28" s="59" t="str">
        <f aca="false">IF($C28="","",IF(COUNTIF($B$7:$B$28,$B28)&gt;1,"Duplicate ID",IF($B28="","Give it an ID",IF(IF($D28="",0,IF(COUNTIF($B$7:$B$28,$D28)=0,1,0))+IF($E28="",0,IF(COUNTIF($B$7:$B$28,$E28)=0,1,0))+IF($F28="",0,IF(COUNTIF($B$7:$B$28,$F28)=0,1,0))&gt;0,"Comes after an ID that is not on the list",IF(IF($D28="",0,IF(COUNTIF($B$7:$B27,$D28)=0,1,0))+IF($E28="",0,IF(COUNTIF($B$7:$B27,$E28)=0,1,0))+IF($F28="",0,IF(COUNTIF($B$7:$B27,$F28)=0,1,0))&gt;0,"Comes after a row BELOW this one - reorder",IF(OR($G28="",$H28="",$I28=""),"Estimates missing",IF(OR($G28&gt;$H28,$H28&gt;$I28),"Estimates out of order - best, likely, worst",IF(AND($P28&lt;0,$P28&lt;=Setup!$D$31),"CRITICAL - BEHIND THE DATE",IF($P28&lt;0,"Behind the required date",IF($P28&lt;=Setup!$D$31,"CRITICAL",IF($T28="Complete","Complete",IF($P28&lt;=Setup!$D$31+Setup!$D$20,"Nearly critical","Has float"))))))))))))</f>
        <v/>
      </c>
      <c r="W28" s="60" t="n">
        <f aca="false">IF(OR($C28="",$J28=""),0,$J28)</f>
        <v>0</v>
      </c>
      <c r="X28" s="60" t="n">
        <f aca="false">IF($C28="",0,1+MAX(0,IF($D28="",0,IFERROR(INDEX($X$7:$X27,MATCH($D28,$B$7:$B27,0)),0)),IF($E28="",0,IFERROR(INDEX($X$7:$X27,MATCH($E28,$B$7:$B27,0)),0)),IF($F28="",0,IFERROR(INDEX($X$7:$X27,MATCH($F28,$B$7:$B27,0)),0))))</f>
        <v>0</v>
      </c>
      <c r="Y28" s="60" t="n">
        <f aca="false">IF($C28="",0,IF(AND($AK28&gt;0,COUNTIFS($X$7:$X27,$X28,$Y$7:$Y27,$AK28)=0),$AK28,IF(COUNTIFS($X$7:$X27,$X28,$Y$7:$Y27,1)=0,1,IF(COUNTIFS($X$7:$X27,$X28,$Y$7:$Y27,2)=0,2,IF(COUNTIFS($X$7:$X27,$X28,$Y$7:$Y27,3)=0,3,IF(COUNTIFS($X$7:$X27,$X28,$Y$7:$Y27,4)=0,4,IF(COUNTIFS($X$7:$X27,$X28,$Y$7:$Y27,5)=0,5,6)))))))</f>
        <v>0</v>
      </c>
      <c r="Z28" s="0" t="n">
        <v>22</v>
      </c>
      <c r="AA28" s="0" t="str">
        <f aca="false">IF(OR($C28="",$P28=""),"",IF($P28&lt;=Setup!$D$31,COUNTIF($P$7:$P28,"&lt;="&amp;Setup!$D$31),""))</f>
        <v/>
      </c>
      <c r="AB28" s="0" t="str">
        <f aca="false">IF(OR($C28="",$P28=""),"",IF(AND($P28&gt;Setup!$D$31,$P28&lt;=Setup!$D$31+Setup!$D$20),COUNTIFS($P$7:$P28,"&gt;"&amp;Setup!$D$31,$P$7:$P28,"&lt;="&amp;Setup!$D$31+Setup!$D$20),""))</f>
        <v/>
      </c>
      <c r="AC28" s="60" t="n">
        <f aca="false">IF(OR($C28="",$G28="",$I28=""),0,$I28-$G28)</f>
        <v>0</v>
      </c>
      <c r="AD28" s="60" t="n">
        <f aca="false">IF($C28="",0,IF($K28="",0,$K28))</f>
        <v>0</v>
      </c>
      <c r="AE28" s="60" t="n">
        <f aca="false">IF($D28="",0,IFERROR(INDEX($X$7:$X27,MATCH($D28,$B$7:$B27,0)),0))</f>
        <v>0</v>
      </c>
      <c r="AF28" s="60" t="n">
        <f aca="false">IF($E28="",0,IFERROR(INDEX($X$7:$X27,MATCH($E28,$B$7:$B27,0)),0))</f>
        <v>0</v>
      </c>
      <c r="AG28" s="60" t="n">
        <f aca="false">IF($F28="",0,IFERROR(INDEX($X$7:$X27,MATCH($F28,$B$7:$B27,0)),0))</f>
        <v>0</v>
      </c>
      <c r="AH28" s="60" t="n">
        <f aca="false">IF($D28="",0,IFERROR(INDEX($Y$7:$Y27,MATCH($D28,$B$7:$B27,0)),0))</f>
        <v>0</v>
      </c>
      <c r="AI28" s="60" t="n">
        <f aca="false">IF($E28="",0,IFERROR(INDEX($Y$7:$Y27,MATCH($E28,$B$7:$B27,0)),0))</f>
        <v>0</v>
      </c>
      <c r="AJ28" s="60" t="n">
        <f aca="false">IF($F28="",0,IFERROR(INDEX($Y$7:$Y27,MATCH($F28,$B$7:$B27,0)),0))</f>
        <v>0</v>
      </c>
      <c r="AK28" s="60" t="n">
        <f aca="false">IF($C28="",0,IF(IF(AND($AE28&gt;0,$AE28=$X28-1),$AH28,IF(AND($AF28&gt;0,$AF28=$X28-1),$AI28,IF(AND($AG28&gt;0,$AG28=$X28-1),$AJ28,0)))&gt;0,IF(AND($AE28&gt;0,$AE28=$X28-1),$AH28,IF(AND($AF28&gt;0,$AF28=$X28-1),$AI28,IF(AND($AG28&gt;0,$AG28=$X28-1),$AJ28,0))),IF($AE28&gt;0,$AH28,IF($AF28&gt;0,$AI28,IF($AG28&gt;0,$AJ28,0)))))</f>
        <v>0</v>
      </c>
      <c r="AL28" s="60" t="n">
        <f aca="false">IF(OR($C28="",$B28=""),0,IF(COUNTIF($D$7:$D$28,$B28)+COUNTIF($E$7:$E$28,$B28)+COUNTIF($F$7:$F$28,$B28)&gt;0,0,1))</f>
        <v>0</v>
      </c>
    </row>
    <row r="30" customFormat="false" ht="15" hidden="false" customHeight="true" outlineLevel="0" collapsed="false">
      <c r="B30" s="15" t="s">
        <v>152</v>
      </c>
      <c r="C30" s="15"/>
      <c r="D30" s="15"/>
      <c r="E30" s="15"/>
      <c r="F30" s="15"/>
      <c r="G30" s="15"/>
      <c r="H30" s="15"/>
      <c r="I30" s="15"/>
      <c r="J30" s="15"/>
      <c r="K30" s="15"/>
      <c r="L30" s="15"/>
      <c r="M30" s="15"/>
      <c r="N30" s="15"/>
      <c r="O30" s="15"/>
      <c r="P30" s="15"/>
      <c r="Q30" s="15"/>
      <c r="R30" s="15"/>
      <c r="S30" s="15"/>
      <c r="T30" s="15"/>
      <c r="U30" s="15"/>
      <c r="V30" s="15"/>
    </row>
    <row r="31" customFormat="false" ht="15" hidden="false" customHeight="true" outlineLevel="0" collapsed="false">
      <c r="B31" s="15"/>
      <c r="C31" s="15"/>
      <c r="D31" s="15"/>
      <c r="E31" s="15"/>
      <c r="F31" s="15"/>
      <c r="G31" s="15"/>
      <c r="H31" s="15"/>
      <c r="I31" s="15"/>
      <c r="J31" s="15"/>
      <c r="K31" s="15"/>
      <c r="L31" s="15"/>
      <c r="M31" s="15"/>
      <c r="N31" s="15"/>
      <c r="O31" s="15"/>
      <c r="P31" s="15"/>
      <c r="Q31" s="15"/>
      <c r="R31" s="15"/>
      <c r="S31" s="15"/>
      <c r="T31" s="15"/>
      <c r="U31" s="15"/>
      <c r="V31" s="15"/>
    </row>
    <row r="32" customFormat="false" ht="18" hidden="false" customHeight="true" outlineLevel="0" collapsed="false">
      <c r="B32" s="25" t="s">
        <v>76</v>
      </c>
      <c r="C32" s="25"/>
      <c r="D32" s="25"/>
      <c r="E32" s="25"/>
      <c r="F32" s="25"/>
      <c r="G32" s="25"/>
      <c r="H32" s="25"/>
      <c r="I32" s="25"/>
      <c r="J32" s="25"/>
      <c r="K32" s="25"/>
      <c r="L32" s="25"/>
      <c r="M32" s="25"/>
      <c r="N32" s="25"/>
      <c r="O32" s="25"/>
      <c r="P32" s="25"/>
      <c r="Q32" s="25"/>
      <c r="R32" s="25"/>
      <c r="S32" s="25"/>
      <c r="T32" s="25"/>
      <c r="U32" s="25"/>
      <c r="V32" s="25"/>
    </row>
  </sheetData>
  <autoFilter ref="B6:V28"/>
  <mergeCells count="6">
    <mergeCell ref="B1:V1"/>
    <mergeCell ref="B2:V2"/>
    <mergeCell ref="B3:V3"/>
    <mergeCell ref="B4:V4"/>
    <mergeCell ref="B30:V31"/>
    <mergeCell ref="B32:V32"/>
  </mergeCells>
  <conditionalFormatting sqref="B3:V3">
    <cfRule type="expression" priority="2" aboveAverage="0" equalAverage="0" bottom="0" percent="0" rank="0" text="" dxfId="0">
      <formula>LEN($B$3)&gt;0</formula>
    </cfRule>
  </conditionalFormatting>
  <conditionalFormatting sqref="B7:V28">
    <cfRule type="expression" priority="3" aboveAverage="0" equalAverage="0" bottom="0" percent="0" rank="0" text="" dxfId="11">
      <formula>$V7="CRITICAL - BEHIND THE DATE"</formula>
    </cfRule>
    <cfRule type="expression" priority="4" aboveAverage="0" equalAverage="0" bottom="0" percent="0" rank="0" text="" dxfId="11">
      <formula>$V7="Behind the required date"</formula>
    </cfRule>
    <cfRule type="expression" priority="5" aboveAverage="0" equalAverage="0" bottom="0" percent="0" rank="0" text="" dxfId="11">
      <formula>$V7="CRITICAL"</formula>
    </cfRule>
    <cfRule type="expression" priority="6" aboveAverage="0" equalAverage="0" bottom="0" percent="0" rank="0" text="" dxfId="11">
      <formula>$V7="Comes after an ID that is not on the list"</formula>
    </cfRule>
    <cfRule type="expression" priority="7" aboveAverage="0" equalAverage="0" bottom="0" percent="0" rank="0" text="" dxfId="11">
      <formula>$V7="Comes after a row BELOW this one - reorder"</formula>
    </cfRule>
    <cfRule type="expression" priority="8" aboveAverage="0" equalAverage="0" bottom="0" percent="0" rank="0" text="" dxfId="11">
      <formula>$V7="Estimates out of order - best, likely, worst"</formula>
    </cfRule>
    <cfRule type="expression" priority="9" aboveAverage="0" equalAverage="0" bottom="0" percent="0" rank="0" text="" dxfId="11">
      <formula>$V7="Duplicate ID"</formula>
    </cfRule>
    <cfRule type="expression" priority="10" aboveAverage="0" equalAverage="0" bottom="0" percent="0" rank="0" text="" dxfId="12">
      <formula>$V7="Nearly critical"</formula>
    </cfRule>
    <cfRule type="expression" priority="11" aboveAverage="0" equalAverage="0" bottom="0" percent="0" rank="0" text="" dxfId="0">
      <formula>$V7="Estimates missing"</formula>
    </cfRule>
    <cfRule type="expression" priority="12" aboveAverage="0" equalAverage="0" bottom="0" percent="0" rank="0" text="" dxfId="0">
      <formula>$V7="Give it an ID"</formula>
    </cfRule>
    <cfRule type="expression" priority="13" aboveAverage="0" equalAverage="0" bottom="0" percent="0" rank="0" text="" dxfId="13">
      <formula>$V7="Complete"</formula>
    </cfRule>
    <cfRule type="expression" priority="14" aboveAverage="0" equalAverage="0" bottom="0" percent="0" rank="0" text="" dxfId="14">
      <formula>$V7="Has float"</formula>
    </cfRule>
  </conditionalFormatting>
  <dataValidations count="24">
    <dataValidation allowBlank="true" errorStyle="stop" operator="between" showDropDown="false" showErrorMessage="false" showInputMessage="false" sqref="T7" type="list">
      <formula1>Reference!$E$24:$E$27</formula1>
      <formula2>0</formula2>
    </dataValidation>
    <dataValidation allowBlank="false" errorStyle="stop" operator="between" prompt="The ID of an activity this one waits for. It must be on a row ABOVE this one." promptTitle="Comes after" showDropDown="false" showErrorMessage="false" showInputMessage="true" sqref="D7:F28" type="none">
      <formula1>0</formula1>
      <formula2>0</formula2>
    </dataValidation>
    <dataValidation allowBlank="true" errorStyle="stop" operator="between" showDropDown="false" showErrorMessage="false" showInputMessage="false" sqref="T8" type="list">
      <formula1>Reference!$E$24:$E$27</formula1>
      <formula2>0</formula2>
    </dataValidation>
    <dataValidation allowBlank="true" errorStyle="stop" operator="between" showDropDown="false" showErrorMessage="false" showInputMessage="false" sqref="T9" type="list">
      <formula1>Reference!$E$24:$E$27</formula1>
      <formula2>0</formula2>
    </dataValidation>
    <dataValidation allowBlank="true" errorStyle="stop" operator="between" showDropDown="false" showErrorMessage="false" showInputMessage="false" sqref="T10" type="list">
      <formula1>Reference!$E$24:$E$27</formula1>
      <formula2>0</formula2>
    </dataValidation>
    <dataValidation allowBlank="true" errorStyle="stop" operator="between" showDropDown="false" showErrorMessage="false" showInputMessage="false" sqref="T11" type="list">
      <formula1>Reference!$E$24:$E$27</formula1>
      <formula2>0</formula2>
    </dataValidation>
    <dataValidation allowBlank="true" errorStyle="stop" operator="between" showDropDown="false" showErrorMessage="false" showInputMessage="false" sqref="T12" type="list">
      <formula1>Reference!$E$24:$E$27</formula1>
      <formula2>0</formula2>
    </dataValidation>
    <dataValidation allowBlank="true" errorStyle="stop" operator="between" showDropDown="false" showErrorMessage="false" showInputMessage="false" sqref="T13" type="list">
      <formula1>Reference!$E$24:$E$27</formula1>
      <formula2>0</formula2>
    </dataValidation>
    <dataValidation allowBlank="true" errorStyle="stop" operator="between" showDropDown="false" showErrorMessage="false" showInputMessage="false" sqref="T14" type="list">
      <formula1>Reference!$E$24:$E$27</formula1>
      <formula2>0</formula2>
    </dataValidation>
    <dataValidation allowBlank="true" errorStyle="stop" operator="between" showDropDown="false" showErrorMessage="false" showInputMessage="false" sqref="T15" type="list">
      <formula1>Reference!$E$24:$E$27</formula1>
      <formula2>0</formula2>
    </dataValidation>
    <dataValidation allowBlank="true" errorStyle="stop" operator="between" showDropDown="false" showErrorMessage="false" showInputMessage="false" sqref="T16" type="list">
      <formula1>Reference!$E$24:$E$27</formula1>
      <formula2>0</formula2>
    </dataValidation>
    <dataValidation allowBlank="true" errorStyle="stop" operator="between" showDropDown="false" showErrorMessage="false" showInputMessage="false" sqref="T17" type="list">
      <formula1>Reference!$E$24:$E$27</formula1>
      <formula2>0</formula2>
    </dataValidation>
    <dataValidation allowBlank="true" errorStyle="stop" operator="between" showDropDown="false" showErrorMessage="false" showInputMessage="false" sqref="T18" type="list">
      <formula1>Reference!$E$24:$E$27</formula1>
      <formula2>0</formula2>
    </dataValidation>
    <dataValidation allowBlank="true" errorStyle="stop" operator="between" showDropDown="false" showErrorMessage="false" showInputMessage="false" sqref="T19" type="list">
      <formula1>Reference!$E$24:$E$27</formula1>
      <formula2>0</formula2>
    </dataValidation>
    <dataValidation allowBlank="true" errorStyle="stop" operator="between" showDropDown="false" showErrorMessage="false" showInputMessage="false" sqref="T20" type="list">
      <formula1>Reference!$E$24:$E$27</formula1>
      <formula2>0</formula2>
    </dataValidation>
    <dataValidation allowBlank="true" errorStyle="stop" operator="between" showDropDown="false" showErrorMessage="false" showInputMessage="false" sqref="T21" type="list">
      <formula1>Reference!$E$24:$E$27</formula1>
      <formula2>0</formula2>
    </dataValidation>
    <dataValidation allowBlank="true" errorStyle="stop" operator="between" showDropDown="false" showErrorMessage="false" showInputMessage="false" sqref="T22" type="list">
      <formula1>Reference!$E$24:$E$27</formula1>
      <formula2>0</formula2>
    </dataValidation>
    <dataValidation allowBlank="true" errorStyle="stop" operator="between" showDropDown="false" showErrorMessage="false" showInputMessage="false" sqref="T23" type="list">
      <formula1>Reference!$E$24:$E$27</formula1>
      <formula2>0</formula2>
    </dataValidation>
    <dataValidation allowBlank="true" errorStyle="stop" operator="between" showDropDown="false" showErrorMessage="false" showInputMessage="false" sqref="T24" type="list">
      <formula1>Reference!$E$24:$E$27</formula1>
      <formula2>0</formula2>
    </dataValidation>
    <dataValidation allowBlank="true" errorStyle="stop" operator="between" showDropDown="false" showErrorMessage="false" showInputMessage="false" sqref="T25" type="list">
      <formula1>Reference!$E$24:$E$27</formula1>
      <formula2>0</formula2>
    </dataValidation>
    <dataValidation allowBlank="true" errorStyle="stop" operator="between" showDropDown="false" showErrorMessage="false" showInputMessage="false" sqref="T26" type="list">
      <formula1>Reference!$E$24:$E$27</formula1>
      <formula2>0</formula2>
    </dataValidation>
    <dataValidation allowBlank="true" errorStyle="stop" operator="between" showDropDown="false" showErrorMessage="false" showInputMessage="false" sqref="T27" type="list">
      <formula1>Reference!$E$24:$E$27</formula1>
      <formula2>0</formula2>
    </dataValidation>
    <dataValidation allowBlank="true" errorStyle="stop" operator="between" showDropDown="false" showErrorMessage="false" showInputMessage="false" sqref="T28" type="list">
      <formula1>Reference!$E$24:$E$27</formula1>
      <formula2>0</formula2>
    </dataValidation>
    <dataValidation allowBlank="false" errorStyle="stop" operator="between" prompt="Best case, most likely and worst case, in the unit the calendar on Setup says. The worst case is the realistic bad run, not the disaster - a worst case that is barely worse than the most likely is the most common way this analysis goes wrong." promptTitle="Three estimates" showDropDown="false" showErrorMessage="false" showInputMessage="true" sqref="G7:I28" type="none">
      <formula1>0</formula1>
      <formula2>0</formula2>
    </dataValidation>
  </dataValidations>
  <hyperlinks>
    <hyperlink ref="B32" r:id="rId1" display="Visit mastt.com"/>
  </hyperlinks>
  <printOptions headings="false" gridLines="false" gridLinesSet="true" horizontalCentered="false" verticalCentered="false"/>
  <pageMargins left="0.3" right="0.3" top="0.4" bottom="0.4"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EC6917"/>
    <pageSetUpPr fitToPage="true"/>
  </sheetPr>
  <dimension ref="B1:EW4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8"/>
    <col collapsed="false" customWidth="true" hidden="false" outlineLevel="0" max="3" min="3" style="0" width="2.2"/>
    <col collapsed="false" customWidth="true" hidden="false" outlineLevel="0" max="4" min="4" style="0" width="0.7"/>
    <col collapsed="false" customWidth="true" hidden="false" outlineLevel="0" max="5" min="5" style="0" width="2.2"/>
    <col collapsed="false" customWidth="true" hidden="false" outlineLevel="0" max="8" min="6" style="0" width="8.8"/>
    <col collapsed="false" customWidth="true" hidden="false" outlineLevel="0" max="9" min="9" style="0" width="2.2"/>
    <col collapsed="false" customWidth="true" hidden="false" outlineLevel="0" max="10" min="10" style="0" width="0.7"/>
    <col collapsed="false" customWidth="true" hidden="false" outlineLevel="0" max="11" min="11" style="0" width="2.2"/>
    <col collapsed="false" customWidth="true" hidden="false" outlineLevel="0" max="14" min="12" style="0" width="8.8"/>
    <col collapsed="false" customWidth="true" hidden="false" outlineLevel="0" max="15" min="15" style="0" width="2.2"/>
    <col collapsed="false" customWidth="true" hidden="false" outlineLevel="0" max="16" min="16" style="0" width="0.7"/>
    <col collapsed="false" customWidth="true" hidden="false" outlineLevel="0" max="17" min="17" style="0" width="2.2"/>
    <col collapsed="false" customWidth="true" hidden="false" outlineLevel="0" max="20" min="18" style="0" width="8.8"/>
    <col collapsed="false" customWidth="true" hidden="false" outlineLevel="0" max="21" min="21" style="0" width="2.2"/>
    <col collapsed="false" customWidth="true" hidden="false" outlineLevel="0" max="22" min="22" style="0" width="0.7"/>
    <col collapsed="false" customWidth="true" hidden="false" outlineLevel="0" max="23" min="23" style="0" width="2.2"/>
    <col collapsed="false" customWidth="true" hidden="false" outlineLevel="0" max="26" min="24" style="0" width="8.8"/>
    <col collapsed="false" customWidth="true" hidden="false" outlineLevel="0" max="27" min="27" style="0" width="2.2"/>
    <col collapsed="false" customWidth="true" hidden="false" outlineLevel="0" max="28" min="28" style="0" width="0.7"/>
    <col collapsed="false" customWidth="true" hidden="false" outlineLevel="0" max="29" min="29" style="0" width="2.2"/>
    <col collapsed="false" customWidth="true" hidden="false" outlineLevel="0" max="32" min="30" style="0" width="8.8"/>
    <col collapsed="false" customWidth="true" hidden="false" outlineLevel="0" max="33" min="33" style="0" width="2.2"/>
    <col collapsed="false" customWidth="true" hidden="false" outlineLevel="0" max="34" min="34" style="0" width="0.7"/>
    <col collapsed="false" customWidth="true" hidden="false" outlineLevel="0" max="35" min="35" style="0" width="2.2"/>
    <col collapsed="false" customWidth="true" hidden="false" outlineLevel="0" max="38" min="36" style="0" width="8.8"/>
    <col collapsed="false" customWidth="true" hidden="false" outlineLevel="0" max="39" min="39" style="0" width="2.2"/>
    <col collapsed="false" customWidth="true" hidden="false" outlineLevel="0" max="40" min="40" style="0" width="0.7"/>
    <col collapsed="false" customWidth="true" hidden="false" outlineLevel="0" max="41" min="41" style="0" width="2.2"/>
    <col collapsed="false" customWidth="true" hidden="false" outlineLevel="0" max="44" min="42" style="0" width="8.8"/>
    <col collapsed="false" customWidth="true" hidden="false" outlineLevel="0" max="45" min="45" style="0" width="2.2"/>
    <col collapsed="false" customWidth="true" hidden="false" outlineLevel="0" max="46" min="46" style="0" width="0.7"/>
    <col collapsed="false" customWidth="true" hidden="false" outlineLevel="0" max="47" min="47" style="0" width="2.2"/>
    <col collapsed="false" customWidth="true" hidden="false" outlineLevel="0" max="50" min="48" style="0" width="8.8"/>
    <col collapsed="false" customWidth="true" hidden="false" outlineLevel="0" max="51" min="51" style="0" width="2.2"/>
    <col collapsed="false" customWidth="true" hidden="false" outlineLevel="0" max="52" min="52" style="0" width="0.7"/>
    <col collapsed="false" customWidth="true" hidden="false" outlineLevel="0" max="53" min="53" style="0" width="2.2"/>
    <col collapsed="false" customWidth="true" hidden="false" outlineLevel="0" max="56" min="54" style="0" width="8.8"/>
    <col collapsed="false" customWidth="true" hidden="false" outlineLevel="0" max="57" min="57" style="0" width="2.2"/>
    <col collapsed="false" customWidth="true" hidden="false" outlineLevel="0" max="58" min="58" style="0" width="0.7"/>
    <col collapsed="false" customWidth="true" hidden="false" outlineLevel="0" max="59" min="59" style="0" width="2.2"/>
    <col collapsed="false" customWidth="true" hidden="false" outlineLevel="0" max="62" min="60" style="0" width="8.8"/>
    <col collapsed="false" customWidth="true" hidden="false" outlineLevel="0" max="63" min="63" style="0" width="2.2"/>
    <col collapsed="false" customWidth="true" hidden="false" outlineLevel="0" max="64" min="64" style="0" width="0.7"/>
    <col collapsed="false" customWidth="true" hidden="false" outlineLevel="0" max="65" min="65" style="0" width="2.2"/>
    <col collapsed="false" customWidth="true" hidden="false" outlineLevel="0" max="68" min="66" style="0" width="8.8"/>
    <col collapsed="false" customWidth="true" hidden="false" outlineLevel="0" max="69" min="69" style="0" width="2.2"/>
    <col collapsed="false" customWidth="true" hidden="false" outlineLevel="0" max="70" min="70" style="0" width="0.7"/>
    <col collapsed="false" customWidth="true" hidden="false" outlineLevel="0" max="71" min="71" style="0" width="2.2"/>
    <col collapsed="false" customWidth="true" hidden="false" outlineLevel="0" max="74" min="72" style="0" width="8.8"/>
    <col collapsed="false" customWidth="true" hidden="false" outlineLevel="0" max="75" min="75" style="0" width="2.2"/>
    <col collapsed="false" customWidth="true" hidden="false" outlineLevel="0" max="76" min="76" style="0" width="0.7"/>
    <col collapsed="false" customWidth="true" hidden="false" outlineLevel="0" max="77" min="77" style="0" width="2.2"/>
    <col collapsed="false" customWidth="true" hidden="false" outlineLevel="0" max="78" min="78" style="0" width="8"/>
    <col collapsed="false" customWidth="true" hidden="false" outlineLevel="0" max="79" min="79" style="0" width="2.2"/>
    <col collapsed="false" customWidth="true" hidden="true" outlineLevel="0" max="153" min="82" style="0" width="13"/>
  </cols>
  <sheetData>
    <row r="1" customFormat="false" ht="33.75" hidden="false" customHeight="true" outlineLevel="0" collapsed="false">
      <c r="B1" s="13" t="s">
        <v>153</v>
      </c>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row>
    <row r="2" customFormat="false" ht="4.5" hidden="false" customHeight="true" outlineLevel="0" collapsed="false">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row>
    <row r="3" customFormat="false" ht="16.5" hidden="false" customHeight="true" outlineLevel="0" collapsed="false">
      <c r="B3" s="26" t="str">
        <f aca="false">IF(LEFT(Setup!$D$7,7)&lt;&gt;"EXAMPLE","","EXAMPLE DATA - type your own project name on Setup to clear this.")</f>
        <v>EXAMPLE DATA - type your own project name on Setup to clear this.</v>
      </c>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row>
    <row r="4" customFormat="false" ht="25.5" hidden="false" customHeight="true" outlineLevel="0" collapsed="false">
      <c r="B4" s="15" t="s">
        <v>154</v>
      </c>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row>
    <row r="6" customFormat="false" ht="24" hidden="false" customHeight="true" outlineLevel="0" collapsed="false">
      <c r="B6" s="66" t="s">
        <v>155</v>
      </c>
      <c r="C6" s="66"/>
      <c r="D6" s="66"/>
      <c r="E6" s="66"/>
      <c r="F6" s="67" t="s">
        <v>156</v>
      </c>
      <c r="G6" s="67" t="s">
        <v>157</v>
      </c>
      <c r="H6" s="67" t="s">
        <v>158</v>
      </c>
      <c r="L6" s="15" t="s">
        <v>159</v>
      </c>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D6" s="60" t="n">
        <f aca="false">SUMPRODUCT((Network!$X$7:$X$28=1)*(Network!$Y$7:$Y$28=1)*Network!$Z$7:$Z$28)</f>
        <v>1</v>
      </c>
      <c r="CE6" s="60" t="n">
        <f aca="false">SUMPRODUCT((Network!$X$7:$X$28&gt;1)*((Network!$AE$7:$AE$28&gt;0)*(Network!$AE$7:$AE$28&lt;1)*(Network!$AH$7:$AH$28=1)+(Network!$AF$7:$AF$28&gt;0)*(Network!$AF$7:$AF$28&lt;1)*(Network!$AI$7:$AI$28=1)+(Network!$AG$7:$AG$28&gt;0)*(Network!$AG$7:$AG$28&lt;1)*(Network!$AJ$7:$AJ$28=1)))</f>
        <v>0</v>
      </c>
      <c r="CF6" s="60" t="n">
        <f aca="false">SUMPRODUCT((Network!$X$7:$X$28&gt;1)*((Network!$AE$7:$AE$28&gt;0)*(Network!$AE$7:$AE$28&lt;=1)*(Network!$AH$7:$AH$28=1)+(Network!$AF$7:$AF$28&gt;0)*(Network!$AF$7:$AF$28&lt;=1)*(Network!$AI$7:$AI$28=1)+(Network!$AG$7:$AG$28&gt;0)*(Network!$AG$7:$AG$28&lt;=1)*(Network!$AJ$7:$AJ$28=1)))</f>
        <v>1</v>
      </c>
      <c r="CG6" s="60" t="n">
        <f aca="false">SUMPRODUCT((Network!$X$7:$X$28=2)*(Network!$Y$7:$Y$28=1)*((Network!$AE$7:$AE$28&gt;0)*(Network!$AE$7:$AE$28&lt;=1)+(Network!$AF$7:$AF$28&gt;0)*(Network!$AF$7:$AF$28&lt;=1)+(Network!$AG$7:$AG$28&gt;0)*(Network!$AG$7:$AG$28&lt;=1)))</f>
        <v>1</v>
      </c>
      <c r="CH6" s="60" t="n">
        <f aca="false">SUMPRODUCT((Network!$X$7:$X$28&lt;=1)*(Network!$X$7:$X$28&gt;0)*(Network!$Y$7:$Y$28=1)*Network!$AL$7:$AL$28)</f>
        <v>0</v>
      </c>
      <c r="CI6" s="60" t="n">
        <f aca="false">SUMPRODUCT((Network!$X$7:$X$28=2)*((Network!$Y$7:$Y$28&gt;1)*((Network!$AE$7:$AE$28&gt;0)*(Network!$AE$7:$AE$28&lt;=1)*(Network!$AH$7:$AH$28&lt;=1)+(Network!$AF$7:$AF$28&gt;0)*(Network!$AF$7:$AF$28&lt;=1)*(Network!$AI$7:$AI$28&lt;=1)+(Network!$AG$7:$AG$28&gt;0)*(Network!$AG$7:$AG$28&lt;=1)*(Network!$AJ$7:$AJ$28&lt;=1))+(Network!$Y$7:$Y$28&lt;=1)*((Network!$AE$7:$AE$28&gt;0)*(Network!$AE$7:$AE$28&lt;=1)*(Network!$AH$7:$AH$28&gt;1)+(Network!$AF$7:$AF$28&gt;0)*(Network!$AF$7:$AF$28&lt;=1)*(Network!$AI$7:$AI$28&gt;1)+(Network!$AG$7:$AG$28&gt;0)*(Network!$AG$7:$AG$28&lt;=1)*(Network!$AJ$7:$AJ$28&gt;1))))</f>
        <v>0</v>
      </c>
      <c r="CJ6" s="60" t="n">
        <f aca="false">SUMPRODUCT((Network!$X$7:$X$28=2)*(Network!$Y$7:$Y$28=1)*Network!$Z$7:$Z$28)</f>
        <v>2</v>
      </c>
      <c r="CK6" s="60" t="n">
        <f aca="false">SUMPRODUCT((Network!$X$7:$X$28&gt;2)*((Network!$AE$7:$AE$28&gt;0)*(Network!$AE$7:$AE$28&lt;2)*(Network!$AH$7:$AH$28=1)+(Network!$AF$7:$AF$28&gt;0)*(Network!$AF$7:$AF$28&lt;2)*(Network!$AI$7:$AI$28=1)+(Network!$AG$7:$AG$28&gt;0)*(Network!$AG$7:$AG$28&lt;2)*(Network!$AJ$7:$AJ$28=1)))</f>
        <v>0</v>
      </c>
      <c r="CL6" s="60" t="n">
        <f aca="false">SUMPRODUCT((Network!$X$7:$X$28&gt;2)*((Network!$AE$7:$AE$28&gt;0)*(Network!$AE$7:$AE$28&lt;=2)*(Network!$AH$7:$AH$28=1)+(Network!$AF$7:$AF$28&gt;0)*(Network!$AF$7:$AF$28&lt;=2)*(Network!$AI$7:$AI$28=1)+(Network!$AG$7:$AG$28&gt;0)*(Network!$AG$7:$AG$28&lt;=2)*(Network!$AJ$7:$AJ$28=1)))</f>
        <v>1</v>
      </c>
      <c r="CM6" s="60" t="n">
        <f aca="false">SUMPRODUCT((Network!$X$7:$X$28=3)*(Network!$Y$7:$Y$28=1)*((Network!$AE$7:$AE$28&gt;0)*(Network!$AE$7:$AE$28&lt;=2)+(Network!$AF$7:$AF$28&gt;0)*(Network!$AF$7:$AF$28&lt;=2)+(Network!$AG$7:$AG$28&gt;0)*(Network!$AG$7:$AG$28&lt;=2)))</f>
        <v>1</v>
      </c>
      <c r="CN6" s="60" t="n">
        <f aca="false">SUMPRODUCT((Network!$X$7:$X$28&lt;=2)*(Network!$X$7:$X$28&gt;0)*(Network!$Y$7:$Y$28=1)*Network!$AL$7:$AL$28)</f>
        <v>0</v>
      </c>
      <c r="CO6" s="60" t="n">
        <f aca="false">SUMPRODUCT((Network!$X$7:$X$28=3)*((Network!$Y$7:$Y$28&gt;1)*((Network!$AE$7:$AE$28&gt;0)*(Network!$AE$7:$AE$28&lt;=2)*(Network!$AH$7:$AH$28&lt;=1)+(Network!$AF$7:$AF$28&gt;0)*(Network!$AF$7:$AF$28&lt;=2)*(Network!$AI$7:$AI$28&lt;=1)+(Network!$AG$7:$AG$28&gt;0)*(Network!$AG$7:$AG$28&lt;=2)*(Network!$AJ$7:$AJ$28&lt;=1))+(Network!$Y$7:$Y$28&lt;=1)*((Network!$AE$7:$AE$28&gt;0)*(Network!$AE$7:$AE$28&lt;=2)*(Network!$AH$7:$AH$28&gt;1)+(Network!$AF$7:$AF$28&gt;0)*(Network!$AF$7:$AF$28&lt;=2)*(Network!$AI$7:$AI$28&gt;1)+(Network!$AG$7:$AG$28&gt;0)*(Network!$AG$7:$AG$28&lt;=2)*(Network!$AJ$7:$AJ$28&gt;1))))</f>
        <v>0</v>
      </c>
      <c r="CP6" s="60" t="n">
        <f aca="false">SUMPRODUCT((Network!$X$7:$X$28=3)*(Network!$Y$7:$Y$28=1)*Network!$Z$7:$Z$28)</f>
        <v>3</v>
      </c>
      <c r="CQ6" s="60" t="n">
        <f aca="false">SUMPRODUCT((Network!$X$7:$X$28&gt;3)*((Network!$AE$7:$AE$28&gt;0)*(Network!$AE$7:$AE$28&lt;3)*(Network!$AH$7:$AH$28=1)+(Network!$AF$7:$AF$28&gt;0)*(Network!$AF$7:$AF$28&lt;3)*(Network!$AI$7:$AI$28=1)+(Network!$AG$7:$AG$28&gt;0)*(Network!$AG$7:$AG$28&lt;3)*(Network!$AJ$7:$AJ$28=1)))</f>
        <v>0</v>
      </c>
      <c r="CR6" s="60" t="n">
        <f aca="false">SUMPRODUCT((Network!$X$7:$X$28&gt;3)*((Network!$AE$7:$AE$28&gt;0)*(Network!$AE$7:$AE$28&lt;=3)*(Network!$AH$7:$AH$28=1)+(Network!$AF$7:$AF$28&gt;0)*(Network!$AF$7:$AF$28&lt;=3)*(Network!$AI$7:$AI$28=1)+(Network!$AG$7:$AG$28&gt;0)*(Network!$AG$7:$AG$28&lt;=3)*(Network!$AJ$7:$AJ$28=1)))</f>
        <v>2</v>
      </c>
      <c r="CS6" s="60" t="n">
        <f aca="false">SUMPRODUCT((Network!$X$7:$X$28=4)*(Network!$Y$7:$Y$28=1)*((Network!$AE$7:$AE$28&gt;0)*(Network!$AE$7:$AE$28&lt;=3)+(Network!$AF$7:$AF$28&gt;0)*(Network!$AF$7:$AF$28&lt;=3)+(Network!$AG$7:$AG$28&gt;0)*(Network!$AG$7:$AG$28&lt;=3)))</f>
        <v>1</v>
      </c>
      <c r="CT6" s="60" t="n">
        <f aca="false">SUMPRODUCT((Network!$X$7:$X$28&lt;=3)*(Network!$X$7:$X$28&gt;0)*(Network!$Y$7:$Y$28=1)*Network!$AL$7:$AL$28)</f>
        <v>0</v>
      </c>
      <c r="CU6" s="60" t="n">
        <f aca="false">SUMPRODUCT((Network!$X$7:$X$28=4)*((Network!$Y$7:$Y$28&gt;1)*((Network!$AE$7:$AE$28&gt;0)*(Network!$AE$7:$AE$28&lt;=3)*(Network!$AH$7:$AH$28&lt;=1)+(Network!$AF$7:$AF$28&gt;0)*(Network!$AF$7:$AF$28&lt;=3)*(Network!$AI$7:$AI$28&lt;=1)+(Network!$AG$7:$AG$28&gt;0)*(Network!$AG$7:$AG$28&lt;=3)*(Network!$AJ$7:$AJ$28&lt;=1))+(Network!$Y$7:$Y$28&lt;=1)*((Network!$AE$7:$AE$28&gt;0)*(Network!$AE$7:$AE$28&lt;=3)*(Network!$AH$7:$AH$28&gt;1)+(Network!$AF$7:$AF$28&gt;0)*(Network!$AF$7:$AF$28&lt;=3)*(Network!$AI$7:$AI$28&gt;1)+(Network!$AG$7:$AG$28&gt;0)*(Network!$AG$7:$AG$28&lt;=3)*(Network!$AJ$7:$AJ$28&gt;1))))</f>
        <v>1</v>
      </c>
      <c r="CV6" s="60" t="n">
        <f aca="false">SUMPRODUCT((Network!$X$7:$X$28=4)*(Network!$Y$7:$Y$28=1)*Network!$Z$7:$Z$28)</f>
        <v>4</v>
      </c>
      <c r="CW6" s="60" t="n">
        <f aca="false">SUMPRODUCT((Network!$X$7:$X$28&gt;4)*((Network!$AE$7:$AE$28&gt;0)*(Network!$AE$7:$AE$28&lt;4)*(Network!$AH$7:$AH$28=1)+(Network!$AF$7:$AF$28&gt;0)*(Network!$AF$7:$AF$28&lt;4)*(Network!$AI$7:$AI$28=1)+(Network!$AG$7:$AG$28&gt;0)*(Network!$AG$7:$AG$28&lt;4)*(Network!$AJ$7:$AJ$28=1)))</f>
        <v>0</v>
      </c>
      <c r="CX6" s="60" t="n">
        <f aca="false">SUMPRODUCT((Network!$X$7:$X$28&gt;4)*((Network!$AE$7:$AE$28&gt;0)*(Network!$AE$7:$AE$28&lt;=4)*(Network!$AH$7:$AH$28=1)+(Network!$AF$7:$AF$28&gt;0)*(Network!$AF$7:$AF$28&lt;=4)*(Network!$AI$7:$AI$28=1)+(Network!$AG$7:$AG$28&gt;0)*(Network!$AG$7:$AG$28&lt;=4)*(Network!$AJ$7:$AJ$28=1)))</f>
        <v>1</v>
      </c>
      <c r="CY6" s="60" t="n">
        <f aca="false">SUMPRODUCT((Network!$X$7:$X$28=5)*(Network!$Y$7:$Y$28=1)*((Network!$AE$7:$AE$28&gt;0)*(Network!$AE$7:$AE$28&lt;=4)+(Network!$AF$7:$AF$28&gt;0)*(Network!$AF$7:$AF$28&lt;=4)+(Network!$AG$7:$AG$28&gt;0)*(Network!$AG$7:$AG$28&lt;=4)))</f>
        <v>1</v>
      </c>
      <c r="CZ6" s="60" t="n">
        <f aca="false">SUMPRODUCT((Network!$X$7:$X$28&lt;=4)*(Network!$X$7:$X$28&gt;0)*(Network!$Y$7:$Y$28=1)*Network!$AL$7:$AL$28)</f>
        <v>0</v>
      </c>
      <c r="DA6" s="60" t="n">
        <f aca="false">SUMPRODUCT((Network!$X$7:$X$28=5)*((Network!$Y$7:$Y$28&gt;1)*((Network!$AE$7:$AE$28&gt;0)*(Network!$AE$7:$AE$28&lt;=4)*(Network!$AH$7:$AH$28&lt;=1)+(Network!$AF$7:$AF$28&gt;0)*(Network!$AF$7:$AF$28&lt;=4)*(Network!$AI$7:$AI$28&lt;=1)+(Network!$AG$7:$AG$28&gt;0)*(Network!$AG$7:$AG$28&lt;=4)*(Network!$AJ$7:$AJ$28&lt;=1))+(Network!$Y$7:$Y$28&lt;=1)*((Network!$AE$7:$AE$28&gt;0)*(Network!$AE$7:$AE$28&lt;=4)*(Network!$AH$7:$AH$28&gt;1)+(Network!$AF$7:$AF$28&gt;0)*(Network!$AF$7:$AF$28&lt;=4)*(Network!$AI$7:$AI$28&gt;1)+(Network!$AG$7:$AG$28&gt;0)*(Network!$AG$7:$AG$28&lt;=4)*(Network!$AJ$7:$AJ$28&gt;1))))</f>
        <v>0</v>
      </c>
      <c r="DB6" s="60" t="n">
        <f aca="false">SUMPRODUCT((Network!$X$7:$X$28=5)*(Network!$Y$7:$Y$28=1)*Network!$Z$7:$Z$28)</f>
        <v>5</v>
      </c>
      <c r="DC6" s="60" t="n">
        <f aca="false">SUMPRODUCT((Network!$X$7:$X$28&gt;5)*((Network!$AE$7:$AE$28&gt;0)*(Network!$AE$7:$AE$28&lt;5)*(Network!$AH$7:$AH$28=1)+(Network!$AF$7:$AF$28&gt;0)*(Network!$AF$7:$AF$28&lt;5)*(Network!$AI$7:$AI$28=1)+(Network!$AG$7:$AG$28&gt;0)*(Network!$AG$7:$AG$28&lt;5)*(Network!$AJ$7:$AJ$28=1)))</f>
        <v>0</v>
      </c>
      <c r="DD6" s="60" t="n">
        <f aca="false">SUMPRODUCT((Network!$X$7:$X$28&gt;5)*((Network!$AE$7:$AE$28&gt;0)*(Network!$AE$7:$AE$28&lt;=5)*(Network!$AH$7:$AH$28=1)+(Network!$AF$7:$AF$28&gt;0)*(Network!$AF$7:$AF$28&lt;=5)*(Network!$AI$7:$AI$28=1)+(Network!$AG$7:$AG$28&gt;0)*(Network!$AG$7:$AG$28&lt;=5)*(Network!$AJ$7:$AJ$28=1)))</f>
        <v>1</v>
      </c>
      <c r="DE6" s="60" t="n">
        <f aca="false">SUMPRODUCT((Network!$X$7:$X$28=6)*(Network!$Y$7:$Y$28=1)*((Network!$AE$7:$AE$28&gt;0)*(Network!$AE$7:$AE$28&lt;=5)+(Network!$AF$7:$AF$28&gt;0)*(Network!$AF$7:$AF$28&lt;=5)+(Network!$AG$7:$AG$28&gt;0)*(Network!$AG$7:$AG$28&lt;=5)))</f>
        <v>1</v>
      </c>
      <c r="DF6" s="60" t="n">
        <f aca="false">SUMPRODUCT((Network!$X$7:$X$28&lt;=5)*(Network!$X$7:$X$28&gt;0)*(Network!$Y$7:$Y$28=1)*Network!$AL$7:$AL$28)</f>
        <v>0</v>
      </c>
      <c r="DG6" s="60" t="n">
        <f aca="false">SUMPRODUCT((Network!$X$7:$X$28=6)*((Network!$Y$7:$Y$28&gt;1)*((Network!$AE$7:$AE$28&gt;0)*(Network!$AE$7:$AE$28&lt;=5)*(Network!$AH$7:$AH$28&lt;=1)+(Network!$AF$7:$AF$28&gt;0)*(Network!$AF$7:$AF$28&lt;=5)*(Network!$AI$7:$AI$28&lt;=1)+(Network!$AG$7:$AG$28&gt;0)*(Network!$AG$7:$AG$28&lt;=5)*(Network!$AJ$7:$AJ$28&lt;=1))+(Network!$Y$7:$Y$28&lt;=1)*((Network!$AE$7:$AE$28&gt;0)*(Network!$AE$7:$AE$28&lt;=5)*(Network!$AH$7:$AH$28&gt;1)+(Network!$AF$7:$AF$28&gt;0)*(Network!$AF$7:$AF$28&lt;=5)*(Network!$AI$7:$AI$28&gt;1)+(Network!$AG$7:$AG$28&gt;0)*(Network!$AG$7:$AG$28&lt;=5)*(Network!$AJ$7:$AJ$28&gt;1))))</f>
        <v>0</v>
      </c>
      <c r="DH6" s="60" t="n">
        <f aca="false">SUMPRODUCT((Network!$X$7:$X$28=6)*(Network!$Y$7:$Y$28=1)*Network!$Z$7:$Z$28)</f>
        <v>6</v>
      </c>
      <c r="DI6" s="60" t="n">
        <f aca="false">SUMPRODUCT((Network!$X$7:$X$28&gt;6)*((Network!$AE$7:$AE$28&gt;0)*(Network!$AE$7:$AE$28&lt;6)*(Network!$AH$7:$AH$28=1)+(Network!$AF$7:$AF$28&gt;0)*(Network!$AF$7:$AF$28&lt;6)*(Network!$AI$7:$AI$28=1)+(Network!$AG$7:$AG$28&gt;0)*(Network!$AG$7:$AG$28&lt;6)*(Network!$AJ$7:$AJ$28=1)))</f>
        <v>0</v>
      </c>
      <c r="DJ6" s="60" t="n">
        <f aca="false">SUMPRODUCT((Network!$X$7:$X$28&gt;6)*((Network!$AE$7:$AE$28&gt;0)*(Network!$AE$7:$AE$28&lt;=6)*(Network!$AH$7:$AH$28=1)+(Network!$AF$7:$AF$28&gt;0)*(Network!$AF$7:$AF$28&lt;=6)*(Network!$AI$7:$AI$28=1)+(Network!$AG$7:$AG$28&gt;0)*(Network!$AG$7:$AG$28&lt;=6)*(Network!$AJ$7:$AJ$28=1)))</f>
        <v>3</v>
      </c>
      <c r="DK6" s="60" t="n">
        <f aca="false">SUMPRODUCT((Network!$X$7:$X$28=7)*(Network!$Y$7:$Y$28=1)*((Network!$AE$7:$AE$28&gt;0)*(Network!$AE$7:$AE$28&lt;=6)+(Network!$AF$7:$AF$28&gt;0)*(Network!$AF$7:$AF$28&lt;=6)+(Network!$AG$7:$AG$28&gt;0)*(Network!$AG$7:$AG$28&lt;=6)))</f>
        <v>2</v>
      </c>
      <c r="DL6" s="60" t="n">
        <f aca="false">SUMPRODUCT((Network!$X$7:$X$28&lt;=6)*(Network!$X$7:$X$28&gt;0)*(Network!$Y$7:$Y$28=1)*Network!$AL$7:$AL$28)</f>
        <v>0</v>
      </c>
      <c r="DM6" s="60" t="n">
        <f aca="false">SUMPRODUCT((Network!$X$7:$X$28=7)*((Network!$Y$7:$Y$28&gt;1)*((Network!$AE$7:$AE$28&gt;0)*(Network!$AE$7:$AE$28&lt;=6)*(Network!$AH$7:$AH$28&lt;=1)+(Network!$AF$7:$AF$28&gt;0)*(Network!$AF$7:$AF$28&lt;=6)*(Network!$AI$7:$AI$28&lt;=1)+(Network!$AG$7:$AG$28&gt;0)*(Network!$AG$7:$AG$28&lt;=6)*(Network!$AJ$7:$AJ$28&lt;=1))+(Network!$Y$7:$Y$28&lt;=1)*((Network!$AE$7:$AE$28&gt;0)*(Network!$AE$7:$AE$28&lt;=6)*(Network!$AH$7:$AH$28&gt;1)+(Network!$AF$7:$AF$28&gt;0)*(Network!$AF$7:$AF$28&lt;=6)*(Network!$AI$7:$AI$28&gt;1)+(Network!$AG$7:$AG$28&gt;0)*(Network!$AG$7:$AG$28&lt;=6)*(Network!$AJ$7:$AJ$28&gt;1))))</f>
        <v>3</v>
      </c>
      <c r="DN6" s="60" t="n">
        <f aca="false">SUMPRODUCT((Network!$X$7:$X$28=7)*(Network!$Y$7:$Y$28=1)*Network!$Z$7:$Z$28)</f>
        <v>8</v>
      </c>
      <c r="DO6" s="60" t="n">
        <f aca="false">SUMPRODUCT((Network!$X$7:$X$28&gt;7)*((Network!$AE$7:$AE$28&gt;0)*(Network!$AE$7:$AE$28&lt;7)*(Network!$AH$7:$AH$28=1)+(Network!$AF$7:$AF$28&gt;0)*(Network!$AF$7:$AF$28&lt;7)*(Network!$AI$7:$AI$28=1)+(Network!$AG$7:$AG$28&gt;0)*(Network!$AG$7:$AG$28&lt;7)*(Network!$AJ$7:$AJ$28=1)))</f>
        <v>0</v>
      </c>
      <c r="DP6" s="60" t="n">
        <f aca="false">SUMPRODUCT((Network!$X$7:$X$28&gt;7)*((Network!$AE$7:$AE$28&gt;0)*(Network!$AE$7:$AE$28&lt;=7)*(Network!$AH$7:$AH$28=1)+(Network!$AF$7:$AF$28&gt;0)*(Network!$AF$7:$AF$28&lt;=7)*(Network!$AI$7:$AI$28=1)+(Network!$AG$7:$AG$28&gt;0)*(Network!$AG$7:$AG$28&lt;=7)*(Network!$AJ$7:$AJ$28=1)))</f>
        <v>1</v>
      </c>
      <c r="DQ6" s="60" t="n">
        <f aca="false">SUMPRODUCT((Network!$X$7:$X$28=8)*(Network!$Y$7:$Y$28=1)*((Network!$AE$7:$AE$28&gt;0)*(Network!$AE$7:$AE$28&lt;=7)+(Network!$AF$7:$AF$28&gt;0)*(Network!$AF$7:$AF$28&lt;=7)+(Network!$AG$7:$AG$28&gt;0)*(Network!$AG$7:$AG$28&lt;=7)))</f>
        <v>0</v>
      </c>
      <c r="DR6" s="60" t="n">
        <f aca="false">SUMPRODUCT((Network!$X$7:$X$28&lt;=7)*(Network!$X$7:$X$28&gt;0)*(Network!$Y$7:$Y$28=1)*Network!$AL$7:$AL$28)</f>
        <v>0</v>
      </c>
      <c r="DS6" s="60" t="n">
        <f aca="false">SUMPRODUCT((Network!$X$7:$X$28=8)*((Network!$Y$7:$Y$28&gt;1)*((Network!$AE$7:$AE$28&gt;0)*(Network!$AE$7:$AE$28&lt;=7)*(Network!$AH$7:$AH$28&lt;=1)+(Network!$AF$7:$AF$28&gt;0)*(Network!$AF$7:$AF$28&lt;=7)*(Network!$AI$7:$AI$28&lt;=1)+(Network!$AG$7:$AG$28&gt;0)*(Network!$AG$7:$AG$28&lt;=7)*(Network!$AJ$7:$AJ$28&lt;=1))+(Network!$Y$7:$Y$28&lt;=1)*((Network!$AE$7:$AE$28&gt;0)*(Network!$AE$7:$AE$28&lt;=7)*(Network!$AH$7:$AH$28&gt;1)+(Network!$AF$7:$AF$28&gt;0)*(Network!$AF$7:$AF$28&lt;=7)*(Network!$AI$7:$AI$28&gt;1)+(Network!$AG$7:$AG$28&gt;0)*(Network!$AG$7:$AG$28&lt;=7)*(Network!$AJ$7:$AJ$28&gt;1))))</f>
        <v>0</v>
      </c>
      <c r="DT6" s="60" t="n">
        <f aca="false">SUMPRODUCT((Network!$X$7:$X$28=8)*(Network!$Y$7:$Y$28=1)*Network!$Z$7:$Z$28)</f>
        <v>0</v>
      </c>
      <c r="DU6" s="60" t="n">
        <f aca="false">SUMPRODUCT((Network!$X$7:$X$28&gt;8)*((Network!$AE$7:$AE$28&gt;0)*(Network!$AE$7:$AE$28&lt;8)*(Network!$AH$7:$AH$28=1)+(Network!$AF$7:$AF$28&gt;0)*(Network!$AF$7:$AF$28&lt;8)*(Network!$AI$7:$AI$28=1)+(Network!$AG$7:$AG$28&gt;0)*(Network!$AG$7:$AG$28&lt;8)*(Network!$AJ$7:$AJ$28=1)))</f>
        <v>1</v>
      </c>
      <c r="DV6" s="60" t="n">
        <f aca="false">SUMPRODUCT((Network!$X$7:$X$28&gt;8)*((Network!$AE$7:$AE$28&gt;0)*(Network!$AE$7:$AE$28&lt;=8)*(Network!$AH$7:$AH$28=1)+(Network!$AF$7:$AF$28&gt;0)*(Network!$AF$7:$AF$28&lt;=8)*(Network!$AI$7:$AI$28=1)+(Network!$AG$7:$AG$28&gt;0)*(Network!$AG$7:$AG$28&lt;=8)*(Network!$AJ$7:$AJ$28=1)))</f>
        <v>1</v>
      </c>
      <c r="DW6" s="60" t="n">
        <f aca="false">SUMPRODUCT((Network!$X$7:$X$28=9)*(Network!$Y$7:$Y$28=1)*((Network!$AE$7:$AE$28&gt;0)*(Network!$AE$7:$AE$28&lt;=8)+(Network!$AF$7:$AF$28&gt;0)*(Network!$AF$7:$AF$28&lt;=8)+(Network!$AG$7:$AG$28&gt;0)*(Network!$AG$7:$AG$28&lt;=8)))</f>
        <v>0</v>
      </c>
      <c r="DX6" s="60" t="n">
        <f aca="false">SUMPRODUCT((Network!$X$7:$X$28&lt;=8)*(Network!$X$7:$X$28&gt;0)*(Network!$Y$7:$Y$28=1)*Network!$AL$7:$AL$28)</f>
        <v>0</v>
      </c>
      <c r="DY6" s="60" t="n">
        <f aca="false">SUMPRODUCT((Network!$X$7:$X$28=9)*((Network!$Y$7:$Y$28&gt;1)*((Network!$AE$7:$AE$28&gt;0)*(Network!$AE$7:$AE$28&lt;=8)*(Network!$AH$7:$AH$28&lt;=1)+(Network!$AF$7:$AF$28&gt;0)*(Network!$AF$7:$AF$28&lt;=8)*(Network!$AI$7:$AI$28&lt;=1)+(Network!$AG$7:$AG$28&gt;0)*(Network!$AG$7:$AG$28&lt;=8)*(Network!$AJ$7:$AJ$28&lt;=1))+(Network!$Y$7:$Y$28&lt;=1)*((Network!$AE$7:$AE$28&gt;0)*(Network!$AE$7:$AE$28&lt;=8)*(Network!$AH$7:$AH$28&gt;1)+(Network!$AF$7:$AF$28&gt;0)*(Network!$AF$7:$AF$28&lt;=8)*(Network!$AI$7:$AI$28&gt;1)+(Network!$AG$7:$AG$28&gt;0)*(Network!$AG$7:$AG$28&lt;=8)*(Network!$AJ$7:$AJ$28&gt;1))))</f>
        <v>1</v>
      </c>
      <c r="DZ6" s="60" t="n">
        <f aca="false">SUMPRODUCT((Network!$X$7:$X$28=9)*(Network!$Y$7:$Y$28=1)*Network!$Z$7:$Z$28)</f>
        <v>0</v>
      </c>
      <c r="EA6" s="60" t="n">
        <f aca="false">SUMPRODUCT((Network!$X$7:$X$28&gt;9)*((Network!$AE$7:$AE$28&gt;0)*(Network!$AE$7:$AE$28&lt;9)*(Network!$AH$7:$AH$28=1)+(Network!$AF$7:$AF$28&gt;0)*(Network!$AF$7:$AF$28&lt;9)*(Network!$AI$7:$AI$28=1)+(Network!$AG$7:$AG$28&gt;0)*(Network!$AG$7:$AG$28&lt;9)*(Network!$AJ$7:$AJ$28=1)))</f>
        <v>0</v>
      </c>
      <c r="EB6" s="60" t="n">
        <f aca="false">SUMPRODUCT((Network!$X$7:$X$28&gt;9)*((Network!$AE$7:$AE$28&gt;0)*(Network!$AE$7:$AE$28&lt;=9)*(Network!$AH$7:$AH$28=1)+(Network!$AF$7:$AF$28&gt;0)*(Network!$AF$7:$AF$28&lt;=9)*(Network!$AI$7:$AI$28=1)+(Network!$AG$7:$AG$28&gt;0)*(Network!$AG$7:$AG$28&lt;=9)*(Network!$AJ$7:$AJ$28=1)))</f>
        <v>0</v>
      </c>
      <c r="EC6" s="60" t="n">
        <f aca="false">SUMPRODUCT((Network!$X$7:$X$28=10)*(Network!$Y$7:$Y$28=1)*((Network!$AE$7:$AE$28&gt;0)*(Network!$AE$7:$AE$28&lt;=9)+(Network!$AF$7:$AF$28&gt;0)*(Network!$AF$7:$AF$28&lt;=9)+(Network!$AG$7:$AG$28&gt;0)*(Network!$AG$7:$AG$28&lt;=9)))</f>
        <v>1</v>
      </c>
      <c r="ED6" s="60" t="n">
        <f aca="false">SUMPRODUCT((Network!$X$7:$X$28&lt;=9)*(Network!$X$7:$X$28&gt;0)*(Network!$Y$7:$Y$28=1)*Network!$AL$7:$AL$28)</f>
        <v>0</v>
      </c>
      <c r="EE6" s="60" t="n">
        <f aca="false">SUMPRODUCT((Network!$X$7:$X$28=10)*((Network!$Y$7:$Y$28&gt;1)*((Network!$AE$7:$AE$28&gt;0)*(Network!$AE$7:$AE$28&lt;=9)*(Network!$AH$7:$AH$28&lt;=1)+(Network!$AF$7:$AF$28&gt;0)*(Network!$AF$7:$AF$28&lt;=9)*(Network!$AI$7:$AI$28&lt;=1)+(Network!$AG$7:$AG$28&gt;0)*(Network!$AG$7:$AG$28&lt;=9)*(Network!$AJ$7:$AJ$28&lt;=1))+(Network!$Y$7:$Y$28&lt;=1)*((Network!$AE$7:$AE$28&gt;0)*(Network!$AE$7:$AE$28&lt;=9)*(Network!$AH$7:$AH$28&gt;1)+(Network!$AF$7:$AF$28&gt;0)*(Network!$AF$7:$AF$28&lt;=9)*(Network!$AI$7:$AI$28&gt;1)+(Network!$AG$7:$AG$28&gt;0)*(Network!$AG$7:$AG$28&lt;=9)*(Network!$AJ$7:$AJ$28&gt;1))))</f>
        <v>1</v>
      </c>
      <c r="EF6" s="60" t="n">
        <f aca="false">SUMPRODUCT((Network!$X$7:$X$28=10)*(Network!$Y$7:$Y$28=1)*Network!$Z$7:$Z$28)</f>
        <v>14</v>
      </c>
      <c r="EG6" s="60" t="n">
        <f aca="false">SUMPRODUCT((Network!$X$7:$X$28&gt;10)*((Network!$AE$7:$AE$28&gt;0)*(Network!$AE$7:$AE$28&lt;10)*(Network!$AH$7:$AH$28=1)+(Network!$AF$7:$AF$28&gt;0)*(Network!$AF$7:$AF$28&lt;10)*(Network!$AI$7:$AI$28=1)+(Network!$AG$7:$AG$28&gt;0)*(Network!$AG$7:$AG$28&lt;10)*(Network!$AJ$7:$AJ$28=1)))</f>
        <v>0</v>
      </c>
      <c r="EH6" s="60" t="n">
        <f aca="false">SUMPRODUCT((Network!$X$7:$X$28&gt;10)*((Network!$AE$7:$AE$28&gt;0)*(Network!$AE$7:$AE$28&lt;=10)*(Network!$AH$7:$AH$28=1)+(Network!$AF$7:$AF$28&gt;0)*(Network!$AF$7:$AF$28&lt;=10)*(Network!$AI$7:$AI$28=1)+(Network!$AG$7:$AG$28&gt;0)*(Network!$AG$7:$AG$28&lt;=10)*(Network!$AJ$7:$AJ$28=1)))</f>
        <v>1</v>
      </c>
      <c r="EI6" s="60" t="n">
        <f aca="false">SUMPRODUCT((Network!$X$7:$X$28=11)*(Network!$Y$7:$Y$28=1)*((Network!$AE$7:$AE$28&gt;0)*(Network!$AE$7:$AE$28&lt;=10)+(Network!$AF$7:$AF$28&gt;0)*(Network!$AF$7:$AF$28&lt;=10)+(Network!$AG$7:$AG$28&gt;0)*(Network!$AG$7:$AG$28&lt;=10)))</f>
        <v>0</v>
      </c>
      <c r="EJ6" s="60" t="n">
        <f aca="false">SUMPRODUCT((Network!$X$7:$X$28&lt;=10)*(Network!$X$7:$X$28&gt;0)*(Network!$Y$7:$Y$28=1)*Network!$AL$7:$AL$28)</f>
        <v>0</v>
      </c>
      <c r="EK6" s="60" t="n">
        <f aca="false">SUMPRODUCT((Network!$X$7:$X$28=11)*((Network!$Y$7:$Y$28&gt;1)*((Network!$AE$7:$AE$28&gt;0)*(Network!$AE$7:$AE$28&lt;=10)*(Network!$AH$7:$AH$28&lt;=1)+(Network!$AF$7:$AF$28&gt;0)*(Network!$AF$7:$AF$28&lt;=10)*(Network!$AI$7:$AI$28&lt;=1)+(Network!$AG$7:$AG$28&gt;0)*(Network!$AG$7:$AG$28&lt;=10)*(Network!$AJ$7:$AJ$28&lt;=1))+(Network!$Y$7:$Y$28&lt;=1)*((Network!$AE$7:$AE$28&gt;0)*(Network!$AE$7:$AE$28&lt;=10)*(Network!$AH$7:$AH$28&gt;1)+(Network!$AF$7:$AF$28&gt;0)*(Network!$AF$7:$AF$28&lt;=10)*(Network!$AI$7:$AI$28&gt;1)+(Network!$AG$7:$AG$28&gt;0)*(Network!$AG$7:$AG$28&lt;=10)*(Network!$AJ$7:$AJ$28&gt;1))))</f>
        <v>1</v>
      </c>
      <c r="EL6" s="60" t="n">
        <f aca="false">SUMPRODUCT((Network!$X$7:$X$28=11)*(Network!$Y$7:$Y$28=1)*Network!$Z$7:$Z$28)</f>
        <v>0</v>
      </c>
      <c r="EM6" s="60" t="n">
        <f aca="false">SUMPRODUCT((Network!$X$7:$X$28&gt;11)*((Network!$AE$7:$AE$28&gt;0)*(Network!$AE$7:$AE$28&lt;11)*(Network!$AH$7:$AH$28=1)+(Network!$AF$7:$AF$28&gt;0)*(Network!$AF$7:$AF$28&lt;11)*(Network!$AI$7:$AI$28=1)+(Network!$AG$7:$AG$28&gt;0)*(Network!$AG$7:$AG$28&lt;11)*(Network!$AJ$7:$AJ$28=1)))</f>
        <v>0</v>
      </c>
      <c r="EN6" s="60" t="n">
        <f aca="false">SUMPRODUCT((Network!$X$7:$X$28&gt;11)*((Network!$AE$7:$AE$28&gt;0)*(Network!$AE$7:$AE$28&lt;=11)*(Network!$AH$7:$AH$28=1)+(Network!$AF$7:$AF$28&gt;0)*(Network!$AF$7:$AF$28&lt;=11)*(Network!$AI$7:$AI$28=1)+(Network!$AG$7:$AG$28&gt;0)*(Network!$AG$7:$AG$28&lt;=11)*(Network!$AJ$7:$AJ$28=1)))</f>
        <v>0</v>
      </c>
      <c r="EO6" s="60" t="n">
        <f aca="false">SUMPRODUCT((Network!$X$7:$X$28=12)*(Network!$Y$7:$Y$28=1)*((Network!$AE$7:$AE$28&gt;0)*(Network!$AE$7:$AE$28&lt;=11)+(Network!$AF$7:$AF$28&gt;0)*(Network!$AF$7:$AF$28&lt;=11)+(Network!$AG$7:$AG$28&gt;0)*(Network!$AG$7:$AG$28&lt;=11)))</f>
        <v>0</v>
      </c>
      <c r="EP6" s="60" t="n">
        <f aca="false">SUMPRODUCT((Network!$X$7:$X$28&lt;=11)*(Network!$X$7:$X$28&gt;0)*(Network!$Y$7:$Y$28=1)*Network!$AL$7:$AL$28)</f>
        <v>0</v>
      </c>
      <c r="EQ6" s="60" t="n">
        <f aca="false">SUMPRODUCT((Network!$X$7:$X$28=12)*((Network!$Y$7:$Y$28&gt;1)*((Network!$AE$7:$AE$28&gt;0)*(Network!$AE$7:$AE$28&lt;=11)*(Network!$AH$7:$AH$28&lt;=1)+(Network!$AF$7:$AF$28&gt;0)*(Network!$AF$7:$AF$28&lt;=11)*(Network!$AI$7:$AI$28&lt;=1)+(Network!$AG$7:$AG$28&gt;0)*(Network!$AG$7:$AG$28&lt;=11)*(Network!$AJ$7:$AJ$28&lt;=1))+(Network!$Y$7:$Y$28&lt;=1)*((Network!$AE$7:$AE$28&gt;0)*(Network!$AE$7:$AE$28&lt;=11)*(Network!$AH$7:$AH$28&gt;1)+(Network!$AF$7:$AF$28&gt;0)*(Network!$AF$7:$AF$28&lt;=11)*(Network!$AI$7:$AI$28&gt;1)+(Network!$AG$7:$AG$28&gt;0)*(Network!$AG$7:$AG$28&lt;=11)*(Network!$AJ$7:$AJ$28&gt;1))))</f>
        <v>0</v>
      </c>
      <c r="ER6" s="60" t="n">
        <f aca="false">SUMPRODUCT((Network!$X$7:$X$28=12)*(Network!$Y$7:$Y$28=1)*Network!$Z$7:$Z$28)</f>
        <v>0</v>
      </c>
      <c r="ES6" s="60" t="n">
        <f aca="false">SUMPRODUCT((Network!$X$7:$X$28&gt;12)*((Network!$AE$7:$AE$28&gt;0)*(Network!$AE$7:$AE$28&lt;12)*(Network!$AH$7:$AH$28=1)+(Network!$AF$7:$AF$28&gt;0)*(Network!$AF$7:$AF$28&lt;12)*(Network!$AI$7:$AI$28=1)+(Network!$AG$7:$AG$28&gt;0)*(Network!$AG$7:$AG$28&lt;12)*(Network!$AJ$7:$AJ$28=1)))</f>
        <v>0</v>
      </c>
      <c r="ET6" s="60" t="n">
        <f aca="false">SUMPRODUCT((Network!$X$7:$X$28&gt;12)*((Network!$AE$7:$AE$28&gt;0)*(Network!$AE$7:$AE$28&lt;=12)*(Network!$AH$7:$AH$28=1)+(Network!$AF$7:$AF$28&gt;0)*(Network!$AF$7:$AF$28&lt;=12)*(Network!$AI$7:$AI$28=1)+(Network!$AG$7:$AG$28&gt;0)*(Network!$AG$7:$AG$28&lt;=12)*(Network!$AJ$7:$AJ$28=1)))</f>
        <v>0</v>
      </c>
      <c r="EU6" s="60" t="n">
        <f aca="false">SUMPRODUCT((Network!$X$7:$X$28=13)*(Network!$Y$7:$Y$28=1)*((Network!$AE$7:$AE$28&gt;0)*(Network!$AE$7:$AE$28&lt;=12)+(Network!$AF$7:$AF$28&gt;0)*(Network!$AF$7:$AF$28&lt;=12)+(Network!$AG$7:$AG$28&gt;0)*(Network!$AG$7:$AG$28&lt;=12)))</f>
        <v>0</v>
      </c>
      <c r="EV6" s="60" t="n">
        <f aca="false">SUMPRODUCT((Network!$X$7:$X$28&lt;=12)*(Network!$X$7:$X$28&gt;0)*(Network!$Y$7:$Y$28=1)*Network!$AL$7:$AL$28)</f>
        <v>0</v>
      </c>
      <c r="EW6" s="60" t="n">
        <f aca="false">SUMPRODUCT((Network!$X$7:$X$28=13)*((Network!$Y$7:$Y$28&gt;1)*((Network!$AE$7:$AE$28&gt;0)*(Network!$AE$7:$AE$28&lt;=12)*(Network!$AH$7:$AH$28&lt;=1)+(Network!$AF$7:$AF$28&gt;0)*(Network!$AF$7:$AF$28&lt;=12)*(Network!$AI$7:$AI$28&lt;=1)+(Network!$AG$7:$AG$28&gt;0)*(Network!$AG$7:$AG$28&lt;=12)*(Network!$AJ$7:$AJ$28&lt;=1))+(Network!$Y$7:$Y$28&lt;=1)*((Network!$AE$7:$AE$28&gt;0)*(Network!$AE$7:$AE$28&lt;=12)*(Network!$AH$7:$AH$28&gt;1)+(Network!$AF$7:$AF$28&gt;0)*(Network!$AF$7:$AF$28&lt;=12)*(Network!$AI$7:$AI$28&gt;1)+(Network!$AG$7:$AG$28&gt;0)*(Network!$AG$7:$AG$28&lt;=12)*(Network!$AJ$7:$AJ$28&gt;1))))</f>
        <v>0</v>
      </c>
    </row>
    <row r="7" customFormat="false" ht="25.5" hidden="false" customHeight="true" outlineLevel="0" collapsed="false">
      <c r="B7" s="66"/>
      <c r="C7" s="66"/>
      <c r="D7" s="66"/>
      <c r="E7" s="66"/>
      <c r="F7" s="68" t="s">
        <v>160</v>
      </c>
      <c r="G7" s="68"/>
      <c r="H7" s="68"/>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D7" s="60" t="n">
        <f aca="false">SUMPRODUCT((Network!$X$7:$X$28=1)*(Network!$Y$7:$Y$28=2)*Network!$Z$7:$Z$28)</f>
        <v>0</v>
      </c>
      <c r="CE7" s="60" t="n">
        <f aca="false">SUMPRODUCT((Network!$X$7:$X$28&gt;1)*((Network!$AE$7:$AE$28&gt;0)*(Network!$AE$7:$AE$28&lt;1)*(Network!$AH$7:$AH$28=2)+(Network!$AF$7:$AF$28&gt;0)*(Network!$AF$7:$AF$28&lt;1)*(Network!$AI$7:$AI$28=2)+(Network!$AG$7:$AG$28&gt;0)*(Network!$AG$7:$AG$28&lt;1)*(Network!$AJ$7:$AJ$28=2)))</f>
        <v>0</v>
      </c>
      <c r="CF7" s="60" t="n">
        <f aca="false">SUMPRODUCT((Network!$X$7:$X$28&gt;1)*((Network!$AE$7:$AE$28&gt;0)*(Network!$AE$7:$AE$28&lt;=1)*(Network!$AH$7:$AH$28=2)+(Network!$AF$7:$AF$28&gt;0)*(Network!$AF$7:$AF$28&lt;=1)*(Network!$AI$7:$AI$28=2)+(Network!$AG$7:$AG$28&gt;0)*(Network!$AG$7:$AG$28&lt;=1)*(Network!$AJ$7:$AJ$28=2)))</f>
        <v>0</v>
      </c>
      <c r="CG7" s="60" t="n">
        <f aca="false">SUMPRODUCT((Network!$X$7:$X$28=2)*(Network!$Y$7:$Y$28=2)*((Network!$AE$7:$AE$28&gt;0)*(Network!$AE$7:$AE$28&lt;=1)+(Network!$AF$7:$AF$28&gt;0)*(Network!$AF$7:$AF$28&lt;=1)+(Network!$AG$7:$AG$28&gt;0)*(Network!$AG$7:$AG$28&lt;=1)))</f>
        <v>0</v>
      </c>
      <c r="CH7" s="60" t="n">
        <f aca="false">SUMPRODUCT((Network!$X$7:$X$28&lt;=1)*(Network!$X$7:$X$28&gt;0)*(Network!$Y$7:$Y$28=2)*Network!$AL$7:$AL$28)</f>
        <v>0</v>
      </c>
      <c r="CI7" s="60" t="n">
        <f aca="false">SUMPRODUCT((Network!$X$7:$X$28=2)*((Network!$Y$7:$Y$28&gt;2)*((Network!$AE$7:$AE$28&gt;0)*(Network!$AE$7:$AE$28&lt;=1)*(Network!$AH$7:$AH$28&lt;=2)+(Network!$AF$7:$AF$28&gt;0)*(Network!$AF$7:$AF$28&lt;=1)*(Network!$AI$7:$AI$28&lt;=2)+(Network!$AG$7:$AG$28&gt;0)*(Network!$AG$7:$AG$28&lt;=1)*(Network!$AJ$7:$AJ$28&lt;=2))+(Network!$Y$7:$Y$28&lt;=2)*((Network!$AE$7:$AE$28&gt;0)*(Network!$AE$7:$AE$28&lt;=1)*(Network!$AH$7:$AH$28&gt;2)+(Network!$AF$7:$AF$28&gt;0)*(Network!$AF$7:$AF$28&lt;=1)*(Network!$AI$7:$AI$28&gt;2)+(Network!$AG$7:$AG$28&gt;0)*(Network!$AG$7:$AG$28&lt;=1)*(Network!$AJ$7:$AJ$28&gt;2))))</f>
        <v>0</v>
      </c>
      <c r="CJ7" s="60" t="n">
        <f aca="false">SUMPRODUCT((Network!$X$7:$X$28=2)*(Network!$Y$7:$Y$28=2)*Network!$Z$7:$Z$28)</f>
        <v>0</v>
      </c>
      <c r="CK7" s="60" t="n">
        <f aca="false">SUMPRODUCT((Network!$X$7:$X$28&gt;2)*((Network!$AE$7:$AE$28&gt;0)*(Network!$AE$7:$AE$28&lt;2)*(Network!$AH$7:$AH$28=2)+(Network!$AF$7:$AF$28&gt;0)*(Network!$AF$7:$AF$28&lt;2)*(Network!$AI$7:$AI$28=2)+(Network!$AG$7:$AG$28&gt;0)*(Network!$AG$7:$AG$28&lt;2)*(Network!$AJ$7:$AJ$28=2)))</f>
        <v>0</v>
      </c>
      <c r="CL7" s="60" t="n">
        <f aca="false">SUMPRODUCT((Network!$X$7:$X$28&gt;2)*((Network!$AE$7:$AE$28&gt;0)*(Network!$AE$7:$AE$28&lt;=2)*(Network!$AH$7:$AH$28=2)+(Network!$AF$7:$AF$28&gt;0)*(Network!$AF$7:$AF$28&lt;=2)*(Network!$AI$7:$AI$28=2)+(Network!$AG$7:$AG$28&gt;0)*(Network!$AG$7:$AG$28&lt;=2)*(Network!$AJ$7:$AJ$28=2)))</f>
        <v>0</v>
      </c>
      <c r="CM7" s="60" t="n">
        <f aca="false">SUMPRODUCT((Network!$X$7:$X$28=3)*(Network!$Y$7:$Y$28=2)*((Network!$AE$7:$AE$28&gt;0)*(Network!$AE$7:$AE$28&lt;=2)+(Network!$AF$7:$AF$28&gt;0)*(Network!$AF$7:$AF$28&lt;=2)+(Network!$AG$7:$AG$28&gt;0)*(Network!$AG$7:$AG$28&lt;=2)))</f>
        <v>0</v>
      </c>
      <c r="CN7" s="60" t="n">
        <f aca="false">SUMPRODUCT((Network!$X$7:$X$28&lt;=2)*(Network!$X$7:$X$28&gt;0)*(Network!$Y$7:$Y$28=2)*Network!$AL$7:$AL$28)</f>
        <v>0</v>
      </c>
      <c r="CO7" s="60" t="n">
        <f aca="false">SUMPRODUCT((Network!$X$7:$X$28=3)*((Network!$Y$7:$Y$28&gt;2)*((Network!$AE$7:$AE$28&gt;0)*(Network!$AE$7:$AE$28&lt;=2)*(Network!$AH$7:$AH$28&lt;=2)+(Network!$AF$7:$AF$28&gt;0)*(Network!$AF$7:$AF$28&lt;=2)*(Network!$AI$7:$AI$28&lt;=2)+(Network!$AG$7:$AG$28&gt;0)*(Network!$AG$7:$AG$28&lt;=2)*(Network!$AJ$7:$AJ$28&lt;=2))+(Network!$Y$7:$Y$28&lt;=2)*((Network!$AE$7:$AE$28&gt;0)*(Network!$AE$7:$AE$28&lt;=2)*(Network!$AH$7:$AH$28&gt;2)+(Network!$AF$7:$AF$28&gt;0)*(Network!$AF$7:$AF$28&lt;=2)*(Network!$AI$7:$AI$28&gt;2)+(Network!$AG$7:$AG$28&gt;0)*(Network!$AG$7:$AG$28&lt;=2)*(Network!$AJ$7:$AJ$28&gt;2))))</f>
        <v>0</v>
      </c>
      <c r="CP7" s="60" t="n">
        <f aca="false">SUMPRODUCT((Network!$X$7:$X$28=3)*(Network!$Y$7:$Y$28=2)*Network!$Z$7:$Z$28)</f>
        <v>0</v>
      </c>
      <c r="CQ7" s="60" t="n">
        <f aca="false">SUMPRODUCT((Network!$X$7:$X$28&gt;3)*((Network!$AE$7:$AE$28&gt;0)*(Network!$AE$7:$AE$28&lt;3)*(Network!$AH$7:$AH$28=2)+(Network!$AF$7:$AF$28&gt;0)*(Network!$AF$7:$AF$28&lt;3)*(Network!$AI$7:$AI$28=2)+(Network!$AG$7:$AG$28&gt;0)*(Network!$AG$7:$AG$28&lt;3)*(Network!$AJ$7:$AJ$28=2)))</f>
        <v>0</v>
      </c>
      <c r="CR7" s="60" t="n">
        <f aca="false">SUMPRODUCT((Network!$X$7:$X$28&gt;3)*((Network!$AE$7:$AE$28&gt;0)*(Network!$AE$7:$AE$28&lt;=3)*(Network!$AH$7:$AH$28=2)+(Network!$AF$7:$AF$28&gt;0)*(Network!$AF$7:$AF$28&lt;=3)*(Network!$AI$7:$AI$28=2)+(Network!$AG$7:$AG$28&gt;0)*(Network!$AG$7:$AG$28&lt;=3)*(Network!$AJ$7:$AJ$28=2)))</f>
        <v>0</v>
      </c>
      <c r="CS7" s="60" t="n">
        <f aca="false">SUMPRODUCT((Network!$X$7:$X$28=4)*(Network!$Y$7:$Y$28=2)*((Network!$AE$7:$AE$28&gt;0)*(Network!$AE$7:$AE$28&lt;=3)+(Network!$AF$7:$AF$28&gt;0)*(Network!$AF$7:$AF$28&lt;=3)+(Network!$AG$7:$AG$28&gt;0)*(Network!$AG$7:$AG$28&lt;=3)))</f>
        <v>1</v>
      </c>
      <c r="CT7" s="60" t="n">
        <f aca="false">SUMPRODUCT((Network!$X$7:$X$28&lt;=3)*(Network!$X$7:$X$28&gt;0)*(Network!$Y$7:$Y$28=2)*Network!$AL$7:$AL$28)</f>
        <v>0</v>
      </c>
      <c r="CU7" s="60" t="n">
        <f aca="false">SUMPRODUCT((Network!$X$7:$X$28=4)*((Network!$Y$7:$Y$28&gt;2)*((Network!$AE$7:$AE$28&gt;0)*(Network!$AE$7:$AE$28&lt;=3)*(Network!$AH$7:$AH$28&lt;=2)+(Network!$AF$7:$AF$28&gt;0)*(Network!$AF$7:$AF$28&lt;=3)*(Network!$AI$7:$AI$28&lt;=2)+(Network!$AG$7:$AG$28&gt;0)*(Network!$AG$7:$AG$28&lt;=3)*(Network!$AJ$7:$AJ$28&lt;=2))+(Network!$Y$7:$Y$28&lt;=2)*((Network!$AE$7:$AE$28&gt;0)*(Network!$AE$7:$AE$28&lt;=3)*(Network!$AH$7:$AH$28&gt;2)+(Network!$AF$7:$AF$28&gt;0)*(Network!$AF$7:$AF$28&lt;=3)*(Network!$AI$7:$AI$28&gt;2)+(Network!$AG$7:$AG$28&gt;0)*(Network!$AG$7:$AG$28&lt;=3)*(Network!$AJ$7:$AJ$28&gt;2))))</f>
        <v>0</v>
      </c>
      <c r="CV7" s="60" t="n">
        <f aca="false">SUMPRODUCT((Network!$X$7:$X$28=4)*(Network!$Y$7:$Y$28=2)*Network!$Z$7:$Z$28)</f>
        <v>7</v>
      </c>
      <c r="CW7" s="60" t="n">
        <f aca="false">SUMPRODUCT((Network!$X$7:$X$28&gt;4)*((Network!$AE$7:$AE$28&gt;0)*(Network!$AE$7:$AE$28&lt;4)*(Network!$AH$7:$AH$28=2)+(Network!$AF$7:$AF$28&gt;0)*(Network!$AF$7:$AF$28&lt;4)*(Network!$AI$7:$AI$28=2)+(Network!$AG$7:$AG$28&gt;0)*(Network!$AG$7:$AG$28&lt;4)*(Network!$AJ$7:$AJ$28=2)))</f>
        <v>0</v>
      </c>
      <c r="CX7" s="60" t="n">
        <f aca="false">SUMPRODUCT((Network!$X$7:$X$28&gt;4)*((Network!$AE$7:$AE$28&gt;0)*(Network!$AE$7:$AE$28&lt;=4)*(Network!$AH$7:$AH$28=2)+(Network!$AF$7:$AF$28&gt;0)*(Network!$AF$7:$AF$28&lt;=4)*(Network!$AI$7:$AI$28=2)+(Network!$AG$7:$AG$28&gt;0)*(Network!$AG$7:$AG$28&lt;=4)*(Network!$AJ$7:$AJ$28=2)))</f>
        <v>1</v>
      </c>
      <c r="CY7" s="60" t="n">
        <f aca="false">SUMPRODUCT((Network!$X$7:$X$28=5)*(Network!$Y$7:$Y$28=2)*((Network!$AE$7:$AE$28&gt;0)*(Network!$AE$7:$AE$28&lt;=4)+(Network!$AF$7:$AF$28&gt;0)*(Network!$AF$7:$AF$28&lt;=4)+(Network!$AG$7:$AG$28&gt;0)*(Network!$AG$7:$AG$28&lt;=4)))</f>
        <v>0</v>
      </c>
      <c r="CZ7" s="60" t="n">
        <f aca="false">SUMPRODUCT((Network!$X$7:$X$28&lt;=4)*(Network!$X$7:$X$28&gt;0)*(Network!$Y$7:$Y$28=2)*Network!$AL$7:$AL$28)</f>
        <v>0</v>
      </c>
      <c r="DA7" s="60" t="n">
        <f aca="false">SUMPRODUCT((Network!$X$7:$X$28=5)*((Network!$Y$7:$Y$28&gt;2)*((Network!$AE$7:$AE$28&gt;0)*(Network!$AE$7:$AE$28&lt;=4)*(Network!$AH$7:$AH$28&lt;=2)+(Network!$AF$7:$AF$28&gt;0)*(Network!$AF$7:$AF$28&lt;=4)*(Network!$AI$7:$AI$28&lt;=2)+(Network!$AG$7:$AG$28&gt;0)*(Network!$AG$7:$AG$28&lt;=4)*(Network!$AJ$7:$AJ$28&lt;=2))+(Network!$Y$7:$Y$28&lt;=2)*((Network!$AE$7:$AE$28&gt;0)*(Network!$AE$7:$AE$28&lt;=4)*(Network!$AH$7:$AH$28&gt;2)+(Network!$AF$7:$AF$28&gt;0)*(Network!$AF$7:$AF$28&lt;=4)*(Network!$AI$7:$AI$28&gt;2)+(Network!$AG$7:$AG$28&gt;0)*(Network!$AG$7:$AG$28&lt;=4)*(Network!$AJ$7:$AJ$28&gt;2))))</f>
        <v>0</v>
      </c>
      <c r="DB7" s="60" t="n">
        <f aca="false">SUMPRODUCT((Network!$X$7:$X$28=5)*(Network!$Y$7:$Y$28=2)*Network!$Z$7:$Z$28)</f>
        <v>0</v>
      </c>
      <c r="DC7" s="60" t="n">
        <f aca="false">SUMPRODUCT((Network!$X$7:$X$28&gt;5)*((Network!$AE$7:$AE$28&gt;0)*(Network!$AE$7:$AE$28&lt;5)*(Network!$AH$7:$AH$28=2)+(Network!$AF$7:$AF$28&gt;0)*(Network!$AF$7:$AF$28&lt;5)*(Network!$AI$7:$AI$28=2)+(Network!$AG$7:$AG$28&gt;0)*(Network!$AG$7:$AG$28&lt;5)*(Network!$AJ$7:$AJ$28=2)))</f>
        <v>1</v>
      </c>
      <c r="DD7" s="60" t="n">
        <f aca="false">SUMPRODUCT((Network!$X$7:$X$28&gt;5)*((Network!$AE$7:$AE$28&gt;0)*(Network!$AE$7:$AE$28&lt;=5)*(Network!$AH$7:$AH$28=2)+(Network!$AF$7:$AF$28&gt;0)*(Network!$AF$7:$AF$28&lt;=5)*(Network!$AI$7:$AI$28=2)+(Network!$AG$7:$AG$28&gt;0)*(Network!$AG$7:$AG$28&lt;=5)*(Network!$AJ$7:$AJ$28=2)))</f>
        <v>1</v>
      </c>
      <c r="DE7" s="60" t="n">
        <f aca="false">SUMPRODUCT((Network!$X$7:$X$28=6)*(Network!$Y$7:$Y$28=2)*((Network!$AE$7:$AE$28&gt;0)*(Network!$AE$7:$AE$28&lt;=5)+(Network!$AF$7:$AF$28&gt;0)*(Network!$AF$7:$AF$28&lt;=5)+(Network!$AG$7:$AG$28&gt;0)*(Network!$AG$7:$AG$28&lt;=5)))</f>
        <v>0</v>
      </c>
      <c r="DF7" s="60" t="n">
        <f aca="false">SUMPRODUCT((Network!$X$7:$X$28&lt;=5)*(Network!$X$7:$X$28&gt;0)*(Network!$Y$7:$Y$28=2)*Network!$AL$7:$AL$28)</f>
        <v>0</v>
      </c>
      <c r="DG7" s="60" t="n">
        <f aca="false">SUMPRODUCT((Network!$X$7:$X$28=6)*((Network!$Y$7:$Y$28&gt;2)*((Network!$AE$7:$AE$28&gt;0)*(Network!$AE$7:$AE$28&lt;=5)*(Network!$AH$7:$AH$28&lt;=2)+(Network!$AF$7:$AF$28&gt;0)*(Network!$AF$7:$AF$28&lt;=5)*(Network!$AI$7:$AI$28&lt;=2)+(Network!$AG$7:$AG$28&gt;0)*(Network!$AG$7:$AG$28&lt;=5)*(Network!$AJ$7:$AJ$28&lt;=2))+(Network!$Y$7:$Y$28&lt;=2)*((Network!$AE$7:$AE$28&gt;0)*(Network!$AE$7:$AE$28&lt;=5)*(Network!$AH$7:$AH$28&gt;2)+(Network!$AF$7:$AF$28&gt;0)*(Network!$AF$7:$AF$28&lt;=5)*(Network!$AI$7:$AI$28&gt;2)+(Network!$AG$7:$AG$28&gt;0)*(Network!$AG$7:$AG$28&lt;=5)*(Network!$AJ$7:$AJ$28&gt;2))))</f>
        <v>0</v>
      </c>
      <c r="DH7" s="60" t="n">
        <f aca="false">SUMPRODUCT((Network!$X$7:$X$28=6)*(Network!$Y$7:$Y$28=2)*Network!$Z$7:$Z$28)</f>
        <v>0</v>
      </c>
      <c r="DI7" s="60" t="n">
        <f aca="false">SUMPRODUCT((Network!$X$7:$X$28&gt;6)*((Network!$AE$7:$AE$28&gt;0)*(Network!$AE$7:$AE$28&lt;6)*(Network!$AH$7:$AH$28=2)+(Network!$AF$7:$AF$28&gt;0)*(Network!$AF$7:$AF$28&lt;6)*(Network!$AI$7:$AI$28=2)+(Network!$AG$7:$AG$28&gt;0)*(Network!$AG$7:$AG$28&lt;6)*(Network!$AJ$7:$AJ$28=2)))</f>
        <v>1</v>
      </c>
      <c r="DJ7" s="60" t="n">
        <f aca="false">SUMPRODUCT((Network!$X$7:$X$28&gt;6)*((Network!$AE$7:$AE$28&gt;0)*(Network!$AE$7:$AE$28&lt;=6)*(Network!$AH$7:$AH$28=2)+(Network!$AF$7:$AF$28&gt;0)*(Network!$AF$7:$AF$28&lt;=6)*(Network!$AI$7:$AI$28=2)+(Network!$AG$7:$AG$28&gt;0)*(Network!$AG$7:$AG$28&lt;=6)*(Network!$AJ$7:$AJ$28=2)))</f>
        <v>1</v>
      </c>
      <c r="DK7" s="60" t="n">
        <f aca="false">SUMPRODUCT((Network!$X$7:$X$28=7)*(Network!$Y$7:$Y$28=2)*((Network!$AE$7:$AE$28&gt;0)*(Network!$AE$7:$AE$28&lt;=6)+(Network!$AF$7:$AF$28&gt;0)*(Network!$AF$7:$AF$28&lt;=6)+(Network!$AG$7:$AG$28&gt;0)*(Network!$AG$7:$AG$28&lt;=6)))</f>
        <v>1</v>
      </c>
      <c r="DL7" s="60" t="n">
        <f aca="false">SUMPRODUCT((Network!$X$7:$X$28&lt;=6)*(Network!$X$7:$X$28&gt;0)*(Network!$Y$7:$Y$28=2)*Network!$AL$7:$AL$28)</f>
        <v>0</v>
      </c>
      <c r="DM7" s="60" t="n">
        <f aca="false">SUMPRODUCT((Network!$X$7:$X$28=7)*((Network!$Y$7:$Y$28&gt;2)*((Network!$AE$7:$AE$28&gt;0)*(Network!$AE$7:$AE$28&lt;=6)*(Network!$AH$7:$AH$28&lt;=2)+(Network!$AF$7:$AF$28&gt;0)*(Network!$AF$7:$AF$28&lt;=6)*(Network!$AI$7:$AI$28&lt;=2)+(Network!$AG$7:$AG$28&gt;0)*(Network!$AG$7:$AG$28&lt;=6)*(Network!$AJ$7:$AJ$28&lt;=2))+(Network!$Y$7:$Y$28&lt;=2)*((Network!$AE$7:$AE$28&gt;0)*(Network!$AE$7:$AE$28&lt;=6)*(Network!$AH$7:$AH$28&gt;2)+(Network!$AF$7:$AF$28&gt;0)*(Network!$AF$7:$AF$28&lt;=6)*(Network!$AI$7:$AI$28&gt;2)+(Network!$AG$7:$AG$28&gt;0)*(Network!$AG$7:$AG$28&lt;=6)*(Network!$AJ$7:$AJ$28&gt;2))))</f>
        <v>1</v>
      </c>
      <c r="DN7" s="60" t="n">
        <f aca="false">SUMPRODUCT((Network!$X$7:$X$28=7)*(Network!$Y$7:$Y$28=2)*Network!$Z$7:$Z$28)</f>
        <v>9</v>
      </c>
      <c r="DO7" s="60" t="n">
        <f aca="false">SUMPRODUCT((Network!$X$7:$X$28&gt;7)*((Network!$AE$7:$AE$28&gt;0)*(Network!$AE$7:$AE$28&lt;7)*(Network!$AH$7:$AH$28=2)+(Network!$AF$7:$AF$28&gt;0)*(Network!$AF$7:$AF$28&lt;7)*(Network!$AI$7:$AI$28=2)+(Network!$AG$7:$AG$28&gt;0)*(Network!$AG$7:$AG$28&lt;7)*(Network!$AJ$7:$AJ$28=2)))</f>
        <v>0</v>
      </c>
      <c r="DP7" s="60" t="n">
        <f aca="false">SUMPRODUCT((Network!$X$7:$X$28&gt;7)*((Network!$AE$7:$AE$28&gt;0)*(Network!$AE$7:$AE$28&lt;=7)*(Network!$AH$7:$AH$28=2)+(Network!$AF$7:$AF$28&gt;0)*(Network!$AF$7:$AF$28&lt;=7)*(Network!$AI$7:$AI$28=2)+(Network!$AG$7:$AG$28&gt;0)*(Network!$AG$7:$AG$28&lt;=7)*(Network!$AJ$7:$AJ$28=2)))</f>
        <v>1</v>
      </c>
      <c r="DQ7" s="60" t="n">
        <f aca="false">SUMPRODUCT((Network!$X$7:$X$28=8)*(Network!$Y$7:$Y$28=2)*((Network!$AE$7:$AE$28&gt;0)*(Network!$AE$7:$AE$28&lt;=7)+(Network!$AF$7:$AF$28&gt;0)*(Network!$AF$7:$AF$28&lt;=7)+(Network!$AG$7:$AG$28&gt;0)*(Network!$AG$7:$AG$28&lt;=7)))</f>
        <v>2</v>
      </c>
      <c r="DR7" s="60" t="n">
        <f aca="false">SUMPRODUCT((Network!$X$7:$X$28&lt;=7)*(Network!$X$7:$X$28&gt;0)*(Network!$Y$7:$Y$28=2)*Network!$AL$7:$AL$28)</f>
        <v>0</v>
      </c>
      <c r="DS7" s="60" t="n">
        <f aca="false">SUMPRODUCT((Network!$X$7:$X$28=8)*((Network!$Y$7:$Y$28&gt;2)*((Network!$AE$7:$AE$28&gt;0)*(Network!$AE$7:$AE$28&lt;=7)*(Network!$AH$7:$AH$28&lt;=2)+(Network!$AF$7:$AF$28&gt;0)*(Network!$AF$7:$AF$28&lt;=7)*(Network!$AI$7:$AI$28&lt;=2)+(Network!$AG$7:$AG$28&gt;0)*(Network!$AG$7:$AG$28&lt;=7)*(Network!$AJ$7:$AJ$28&lt;=2))+(Network!$Y$7:$Y$28&lt;=2)*((Network!$AE$7:$AE$28&gt;0)*(Network!$AE$7:$AE$28&lt;=7)*(Network!$AH$7:$AH$28&gt;2)+(Network!$AF$7:$AF$28&gt;0)*(Network!$AF$7:$AF$28&lt;=7)*(Network!$AI$7:$AI$28&gt;2)+(Network!$AG$7:$AG$28&gt;0)*(Network!$AG$7:$AG$28&lt;=7)*(Network!$AJ$7:$AJ$28&gt;2))))</f>
        <v>1</v>
      </c>
      <c r="DT7" s="60" t="n">
        <f aca="false">SUMPRODUCT((Network!$X$7:$X$28=8)*(Network!$Y$7:$Y$28=2)*Network!$Z$7:$Z$28)</f>
        <v>11</v>
      </c>
      <c r="DU7" s="60" t="n">
        <f aca="false">SUMPRODUCT((Network!$X$7:$X$28&gt;8)*((Network!$AE$7:$AE$28&gt;0)*(Network!$AE$7:$AE$28&lt;8)*(Network!$AH$7:$AH$28=2)+(Network!$AF$7:$AF$28&gt;0)*(Network!$AF$7:$AF$28&lt;8)*(Network!$AI$7:$AI$28=2)+(Network!$AG$7:$AG$28&gt;0)*(Network!$AG$7:$AG$28&lt;8)*(Network!$AJ$7:$AJ$28=2)))</f>
        <v>0</v>
      </c>
      <c r="DV7" s="60" t="n">
        <f aca="false">SUMPRODUCT((Network!$X$7:$X$28&gt;8)*((Network!$AE$7:$AE$28&gt;0)*(Network!$AE$7:$AE$28&lt;=8)*(Network!$AH$7:$AH$28=2)+(Network!$AF$7:$AF$28&gt;0)*(Network!$AF$7:$AF$28&lt;=8)*(Network!$AI$7:$AI$28=2)+(Network!$AG$7:$AG$28&gt;0)*(Network!$AG$7:$AG$28&lt;=8)*(Network!$AJ$7:$AJ$28=2)))</f>
        <v>1</v>
      </c>
      <c r="DW7" s="60" t="n">
        <f aca="false">SUMPRODUCT((Network!$X$7:$X$28=9)*(Network!$Y$7:$Y$28=2)*((Network!$AE$7:$AE$28&gt;0)*(Network!$AE$7:$AE$28&lt;=8)+(Network!$AF$7:$AF$28&gt;0)*(Network!$AF$7:$AF$28&lt;=8)+(Network!$AG$7:$AG$28&gt;0)*(Network!$AG$7:$AG$28&lt;=8)))</f>
        <v>2</v>
      </c>
      <c r="DX7" s="60" t="n">
        <f aca="false">SUMPRODUCT((Network!$X$7:$X$28&lt;=8)*(Network!$X$7:$X$28&gt;0)*(Network!$Y$7:$Y$28=2)*Network!$AL$7:$AL$28)</f>
        <v>0</v>
      </c>
      <c r="DY7" s="60" t="n">
        <f aca="false">SUMPRODUCT((Network!$X$7:$X$28=9)*((Network!$Y$7:$Y$28&gt;2)*((Network!$AE$7:$AE$28&gt;0)*(Network!$AE$7:$AE$28&lt;=8)*(Network!$AH$7:$AH$28&lt;=2)+(Network!$AF$7:$AF$28&gt;0)*(Network!$AF$7:$AF$28&lt;=8)*(Network!$AI$7:$AI$28&lt;=2)+(Network!$AG$7:$AG$28&gt;0)*(Network!$AG$7:$AG$28&lt;=8)*(Network!$AJ$7:$AJ$28&lt;=2))+(Network!$Y$7:$Y$28&lt;=2)*((Network!$AE$7:$AE$28&gt;0)*(Network!$AE$7:$AE$28&lt;=8)*(Network!$AH$7:$AH$28&gt;2)+(Network!$AF$7:$AF$28&gt;0)*(Network!$AF$7:$AF$28&lt;=8)*(Network!$AI$7:$AI$28&gt;2)+(Network!$AG$7:$AG$28&gt;0)*(Network!$AG$7:$AG$28&lt;=8)*(Network!$AJ$7:$AJ$28&gt;2))))</f>
        <v>0</v>
      </c>
      <c r="DZ7" s="60" t="n">
        <f aca="false">SUMPRODUCT((Network!$X$7:$X$28=9)*(Network!$Y$7:$Y$28=2)*Network!$Z$7:$Z$28)</f>
        <v>12</v>
      </c>
      <c r="EA7" s="60" t="n">
        <f aca="false">SUMPRODUCT((Network!$X$7:$X$28&gt;9)*((Network!$AE$7:$AE$28&gt;0)*(Network!$AE$7:$AE$28&lt;9)*(Network!$AH$7:$AH$28=2)+(Network!$AF$7:$AF$28&gt;0)*(Network!$AF$7:$AF$28&lt;9)*(Network!$AI$7:$AI$28=2)+(Network!$AG$7:$AG$28&gt;0)*(Network!$AG$7:$AG$28&lt;9)*(Network!$AJ$7:$AJ$28=2)))</f>
        <v>0</v>
      </c>
      <c r="EB7" s="60" t="n">
        <f aca="false">SUMPRODUCT((Network!$X$7:$X$28&gt;9)*((Network!$AE$7:$AE$28&gt;0)*(Network!$AE$7:$AE$28&lt;=9)*(Network!$AH$7:$AH$28=2)+(Network!$AF$7:$AF$28&gt;0)*(Network!$AF$7:$AF$28&lt;=9)*(Network!$AI$7:$AI$28=2)+(Network!$AG$7:$AG$28&gt;0)*(Network!$AG$7:$AG$28&lt;=9)*(Network!$AJ$7:$AJ$28=2)))</f>
        <v>2</v>
      </c>
      <c r="EC7" s="60" t="n">
        <f aca="false">SUMPRODUCT((Network!$X$7:$X$28=10)*(Network!$Y$7:$Y$28=2)*((Network!$AE$7:$AE$28&gt;0)*(Network!$AE$7:$AE$28&lt;=9)+(Network!$AF$7:$AF$28&gt;0)*(Network!$AF$7:$AF$28&lt;=9)+(Network!$AG$7:$AG$28&gt;0)*(Network!$AG$7:$AG$28&lt;=9)))</f>
        <v>1</v>
      </c>
      <c r="ED7" s="60" t="n">
        <f aca="false">SUMPRODUCT((Network!$X$7:$X$28&lt;=9)*(Network!$X$7:$X$28&gt;0)*(Network!$Y$7:$Y$28=2)*Network!$AL$7:$AL$28)</f>
        <v>0</v>
      </c>
      <c r="EE7" s="60" t="n">
        <f aca="false">SUMPRODUCT((Network!$X$7:$X$28=10)*((Network!$Y$7:$Y$28&gt;2)*((Network!$AE$7:$AE$28&gt;0)*(Network!$AE$7:$AE$28&lt;=9)*(Network!$AH$7:$AH$28&lt;=2)+(Network!$AF$7:$AF$28&gt;0)*(Network!$AF$7:$AF$28&lt;=9)*(Network!$AI$7:$AI$28&lt;=2)+(Network!$AG$7:$AG$28&gt;0)*(Network!$AG$7:$AG$28&lt;=9)*(Network!$AJ$7:$AJ$28&lt;=2))+(Network!$Y$7:$Y$28&lt;=2)*((Network!$AE$7:$AE$28&gt;0)*(Network!$AE$7:$AE$28&lt;=9)*(Network!$AH$7:$AH$28&gt;2)+(Network!$AF$7:$AF$28&gt;0)*(Network!$AF$7:$AF$28&lt;=9)*(Network!$AI$7:$AI$28&gt;2)+(Network!$AG$7:$AG$28&gt;0)*(Network!$AG$7:$AG$28&lt;=9)*(Network!$AJ$7:$AJ$28&gt;2))))</f>
        <v>0</v>
      </c>
      <c r="EF7" s="60" t="n">
        <f aca="false">SUMPRODUCT((Network!$X$7:$X$28=10)*(Network!$Y$7:$Y$28=2)*Network!$Z$7:$Z$28)</f>
        <v>13</v>
      </c>
      <c r="EG7" s="60" t="n">
        <f aca="false">SUMPRODUCT((Network!$X$7:$X$28&gt;10)*((Network!$AE$7:$AE$28&gt;0)*(Network!$AE$7:$AE$28&lt;10)*(Network!$AH$7:$AH$28=2)+(Network!$AF$7:$AF$28&gt;0)*(Network!$AF$7:$AF$28&lt;10)*(Network!$AI$7:$AI$28=2)+(Network!$AG$7:$AG$28&gt;0)*(Network!$AG$7:$AG$28&lt;10)*(Network!$AJ$7:$AJ$28=2)))</f>
        <v>0</v>
      </c>
      <c r="EH7" s="60" t="n">
        <f aca="false">SUMPRODUCT((Network!$X$7:$X$28&gt;10)*((Network!$AE$7:$AE$28&gt;0)*(Network!$AE$7:$AE$28&lt;=10)*(Network!$AH$7:$AH$28=2)+(Network!$AF$7:$AF$28&gt;0)*(Network!$AF$7:$AF$28&lt;=10)*(Network!$AI$7:$AI$28=2)+(Network!$AG$7:$AG$28&gt;0)*(Network!$AG$7:$AG$28&lt;=10)*(Network!$AJ$7:$AJ$28=2)))</f>
        <v>1</v>
      </c>
      <c r="EI7" s="60" t="n">
        <f aca="false">SUMPRODUCT((Network!$X$7:$X$28=11)*(Network!$Y$7:$Y$28=2)*((Network!$AE$7:$AE$28&gt;0)*(Network!$AE$7:$AE$28&lt;=10)+(Network!$AF$7:$AF$28&gt;0)*(Network!$AF$7:$AF$28&lt;=10)+(Network!$AG$7:$AG$28&gt;0)*(Network!$AG$7:$AG$28&lt;=10)))</f>
        <v>2</v>
      </c>
      <c r="EJ7" s="60" t="n">
        <f aca="false">SUMPRODUCT((Network!$X$7:$X$28&lt;=10)*(Network!$X$7:$X$28&gt;0)*(Network!$Y$7:$Y$28=2)*Network!$AL$7:$AL$28)</f>
        <v>0</v>
      </c>
      <c r="EK7" s="60" t="n">
        <f aca="false">SUMPRODUCT((Network!$X$7:$X$28=11)*((Network!$Y$7:$Y$28&gt;2)*((Network!$AE$7:$AE$28&gt;0)*(Network!$AE$7:$AE$28&lt;=10)*(Network!$AH$7:$AH$28&lt;=2)+(Network!$AF$7:$AF$28&gt;0)*(Network!$AF$7:$AF$28&lt;=10)*(Network!$AI$7:$AI$28&lt;=2)+(Network!$AG$7:$AG$28&gt;0)*(Network!$AG$7:$AG$28&lt;=10)*(Network!$AJ$7:$AJ$28&lt;=2))+(Network!$Y$7:$Y$28&lt;=2)*((Network!$AE$7:$AE$28&gt;0)*(Network!$AE$7:$AE$28&lt;=10)*(Network!$AH$7:$AH$28&gt;2)+(Network!$AF$7:$AF$28&gt;0)*(Network!$AF$7:$AF$28&lt;=10)*(Network!$AI$7:$AI$28&gt;2)+(Network!$AG$7:$AG$28&gt;0)*(Network!$AG$7:$AG$28&lt;=10)*(Network!$AJ$7:$AJ$28&gt;2))))</f>
        <v>0</v>
      </c>
      <c r="EL7" s="60" t="n">
        <f aca="false">SUMPRODUCT((Network!$X$7:$X$28=11)*(Network!$Y$7:$Y$28=2)*Network!$Z$7:$Z$28)</f>
        <v>15</v>
      </c>
      <c r="EM7" s="60" t="n">
        <f aca="false">SUMPRODUCT((Network!$X$7:$X$28&gt;11)*((Network!$AE$7:$AE$28&gt;0)*(Network!$AE$7:$AE$28&lt;11)*(Network!$AH$7:$AH$28=2)+(Network!$AF$7:$AF$28&gt;0)*(Network!$AF$7:$AF$28&lt;11)*(Network!$AI$7:$AI$28=2)+(Network!$AG$7:$AG$28&gt;0)*(Network!$AG$7:$AG$28&lt;11)*(Network!$AJ$7:$AJ$28=2)))</f>
        <v>0</v>
      </c>
      <c r="EN7" s="60" t="n">
        <f aca="false">SUMPRODUCT((Network!$X$7:$X$28&gt;11)*((Network!$AE$7:$AE$28&gt;0)*(Network!$AE$7:$AE$28&lt;=11)*(Network!$AH$7:$AH$28=2)+(Network!$AF$7:$AF$28&gt;0)*(Network!$AF$7:$AF$28&lt;=11)*(Network!$AI$7:$AI$28=2)+(Network!$AG$7:$AG$28&gt;0)*(Network!$AG$7:$AG$28&lt;=11)*(Network!$AJ$7:$AJ$28=2)))</f>
        <v>0</v>
      </c>
      <c r="EO7" s="60" t="n">
        <f aca="false">SUMPRODUCT((Network!$X$7:$X$28=12)*(Network!$Y$7:$Y$28=2)*((Network!$AE$7:$AE$28&gt;0)*(Network!$AE$7:$AE$28&lt;=11)+(Network!$AF$7:$AF$28&gt;0)*(Network!$AF$7:$AF$28&lt;=11)+(Network!$AG$7:$AG$28&gt;0)*(Network!$AG$7:$AG$28&lt;=11)))</f>
        <v>0</v>
      </c>
      <c r="EP7" s="60" t="n">
        <f aca="false">SUMPRODUCT((Network!$X$7:$X$28&lt;=11)*(Network!$X$7:$X$28&gt;0)*(Network!$Y$7:$Y$28=2)*Network!$AL$7:$AL$28)</f>
        <v>1</v>
      </c>
      <c r="EQ7" s="60" t="n">
        <f aca="false">SUMPRODUCT((Network!$X$7:$X$28=12)*((Network!$Y$7:$Y$28&gt;2)*((Network!$AE$7:$AE$28&gt;0)*(Network!$AE$7:$AE$28&lt;=11)*(Network!$AH$7:$AH$28&lt;=2)+(Network!$AF$7:$AF$28&gt;0)*(Network!$AF$7:$AF$28&lt;=11)*(Network!$AI$7:$AI$28&lt;=2)+(Network!$AG$7:$AG$28&gt;0)*(Network!$AG$7:$AG$28&lt;=11)*(Network!$AJ$7:$AJ$28&lt;=2))+(Network!$Y$7:$Y$28&lt;=2)*((Network!$AE$7:$AE$28&gt;0)*(Network!$AE$7:$AE$28&lt;=11)*(Network!$AH$7:$AH$28&gt;2)+(Network!$AF$7:$AF$28&gt;0)*(Network!$AF$7:$AF$28&lt;=11)*(Network!$AI$7:$AI$28&gt;2)+(Network!$AG$7:$AG$28&gt;0)*(Network!$AG$7:$AG$28&lt;=11)*(Network!$AJ$7:$AJ$28&gt;2))))</f>
        <v>0</v>
      </c>
      <c r="ER7" s="60" t="n">
        <f aca="false">SUMPRODUCT((Network!$X$7:$X$28=12)*(Network!$Y$7:$Y$28=2)*Network!$Z$7:$Z$28)</f>
        <v>0</v>
      </c>
      <c r="ES7" s="60" t="n">
        <f aca="false">SUMPRODUCT((Network!$X$7:$X$28&gt;12)*((Network!$AE$7:$AE$28&gt;0)*(Network!$AE$7:$AE$28&lt;12)*(Network!$AH$7:$AH$28=2)+(Network!$AF$7:$AF$28&gt;0)*(Network!$AF$7:$AF$28&lt;12)*(Network!$AI$7:$AI$28=2)+(Network!$AG$7:$AG$28&gt;0)*(Network!$AG$7:$AG$28&lt;12)*(Network!$AJ$7:$AJ$28=2)))</f>
        <v>0</v>
      </c>
      <c r="ET7" s="60" t="n">
        <f aca="false">SUMPRODUCT((Network!$X$7:$X$28&gt;12)*((Network!$AE$7:$AE$28&gt;0)*(Network!$AE$7:$AE$28&lt;=12)*(Network!$AH$7:$AH$28=2)+(Network!$AF$7:$AF$28&gt;0)*(Network!$AF$7:$AF$28&lt;=12)*(Network!$AI$7:$AI$28=2)+(Network!$AG$7:$AG$28&gt;0)*(Network!$AG$7:$AG$28&lt;=12)*(Network!$AJ$7:$AJ$28=2)))</f>
        <v>0</v>
      </c>
      <c r="EU7" s="60" t="n">
        <f aca="false">SUMPRODUCT((Network!$X$7:$X$28=13)*(Network!$Y$7:$Y$28=2)*((Network!$AE$7:$AE$28&gt;0)*(Network!$AE$7:$AE$28&lt;=12)+(Network!$AF$7:$AF$28&gt;0)*(Network!$AF$7:$AF$28&lt;=12)+(Network!$AG$7:$AG$28&gt;0)*(Network!$AG$7:$AG$28&lt;=12)))</f>
        <v>0</v>
      </c>
      <c r="EV7" s="60" t="n">
        <f aca="false">SUMPRODUCT((Network!$X$7:$X$28&lt;=12)*(Network!$X$7:$X$28&gt;0)*(Network!$Y$7:$Y$28=2)*Network!$AL$7:$AL$28)</f>
        <v>1</v>
      </c>
      <c r="EW7" s="60" t="n">
        <f aca="false">SUMPRODUCT((Network!$X$7:$X$28=13)*((Network!$Y$7:$Y$28&gt;2)*((Network!$AE$7:$AE$28&gt;0)*(Network!$AE$7:$AE$28&lt;=12)*(Network!$AH$7:$AH$28&lt;=2)+(Network!$AF$7:$AF$28&gt;0)*(Network!$AF$7:$AF$28&lt;=12)*(Network!$AI$7:$AI$28&lt;=2)+(Network!$AG$7:$AG$28&gt;0)*(Network!$AG$7:$AG$28&lt;=12)*(Network!$AJ$7:$AJ$28&lt;=2))+(Network!$Y$7:$Y$28&lt;=2)*((Network!$AE$7:$AE$28&gt;0)*(Network!$AE$7:$AE$28&lt;=12)*(Network!$AH$7:$AH$28&gt;2)+(Network!$AF$7:$AF$28&gt;0)*(Network!$AF$7:$AF$28&lt;=12)*(Network!$AI$7:$AI$28&gt;2)+(Network!$AG$7:$AG$28&gt;0)*(Network!$AG$7:$AG$28&lt;=12)*(Network!$AJ$7:$AJ$28&gt;2))))</f>
        <v>0</v>
      </c>
    </row>
    <row r="8" customFormat="false" ht="4.5" hidden="false" customHeight="true" outlineLevel="0" collapsed="false">
      <c r="F8" s="69"/>
      <c r="G8" s="69"/>
      <c r="H8" s="69"/>
      <c r="I8" s="70"/>
      <c r="J8" s="70"/>
      <c r="K8" s="70"/>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D8" s="60" t="n">
        <f aca="false">SUMPRODUCT((Network!$X$7:$X$28=1)*(Network!$Y$7:$Y$28=3)*Network!$Z$7:$Z$28)</f>
        <v>0</v>
      </c>
      <c r="CE8" s="60" t="n">
        <f aca="false">SUMPRODUCT((Network!$X$7:$X$28&gt;1)*((Network!$AE$7:$AE$28&gt;0)*(Network!$AE$7:$AE$28&lt;1)*(Network!$AH$7:$AH$28=3)+(Network!$AF$7:$AF$28&gt;0)*(Network!$AF$7:$AF$28&lt;1)*(Network!$AI$7:$AI$28=3)+(Network!$AG$7:$AG$28&gt;0)*(Network!$AG$7:$AG$28&lt;1)*(Network!$AJ$7:$AJ$28=3)))</f>
        <v>0</v>
      </c>
      <c r="CF8" s="60" t="n">
        <f aca="false">SUMPRODUCT((Network!$X$7:$X$28&gt;1)*((Network!$AE$7:$AE$28&gt;0)*(Network!$AE$7:$AE$28&lt;=1)*(Network!$AH$7:$AH$28=3)+(Network!$AF$7:$AF$28&gt;0)*(Network!$AF$7:$AF$28&lt;=1)*(Network!$AI$7:$AI$28=3)+(Network!$AG$7:$AG$28&gt;0)*(Network!$AG$7:$AG$28&lt;=1)*(Network!$AJ$7:$AJ$28=3)))</f>
        <v>0</v>
      </c>
      <c r="CG8" s="60" t="n">
        <f aca="false">SUMPRODUCT((Network!$X$7:$X$28=2)*(Network!$Y$7:$Y$28=3)*((Network!$AE$7:$AE$28&gt;0)*(Network!$AE$7:$AE$28&lt;=1)+(Network!$AF$7:$AF$28&gt;0)*(Network!$AF$7:$AF$28&lt;=1)+(Network!$AG$7:$AG$28&gt;0)*(Network!$AG$7:$AG$28&lt;=1)))</f>
        <v>0</v>
      </c>
      <c r="CH8" s="60" t="n">
        <f aca="false">SUMPRODUCT((Network!$X$7:$X$28&lt;=1)*(Network!$X$7:$X$28&gt;0)*(Network!$Y$7:$Y$28=3)*Network!$AL$7:$AL$28)</f>
        <v>0</v>
      </c>
      <c r="CI8" s="60" t="n">
        <f aca="false">SUMPRODUCT((Network!$X$7:$X$28=2)*((Network!$Y$7:$Y$28&gt;3)*((Network!$AE$7:$AE$28&gt;0)*(Network!$AE$7:$AE$28&lt;=1)*(Network!$AH$7:$AH$28&lt;=3)+(Network!$AF$7:$AF$28&gt;0)*(Network!$AF$7:$AF$28&lt;=1)*(Network!$AI$7:$AI$28&lt;=3)+(Network!$AG$7:$AG$28&gt;0)*(Network!$AG$7:$AG$28&lt;=1)*(Network!$AJ$7:$AJ$28&lt;=3))+(Network!$Y$7:$Y$28&lt;=3)*((Network!$AE$7:$AE$28&gt;0)*(Network!$AE$7:$AE$28&lt;=1)*(Network!$AH$7:$AH$28&gt;3)+(Network!$AF$7:$AF$28&gt;0)*(Network!$AF$7:$AF$28&lt;=1)*(Network!$AI$7:$AI$28&gt;3)+(Network!$AG$7:$AG$28&gt;0)*(Network!$AG$7:$AG$28&lt;=1)*(Network!$AJ$7:$AJ$28&gt;3))))</f>
        <v>0</v>
      </c>
      <c r="CJ8" s="60" t="n">
        <f aca="false">SUMPRODUCT((Network!$X$7:$X$28=2)*(Network!$Y$7:$Y$28=3)*Network!$Z$7:$Z$28)</f>
        <v>0</v>
      </c>
      <c r="CK8" s="60" t="n">
        <f aca="false">SUMPRODUCT((Network!$X$7:$X$28&gt;2)*((Network!$AE$7:$AE$28&gt;0)*(Network!$AE$7:$AE$28&lt;2)*(Network!$AH$7:$AH$28=3)+(Network!$AF$7:$AF$28&gt;0)*(Network!$AF$7:$AF$28&lt;2)*(Network!$AI$7:$AI$28=3)+(Network!$AG$7:$AG$28&gt;0)*(Network!$AG$7:$AG$28&lt;2)*(Network!$AJ$7:$AJ$28=3)))</f>
        <v>0</v>
      </c>
      <c r="CL8" s="60" t="n">
        <f aca="false">SUMPRODUCT((Network!$X$7:$X$28&gt;2)*((Network!$AE$7:$AE$28&gt;0)*(Network!$AE$7:$AE$28&lt;=2)*(Network!$AH$7:$AH$28=3)+(Network!$AF$7:$AF$28&gt;0)*(Network!$AF$7:$AF$28&lt;=2)*(Network!$AI$7:$AI$28=3)+(Network!$AG$7:$AG$28&gt;0)*(Network!$AG$7:$AG$28&lt;=2)*(Network!$AJ$7:$AJ$28=3)))</f>
        <v>0</v>
      </c>
      <c r="CM8" s="60" t="n">
        <f aca="false">SUMPRODUCT((Network!$X$7:$X$28=3)*(Network!$Y$7:$Y$28=3)*((Network!$AE$7:$AE$28&gt;0)*(Network!$AE$7:$AE$28&lt;=2)+(Network!$AF$7:$AF$28&gt;0)*(Network!$AF$7:$AF$28&lt;=2)+(Network!$AG$7:$AG$28&gt;0)*(Network!$AG$7:$AG$28&lt;=2)))</f>
        <v>0</v>
      </c>
      <c r="CN8" s="60" t="n">
        <f aca="false">SUMPRODUCT((Network!$X$7:$X$28&lt;=2)*(Network!$X$7:$X$28&gt;0)*(Network!$Y$7:$Y$28=3)*Network!$AL$7:$AL$28)</f>
        <v>0</v>
      </c>
      <c r="CO8" s="60" t="n">
        <f aca="false">SUMPRODUCT((Network!$X$7:$X$28=3)*((Network!$Y$7:$Y$28&gt;3)*((Network!$AE$7:$AE$28&gt;0)*(Network!$AE$7:$AE$28&lt;=2)*(Network!$AH$7:$AH$28&lt;=3)+(Network!$AF$7:$AF$28&gt;0)*(Network!$AF$7:$AF$28&lt;=2)*(Network!$AI$7:$AI$28&lt;=3)+(Network!$AG$7:$AG$28&gt;0)*(Network!$AG$7:$AG$28&lt;=2)*(Network!$AJ$7:$AJ$28&lt;=3))+(Network!$Y$7:$Y$28&lt;=3)*((Network!$AE$7:$AE$28&gt;0)*(Network!$AE$7:$AE$28&lt;=2)*(Network!$AH$7:$AH$28&gt;3)+(Network!$AF$7:$AF$28&gt;0)*(Network!$AF$7:$AF$28&lt;=2)*(Network!$AI$7:$AI$28&gt;3)+(Network!$AG$7:$AG$28&gt;0)*(Network!$AG$7:$AG$28&lt;=2)*(Network!$AJ$7:$AJ$28&gt;3))))</f>
        <v>0</v>
      </c>
      <c r="CP8" s="60" t="n">
        <f aca="false">SUMPRODUCT((Network!$X$7:$X$28=3)*(Network!$Y$7:$Y$28=3)*Network!$Z$7:$Z$28)</f>
        <v>0</v>
      </c>
      <c r="CQ8" s="60" t="n">
        <f aca="false">SUMPRODUCT((Network!$X$7:$X$28&gt;3)*((Network!$AE$7:$AE$28&gt;0)*(Network!$AE$7:$AE$28&lt;3)*(Network!$AH$7:$AH$28=3)+(Network!$AF$7:$AF$28&gt;0)*(Network!$AF$7:$AF$28&lt;3)*(Network!$AI$7:$AI$28=3)+(Network!$AG$7:$AG$28&gt;0)*(Network!$AG$7:$AG$28&lt;3)*(Network!$AJ$7:$AJ$28=3)))</f>
        <v>0</v>
      </c>
      <c r="CR8" s="60" t="n">
        <f aca="false">SUMPRODUCT((Network!$X$7:$X$28&gt;3)*((Network!$AE$7:$AE$28&gt;0)*(Network!$AE$7:$AE$28&lt;=3)*(Network!$AH$7:$AH$28=3)+(Network!$AF$7:$AF$28&gt;0)*(Network!$AF$7:$AF$28&lt;=3)*(Network!$AI$7:$AI$28=3)+(Network!$AG$7:$AG$28&gt;0)*(Network!$AG$7:$AG$28&lt;=3)*(Network!$AJ$7:$AJ$28=3)))</f>
        <v>0</v>
      </c>
      <c r="CS8" s="60" t="n">
        <f aca="false">SUMPRODUCT((Network!$X$7:$X$28=4)*(Network!$Y$7:$Y$28=3)*((Network!$AE$7:$AE$28&gt;0)*(Network!$AE$7:$AE$28&lt;=3)+(Network!$AF$7:$AF$28&gt;0)*(Network!$AF$7:$AF$28&lt;=3)+(Network!$AG$7:$AG$28&gt;0)*(Network!$AG$7:$AG$28&lt;=3)))</f>
        <v>0</v>
      </c>
      <c r="CT8" s="60" t="n">
        <f aca="false">SUMPRODUCT((Network!$X$7:$X$28&lt;=3)*(Network!$X$7:$X$28&gt;0)*(Network!$Y$7:$Y$28=3)*Network!$AL$7:$AL$28)</f>
        <v>0</v>
      </c>
      <c r="CU8" s="60" t="n">
        <f aca="false">SUMPRODUCT((Network!$X$7:$X$28=4)*((Network!$Y$7:$Y$28&gt;3)*((Network!$AE$7:$AE$28&gt;0)*(Network!$AE$7:$AE$28&lt;=3)*(Network!$AH$7:$AH$28&lt;=3)+(Network!$AF$7:$AF$28&gt;0)*(Network!$AF$7:$AF$28&lt;=3)*(Network!$AI$7:$AI$28&lt;=3)+(Network!$AG$7:$AG$28&gt;0)*(Network!$AG$7:$AG$28&lt;=3)*(Network!$AJ$7:$AJ$28&lt;=3))+(Network!$Y$7:$Y$28&lt;=3)*((Network!$AE$7:$AE$28&gt;0)*(Network!$AE$7:$AE$28&lt;=3)*(Network!$AH$7:$AH$28&gt;3)+(Network!$AF$7:$AF$28&gt;0)*(Network!$AF$7:$AF$28&lt;=3)*(Network!$AI$7:$AI$28&gt;3)+(Network!$AG$7:$AG$28&gt;0)*(Network!$AG$7:$AG$28&lt;=3)*(Network!$AJ$7:$AJ$28&gt;3))))</f>
        <v>0</v>
      </c>
      <c r="CV8" s="60" t="n">
        <f aca="false">SUMPRODUCT((Network!$X$7:$X$28=4)*(Network!$Y$7:$Y$28=3)*Network!$Z$7:$Z$28)</f>
        <v>0</v>
      </c>
      <c r="CW8" s="60" t="n">
        <f aca="false">SUMPRODUCT((Network!$X$7:$X$28&gt;4)*((Network!$AE$7:$AE$28&gt;0)*(Network!$AE$7:$AE$28&lt;4)*(Network!$AH$7:$AH$28=3)+(Network!$AF$7:$AF$28&gt;0)*(Network!$AF$7:$AF$28&lt;4)*(Network!$AI$7:$AI$28=3)+(Network!$AG$7:$AG$28&gt;0)*(Network!$AG$7:$AG$28&lt;4)*(Network!$AJ$7:$AJ$28=3)))</f>
        <v>0</v>
      </c>
      <c r="CX8" s="60" t="n">
        <f aca="false">SUMPRODUCT((Network!$X$7:$X$28&gt;4)*((Network!$AE$7:$AE$28&gt;0)*(Network!$AE$7:$AE$28&lt;=4)*(Network!$AH$7:$AH$28=3)+(Network!$AF$7:$AF$28&gt;0)*(Network!$AF$7:$AF$28&lt;=4)*(Network!$AI$7:$AI$28=3)+(Network!$AG$7:$AG$28&gt;0)*(Network!$AG$7:$AG$28&lt;=4)*(Network!$AJ$7:$AJ$28=3)))</f>
        <v>0</v>
      </c>
      <c r="CY8" s="60" t="n">
        <f aca="false">SUMPRODUCT((Network!$X$7:$X$28=5)*(Network!$Y$7:$Y$28=3)*((Network!$AE$7:$AE$28&gt;0)*(Network!$AE$7:$AE$28&lt;=4)+(Network!$AF$7:$AF$28&gt;0)*(Network!$AF$7:$AF$28&lt;=4)+(Network!$AG$7:$AG$28&gt;0)*(Network!$AG$7:$AG$28&lt;=4)))</f>
        <v>0</v>
      </c>
      <c r="CZ8" s="60" t="n">
        <f aca="false">SUMPRODUCT((Network!$X$7:$X$28&lt;=4)*(Network!$X$7:$X$28&gt;0)*(Network!$Y$7:$Y$28=3)*Network!$AL$7:$AL$28)</f>
        <v>0</v>
      </c>
      <c r="DA8" s="60" t="n">
        <f aca="false">SUMPRODUCT((Network!$X$7:$X$28=5)*((Network!$Y$7:$Y$28&gt;3)*((Network!$AE$7:$AE$28&gt;0)*(Network!$AE$7:$AE$28&lt;=4)*(Network!$AH$7:$AH$28&lt;=3)+(Network!$AF$7:$AF$28&gt;0)*(Network!$AF$7:$AF$28&lt;=4)*(Network!$AI$7:$AI$28&lt;=3)+(Network!$AG$7:$AG$28&gt;0)*(Network!$AG$7:$AG$28&lt;=4)*(Network!$AJ$7:$AJ$28&lt;=3))+(Network!$Y$7:$Y$28&lt;=3)*((Network!$AE$7:$AE$28&gt;0)*(Network!$AE$7:$AE$28&lt;=4)*(Network!$AH$7:$AH$28&gt;3)+(Network!$AF$7:$AF$28&gt;0)*(Network!$AF$7:$AF$28&lt;=4)*(Network!$AI$7:$AI$28&gt;3)+(Network!$AG$7:$AG$28&gt;0)*(Network!$AG$7:$AG$28&lt;=4)*(Network!$AJ$7:$AJ$28&gt;3))))</f>
        <v>0</v>
      </c>
      <c r="DB8" s="60" t="n">
        <f aca="false">SUMPRODUCT((Network!$X$7:$X$28=5)*(Network!$Y$7:$Y$28=3)*Network!$Z$7:$Z$28)</f>
        <v>0</v>
      </c>
      <c r="DC8" s="60" t="n">
        <f aca="false">SUMPRODUCT((Network!$X$7:$X$28&gt;5)*((Network!$AE$7:$AE$28&gt;0)*(Network!$AE$7:$AE$28&lt;5)*(Network!$AH$7:$AH$28=3)+(Network!$AF$7:$AF$28&gt;0)*(Network!$AF$7:$AF$28&lt;5)*(Network!$AI$7:$AI$28=3)+(Network!$AG$7:$AG$28&gt;0)*(Network!$AG$7:$AG$28&lt;5)*(Network!$AJ$7:$AJ$28=3)))</f>
        <v>0</v>
      </c>
      <c r="DD8" s="60" t="n">
        <f aca="false">SUMPRODUCT((Network!$X$7:$X$28&gt;5)*((Network!$AE$7:$AE$28&gt;0)*(Network!$AE$7:$AE$28&lt;=5)*(Network!$AH$7:$AH$28=3)+(Network!$AF$7:$AF$28&gt;0)*(Network!$AF$7:$AF$28&lt;=5)*(Network!$AI$7:$AI$28=3)+(Network!$AG$7:$AG$28&gt;0)*(Network!$AG$7:$AG$28&lt;=5)*(Network!$AJ$7:$AJ$28=3)))</f>
        <v>0</v>
      </c>
      <c r="DE8" s="60" t="n">
        <f aca="false">SUMPRODUCT((Network!$X$7:$X$28=6)*(Network!$Y$7:$Y$28=3)*((Network!$AE$7:$AE$28&gt;0)*(Network!$AE$7:$AE$28&lt;=5)+(Network!$AF$7:$AF$28&gt;0)*(Network!$AF$7:$AF$28&lt;=5)+(Network!$AG$7:$AG$28&gt;0)*(Network!$AG$7:$AG$28&lt;=5)))</f>
        <v>0</v>
      </c>
      <c r="DF8" s="60" t="n">
        <f aca="false">SUMPRODUCT((Network!$X$7:$X$28&lt;=5)*(Network!$X$7:$X$28&gt;0)*(Network!$Y$7:$Y$28=3)*Network!$AL$7:$AL$28)</f>
        <v>0</v>
      </c>
      <c r="DG8" s="60" t="n">
        <f aca="false">SUMPRODUCT((Network!$X$7:$X$28=6)*((Network!$Y$7:$Y$28&gt;3)*((Network!$AE$7:$AE$28&gt;0)*(Network!$AE$7:$AE$28&lt;=5)*(Network!$AH$7:$AH$28&lt;=3)+(Network!$AF$7:$AF$28&gt;0)*(Network!$AF$7:$AF$28&lt;=5)*(Network!$AI$7:$AI$28&lt;=3)+(Network!$AG$7:$AG$28&gt;0)*(Network!$AG$7:$AG$28&lt;=5)*(Network!$AJ$7:$AJ$28&lt;=3))+(Network!$Y$7:$Y$28&lt;=3)*((Network!$AE$7:$AE$28&gt;0)*(Network!$AE$7:$AE$28&lt;=5)*(Network!$AH$7:$AH$28&gt;3)+(Network!$AF$7:$AF$28&gt;0)*(Network!$AF$7:$AF$28&lt;=5)*(Network!$AI$7:$AI$28&gt;3)+(Network!$AG$7:$AG$28&gt;0)*(Network!$AG$7:$AG$28&lt;=5)*(Network!$AJ$7:$AJ$28&gt;3))))</f>
        <v>0</v>
      </c>
      <c r="DH8" s="60" t="n">
        <f aca="false">SUMPRODUCT((Network!$X$7:$X$28=6)*(Network!$Y$7:$Y$28=3)*Network!$Z$7:$Z$28)</f>
        <v>0</v>
      </c>
      <c r="DI8" s="60" t="n">
        <f aca="false">SUMPRODUCT((Network!$X$7:$X$28&gt;6)*((Network!$AE$7:$AE$28&gt;0)*(Network!$AE$7:$AE$28&lt;6)*(Network!$AH$7:$AH$28=3)+(Network!$AF$7:$AF$28&gt;0)*(Network!$AF$7:$AF$28&lt;6)*(Network!$AI$7:$AI$28=3)+(Network!$AG$7:$AG$28&gt;0)*(Network!$AG$7:$AG$28&lt;6)*(Network!$AJ$7:$AJ$28=3)))</f>
        <v>0</v>
      </c>
      <c r="DJ8" s="60" t="n">
        <f aca="false">SUMPRODUCT((Network!$X$7:$X$28&gt;6)*((Network!$AE$7:$AE$28&gt;0)*(Network!$AE$7:$AE$28&lt;=6)*(Network!$AH$7:$AH$28=3)+(Network!$AF$7:$AF$28&gt;0)*(Network!$AF$7:$AF$28&lt;=6)*(Network!$AI$7:$AI$28=3)+(Network!$AG$7:$AG$28&gt;0)*(Network!$AG$7:$AG$28&lt;=6)*(Network!$AJ$7:$AJ$28=3)))</f>
        <v>0</v>
      </c>
      <c r="DK8" s="60" t="n">
        <f aca="false">SUMPRODUCT((Network!$X$7:$X$28=7)*(Network!$Y$7:$Y$28=3)*((Network!$AE$7:$AE$28&gt;0)*(Network!$AE$7:$AE$28&lt;=6)+(Network!$AF$7:$AF$28&gt;0)*(Network!$AF$7:$AF$28&lt;=6)+(Network!$AG$7:$AG$28&gt;0)*(Network!$AG$7:$AG$28&lt;=6)))</f>
        <v>1</v>
      </c>
      <c r="DL8" s="60" t="n">
        <f aca="false">SUMPRODUCT((Network!$X$7:$X$28&lt;=6)*(Network!$X$7:$X$28&gt;0)*(Network!$Y$7:$Y$28=3)*Network!$AL$7:$AL$28)</f>
        <v>0</v>
      </c>
      <c r="DM8" s="60" t="n">
        <f aca="false">SUMPRODUCT((Network!$X$7:$X$28=7)*((Network!$Y$7:$Y$28&gt;3)*((Network!$AE$7:$AE$28&gt;0)*(Network!$AE$7:$AE$28&lt;=6)*(Network!$AH$7:$AH$28&lt;=3)+(Network!$AF$7:$AF$28&gt;0)*(Network!$AF$7:$AF$28&lt;=6)*(Network!$AI$7:$AI$28&lt;=3)+(Network!$AG$7:$AG$28&gt;0)*(Network!$AG$7:$AG$28&lt;=6)*(Network!$AJ$7:$AJ$28&lt;=3))+(Network!$Y$7:$Y$28&lt;=3)*((Network!$AE$7:$AE$28&gt;0)*(Network!$AE$7:$AE$28&lt;=6)*(Network!$AH$7:$AH$28&gt;3)+(Network!$AF$7:$AF$28&gt;0)*(Network!$AF$7:$AF$28&lt;=6)*(Network!$AI$7:$AI$28&gt;3)+(Network!$AG$7:$AG$28&gt;0)*(Network!$AG$7:$AG$28&lt;=6)*(Network!$AJ$7:$AJ$28&gt;3))))</f>
        <v>0</v>
      </c>
      <c r="DN8" s="60" t="n">
        <f aca="false">SUMPRODUCT((Network!$X$7:$X$28=7)*(Network!$Y$7:$Y$28=3)*Network!$Z$7:$Z$28)</f>
        <v>10</v>
      </c>
      <c r="DO8" s="60" t="n">
        <f aca="false">SUMPRODUCT((Network!$X$7:$X$28&gt;7)*((Network!$AE$7:$AE$28&gt;0)*(Network!$AE$7:$AE$28&lt;7)*(Network!$AH$7:$AH$28=3)+(Network!$AF$7:$AF$28&gt;0)*(Network!$AF$7:$AF$28&lt;7)*(Network!$AI$7:$AI$28=3)+(Network!$AG$7:$AG$28&gt;0)*(Network!$AG$7:$AG$28&lt;7)*(Network!$AJ$7:$AJ$28=3)))</f>
        <v>0</v>
      </c>
      <c r="DP8" s="60" t="n">
        <f aca="false">SUMPRODUCT((Network!$X$7:$X$28&gt;7)*((Network!$AE$7:$AE$28&gt;0)*(Network!$AE$7:$AE$28&lt;=7)*(Network!$AH$7:$AH$28=3)+(Network!$AF$7:$AF$28&gt;0)*(Network!$AF$7:$AF$28&lt;=7)*(Network!$AI$7:$AI$28=3)+(Network!$AG$7:$AG$28&gt;0)*(Network!$AG$7:$AG$28&lt;=7)*(Network!$AJ$7:$AJ$28=3)))</f>
        <v>1</v>
      </c>
      <c r="DQ8" s="60" t="n">
        <f aca="false">SUMPRODUCT((Network!$X$7:$X$28=8)*(Network!$Y$7:$Y$28=3)*((Network!$AE$7:$AE$28&gt;0)*(Network!$AE$7:$AE$28&lt;=7)+(Network!$AF$7:$AF$28&gt;0)*(Network!$AF$7:$AF$28&lt;=7)+(Network!$AG$7:$AG$28&gt;0)*(Network!$AG$7:$AG$28&lt;=7)))</f>
        <v>0</v>
      </c>
      <c r="DR8" s="60" t="n">
        <f aca="false">SUMPRODUCT((Network!$X$7:$X$28&lt;=7)*(Network!$X$7:$X$28&gt;0)*(Network!$Y$7:$Y$28=3)*Network!$AL$7:$AL$28)</f>
        <v>0</v>
      </c>
      <c r="DS8" s="60" t="n">
        <f aca="false">SUMPRODUCT((Network!$X$7:$X$28=8)*((Network!$Y$7:$Y$28&gt;3)*((Network!$AE$7:$AE$28&gt;0)*(Network!$AE$7:$AE$28&lt;=7)*(Network!$AH$7:$AH$28&lt;=3)+(Network!$AF$7:$AF$28&gt;0)*(Network!$AF$7:$AF$28&lt;=7)*(Network!$AI$7:$AI$28&lt;=3)+(Network!$AG$7:$AG$28&gt;0)*(Network!$AG$7:$AG$28&lt;=7)*(Network!$AJ$7:$AJ$28&lt;=3))+(Network!$Y$7:$Y$28&lt;=3)*((Network!$AE$7:$AE$28&gt;0)*(Network!$AE$7:$AE$28&lt;=7)*(Network!$AH$7:$AH$28&gt;3)+(Network!$AF$7:$AF$28&gt;0)*(Network!$AF$7:$AF$28&lt;=7)*(Network!$AI$7:$AI$28&gt;3)+(Network!$AG$7:$AG$28&gt;0)*(Network!$AG$7:$AG$28&lt;=7)*(Network!$AJ$7:$AJ$28&gt;3))))</f>
        <v>0</v>
      </c>
      <c r="DT8" s="60" t="n">
        <f aca="false">SUMPRODUCT((Network!$X$7:$X$28=8)*(Network!$Y$7:$Y$28=3)*Network!$Z$7:$Z$28)</f>
        <v>0</v>
      </c>
      <c r="DU8" s="60" t="n">
        <f aca="false">SUMPRODUCT((Network!$X$7:$X$28&gt;8)*((Network!$AE$7:$AE$28&gt;0)*(Network!$AE$7:$AE$28&lt;8)*(Network!$AH$7:$AH$28=3)+(Network!$AF$7:$AF$28&gt;0)*(Network!$AF$7:$AF$28&lt;8)*(Network!$AI$7:$AI$28=3)+(Network!$AG$7:$AG$28&gt;0)*(Network!$AG$7:$AG$28&lt;8)*(Network!$AJ$7:$AJ$28=3)))</f>
        <v>0</v>
      </c>
      <c r="DV8" s="60" t="n">
        <f aca="false">SUMPRODUCT((Network!$X$7:$X$28&gt;8)*((Network!$AE$7:$AE$28&gt;0)*(Network!$AE$7:$AE$28&lt;=8)*(Network!$AH$7:$AH$28=3)+(Network!$AF$7:$AF$28&gt;0)*(Network!$AF$7:$AF$28&lt;=8)*(Network!$AI$7:$AI$28=3)+(Network!$AG$7:$AG$28&gt;0)*(Network!$AG$7:$AG$28&lt;=8)*(Network!$AJ$7:$AJ$28=3)))</f>
        <v>0</v>
      </c>
      <c r="DW8" s="60" t="n">
        <f aca="false">SUMPRODUCT((Network!$X$7:$X$28=9)*(Network!$Y$7:$Y$28=3)*((Network!$AE$7:$AE$28&gt;0)*(Network!$AE$7:$AE$28&lt;=8)+(Network!$AF$7:$AF$28&gt;0)*(Network!$AF$7:$AF$28&lt;=8)+(Network!$AG$7:$AG$28&gt;0)*(Network!$AG$7:$AG$28&lt;=8)))</f>
        <v>0</v>
      </c>
      <c r="DX8" s="60" t="n">
        <f aca="false">SUMPRODUCT((Network!$X$7:$X$28&lt;=8)*(Network!$X$7:$X$28&gt;0)*(Network!$Y$7:$Y$28=3)*Network!$AL$7:$AL$28)</f>
        <v>0</v>
      </c>
      <c r="DY8" s="60" t="n">
        <f aca="false">SUMPRODUCT((Network!$X$7:$X$28=9)*((Network!$Y$7:$Y$28&gt;3)*((Network!$AE$7:$AE$28&gt;0)*(Network!$AE$7:$AE$28&lt;=8)*(Network!$AH$7:$AH$28&lt;=3)+(Network!$AF$7:$AF$28&gt;0)*(Network!$AF$7:$AF$28&lt;=8)*(Network!$AI$7:$AI$28&lt;=3)+(Network!$AG$7:$AG$28&gt;0)*(Network!$AG$7:$AG$28&lt;=8)*(Network!$AJ$7:$AJ$28&lt;=3))+(Network!$Y$7:$Y$28&lt;=3)*((Network!$AE$7:$AE$28&gt;0)*(Network!$AE$7:$AE$28&lt;=8)*(Network!$AH$7:$AH$28&gt;3)+(Network!$AF$7:$AF$28&gt;0)*(Network!$AF$7:$AF$28&lt;=8)*(Network!$AI$7:$AI$28&gt;3)+(Network!$AG$7:$AG$28&gt;0)*(Network!$AG$7:$AG$28&lt;=8)*(Network!$AJ$7:$AJ$28&gt;3))))</f>
        <v>0</v>
      </c>
      <c r="DZ8" s="60" t="n">
        <f aca="false">SUMPRODUCT((Network!$X$7:$X$28=9)*(Network!$Y$7:$Y$28=3)*Network!$Z$7:$Z$28)</f>
        <v>0</v>
      </c>
      <c r="EA8" s="60" t="n">
        <f aca="false">SUMPRODUCT((Network!$X$7:$X$28&gt;9)*((Network!$AE$7:$AE$28&gt;0)*(Network!$AE$7:$AE$28&lt;9)*(Network!$AH$7:$AH$28=3)+(Network!$AF$7:$AF$28&gt;0)*(Network!$AF$7:$AF$28&lt;9)*(Network!$AI$7:$AI$28=3)+(Network!$AG$7:$AG$28&gt;0)*(Network!$AG$7:$AG$28&lt;9)*(Network!$AJ$7:$AJ$28=3)))</f>
        <v>0</v>
      </c>
      <c r="EB8" s="60" t="n">
        <f aca="false">SUMPRODUCT((Network!$X$7:$X$28&gt;9)*((Network!$AE$7:$AE$28&gt;0)*(Network!$AE$7:$AE$28&lt;=9)*(Network!$AH$7:$AH$28=3)+(Network!$AF$7:$AF$28&gt;0)*(Network!$AF$7:$AF$28&lt;=9)*(Network!$AI$7:$AI$28=3)+(Network!$AG$7:$AG$28&gt;0)*(Network!$AG$7:$AG$28&lt;=9)*(Network!$AJ$7:$AJ$28=3)))</f>
        <v>0</v>
      </c>
      <c r="EC8" s="60" t="n">
        <f aca="false">SUMPRODUCT((Network!$X$7:$X$28=10)*(Network!$Y$7:$Y$28=3)*((Network!$AE$7:$AE$28&gt;0)*(Network!$AE$7:$AE$28&lt;=9)+(Network!$AF$7:$AF$28&gt;0)*(Network!$AF$7:$AF$28&lt;=9)+(Network!$AG$7:$AG$28&gt;0)*(Network!$AG$7:$AG$28&lt;=9)))</f>
        <v>0</v>
      </c>
      <c r="ED8" s="60" t="n">
        <f aca="false">SUMPRODUCT((Network!$X$7:$X$28&lt;=9)*(Network!$X$7:$X$28&gt;0)*(Network!$Y$7:$Y$28=3)*Network!$AL$7:$AL$28)</f>
        <v>0</v>
      </c>
      <c r="EE8" s="60" t="n">
        <f aca="false">SUMPRODUCT((Network!$X$7:$X$28=10)*((Network!$Y$7:$Y$28&gt;3)*((Network!$AE$7:$AE$28&gt;0)*(Network!$AE$7:$AE$28&lt;=9)*(Network!$AH$7:$AH$28&lt;=3)+(Network!$AF$7:$AF$28&gt;0)*(Network!$AF$7:$AF$28&lt;=9)*(Network!$AI$7:$AI$28&lt;=3)+(Network!$AG$7:$AG$28&gt;0)*(Network!$AG$7:$AG$28&lt;=9)*(Network!$AJ$7:$AJ$28&lt;=3))+(Network!$Y$7:$Y$28&lt;=3)*((Network!$AE$7:$AE$28&gt;0)*(Network!$AE$7:$AE$28&lt;=9)*(Network!$AH$7:$AH$28&gt;3)+(Network!$AF$7:$AF$28&gt;0)*(Network!$AF$7:$AF$28&lt;=9)*(Network!$AI$7:$AI$28&gt;3)+(Network!$AG$7:$AG$28&gt;0)*(Network!$AG$7:$AG$28&lt;=9)*(Network!$AJ$7:$AJ$28&gt;3))))</f>
        <v>0</v>
      </c>
      <c r="EF8" s="60" t="n">
        <f aca="false">SUMPRODUCT((Network!$X$7:$X$28=10)*(Network!$Y$7:$Y$28=3)*Network!$Z$7:$Z$28)</f>
        <v>0</v>
      </c>
      <c r="EG8" s="60" t="n">
        <f aca="false">SUMPRODUCT((Network!$X$7:$X$28&gt;10)*((Network!$AE$7:$AE$28&gt;0)*(Network!$AE$7:$AE$28&lt;10)*(Network!$AH$7:$AH$28=3)+(Network!$AF$7:$AF$28&gt;0)*(Network!$AF$7:$AF$28&lt;10)*(Network!$AI$7:$AI$28=3)+(Network!$AG$7:$AG$28&gt;0)*(Network!$AG$7:$AG$28&lt;10)*(Network!$AJ$7:$AJ$28=3)))</f>
        <v>0</v>
      </c>
      <c r="EH8" s="60" t="n">
        <f aca="false">SUMPRODUCT((Network!$X$7:$X$28&gt;10)*((Network!$AE$7:$AE$28&gt;0)*(Network!$AE$7:$AE$28&lt;=10)*(Network!$AH$7:$AH$28=3)+(Network!$AF$7:$AF$28&gt;0)*(Network!$AF$7:$AF$28&lt;=10)*(Network!$AI$7:$AI$28=3)+(Network!$AG$7:$AG$28&gt;0)*(Network!$AG$7:$AG$28&lt;=10)*(Network!$AJ$7:$AJ$28=3)))</f>
        <v>0</v>
      </c>
      <c r="EI8" s="60" t="n">
        <f aca="false">SUMPRODUCT((Network!$X$7:$X$28=11)*(Network!$Y$7:$Y$28=3)*((Network!$AE$7:$AE$28&gt;0)*(Network!$AE$7:$AE$28&lt;=10)+(Network!$AF$7:$AF$28&gt;0)*(Network!$AF$7:$AF$28&lt;=10)+(Network!$AG$7:$AG$28&gt;0)*(Network!$AG$7:$AG$28&lt;=10)))</f>
        <v>0</v>
      </c>
      <c r="EJ8" s="60" t="n">
        <f aca="false">SUMPRODUCT((Network!$X$7:$X$28&lt;=10)*(Network!$X$7:$X$28&gt;0)*(Network!$Y$7:$Y$28=3)*Network!$AL$7:$AL$28)</f>
        <v>0</v>
      </c>
      <c r="EK8" s="60" t="n">
        <f aca="false">SUMPRODUCT((Network!$X$7:$X$28=11)*((Network!$Y$7:$Y$28&gt;3)*((Network!$AE$7:$AE$28&gt;0)*(Network!$AE$7:$AE$28&lt;=10)*(Network!$AH$7:$AH$28&lt;=3)+(Network!$AF$7:$AF$28&gt;0)*(Network!$AF$7:$AF$28&lt;=10)*(Network!$AI$7:$AI$28&lt;=3)+(Network!$AG$7:$AG$28&gt;0)*(Network!$AG$7:$AG$28&lt;=10)*(Network!$AJ$7:$AJ$28&lt;=3))+(Network!$Y$7:$Y$28&lt;=3)*((Network!$AE$7:$AE$28&gt;0)*(Network!$AE$7:$AE$28&lt;=10)*(Network!$AH$7:$AH$28&gt;3)+(Network!$AF$7:$AF$28&gt;0)*(Network!$AF$7:$AF$28&lt;=10)*(Network!$AI$7:$AI$28&gt;3)+(Network!$AG$7:$AG$28&gt;0)*(Network!$AG$7:$AG$28&lt;=10)*(Network!$AJ$7:$AJ$28&gt;3))))</f>
        <v>0</v>
      </c>
      <c r="EL8" s="60" t="n">
        <f aca="false">SUMPRODUCT((Network!$X$7:$X$28=11)*(Network!$Y$7:$Y$28=3)*Network!$Z$7:$Z$28)</f>
        <v>0</v>
      </c>
      <c r="EM8" s="60" t="n">
        <f aca="false">SUMPRODUCT((Network!$X$7:$X$28&gt;11)*((Network!$AE$7:$AE$28&gt;0)*(Network!$AE$7:$AE$28&lt;11)*(Network!$AH$7:$AH$28=3)+(Network!$AF$7:$AF$28&gt;0)*(Network!$AF$7:$AF$28&lt;11)*(Network!$AI$7:$AI$28=3)+(Network!$AG$7:$AG$28&gt;0)*(Network!$AG$7:$AG$28&lt;11)*(Network!$AJ$7:$AJ$28=3)))</f>
        <v>0</v>
      </c>
      <c r="EN8" s="60" t="n">
        <f aca="false">SUMPRODUCT((Network!$X$7:$X$28&gt;11)*((Network!$AE$7:$AE$28&gt;0)*(Network!$AE$7:$AE$28&lt;=11)*(Network!$AH$7:$AH$28=3)+(Network!$AF$7:$AF$28&gt;0)*(Network!$AF$7:$AF$28&lt;=11)*(Network!$AI$7:$AI$28=3)+(Network!$AG$7:$AG$28&gt;0)*(Network!$AG$7:$AG$28&lt;=11)*(Network!$AJ$7:$AJ$28=3)))</f>
        <v>0</v>
      </c>
      <c r="EO8" s="60" t="n">
        <f aca="false">SUMPRODUCT((Network!$X$7:$X$28=12)*(Network!$Y$7:$Y$28=3)*((Network!$AE$7:$AE$28&gt;0)*(Network!$AE$7:$AE$28&lt;=11)+(Network!$AF$7:$AF$28&gt;0)*(Network!$AF$7:$AF$28&lt;=11)+(Network!$AG$7:$AG$28&gt;0)*(Network!$AG$7:$AG$28&lt;=11)))</f>
        <v>0</v>
      </c>
      <c r="EP8" s="60" t="n">
        <f aca="false">SUMPRODUCT((Network!$X$7:$X$28&lt;=11)*(Network!$X$7:$X$28&gt;0)*(Network!$Y$7:$Y$28=3)*Network!$AL$7:$AL$28)</f>
        <v>0</v>
      </c>
      <c r="EQ8" s="60" t="n">
        <f aca="false">SUMPRODUCT((Network!$X$7:$X$28=12)*((Network!$Y$7:$Y$28&gt;3)*((Network!$AE$7:$AE$28&gt;0)*(Network!$AE$7:$AE$28&lt;=11)*(Network!$AH$7:$AH$28&lt;=3)+(Network!$AF$7:$AF$28&gt;0)*(Network!$AF$7:$AF$28&lt;=11)*(Network!$AI$7:$AI$28&lt;=3)+(Network!$AG$7:$AG$28&gt;0)*(Network!$AG$7:$AG$28&lt;=11)*(Network!$AJ$7:$AJ$28&lt;=3))+(Network!$Y$7:$Y$28&lt;=3)*((Network!$AE$7:$AE$28&gt;0)*(Network!$AE$7:$AE$28&lt;=11)*(Network!$AH$7:$AH$28&gt;3)+(Network!$AF$7:$AF$28&gt;0)*(Network!$AF$7:$AF$28&lt;=11)*(Network!$AI$7:$AI$28&gt;3)+(Network!$AG$7:$AG$28&gt;0)*(Network!$AG$7:$AG$28&lt;=11)*(Network!$AJ$7:$AJ$28&gt;3))))</f>
        <v>0</v>
      </c>
      <c r="ER8" s="60" t="n">
        <f aca="false">SUMPRODUCT((Network!$X$7:$X$28=12)*(Network!$Y$7:$Y$28=3)*Network!$Z$7:$Z$28)</f>
        <v>0</v>
      </c>
      <c r="ES8" s="60" t="n">
        <f aca="false">SUMPRODUCT((Network!$X$7:$X$28&gt;12)*((Network!$AE$7:$AE$28&gt;0)*(Network!$AE$7:$AE$28&lt;12)*(Network!$AH$7:$AH$28=3)+(Network!$AF$7:$AF$28&gt;0)*(Network!$AF$7:$AF$28&lt;12)*(Network!$AI$7:$AI$28=3)+(Network!$AG$7:$AG$28&gt;0)*(Network!$AG$7:$AG$28&lt;12)*(Network!$AJ$7:$AJ$28=3)))</f>
        <v>0</v>
      </c>
      <c r="ET8" s="60" t="n">
        <f aca="false">SUMPRODUCT((Network!$X$7:$X$28&gt;12)*((Network!$AE$7:$AE$28&gt;0)*(Network!$AE$7:$AE$28&lt;=12)*(Network!$AH$7:$AH$28=3)+(Network!$AF$7:$AF$28&gt;0)*(Network!$AF$7:$AF$28&lt;=12)*(Network!$AI$7:$AI$28=3)+(Network!$AG$7:$AG$28&gt;0)*(Network!$AG$7:$AG$28&lt;=12)*(Network!$AJ$7:$AJ$28=3)))</f>
        <v>0</v>
      </c>
      <c r="EU8" s="60" t="n">
        <f aca="false">SUMPRODUCT((Network!$X$7:$X$28=13)*(Network!$Y$7:$Y$28=3)*((Network!$AE$7:$AE$28&gt;0)*(Network!$AE$7:$AE$28&lt;=12)+(Network!$AF$7:$AF$28&gt;0)*(Network!$AF$7:$AF$28&lt;=12)+(Network!$AG$7:$AG$28&gt;0)*(Network!$AG$7:$AG$28&lt;=12)))</f>
        <v>0</v>
      </c>
      <c r="EV8" s="60" t="n">
        <f aca="false">SUMPRODUCT((Network!$X$7:$X$28&lt;=12)*(Network!$X$7:$X$28&gt;0)*(Network!$Y$7:$Y$28=3)*Network!$AL$7:$AL$28)</f>
        <v>0</v>
      </c>
      <c r="EW8" s="60" t="n">
        <f aca="false">SUMPRODUCT((Network!$X$7:$X$28=13)*((Network!$Y$7:$Y$28&gt;3)*((Network!$AE$7:$AE$28&gt;0)*(Network!$AE$7:$AE$28&lt;=12)*(Network!$AH$7:$AH$28&lt;=3)+(Network!$AF$7:$AF$28&gt;0)*(Network!$AF$7:$AF$28&lt;=12)*(Network!$AI$7:$AI$28&lt;=3)+(Network!$AG$7:$AG$28&gt;0)*(Network!$AG$7:$AG$28&lt;=12)*(Network!$AJ$7:$AJ$28&lt;=3))+(Network!$Y$7:$Y$28&lt;=3)*((Network!$AE$7:$AE$28&gt;0)*(Network!$AE$7:$AE$28&lt;=12)*(Network!$AH$7:$AH$28&gt;3)+(Network!$AF$7:$AF$28&gt;0)*(Network!$AF$7:$AF$28&lt;=12)*(Network!$AI$7:$AI$28&gt;3)+(Network!$AG$7:$AG$28&gt;0)*(Network!$AG$7:$AG$28&lt;=12)*(Network!$AJ$7:$AJ$28&gt;3))))</f>
        <v>0</v>
      </c>
    </row>
    <row r="9" customFormat="false" ht="24" hidden="false" customHeight="true" outlineLevel="0" collapsed="false">
      <c r="F9" s="67" t="s">
        <v>161</v>
      </c>
      <c r="G9" s="67" t="s">
        <v>107</v>
      </c>
      <c r="H9" s="67" t="s">
        <v>162</v>
      </c>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D9" s="60" t="n">
        <f aca="false">SUMPRODUCT((Network!$X$7:$X$28=1)*(Network!$Y$7:$Y$28=4)*Network!$Z$7:$Z$28)</f>
        <v>0</v>
      </c>
      <c r="CE9" s="60" t="n">
        <f aca="false">SUMPRODUCT((Network!$X$7:$X$28&gt;1)*((Network!$AE$7:$AE$28&gt;0)*(Network!$AE$7:$AE$28&lt;1)*(Network!$AH$7:$AH$28=4)+(Network!$AF$7:$AF$28&gt;0)*(Network!$AF$7:$AF$28&lt;1)*(Network!$AI$7:$AI$28=4)+(Network!$AG$7:$AG$28&gt;0)*(Network!$AG$7:$AG$28&lt;1)*(Network!$AJ$7:$AJ$28=4)))</f>
        <v>0</v>
      </c>
      <c r="CF9" s="60" t="n">
        <f aca="false">SUMPRODUCT((Network!$X$7:$X$28&gt;1)*((Network!$AE$7:$AE$28&gt;0)*(Network!$AE$7:$AE$28&lt;=1)*(Network!$AH$7:$AH$28=4)+(Network!$AF$7:$AF$28&gt;0)*(Network!$AF$7:$AF$28&lt;=1)*(Network!$AI$7:$AI$28=4)+(Network!$AG$7:$AG$28&gt;0)*(Network!$AG$7:$AG$28&lt;=1)*(Network!$AJ$7:$AJ$28=4)))</f>
        <v>0</v>
      </c>
      <c r="CG9" s="60" t="n">
        <f aca="false">SUMPRODUCT((Network!$X$7:$X$28=2)*(Network!$Y$7:$Y$28=4)*((Network!$AE$7:$AE$28&gt;0)*(Network!$AE$7:$AE$28&lt;=1)+(Network!$AF$7:$AF$28&gt;0)*(Network!$AF$7:$AF$28&lt;=1)+(Network!$AG$7:$AG$28&gt;0)*(Network!$AG$7:$AG$28&lt;=1)))</f>
        <v>0</v>
      </c>
      <c r="CH9" s="60" t="n">
        <f aca="false">SUMPRODUCT((Network!$X$7:$X$28&lt;=1)*(Network!$X$7:$X$28&gt;0)*(Network!$Y$7:$Y$28=4)*Network!$AL$7:$AL$28)</f>
        <v>0</v>
      </c>
      <c r="CI9" s="60" t="n">
        <f aca="false">SUMPRODUCT((Network!$X$7:$X$28=2)*((Network!$Y$7:$Y$28&gt;4)*((Network!$AE$7:$AE$28&gt;0)*(Network!$AE$7:$AE$28&lt;=1)*(Network!$AH$7:$AH$28&lt;=4)+(Network!$AF$7:$AF$28&gt;0)*(Network!$AF$7:$AF$28&lt;=1)*(Network!$AI$7:$AI$28&lt;=4)+(Network!$AG$7:$AG$28&gt;0)*(Network!$AG$7:$AG$28&lt;=1)*(Network!$AJ$7:$AJ$28&lt;=4))+(Network!$Y$7:$Y$28&lt;=4)*((Network!$AE$7:$AE$28&gt;0)*(Network!$AE$7:$AE$28&lt;=1)*(Network!$AH$7:$AH$28&gt;4)+(Network!$AF$7:$AF$28&gt;0)*(Network!$AF$7:$AF$28&lt;=1)*(Network!$AI$7:$AI$28&gt;4)+(Network!$AG$7:$AG$28&gt;0)*(Network!$AG$7:$AG$28&lt;=1)*(Network!$AJ$7:$AJ$28&gt;4))))</f>
        <v>0</v>
      </c>
      <c r="CJ9" s="60" t="n">
        <f aca="false">SUMPRODUCT((Network!$X$7:$X$28=2)*(Network!$Y$7:$Y$28=4)*Network!$Z$7:$Z$28)</f>
        <v>0</v>
      </c>
      <c r="CK9" s="60" t="n">
        <f aca="false">SUMPRODUCT((Network!$X$7:$X$28&gt;2)*((Network!$AE$7:$AE$28&gt;0)*(Network!$AE$7:$AE$28&lt;2)*(Network!$AH$7:$AH$28=4)+(Network!$AF$7:$AF$28&gt;0)*(Network!$AF$7:$AF$28&lt;2)*(Network!$AI$7:$AI$28=4)+(Network!$AG$7:$AG$28&gt;0)*(Network!$AG$7:$AG$28&lt;2)*(Network!$AJ$7:$AJ$28=4)))</f>
        <v>0</v>
      </c>
      <c r="CL9" s="60" t="n">
        <f aca="false">SUMPRODUCT((Network!$X$7:$X$28&gt;2)*((Network!$AE$7:$AE$28&gt;0)*(Network!$AE$7:$AE$28&lt;=2)*(Network!$AH$7:$AH$28=4)+(Network!$AF$7:$AF$28&gt;0)*(Network!$AF$7:$AF$28&lt;=2)*(Network!$AI$7:$AI$28=4)+(Network!$AG$7:$AG$28&gt;0)*(Network!$AG$7:$AG$28&lt;=2)*(Network!$AJ$7:$AJ$28=4)))</f>
        <v>0</v>
      </c>
      <c r="CM9" s="60" t="n">
        <f aca="false">SUMPRODUCT((Network!$X$7:$X$28=3)*(Network!$Y$7:$Y$28=4)*((Network!$AE$7:$AE$28&gt;0)*(Network!$AE$7:$AE$28&lt;=2)+(Network!$AF$7:$AF$28&gt;0)*(Network!$AF$7:$AF$28&lt;=2)+(Network!$AG$7:$AG$28&gt;0)*(Network!$AG$7:$AG$28&lt;=2)))</f>
        <v>0</v>
      </c>
      <c r="CN9" s="60" t="n">
        <f aca="false">SUMPRODUCT((Network!$X$7:$X$28&lt;=2)*(Network!$X$7:$X$28&gt;0)*(Network!$Y$7:$Y$28=4)*Network!$AL$7:$AL$28)</f>
        <v>0</v>
      </c>
      <c r="CO9" s="60" t="n">
        <f aca="false">SUMPRODUCT((Network!$X$7:$X$28=3)*((Network!$Y$7:$Y$28&gt;4)*((Network!$AE$7:$AE$28&gt;0)*(Network!$AE$7:$AE$28&lt;=2)*(Network!$AH$7:$AH$28&lt;=4)+(Network!$AF$7:$AF$28&gt;0)*(Network!$AF$7:$AF$28&lt;=2)*(Network!$AI$7:$AI$28&lt;=4)+(Network!$AG$7:$AG$28&gt;0)*(Network!$AG$7:$AG$28&lt;=2)*(Network!$AJ$7:$AJ$28&lt;=4))+(Network!$Y$7:$Y$28&lt;=4)*((Network!$AE$7:$AE$28&gt;0)*(Network!$AE$7:$AE$28&lt;=2)*(Network!$AH$7:$AH$28&gt;4)+(Network!$AF$7:$AF$28&gt;0)*(Network!$AF$7:$AF$28&lt;=2)*(Network!$AI$7:$AI$28&gt;4)+(Network!$AG$7:$AG$28&gt;0)*(Network!$AG$7:$AG$28&lt;=2)*(Network!$AJ$7:$AJ$28&gt;4))))</f>
        <v>0</v>
      </c>
      <c r="CP9" s="60" t="n">
        <f aca="false">SUMPRODUCT((Network!$X$7:$X$28=3)*(Network!$Y$7:$Y$28=4)*Network!$Z$7:$Z$28)</f>
        <v>0</v>
      </c>
      <c r="CQ9" s="60" t="n">
        <f aca="false">SUMPRODUCT((Network!$X$7:$X$28&gt;3)*((Network!$AE$7:$AE$28&gt;0)*(Network!$AE$7:$AE$28&lt;3)*(Network!$AH$7:$AH$28=4)+(Network!$AF$7:$AF$28&gt;0)*(Network!$AF$7:$AF$28&lt;3)*(Network!$AI$7:$AI$28=4)+(Network!$AG$7:$AG$28&gt;0)*(Network!$AG$7:$AG$28&lt;3)*(Network!$AJ$7:$AJ$28=4)))</f>
        <v>0</v>
      </c>
      <c r="CR9" s="60" t="n">
        <f aca="false">SUMPRODUCT((Network!$X$7:$X$28&gt;3)*((Network!$AE$7:$AE$28&gt;0)*(Network!$AE$7:$AE$28&lt;=3)*(Network!$AH$7:$AH$28=4)+(Network!$AF$7:$AF$28&gt;0)*(Network!$AF$7:$AF$28&lt;=3)*(Network!$AI$7:$AI$28=4)+(Network!$AG$7:$AG$28&gt;0)*(Network!$AG$7:$AG$28&lt;=3)*(Network!$AJ$7:$AJ$28=4)))</f>
        <v>0</v>
      </c>
      <c r="CS9" s="60" t="n">
        <f aca="false">SUMPRODUCT((Network!$X$7:$X$28=4)*(Network!$Y$7:$Y$28=4)*((Network!$AE$7:$AE$28&gt;0)*(Network!$AE$7:$AE$28&lt;=3)+(Network!$AF$7:$AF$28&gt;0)*(Network!$AF$7:$AF$28&lt;=3)+(Network!$AG$7:$AG$28&gt;0)*(Network!$AG$7:$AG$28&lt;=3)))</f>
        <v>0</v>
      </c>
      <c r="CT9" s="60" t="n">
        <f aca="false">SUMPRODUCT((Network!$X$7:$X$28&lt;=3)*(Network!$X$7:$X$28&gt;0)*(Network!$Y$7:$Y$28=4)*Network!$AL$7:$AL$28)</f>
        <v>0</v>
      </c>
      <c r="CU9" s="60" t="n">
        <f aca="false">SUMPRODUCT((Network!$X$7:$X$28=4)*((Network!$Y$7:$Y$28&gt;4)*((Network!$AE$7:$AE$28&gt;0)*(Network!$AE$7:$AE$28&lt;=3)*(Network!$AH$7:$AH$28&lt;=4)+(Network!$AF$7:$AF$28&gt;0)*(Network!$AF$7:$AF$28&lt;=3)*(Network!$AI$7:$AI$28&lt;=4)+(Network!$AG$7:$AG$28&gt;0)*(Network!$AG$7:$AG$28&lt;=3)*(Network!$AJ$7:$AJ$28&lt;=4))+(Network!$Y$7:$Y$28&lt;=4)*((Network!$AE$7:$AE$28&gt;0)*(Network!$AE$7:$AE$28&lt;=3)*(Network!$AH$7:$AH$28&gt;4)+(Network!$AF$7:$AF$28&gt;0)*(Network!$AF$7:$AF$28&lt;=3)*(Network!$AI$7:$AI$28&gt;4)+(Network!$AG$7:$AG$28&gt;0)*(Network!$AG$7:$AG$28&lt;=3)*(Network!$AJ$7:$AJ$28&gt;4))))</f>
        <v>0</v>
      </c>
      <c r="CV9" s="60" t="n">
        <f aca="false">SUMPRODUCT((Network!$X$7:$X$28=4)*(Network!$Y$7:$Y$28=4)*Network!$Z$7:$Z$28)</f>
        <v>0</v>
      </c>
      <c r="CW9" s="60" t="n">
        <f aca="false">SUMPRODUCT((Network!$X$7:$X$28&gt;4)*((Network!$AE$7:$AE$28&gt;0)*(Network!$AE$7:$AE$28&lt;4)*(Network!$AH$7:$AH$28=4)+(Network!$AF$7:$AF$28&gt;0)*(Network!$AF$7:$AF$28&lt;4)*(Network!$AI$7:$AI$28=4)+(Network!$AG$7:$AG$28&gt;0)*(Network!$AG$7:$AG$28&lt;4)*(Network!$AJ$7:$AJ$28=4)))</f>
        <v>0</v>
      </c>
      <c r="CX9" s="60" t="n">
        <f aca="false">SUMPRODUCT((Network!$X$7:$X$28&gt;4)*((Network!$AE$7:$AE$28&gt;0)*(Network!$AE$7:$AE$28&lt;=4)*(Network!$AH$7:$AH$28=4)+(Network!$AF$7:$AF$28&gt;0)*(Network!$AF$7:$AF$28&lt;=4)*(Network!$AI$7:$AI$28=4)+(Network!$AG$7:$AG$28&gt;0)*(Network!$AG$7:$AG$28&lt;=4)*(Network!$AJ$7:$AJ$28=4)))</f>
        <v>0</v>
      </c>
      <c r="CY9" s="60" t="n">
        <f aca="false">SUMPRODUCT((Network!$X$7:$X$28=5)*(Network!$Y$7:$Y$28=4)*((Network!$AE$7:$AE$28&gt;0)*(Network!$AE$7:$AE$28&lt;=4)+(Network!$AF$7:$AF$28&gt;0)*(Network!$AF$7:$AF$28&lt;=4)+(Network!$AG$7:$AG$28&gt;0)*(Network!$AG$7:$AG$28&lt;=4)))</f>
        <v>0</v>
      </c>
      <c r="CZ9" s="60" t="n">
        <f aca="false">SUMPRODUCT((Network!$X$7:$X$28&lt;=4)*(Network!$X$7:$X$28&gt;0)*(Network!$Y$7:$Y$28=4)*Network!$AL$7:$AL$28)</f>
        <v>0</v>
      </c>
      <c r="DA9" s="60" t="n">
        <f aca="false">SUMPRODUCT((Network!$X$7:$X$28=5)*((Network!$Y$7:$Y$28&gt;4)*((Network!$AE$7:$AE$28&gt;0)*(Network!$AE$7:$AE$28&lt;=4)*(Network!$AH$7:$AH$28&lt;=4)+(Network!$AF$7:$AF$28&gt;0)*(Network!$AF$7:$AF$28&lt;=4)*(Network!$AI$7:$AI$28&lt;=4)+(Network!$AG$7:$AG$28&gt;0)*(Network!$AG$7:$AG$28&lt;=4)*(Network!$AJ$7:$AJ$28&lt;=4))+(Network!$Y$7:$Y$28&lt;=4)*((Network!$AE$7:$AE$28&gt;0)*(Network!$AE$7:$AE$28&lt;=4)*(Network!$AH$7:$AH$28&gt;4)+(Network!$AF$7:$AF$28&gt;0)*(Network!$AF$7:$AF$28&lt;=4)*(Network!$AI$7:$AI$28&gt;4)+(Network!$AG$7:$AG$28&gt;0)*(Network!$AG$7:$AG$28&lt;=4)*(Network!$AJ$7:$AJ$28&gt;4))))</f>
        <v>0</v>
      </c>
      <c r="DB9" s="60" t="n">
        <f aca="false">SUMPRODUCT((Network!$X$7:$X$28=5)*(Network!$Y$7:$Y$28=4)*Network!$Z$7:$Z$28)</f>
        <v>0</v>
      </c>
      <c r="DC9" s="60" t="n">
        <f aca="false">SUMPRODUCT((Network!$X$7:$X$28&gt;5)*((Network!$AE$7:$AE$28&gt;0)*(Network!$AE$7:$AE$28&lt;5)*(Network!$AH$7:$AH$28=4)+(Network!$AF$7:$AF$28&gt;0)*(Network!$AF$7:$AF$28&lt;5)*(Network!$AI$7:$AI$28=4)+(Network!$AG$7:$AG$28&gt;0)*(Network!$AG$7:$AG$28&lt;5)*(Network!$AJ$7:$AJ$28=4)))</f>
        <v>0</v>
      </c>
      <c r="DD9" s="60" t="n">
        <f aca="false">SUMPRODUCT((Network!$X$7:$X$28&gt;5)*((Network!$AE$7:$AE$28&gt;0)*(Network!$AE$7:$AE$28&lt;=5)*(Network!$AH$7:$AH$28=4)+(Network!$AF$7:$AF$28&gt;0)*(Network!$AF$7:$AF$28&lt;=5)*(Network!$AI$7:$AI$28=4)+(Network!$AG$7:$AG$28&gt;0)*(Network!$AG$7:$AG$28&lt;=5)*(Network!$AJ$7:$AJ$28=4)))</f>
        <v>0</v>
      </c>
      <c r="DE9" s="60" t="n">
        <f aca="false">SUMPRODUCT((Network!$X$7:$X$28=6)*(Network!$Y$7:$Y$28=4)*((Network!$AE$7:$AE$28&gt;0)*(Network!$AE$7:$AE$28&lt;=5)+(Network!$AF$7:$AF$28&gt;0)*(Network!$AF$7:$AF$28&lt;=5)+(Network!$AG$7:$AG$28&gt;0)*(Network!$AG$7:$AG$28&lt;=5)))</f>
        <v>0</v>
      </c>
      <c r="DF9" s="60" t="n">
        <f aca="false">SUMPRODUCT((Network!$X$7:$X$28&lt;=5)*(Network!$X$7:$X$28&gt;0)*(Network!$Y$7:$Y$28=4)*Network!$AL$7:$AL$28)</f>
        <v>0</v>
      </c>
      <c r="DG9" s="60" t="n">
        <f aca="false">SUMPRODUCT((Network!$X$7:$X$28=6)*((Network!$Y$7:$Y$28&gt;4)*((Network!$AE$7:$AE$28&gt;0)*(Network!$AE$7:$AE$28&lt;=5)*(Network!$AH$7:$AH$28&lt;=4)+(Network!$AF$7:$AF$28&gt;0)*(Network!$AF$7:$AF$28&lt;=5)*(Network!$AI$7:$AI$28&lt;=4)+(Network!$AG$7:$AG$28&gt;0)*(Network!$AG$7:$AG$28&lt;=5)*(Network!$AJ$7:$AJ$28&lt;=4))+(Network!$Y$7:$Y$28&lt;=4)*((Network!$AE$7:$AE$28&gt;0)*(Network!$AE$7:$AE$28&lt;=5)*(Network!$AH$7:$AH$28&gt;4)+(Network!$AF$7:$AF$28&gt;0)*(Network!$AF$7:$AF$28&lt;=5)*(Network!$AI$7:$AI$28&gt;4)+(Network!$AG$7:$AG$28&gt;0)*(Network!$AG$7:$AG$28&lt;=5)*(Network!$AJ$7:$AJ$28&gt;4))))</f>
        <v>0</v>
      </c>
      <c r="DH9" s="60" t="n">
        <f aca="false">SUMPRODUCT((Network!$X$7:$X$28=6)*(Network!$Y$7:$Y$28=4)*Network!$Z$7:$Z$28)</f>
        <v>0</v>
      </c>
      <c r="DI9" s="60" t="n">
        <f aca="false">SUMPRODUCT((Network!$X$7:$X$28&gt;6)*((Network!$AE$7:$AE$28&gt;0)*(Network!$AE$7:$AE$28&lt;6)*(Network!$AH$7:$AH$28=4)+(Network!$AF$7:$AF$28&gt;0)*(Network!$AF$7:$AF$28&lt;6)*(Network!$AI$7:$AI$28=4)+(Network!$AG$7:$AG$28&gt;0)*(Network!$AG$7:$AG$28&lt;6)*(Network!$AJ$7:$AJ$28=4)))</f>
        <v>0</v>
      </c>
      <c r="DJ9" s="60" t="n">
        <f aca="false">SUMPRODUCT((Network!$X$7:$X$28&gt;6)*((Network!$AE$7:$AE$28&gt;0)*(Network!$AE$7:$AE$28&lt;=6)*(Network!$AH$7:$AH$28=4)+(Network!$AF$7:$AF$28&gt;0)*(Network!$AF$7:$AF$28&lt;=6)*(Network!$AI$7:$AI$28=4)+(Network!$AG$7:$AG$28&gt;0)*(Network!$AG$7:$AG$28&lt;=6)*(Network!$AJ$7:$AJ$28=4)))</f>
        <v>0</v>
      </c>
      <c r="DK9" s="60" t="n">
        <f aca="false">SUMPRODUCT((Network!$X$7:$X$28=7)*(Network!$Y$7:$Y$28=4)*((Network!$AE$7:$AE$28&gt;0)*(Network!$AE$7:$AE$28&lt;=6)+(Network!$AF$7:$AF$28&gt;0)*(Network!$AF$7:$AF$28&lt;=6)+(Network!$AG$7:$AG$28&gt;0)*(Network!$AG$7:$AG$28&lt;=6)))</f>
        <v>0</v>
      </c>
      <c r="DL9" s="60" t="n">
        <f aca="false">SUMPRODUCT((Network!$X$7:$X$28&lt;=6)*(Network!$X$7:$X$28&gt;0)*(Network!$Y$7:$Y$28=4)*Network!$AL$7:$AL$28)</f>
        <v>0</v>
      </c>
      <c r="DM9" s="60" t="n">
        <f aca="false">SUMPRODUCT((Network!$X$7:$X$28=7)*((Network!$Y$7:$Y$28&gt;4)*((Network!$AE$7:$AE$28&gt;0)*(Network!$AE$7:$AE$28&lt;=6)*(Network!$AH$7:$AH$28&lt;=4)+(Network!$AF$7:$AF$28&gt;0)*(Network!$AF$7:$AF$28&lt;=6)*(Network!$AI$7:$AI$28&lt;=4)+(Network!$AG$7:$AG$28&gt;0)*(Network!$AG$7:$AG$28&lt;=6)*(Network!$AJ$7:$AJ$28&lt;=4))+(Network!$Y$7:$Y$28&lt;=4)*((Network!$AE$7:$AE$28&gt;0)*(Network!$AE$7:$AE$28&lt;=6)*(Network!$AH$7:$AH$28&gt;4)+(Network!$AF$7:$AF$28&gt;0)*(Network!$AF$7:$AF$28&lt;=6)*(Network!$AI$7:$AI$28&gt;4)+(Network!$AG$7:$AG$28&gt;0)*(Network!$AG$7:$AG$28&lt;=6)*(Network!$AJ$7:$AJ$28&gt;4))))</f>
        <v>0</v>
      </c>
      <c r="DN9" s="60" t="n">
        <f aca="false">SUMPRODUCT((Network!$X$7:$X$28=7)*(Network!$Y$7:$Y$28=4)*Network!$Z$7:$Z$28)</f>
        <v>0</v>
      </c>
      <c r="DO9" s="60" t="n">
        <f aca="false">SUMPRODUCT((Network!$X$7:$X$28&gt;7)*((Network!$AE$7:$AE$28&gt;0)*(Network!$AE$7:$AE$28&lt;7)*(Network!$AH$7:$AH$28=4)+(Network!$AF$7:$AF$28&gt;0)*(Network!$AF$7:$AF$28&lt;7)*(Network!$AI$7:$AI$28=4)+(Network!$AG$7:$AG$28&gt;0)*(Network!$AG$7:$AG$28&lt;7)*(Network!$AJ$7:$AJ$28=4)))</f>
        <v>0</v>
      </c>
      <c r="DP9" s="60" t="n">
        <f aca="false">SUMPRODUCT((Network!$X$7:$X$28&gt;7)*((Network!$AE$7:$AE$28&gt;0)*(Network!$AE$7:$AE$28&lt;=7)*(Network!$AH$7:$AH$28=4)+(Network!$AF$7:$AF$28&gt;0)*(Network!$AF$7:$AF$28&lt;=7)*(Network!$AI$7:$AI$28=4)+(Network!$AG$7:$AG$28&gt;0)*(Network!$AG$7:$AG$28&lt;=7)*(Network!$AJ$7:$AJ$28=4)))</f>
        <v>0</v>
      </c>
      <c r="DQ9" s="60" t="n">
        <f aca="false">SUMPRODUCT((Network!$X$7:$X$28=8)*(Network!$Y$7:$Y$28=4)*((Network!$AE$7:$AE$28&gt;0)*(Network!$AE$7:$AE$28&lt;=7)+(Network!$AF$7:$AF$28&gt;0)*(Network!$AF$7:$AF$28&lt;=7)+(Network!$AG$7:$AG$28&gt;0)*(Network!$AG$7:$AG$28&lt;=7)))</f>
        <v>0</v>
      </c>
      <c r="DR9" s="60" t="n">
        <f aca="false">SUMPRODUCT((Network!$X$7:$X$28&lt;=7)*(Network!$X$7:$X$28&gt;0)*(Network!$Y$7:$Y$28=4)*Network!$AL$7:$AL$28)</f>
        <v>0</v>
      </c>
      <c r="DS9" s="60" t="n">
        <f aca="false">SUMPRODUCT((Network!$X$7:$X$28=8)*((Network!$Y$7:$Y$28&gt;4)*((Network!$AE$7:$AE$28&gt;0)*(Network!$AE$7:$AE$28&lt;=7)*(Network!$AH$7:$AH$28&lt;=4)+(Network!$AF$7:$AF$28&gt;0)*(Network!$AF$7:$AF$28&lt;=7)*(Network!$AI$7:$AI$28&lt;=4)+(Network!$AG$7:$AG$28&gt;0)*(Network!$AG$7:$AG$28&lt;=7)*(Network!$AJ$7:$AJ$28&lt;=4))+(Network!$Y$7:$Y$28&lt;=4)*((Network!$AE$7:$AE$28&gt;0)*(Network!$AE$7:$AE$28&lt;=7)*(Network!$AH$7:$AH$28&gt;4)+(Network!$AF$7:$AF$28&gt;0)*(Network!$AF$7:$AF$28&lt;=7)*(Network!$AI$7:$AI$28&gt;4)+(Network!$AG$7:$AG$28&gt;0)*(Network!$AG$7:$AG$28&lt;=7)*(Network!$AJ$7:$AJ$28&gt;4))))</f>
        <v>0</v>
      </c>
      <c r="DT9" s="60" t="n">
        <f aca="false">SUMPRODUCT((Network!$X$7:$X$28=8)*(Network!$Y$7:$Y$28=4)*Network!$Z$7:$Z$28)</f>
        <v>0</v>
      </c>
      <c r="DU9" s="60" t="n">
        <f aca="false">SUMPRODUCT((Network!$X$7:$X$28&gt;8)*((Network!$AE$7:$AE$28&gt;0)*(Network!$AE$7:$AE$28&lt;8)*(Network!$AH$7:$AH$28=4)+(Network!$AF$7:$AF$28&gt;0)*(Network!$AF$7:$AF$28&lt;8)*(Network!$AI$7:$AI$28=4)+(Network!$AG$7:$AG$28&gt;0)*(Network!$AG$7:$AG$28&lt;8)*(Network!$AJ$7:$AJ$28=4)))</f>
        <v>0</v>
      </c>
      <c r="DV9" s="60" t="n">
        <f aca="false">SUMPRODUCT((Network!$X$7:$X$28&gt;8)*((Network!$AE$7:$AE$28&gt;0)*(Network!$AE$7:$AE$28&lt;=8)*(Network!$AH$7:$AH$28=4)+(Network!$AF$7:$AF$28&gt;0)*(Network!$AF$7:$AF$28&lt;=8)*(Network!$AI$7:$AI$28=4)+(Network!$AG$7:$AG$28&gt;0)*(Network!$AG$7:$AG$28&lt;=8)*(Network!$AJ$7:$AJ$28=4)))</f>
        <v>0</v>
      </c>
      <c r="DW9" s="60" t="n">
        <f aca="false">SUMPRODUCT((Network!$X$7:$X$28=9)*(Network!$Y$7:$Y$28=4)*((Network!$AE$7:$AE$28&gt;0)*(Network!$AE$7:$AE$28&lt;=8)+(Network!$AF$7:$AF$28&gt;0)*(Network!$AF$7:$AF$28&lt;=8)+(Network!$AG$7:$AG$28&gt;0)*(Network!$AG$7:$AG$28&lt;=8)))</f>
        <v>0</v>
      </c>
      <c r="DX9" s="60" t="n">
        <f aca="false">SUMPRODUCT((Network!$X$7:$X$28&lt;=8)*(Network!$X$7:$X$28&gt;0)*(Network!$Y$7:$Y$28=4)*Network!$AL$7:$AL$28)</f>
        <v>0</v>
      </c>
      <c r="DY9" s="60" t="n">
        <f aca="false">SUMPRODUCT((Network!$X$7:$X$28=9)*((Network!$Y$7:$Y$28&gt;4)*((Network!$AE$7:$AE$28&gt;0)*(Network!$AE$7:$AE$28&lt;=8)*(Network!$AH$7:$AH$28&lt;=4)+(Network!$AF$7:$AF$28&gt;0)*(Network!$AF$7:$AF$28&lt;=8)*(Network!$AI$7:$AI$28&lt;=4)+(Network!$AG$7:$AG$28&gt;0)*(Network!$AG$7:$AG$28&lt;=8)*(Network!$AJ$7:$AJ$28&lt;=4))+(Network!$Y$7:$Y$28&lt;=4)*((Network!$AE$7:$AE$28&gt;0)*(Network!$AE$7:$AE$28&lt;=8)*(Network!$AH$7:$AH$28&gt;4)+(Network!$AF$7:$AF$28&gt;0)*(Network!$AF$7:$AF$28&lt;=8)*(Network!$AI$7:$AI$28&gt;4)+(Network!$AG$7:$AG$28&gt;0)*(Network!$AG$7:$AG$28&lt;=8)*(Network!$AJ$7:$AJ$28&gt;4))))</f>
        <v>0</v>
      </c>
      <c r="DZ9" s="60" t="n">
        <f aca="false">SUMPRODUCT((Network!$X$7:$X$28=9)*(Network!$Y$7:$Y$28=4)*Network!$Z$7:$Z$28)</f>
        <v>0</v>
      </c>
      <c r="EA9" s="60" t="n">
        <f aca="false">SUMPRODUCT((Network!$X$7:$X$28&gt;9)*((Network!$AE$7:$AE$28&gt;0)*(Network!$AE$7:$AE$28&lt;9)*(Network!$AH$7:$AH$28=4)+(Network!$AF$7:$AF$28&gt;0)*(Network!$AF$7:$AF$28&lt;9)*(Network!$AI$7:$AI$28=4)+(Network!$AG$7:$AG$28&gt;0)*(Network!$AG$7:$AG$28&lt;9)*(Network!$AJ$7:$AJ$28=4)))</f>
        <v>0</v>
      </c>
      <c r="EB9" s="60" t="n">
        <f aca="false">SUMPRODUCT((Network!$X$7:$X$28&gt;9)*((Network!$AE$7:$AE$28&gt;0)*(Network!$AE$7:$AE$28&lt;=9)*(Network!$AH$7:$AH$28=4)+(Network!$AF$7:$AF$28&gt;0)*(Network!$AF$7:$AF$28&lt;=9)*(Network!$AI$7:$AI$28=4)+(Network!$AG$7:$AG$28&gt;0)*(Network!$AG$7:$AG$28&lt;=9)*(Network!$AJ$7:$AJ$28=4)))</f>
        <v>0</v>
      </c>
      <c r="EC9" s="60" t="n">
        <f aca="false">SUMPRODUCT((Network!$X$7:$X$28=10)*(Network!$Y$7:$Y$28=4)*((Network!$AE$7:$AE$28&gt;0)*(Network!$AE$7:$AE$28&lt;=9)+(Network!$AF$7:$AF$28&gt;0)*(Network!$AF$7:$AF$28&lt;=9)+(Network!$AG$7:$AG$28&gt;0)*(Network!$AG$7:$AG$28&lt;=9)))</f>
        <v>0</v>
      </c>
      <c r="ED9" s="60" t="n">
        <f aca="false">SUMPRODUCT((Network!$X$7:$X$28&lt;=9)*(Network!$X$7:$X$28&gt;0)*(Network!$Y$7:$Y$28=4)*Network!$AL$7:$AL$28)</f>
        <v>0</v>
      </c>
      <c r="EE9" s="60" t="n">
        <f aca="false">SUMPRODUCT((Network!$X$7:$X$28=10)*((Network!$Y$7:$Y$28&gt;4)*((Network!$AE$7:$AE$28&gt;0)*(Network!$AE$7:$AE$28&lt;=9)*(Network!$AH$7:$AH$28&lt;=4)+(Network!$AF$7:$AF$28&gt;0)*(Network!$AF$7:$AF$28&lt;=9)*(Network!$AI$7:$AI$28&lt;=4)+(Network!$AG$7:$AG$28&gt;0)*(Network!$AG$7:$AG$28&lt;=9)*(Network!$AJ$7:$AJ$28&lt;=4))+(Network!$Y$7:$Y$28&lt;=4)*((Network!$AE$7:$AE$28&gt;0)*(Network!$AE$7:$AE$28&lt;=9)*(Network!$AH$7:$AH$28&gt;4)+(Network!$AF$7:$AF$28&gt;0)*(Network!$AF$7:$AF$28&lt;=9)*(Network!$AI$7:$AI$28&gt;4)+(Network!$AG$7:$AG$28&gt;0)*(Network!$AG$7:$AG$28&lt;=9)*(Network!$AJ$7:$AJ$28&gt;4))))</f>
        <v>0</v>
      </c>
      <c r="EF9" s="60" t="n">
        <f aca="false">SUMPRODUCT((Network!$X$7:$X$28=10)*(Network!$Y$7:$Y$28=4)*Network!$Z$7:$Z$28)</f>
        <v>0</v>
      </c>
      <c r="EG9" s="60" t="n">
        <f aca="false">SUMPRODUCT((Network!$X$7:$X$28&gt;10)*((Network!$AE$7:$AE$28&gt;0)*(Network!$AE$7:$AE$28&lt;10)*(Network!$AH$7:$AH$28=4)+(Network!$AF$7:$AF$28&gt;0)*(Network!$AF$7:$AF$28&lt;10)*(Network!$AI$7:$AI$28=4)+(Network!$AG$7:$AG$28&gt;0)*(Network!$AG$7:$AG$28&lt;10)*(Network!$AJ$7:$AJ$28=4)))</f>
        <v>0</v>
      </c>
      <c r="EH9" s="60" t="n">
        <f aca="false">SUMPRODUCT((Network!$X$7:$X$28&gt;10)*((Network!$AE$7:$AE$28&gt;0)*(Network!$AE$7:$AE$28&lt;=10)*(Network!$AH$7:$AH$28=4)+(Network!$AF$7:$AF$28&gt;0)*(Network!$AF$7:$AF$28&lt;=10)*(Network!$AI$7:$AI$28=4)+(Network!$AG$7:$AG$28&gt;0)*(Network!$AG$7:$AG$28&lt;=10)*(Network!$AJ$7:$AJ$28=4)))</f>
        <v>0</v>
      </c>
      <c r="EI9" s="60" t="n">
        <f aca="false">SUMPRODUCT((Network!$X$7:$X$28=11)*(Network!$Y$7:$Y$28=4)*((Network!$AE$7:$AE$28&gt;0)*(Network!$AE$7:$AE$28&lt;=10)+(Network!$AF$7:$AF$28&gt;0)*(Network!$AF$7:$AF$28&lt;=10)+(Network!$AG$7:$AG$28&gt;0)*(Network!$AG$7:$AG$28&lt;=10)))</f>
        <v>0</v>
      </c>
      <c r="EJ9" s="60" t="n">
        <f aca="false">SUMPRODUCT((Network!$X$7:$X$28&lt;=10)*(Network!$X$7:$X$28&gt;0)*(Network!$Y$7:$Y$28=4)*Network!$AL$7:$AL$28)</f>
        <v>0</v>
      </c>
      <c r="EK9" s="60" t="n">
        <f aca="false">SUMPRODUCT((Network!$X$7:$X$28=11)*((Network!$Y$7:$Y$28&gt;4)*((Network!$AE$7:$AE$28&gt;0)*(Network!$AE$7:$AE$28&lt;=10)*(Network!$AH$7:$AH$28&lt;=4)+(Network!$AF$7:$AF$28&gt;0)*(Network!$AF$7:$AF$28&lt;=10)*(Network!$AI$7:$AI$28&lt;=4)+(Network!$AG$7:$AG$28&gt;0)*(Network!$AG$7:$AG$28&lt;=10)*(Network!$AJ$7:$AJ$28&lt;=4))+(Network!$Y$7:$Y$28&lt;=4)*((Network!$AE$7:$AE$28&gt;0)*(Network!$AE$7:$AE$28&lt;=10)*(Network!$AH$7:$AH$28&gt;4)+(Network!$AF$7:$AF$28&gt;0)*(Network!$AF$7:$AF$28&lt;=10)*(Network!$AI$7:$AI$28&gt;4)+(Network!$AG$7:$AG$28&gt;0)*(Network!$AG$7:$AG$28&lt;=10)*(Network!$AJ$7:$AJ$28&gt;4))))</f>
        <v>0</v>
      </c>
      <c r="EL9" s="60" t="n">
        <f aca="false">SUMPRODUCT((Network!$X$7:$X$28=11)*(Network!$Y$7:$Y$28=4)*Network!$Z$7:$Z$28)</f>
        <v>0</v>
      </c>
      <c r="EM9" s="60" t="n">
        <f aca="false">SUMPRODUCT((Network!$X$7:$X$28&gt;11)*((Network!$AE$7:$AE$28&gt;0)*(Network!$AE$7:$AE$28&lt;11)*(Network!$AH$7:$AH$28=4)+(Network!$AF$7:$AF$28&gt;0)*(Network!$AF$7:$AF$28&lt;11)*(Network!$AI$7:$AI$28=4)+(Network!$AG$7:$AG$28&gt;0)*(Network!$AG$7:$AG$28&lt;11)*(Network!$AJ$7:$AJ$28=4)))</f>
        <v>0</v>
      </c>
      <c r="EN9" s="60" t="n">
        <f aca="false">SUMPRODUCT((Network!$X$7:$X$28&gt;11)*((Network!$AE$7:$AE$28&gt;0)*(Network!$AE$7:$AE$28&lt;=11)*(Network!$AH$7:$AH$28=4)+(Network!$AF$7:$AF$28&gt;0)*(Network!$AF$7:$AF$28&lt;=11)*(Network!$AI$7:$AI$28=4)+(Network!$AG$7:$AG$28&gt;0)*(Network!$AG$7:$AG$28&lt;=11)*(Network!$AJ$7:$AJ$28=4)))</f>
        <v>0</v>
      </c>
      <c r="EO9" s="60" t="n">
        <f aca="false">SUMPRODUCT((Network!$X$7:$X$28=12)*(Network!$Y$7:$Y$28=4)*((Network!$AE$7:$AE$28&gt;0)*(Network!$AE$7:$AE$28&lt;=11)+(Network!$AF$7:$AF$28&gt;0)*(Network!$AF$7:$AF$28&lt;=11)+(Network!$AG$7:$AG$28&gt;0)*(Network!$AG$7:$AG$28&lt;=11)))</f>
        <v>0</v>
      </c>
      <c r="EP9" s="60" t="n">
        <f aca="false">SUMPRODUCT((Network!$X$7:$X$28&lt;=11)*(Network!$X$7:$X$28&gt;0)*(Network!$Y$7:$Y$28=4)*Network!$AL$7:$AL$28)</f>
        <v>0</v>
      </c>
      <c r="EQ9" s="60" t="n">
        <f aca="false">SUMPRODUCT((Network!$X$7:$X$28=12)*((Network!$Y$7:$Y$28&gt;4)*((Network!$AE$7:$AE$28&gt;0)*(Network!$AE$7:$AE$28&lt;=11)*(Network!$AH$7:$AH$28&lt;=4)+(Network!$AF$7:$AF$28&gt;0)*(Network!$AF$7:$AF$28&lt;=11)*(Network!$AI$7:$AI$28&lt;=4)+(Network!$AG$7:$AG$28&gt;0)*(Network!$AG$7:$AG$28&lt;=11)*(Network!$AJ$7:$AJ$28&lt;=4))+(Network!$Y$7:$Y$28&lt;=4)*((Network!$AE$7:$AE$28&gt;0)*(Network!$AE$7:$AE$28&lt;=11)*(Network!$AH$7:$AH$28&gt;4)+(Network!$AF$7:$AF$28&gt;0)*(Network!$AF$7:$AF$28&lt;=11)*(Network!$AI$7:$AI$28&gt;4)+(Network!$AG$7:$AG$28&gt;0)*(Network!$AG$7:$AG$28&lt;=11)*(Network!$AJ$7:$AJ$28&gt;4))))</f>
        <v>0</v>
      </c>
      <c r="ER9" s="60" t="n">
        <f aca="false">SUMPRODUCT((Network!$X$7:$X$28=12)*(Network!$Y$7:$Y$28=4)*Network!$Z$7:$Z$28)</f>
        <v>0</v>
      </c>
      <c r="ES9" s="60" t="n">
        <f aca="false">SUMPRODUCT((Network!$X$7:$X$28&gt;12)*((Network!$AE$7:$AE$28&gt;0)*(Network!$AE$7:$AE$28&lt;12)*(Network!$AH$7:$AH$28=4)+(Network!$AF$7:$AF$28&gt;0)*(Network!$AF$7:$AF$28&lt;12)*(Network!$AI$7:$AI$28=4)+(Network!$AG$7:$AG$28&gt;0)*(Network!$AG$7:$AG$28&lt;12)*(Network!$AJ$7:$AJ$28=4)))</f>
        <v>0</v>
      </c>
      <c r="ET9" s="60" t="n">
        <f aca="false">SUMPRODUCT((Network!$X$7:$X$28&gt;12)*((Network!$AE$7:$AE$28&gt;0)*(Network!$AE$7:$AE$28&lt;=12)*(Network!$AH$7:$AH$28=4)+(Network!$AF$7:$AF$28&gt;0)*(Network!$AF$7:$AF$28&lt;=12)*(Network!$AI$7:$AI$28=4)+(Network!$AG$7:$AG$28&gt;0)*(Network!$AG$7:$AG$28&lt;=12)*(Network!$AJ$7:$AJ$28=4)))</f>
        <v>0</v>
      </c>
      <c r="EU9" s="60" t="n">
        <f aca="false">SUMPRODUCT((Network!$X$7:$X$28=13)*(Network!$Y$7:$Y$28=4)*((Network!$AE$7:$AE$28&gt;0)*(Network!$AE$7:$AE$28&lt;=12)+(Network!$AF$7:$AF$28&gt;0)*(Network!$AF$7:$AF$28&lt;=12)+(Network!$AG$7:$AG$28&gt;0)*(Network!$AG$7:$AG$28&lt;=12)))</f>
        <v>0</v>
      </c>
      <c r="EV9" s="60" t="n">
        <f aca="false">SUMPRODUCT((Network!$X$7:$X$28&lt;=12)*(Network!$X$7:$X$28&gt;0)*(Network!$Y$7:$Y$28=4)*Network!$AL$7:$AL$28)</f>
        <v>0</v>
      </c>
      <c r="EW9" s="60" t="n">
        <f aca="false">SUMPRODUCT((Network!$X$7:$X$28=13)*((Network!$Y$7:$Y$28&gt;4)*((Network!$AE$7:$AE$28&gt;0)*(Network!$AE$7:$AE$28&lt;=12)*(Network!$AH$7:$AH$28&lt;=4)+(Network!$AF$7:$AF$28&gt;0)*(Network!$AF$7:$AF$28&lt;=12)*(Network!$AI$7:$AI$28&lt;=4)+(Network!$AG$7:$AG$28&gt;0)*(Network!$AG$7:$AG$28&lt;=12)*(Network!$AJ$7:$AJ$28&lt;=4))+(Network!$Y$7:$Y$28&lt;=4)*((Network!$AE$7:$AE$28&gt;0)*(Network!$AE$7:$AE$28&lt;=12)*(Network!$AH$7:$AH$28&gt;4)+(Network!$AF$7:$AF$28&gt;0)*(Network!$AF$7:$AF$28&lt;=12)*(Network!$AI$7:$AI$28&gt;4)+(Network!$AG$7:$AG$28&gt;0)*(Network!$AG$7:$AG$28&lt;=12)*(Network!$AJ$7:$AJ$28&gt;4))))</f>
        <v>0</v>
      </c>
    </row>
    <row r="10" customFormat="false" ht="10.5" hidden="false" customHeight="true" outlineLevel="0" collapsed="false">
      <c r="F10" s="71" t="s">
        <v>163</v>
      </c>
      <c r="G10" s="71"/>
      <c r="H10" s="71"/>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D10" s="60" t="n">
        <f aca="false">SUMPRODUCT((Network!$X$7:$X$28=1)*(Network!$Y$7:$Y$28=5)*Network!$Z$7:$Z$28)</f>
        <v>0</v>
      </c>
      <c r="CE10" s="60" t="n">
        <f aca="false">SUMPRODUCT((Network!$X$7:$X$28&gt;1)*((Network!$AE$7:$AE$28&gt;0)*(Network!$AE$7:$AE$28&lt;1)*(Network!$AH$7:$AH$28=5)+(Network!$AF$7:$AF$28&gt;0)*(Network!$AF$7:$AF$28&lt;1)*(Network!$AI$7:$AI$28=5)+(Network!$AG$7:$AG$28&gt;0)*(Network!$AG$7:$AG$28&lt;1)*(Network!$AJ$7:$AJ$28=5)))</f>
        <v>0</v>
      </c>
      <c r="CF10" s="60" t="n">
        <f aca="false">SUMPRODUCT((Network!$X$7:$X$28&gt;1)*((Network!$AE$7:$AE$28&gt;0)*(Network!$AE$7:$AE$28&lt;=1)*(Network!$AH$7:$AH$28=5)+(Network!$AF$7:$AF$28&gt;0)*(Network!$AF$7:$AF$28&lt;=1)*(Network!$AI$7:$AI$28=5)+(Network!$AG$7:$AG$28&gt;0)*(Network!$AG$7:$AG$28&lt;=1)*(Network!$AJ$7:$AJ$28=5)))</f>
        <v>0</v>
      </c>
      <c r="CG10" s="60" t="n">
        <f aca="false">SUMPRODUCT((Network!$X$7:$X$28=2)*(Network!$Y$7:$Y$28=5)*((Network!$AE$7:$AE$28&gt;0)*(Network!$AE$7:$AE$28&lt;=1)+(Network!$AF$7:$AF$28&gt;0)*(Network!$AF$7:$AF$28&lt;=1)+(Network!$AG$7:$AG$28&gt;0)*(Network!$AG$7:$AG$28&lt;=1)))</f>
        <v>0</v>
      </c>
      <c r="CH10" s="60" t="n">
        <f aca="false">SUMPRODUCT((Network!$X$7:$X$28&lt;=1)*(Network!$X$7:$X$28&gt;0)*(Network!$Y$7:$Y$28=5)*Network!$AL$7:$AL$28)</f>
        <v>0</v>
      </c>
      <c r="CI10" s="60" t="n">
        <f aca="false">SUMPRODUCT(($CD$6:$CD$10&gt;0)*((($CE$6:$CE$10&gt;0))&gt;0))</f>
        <v>0</v>
      </c>
      <c r="CJ10" s="60" t="n">
        <f aca="false">SUMPRODUCT((Network!$X$7:$X$28=2)*(Network!$Y$7:$Y$28=5)*Network!$Z$7:$Z$28)</f>
        <v>0</v>
      </c>
      <c r="CK10" s="60" t="n">
        <f aca="false">SUMPRODUCT((Network!$X$7:$X$28&gt;2)*((Network!$AE$7:$AE$28&gt;0)*(Network!$AE$7:$AE$28&lt;2)*(Network!$AH$7:$AH$28=5)+(Network!$AF$7:$AF$28&gt;0)*(Network!$AF$7:$AF$28&lt;2)*(Network!$AI$7:$AI$28=5)+(Network!$AG$7:$AG$28&gt;0)*(Network!$AG$7:$AG$28&lt;2)*(Network!$AJ$7:$AJ$28=5)))</f>
        <v>0</v>
      </c>
      <c r="CL10" s="60" t="n">
        <f aca="false">SUMPRODUCT((Network!$X$7:$X$28&gt;2)*((Network!$AE$7:$AE$28&gt;0)*(Network!$AE$7:$AE$28&lt;=2)*(Network!$AH$7:$AH$28=5)+(Network!$AF$7:$AF$28&gt;0)*(Network!$AF$7:$AF$28&lt;=2)*(Network!$AI$7:$AI$28=5)+(Network!$AG$7:$AG$28&gt;0)*(Network!$AG$7:$AG$28&lt;=2)*(Network!$AJ$7:$AJ$28=5)))</f>
        <v>0</v>
      </c>
      <c r="CM10" s="60" t="n">
        <f aca="false">SUMPRODUCT((Network!$X$7:$X$28=3)*(Network!$Y$7:$Y$28=5)*((Network!$AE$7:$AE$28&gt;0)*(Network!$AE$7:$AE$28&lt;=2)+(Network!$AF$7:$AF$28&gt;0)*(Network!$AF$7:$AF$28&lt;=2)+(Network!$AG$7:$AG$28&gt;0)*(Network!$AG$7:$AG$28&lt;=2)))</f>
        <v>0</v>
      </c>
      <c r="CN10" s="60" t="n">
        <f aca="false">SUMPRODUCT((Network!$X$7:$X$28&lt;=2)*(Network!$X$7:$X$28&gt;0)*(Network!$Y$7:$Y$28=5)*Network!$AL$7:$AL$28)</f>
        <v>0</v>
      </c>
      <c r="CO10" s="60" t="n">
        <f aca="false">SUMPRODUCT(($CJ$6:$CJ$10&gt;0)*((($CK$6:$CK$10&gt;0)+($CH$6:$CH$10&gt;0))&gt;0))</f>
        <v>0</v>
      </c>
      <c r="CP10" s="60" t="n">
        <f aca="false">SUMPRODUCT((Network!$X$7:$X$28=3)*(Network!$Y$7:$Y$28=5)*Network!$Z$7:$Z$28)</f>
        <v>0</v>
      </c>
      <c r="CQ10" s="60" t="n">
        <f aca="false">SUMPRODUCT((Network!$X$7:$X$28&gt;3)*((Network!$AE$7:$AE$28&gt;0)*(Network!$AE$7:$AE$28&lt;3)*(Network!$AH$7:$AH$28=5)+(Network!$AF$7:$AF$28&gt;0)*(Network!$AF$7:$AF$28&lt;3)*(Network!$AI$7:$AI$28=5)+(Network!$AG$7:$AG$28&gt;0)*(Network!$AG$7:$AG$28&lt;3)*(Network!$AJ$7:$AJ$28=5)))</f>
        <v>0</v>
      </c>
      <c r="CR10" s="60" t="n">
        <f aca="false">SUMPRODUCT((Network!$X$7:$X$28&gt;3)*((Network!$AE$7:$AE$28&gt;0)*(Network!$AE$7:$AE$28&lt;=3)*(Network!$AH$7:$AH$28=5)+(Network!$AF$7:$AF$28&gt;0)*(Network!$AF$7:$AF$28&lt;=3)*(Network!$AI$7:$AI$28=5)+(Network!$AG$7:$AG$28&gt;0)*(Network!$AG$7:$AG$28&lt;=3)*(Network!$AJ$7:$AJ$28=5)))</f>
        <v>0</v>
      </c>
      <c r="CS10" s="60" t="n">
        <f aca="false">SUMPRODUCT((Network!$X$7:$X$28=4)*(Network!$Y$7:$Y$28=5)*((Network!$AE$7:$AE$28&gt;0)*(Network!$AE$7:$AE$28&lt;=3)+(Network!$AF$7:$AF$28&gt;0)*(Network!$AF$7:$AF$28&lt;=3)+(Network!$AG$7:$AG$28&gt;0)*(Network!$AG$7:$AG$28&lt;=3)))</f>
        <v>0</v>
      </c>
      <c r="CT10" s="60" t="n">
        <f aca="false">SUMPRODUCT((Network!$X$7:$X$28&lt;=3)*(Network!$X$7:$X$28&gt;0)*(Network!$Y$7:$Y$28=5)*Network!$AL$7:$AL$28)</f>
        <v>0</v>
      </c>
      <c r="CU10" s="60" t="n">
        <f aca="false">SUMPRODUCT(($CP$6:$CP$10&gt;0)*((($CQ$6:$CQ$10&gt;0)+($CN$6:$CN$10&gt;0))&gt;0))</f>
        <v>0</v>
      </c>
      <c r="CV10" s="60" t="n">
        <f aca="false">SUMPRODUCT((Network!$X$7:$X$28=4)*(Network!$Y$7:$Y$28=5)*Network!$Z$7:$Z$28)</f>
        <v>0</v>
      </c>
      <c r="CW10" s="60" t="n">
        <f aca="false">SUMPRODUCT((Network!$X$7:$X$28&gt;4)*((Network!$AE$7:$AE$28&gt;0)*(Network!$AE$7:$AE$28&lt;4)*(Network!$AH$7:$AH$28=5)+(Network!$AF$7:$AF$28&gt;0)*(Network!$AF$7:$AF$28&lt;4)*(Network!$AI$7:$AI$28=5)+(Network!$AG$7:$AG$28&gt;0)*(Network!$AG$7:$AG$28&lt;4)*(Network!$AJ$7:$AJ$28=5)))</f>
        <v>0</v>
      </c>
      <c r="CX10" s="60" t="n">
        <f aca="false">SUMPRODUCT((Network!$X$7:$X$28&gt;4)*((Network!$AE$7:$AE$28&gt;0)*(Network!$AE$7:$AE$28&lt;=4)*(Network!$AH$7:$AH$28=5)+(Network!$AF$7:$AF$28&gt;0)*(Network!$AF$7:$AF$28&lt;=4)*(Network!$AI$7:$AI$28=5)+(Network!$AG$7:$AG$28&gt;0)*(Network!$AG$7:$AG$28&lt;=4)*(Network!$AJ$7:$AJ$28=5)))</f>
        <v>0</v>
      </c>
      <c r="CY10" s="60" t="n">
        <f aca="false">SUMPRODUCT((Network!$X$7:$X$28=5)*(Network!$Y$7:$Y$28=5)*((Network!$AE$7:$AE$28&gt;0)*(Network!$AE$7:$AE$28&lt;=4)+(Network!$AF$7:$AF$28&gt;0)*(Network!$AF$7:$AF$28&lt;=4)+(Network!$AG$7:$AG$28&gt;0)*(Network!$AG$7:$AG$28&lt;=4)))</f>
        <v>0</v>
      </c>
      <c r="CZ10" s="60" t="n">
        <f aca="false">SUMPRODUCT((Network!$X$7:$X$28&lt;=4)*(Network!$X$7:$X$28&gt;0)*(Network!$Y$7:$Y$28=5)*Network!$AL$7:$AL$28)</f>
        <v>0</v>
      </c>
      <c r="DA10" s="60" t="n">
        <f aca="false">SUMPRODUCT(($CV$6:$CV$10&gt;0)*((($CW$6:$CW$10&gt;0)+($CT$6:$CT$10&gt;0))&gt;0))</f>
        <v>0</v>
      </c>
      <c r="DB10" s="60" t="n">
        <f aca="false">SUMPRODUCT((Network!$X$7:$X$28=5)*(Network!$Y$7:$Y$28=5)*Network!$Z$7:$Z$28)</f>
        <v>0</v>
      </c>
      <c r="DC10" s="60" t="n">
        <f aca="false">SUMPRODUCT((Network!$X$7:$X$28&gt;5)*((Network!$AE$7:$AE$28&gt;0)*(Network!$AE$7:$AE$28&lt;5)*(Network!$AH$7:$AH$28=5)+(Network!$AF$7:$AF$28&gt;0)*(Network!$AF$7:$AF$28&lt;5)*(Network!$AI$7:$AI$28=5)+(Network!$AG$7:$AG$28&gt;0)*(Network!$AG$7:$AG$28&lt;5)*(Network!$AJ$7:$AJ$28=5)))</f>
        <v>0</v>
      </c>
      <c r="DD10" s="60" t="n">
        <f aca="false">SUMPRODUCT((Network!$X$7:$X$28&gt;5)*((Network!$AE$7:$AE$28&gt;0)*(Network!$AE$7:$AE$28&lt;=5)*(Network!$AH$7:$AH$28=5)+(Network!$AF$7:$AF$28&gt;0)*(Network!$AF$7:$AF$28&lt;=5)*(Network!$AI$7:$AI$28=5)+(Network!$AG$7:$AG$28&gt;0)*(Network!$AG$7:$AG$28&lt;=5)*(Network!$AJ$7:$AJ$28=5)))</f>
        <v>0</v>
      </c>
      <c r="DE10" s="60" t="n">
        <f aca="false">SUMPRODUCT((Network!$X$7:$X$28=6)*(Network!$Y$7:$Y$28=5)*((Network!$AE$7:$AE$28&gt;0)*(Network!$AE$7:$AE$28&lt;=5)+(Network!$AF$7:$AF$28&gt;0)*(Network!$AF$7:$AF$28&lt;=5)+(Network!$AG$7:$AG$28&gt;0)*(Network!$AG$7:$AG$28&lt;=5)))</f>
        <v>0</v>
      </c>
      <c r="DF10" s="60" t="n">
        <f aca="false">SUMPRODUCT((Network!$X$7:$X$28&lt;=5)*(Network!$X$7:$X$28&gt;0)*(Network!$Y$7:$Y$28=5)*Network!$AL$7:$AL$28)</f>
        <v>0</v>
      </c>
      <c r="DG10" s="60" t="n">
        <f aca="false">SUMPRODUCT(($DB$6:$DB$10&gt;0)*((($DC$6:$DC$10&gt;0)+($CZ$6:$CZ$10&gt;0))&gt;0))</f>
        <v>0</v>
      </c>
      <c r="DH10" s="60" t="n">
        <f aca="false">SUMPRODUCT((Network!$X$7:$X$28=6)*(Network!$Y$7:$Y$28=5)*Network!$Z$7:$Z$28)</f>
        <v>0</v>
      </c>
      <c r="DI10" s="60" t="n">
        <f aca="false">SUMPRODUCT((Network!$X$7:$X$28&gt;6)*((Network!$AE$7:$AE$28&gt;0)*(Network!$AE$7:$AE$28&lt;6)*(Network!$AH$7:$AH$28=5)+(Network!$AF$7:$AF$28&gt;0)*(Network!$AF$7:$AF$28&lt;6)*(Network!$AI$7:$AI$28=5)+(Network!$AG$7:$AG$28&gt;0)*(Network!$AG$7:$AG$28&lt;6)*(Network!$AJ$7:$AJ$28=5)))</f>
        <v>0</v>
      </c>
      <c r="DJ10" s="60" t="n">
        <f aca="false">SUMPRODUCT((Network!$X$7:$X$28&gt;6)*((Network!$AE$7:$AE$28&gt;0)*(Network!$AE$7:$AE$28&lt;=6)*(Network!$AH$7:$AH$28=5)+(Network!$AF$7:$AF$28&gt;0)*(Network!$AF$7:$AF$28&lt;=6)*(Network!$AI$7:$AI$28=5)+(Network!$AG$7:$AG$28&gt;0)*(Network!$AG$7:$AG$28&lt;=6)*(Network!$AJ$7:$AJ$28=5)))</f>
        <v>0</v>
      </c>
      <c r="DK10" s="60" t="n">
        <f aca="false">SUMPRODUCT((Network!$X$7:$X$28=7)*(Network!$Y$7:$Y$28=5)*((Network!$AE$7:$AE$28&gt;0)*(Network!$AE$7:$AE$28&lt;=6)+(Network!$AF$7:$AF$28&gt;0)*(Network!$AF$7:$AF$28&lt;=6)+(Network!$AG$7:$AG$28&gt;0)*(Network!$AG$7:$AG$28&lt;=6)))</f>
        <v>0</v>
      </c>
      <c r="DL10" s="60" t="n">
        <f aca="false">SUMPRODUCT((Network!$X$7:$X$28&lt;=6)*(Network!$X$7:$X$28&gt;0)*(Network!$Y$7:$Y$28=5)*Network!$AL$7:$AL$28)</f>
        <v>0</v>
      </c>
      <c r="DM10" s="60" t="n">
        <f aca="false">SUMPRODUCT(($DH$6:$DH$10&gt;0)*((($DI$6:$DI$10&gt;0)+($DF$6:$DF$10&gt;0))&gt;0))</f>
        <v>0</v>
      </c>
      <c r="DN10" s="60" t="n">
        <f aca="false">SUMPRODUCT((Network!$X$7:$X$28=7)*(Network!$Y$7:$Y$28=5)*Network!$Z$7:$Z$28)</f>
        <v>0</v>
      </c>
      <c r="DO10" s="60" t="n">
        <f aca="false">SUMPRODUCT((Network!$X$7:$X$28&gt;7)*((Network!$AE$7:$AE$28&gt;0)*(Network!$AE$7:$AE$28&lt;7)*(Network!$AH$7:$AH$28=5)+(Network!$AF$7:$AF$28&gt;0)*(Network!$AF$7:$AF$28&lt;7)*(Network!$AI$7:$AI$28=5)+(Network!$AG$7:$AG$28&gt;0)*(Network!$AG$7:$AG$28&lt;7)*(Network!$AJ$7:$AJ$28=5)))</f>
        <v>0</v>
      </c>
      <c r="DP10" s="60" t="n">
        <f aca="false">SUMPRODUCT((Network!$X$7:$X$28&gt;7)*((Network!$AE$7:$AE$28&gt;0)*(Network!$AE$7:$AE$28&lt;=7)*(Network!$AH$7:$AH$28=5)+(Network!$AF$7:$AF$28&gt;0)*(Network!$AF$7:$AF$28&lt;=7)*(Network!$AI$7:$AI$28=5)+(Network!$AG$7:$AG$28&gt;0)*(Network!$AG$7:$AG$28&lt;=7)*(Network!$AJ$7:$AJ$28=5)))</f>
        <v>0</v>
      </c>
      <c r="DQ10" s="60" t="n">
        <f aca="false">SUMPRODUCT((Network!$X$7:$X$28=8)*(Network!$Y$7:$Y$28=5)*((Network!$AE$7:$AE$28&gt;0)*(Network!$AE$7:$AE$28&lt;=7)+(Network!$AF$7:$AF$28&gt;0)*(Network!$AF$7:$AF$28&lt;=7)+(Network!$AG$7:$AG$28&gt;0)*(Network!$AG$7:$AG$28&lt;=7)))</f>
        <v>0</v>
      </c>
      <c r="DR10" s="60" t="n">
        <f aca="false">SUMPRODUCT((Network!$X$7:$X$28&lt;=7)*(Network!$X$7:$X$28&gt;0)*(Network!$Y$7:$Y$28=5)*Network!$AL$7:$AL$28)</f>
        <v>0</v>
      </c>
      <c r="DS10" s="60" t="n">
        <f aca="false">SUMPRODUCT(($DN$6:$DN$10&gt;0)*((($DO$6:$DO$10&gt;0)+($DL$6:$DL$10&gt;0))&gt;0))</f>
        <v>0</v>
      </c>
      <c r="DT10" s="60" t="n">
        <f aca="false">SUMPRODUCT((Network!$X$7:$X$28=8)*(Network!$Y$7:$Y$28=5)*Network!$Z$7:$Z$28)</f>
        <v>0</v>
      </c>
      <c r="DU10" s="60" t="n">
        <f aca="false">SUMPRODUCT((Network!$X$7:$X$28&gt;8)*((Network!$AE$7:$AE$28&gt;0)*(Network!$AE$7:$AE$28&lt;8)*(Network!$AH$7:$AH$28=5)+(Network!$AF$7:$AF$28&gt;0)*(Network!$AF$7:$AF$28&lt;8)*(Network!$AI$7:$AI$28=5)+(Network!$AG$7:$AG$28&gt;0)*(Network!$AG$7:$AG$28&lt;8)*(Network!$AJ$7:$AJ$28=5)))</f>
        <v>0</v>
      </c>
      <c r="DV10" s="60" t="n">
        <f aca="false">SUMPRODUCT((Network!$X$7:$X$28&gt;8)*((Network!$AE$7:$AE$28&gt;0)*(Network!$AE$7:$AE$28&lt;=8)*(Network!$AH$7:$AH$28=5)+(Network!$AF$7:$AF$28&gt;0)*(Network!$AF$7:$AF$28&lt;=8)*(Network!$AI$7:$AI$28=5)+(Network!$AG$7:$AG$28&gt;0)*(Network!$AG$7:$AG$28&lt;=8)*(Network!$AJ$7:$AJ$28=5)))</f>
        <v>0</v>
      </c>
      <c r="DW10" s="60" t="n">
        <f aca="false">SUMPRODUCT((Network!$X$7:$X$28=9)*(Network!$Y$7:$Y$28=5)*((Network!$AE$7:$AE$28&gt;0)*(Network!$AE$7:$AE$28&lt;=8)+(Network!$AF$7:$AF$28&gt;0)*(Network!$AF$7:$AF$28&lt;=8)+(Network!$AG$7:$AG$28&gt;0)*(Network!$AG$7:$AG$28&lt;=8)))</f>
        <v>0</v>
      </c>
      <c r="DX10" s="60" t="n">
        <f aca="false">SUMPRODUCT((Network!$X$7:$X$28&lt;=8)*(Network!$X$7:$X$28&gt;0)*(Network!$Y$7:$Y$28=5)*Network!$AL$7:$AL$28)</f>
        <v>0</v>
      </c>
      <c r="DY10" s="60" t="n">
        <f aca="false">SUMPRODUCT(($DT$6:$DT$10&gt;0)*((($DU$6:$DU$10&gt;0)+($DR$6:$DR$10&gt;0))&gt;0))</f>
        <v>0</v>
      </c>
      <c r="DZ10" s="60" t="n">
        <f aca="false">SUMPRODUCT((Network!$X$7:$X$28=9)*(Network!$Y$7:$Y$28=5)*Network!$Z$7:$Z$28)</f>
        <v>0</v>
      </c>
      <c r="EA10" s="60" t="n">
        <f aca="false">SUMPRODUCT((Network!$X$7:$X$28&gt;9)*((Network!$AE$7:$AE$28&gt;0)*(Network!$AE$7:$AE$28&lt;9)*(Network!$AH$7:$AH$28=5)+(Network!$AF$7:$AF$28&gt;0)*(Network!$AF$7:$AF$28&lt;9)*(Network!$AI$7:$AI$28=5)+(Network!$AG$7:$AG$28&gt;0)*(Network!$AG$7:$AG$28&lt;9)*(Network!$AJ$7:$AJ$28=5)))</f>
        <v>0</v>
      </c>
      <c r="EB10" s="60" t="n">
        <f aca="false">SUMPRODUCT((Network!$X$7:$X$28&gt;9)*((Network!$AE$7:$AE$28&gt;0)*(Network!$AE$7:$AE$28&lt;=9)*(Network!$AH$7:$AH$28=5)+(Network!$AF$7:$AF$28&gt;0)*(Network!$AF$7:$AF$28&lt;=9)*(Network!$AI$7:$AI$28=5)+(Network!$AG$7:$AG$28&gt;0)*(Network!$AG$7:$AG$28&lt;=9)*(Network!$AJ$7:$AJ$28=5)))</f>
        <v>0</v>
      </c>
      <c r="EC10" s="60" t="n">
        <f aca="false">SUMPRODUCT((Network!$X$7:$X$28=10)*(Network!$Y$7:$Y$28=5)*((Network!$AE$7:$AE$28&gt;0)*(Network!$AE$7:$AE$28&lt;=9)+(Network!$AF$7:$AF$28&gt;0)*(Network!$AF$7:$AF$28&lt;=9)+(Network!$AG$7:$AG$28&gt;0)*(Network!$AG$7:$AG$28&lt;=9)))</f>
        <v>0</v>
      </c>
      <c r="ED10" s="60" t="n">
        <f aca="false">SUMPRODUCT((Network!$X$7:$X$28&lt;=9)*(Network!$X$7:$X$28&gt;0)*(Network!$Y$7:$Y$28=5)*Network!$AL$7:$AL$28)</f>
        <v>0</v>
      </c>
      <c r="EE10" s="60" t="n">
        <f aca="false">SUMPRODUCT(($DZ$6:$DZ$10&gt;0)*((($EA$6:$EA$10&gt;0)+($DX$6:$DX$10&gt;0))&gt;0))</f>
        <v>0</v>
      </c>
      <c r="EF10" s="60" t="n">
        <f aca="false">SUMPRODUCT((Network!$X$7:$X$28=10)*(Network!$Y$7:$Y$28=5)*Network!$Z$7:$Z$28)</f>
        <v>0</v>
      </c>
      <c r="EG10" s="60" t="n">
        <f aca="false">SUMPRODUCT((Network!$X$7:$X$28&gt;10)*((Network!$AE$7:$AE$28&gt;0)*(Network!$AE$7:$AE$28&lt;10)*(Network!$AH$7:$AH$28=5)+(Network!$AF$7:$AF$28&gt;0)*(Network!$AF$7:$AF$28&lt;10)*(Network!$AI$7:$AI$28=5)+(Network!$AG$7:$AG$28&gt;0)*(Network!$AG$7:$AG$28&lt;10)*(Network!$AJ$7:$AJ$28=5)))</f>
        <v>0</v>
      </c>
      <c r="EH10" s="60" t="n">
        <f aca="false">SUMPRODUCT((Network!$X$7:$X$28&gt;10)*((Network!$AE$7:$AE$28&gt;0)*(Network!$AE$7:$AE$28&lt;=10)*(Network!$AH$7:$AH$28=5)+(Network!$AF$7:$AF$28&gt;0)*(Network!$AF$7:$AF$28&lt;=10)*(Network!$AI$7:$AI$28=5)+(Network!$AG$7:$AG$28&gt;0)*(Network!$AG$7:$AG$28&lt;=10)*(Network!$AJ$7:$AJ$28=5)))</f>
        <v>0</v>
      </c>
      <c r="EI10" s="60" t="n">
        <f aca="false">SUMPRODUCT((Network!$X$7:$X$28=11)*(Network!$Y$7:$Y$28=5)*((Network!$AE$7:$AE$28&gt;0)*(Network!$AE$7:$AE$28&lt;=10)+(Network!$AF$7:$AF$28&gt;0)*(Network!$AF$7:$AF$28&lt;=10)+(Network!$AG$7:$AG$28&gt;0)*(Network!$AG$7:$AG$28&lt;=10)))</f>
        <v>0</v>
      </c>
      <c r="EJ10" s="60" t="n">
        <f aca="false">SUMPRODUCT((Network!$X$7:$X$28&lt;=10)*(Network!$X$7:$X$28&gt;0)*(Network!$Y$7:$Y$28=5)*Network!$AL$7:$AL$28)</f>
        <v>0</v>
      </c>
      <c r="EK10" s="60" t="n">
        <f aca="false">SUMPRODUCT(($EF$6:$EF$10&gt;0)*((($EG$6:$EG$10&gt;0)+($ED$6:$ED$10&gt;0))&gt;0))</f>
        <v>0</v>
      </c>
      <c r="EL10" s="60" t="n">
        <f aca="false">SUMPRODUCT((Network!$X$7:$X$28=11)*(Network!$Y$7:$Y$28=5)*Network!$Z$7:$Z$28)</f>
        <v>0</v>
      </c>
      <c r="EM10" s="60" t="n">
        <f aca="false">SUMPRODUCT((Network!$X$7:$X$28&gt;11)*((Network!$AE$7:$AE$28&gt;0)*(Network!$AE$7:$AE$28&lt;11)*(Network!$AH$7:$AH$28=5)+(Network!$AF$7:$AF$28&gt;0)*(Network!$AF$7:$AF$28&lt;11)*(Network!$AI$7:$AI$28=5)+(Network!$AG$7:$AG$28&gt;0)*(Network!$AG$7:$AG$28&lt;11)*(Network!$AJ$7:$AJ$28=5)))</f>
        <v>0</v>
      </c>
      <c r="EN10" s="60" t="n">
        <f aca="false">SUMPRODUCT((Network!$X$7:$X$28&gt;11)*((Network!$AE$7:$AE$28&gt;0)*(Network!$AE$7:$AE$28&lt;=11)*(Network!$AH$7:$AH$28=5)+(Network!$AF$7:$AF$28&gt;0)*(Network!$AF$7:$AF$28&lt;=11)*(Network!$AI$7:$AI$28=5)+(Network!$AG$7:$AG$28&gt;0)*(Network!$AG$7:$AG$28&lt;=11)*(Network!$AJ$7:$AJ$28=5)))</f>
        <v>0</v>
      </c>
      <c r="EO10" s="60" t="n">
        <f aca="false">SUMPRODUCT((Network!$X$7:$X$28=12)*(Network!$Y$7:$Y$28=5)*((Network!$AE$7:$AE$28&gt;0)*(Network!$AE$7:$AE$28&lt;=11)+(Network!$AF$7:$AF$28&gt;0)*(Network!$AF$7:$AF$28&lt;=11)+(Network!$AG$7:$AG$28&gt;0)*(Network!$AG$7:$AG$28&lt;=11)))</f>
        <v>0</v>
      </c>
      <c r="EP10" s="60" t="n">
        <f aca="false">SUMPRODUCT((Network!$X$7:$X$28&lt;=11)*(Network!$X$7:$X$28&gt;0)*(Network!$Y$7:$Y$28=5)*Network!$AL$7:$AL$28)</f>
        <v>0</v>
      </c>
      <c r="EQ10" s="60" t="n">
        <f aca="false">SUMPRODUCT(($EL$6:$EL$10&gt;0)*((($EM$6:$EM$10&gt;0)+($EJ$6:$EJ$10&gt;0))&gt;0))</f>
        <v>0</v>
      </c>
      <c r="ER10" s="60" t="n">
        <f aca="false">SUMPRODUCT((Network!$X$7:$X$28=12)*(Network!$Y$7:$Y$28=5)*Network!$Z$7:$Z$28)</f>
        <v>0</v>
      </c>
      <c r="ES10" s="60" t="n">
        <f aca="false">SUMPRODUCT((Network!$X$7:$X$28&gt;12)*((Network!$AE$7:$AE$28&gt;0)*(Network!$AE$7:$AE$28&lt;12)*(Network!$AH$7:$AH$28=5)+(Network!$AF$7:$AF$28&gt;0)*(Network!$AF$7:$AF$28&lt;12)*(Network!$AI$7:$AI$28=5)+(Network!$AG$7:$AG$28&gt;0)*(Network!$AG$7:$AG$28&lt;12)*(Network!$AJ$7:$AJ$28=5)))</f>
        <v>0</v>
      </c>
      <c r="ET10" s="60" t="n">
        <f aca="false">SUMPRODUCT((Network!$X$7:$X$28&gt;12)*((Network!$AE$7:$AE$28&gt;0)*(Network!$AE$7:$AE$28&lt;=12)*(Network!$AH$7:$AH$28=5)+(Network!$AF$7:$AF$28&gt;0)*(Network!$AF$7:$AF$28&lt;=12)*(Network!$AI$7:$AI$28=5)+(Network!$AG$7:$AG$28&gt;0)*(Network!$AG$7:$AG$28&lt;=12)*(Network!$AJ$7:$AJ$28=5)))</f>
        <v>0</v>
      </c>
      <c r="EU10" s="60" t="n">
        <f aca="false">SUMPRODUCT((Network!$X$7:$X$28=13)*(Network!$Y$7:$Y$28=5)*((Network!$AE$7:$AE$28&gt;0)*(Network!$AE$7:$AE$28&lt;=12)+(Network!$AF$7:$AF$28&gt;0)*(Network!$AF$7:$AF$28&lt;=12)+(Network!$AG$7:$AG$28&gt;0)*(Network!$AG$7:$AG$28&lt;=12)))</f>
        <v>0</v>
      </c>
      <c r="EV10" s="60" t="n">
        <f aca="false">SUMPRODUCT((Network!$X$7:$X$28&lt;=12)*(Network!$X$7:$X$28&gt;0)*(Network!$Y$7:$Y$28=5)*Network!$AL$7:$AL$28)</f>
        <v>0</v>
      </c>
      <c r="EW10" s="60" t="n">
        <f aca="false">SUMPRODUCT(($ER$6:$ER$10&gt;0)*((($ES$6:$ES$10&gt;0)+($EP$6:$EP$10&gt;0))&gt;0))</f>
        <v>0</v>
      </c>
    </row>
    <row r="11" customFormat="false" ht="6" hidden="false" customHeight="true" outlineLevel="0" collapsed="false"/>
    <row r="12" customFormat="false" ht="21.75" hidden="false" customHeight="true" outlineLevel="0" collapsed="false">
      <c r="B12" s="6" t="s">
        <v>164</v>
      </c>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row>
    <row r="13" customFormat="false" ht="18" hidden="false" customHeight="true" outlineLevel="0" collapsed="false">
      <c r="F13" s="72" t="s">
        <v>165</v>
      </c>
      <c r="G13" s="72"/>
      <c r="H13" s="72"/>
      <c r="L13" s="72" t="s">
        <v>166</v>
      </c>
      <c r="M13" s="72"/>
      <c r="N13" s="72"/>
      <c r="R13" s="72" t="s">
        <v>167</v>
      </c>
      <c r="S13" s="72"/>
      <c r="T13" s="72"/>
      <c r="X13" s="72" t="s">
        <v>168</v>
      </c>
      <c r="Y13" s="72"/>
      <c r="Z13" s="72"/>
      <c r="AD13" s="72" t="s">
        <v>169</v>
      </c>
      <c r="AE13" s="72"/>
      <c r="AF13" s="72"/>
      <c r="AJ13" s="72" t="s">
        <v>170</v>
      </c>
      <c r="AK13" s="72"/>
      <c r="AL13" s="72"/>
      <c r="AP13" s="72" t="s">
        <v>171</v>
      </c>
      <c r="AQ13" s="72"/>
      <c r="AR13" s="72"/>
      <c r="AV13" s="72" t="s">
        <v>172</v>
      </c>
      <c r="AW13" s="72"/>
      <c r="AX13" s="72"/>
      <c r="BB13" s="72" t="s">
        <v>173</v>
      </c>
      <c r="BC13" s="72"/>
      <c r="BD13" s="72"/>
      <c r="BH13" s="72" t="s">
        <v>174</v>
      </c>
      <c r="BI13" s="72"/>
      <c r="BJ13" s="72"/>
      <c r="BN13" s="72" t="s">
        <v>175</v>
      </c>
      <c r="BO13" s="72"/>
      <c r="BP13" s="72"/>
      <c r="BT13" s="72" t="s">
        <v>176</v>
      </c>
      <c r="BU13" s="72"/>
      <c r="BV13" s="72"/>
    </row>
    <row r="14" customFormat="false" ht="12" hidden="false" customHeight="true" outlineLevel="0" collapsed="false">
      <c r="B14" s="73" t="s">
        <v>177</v>
      </c>
      <c r="F14" s="74" t="n">
        <f aca="false">IF($CD$6=0,"",INDEX(Network!$L$7:$L$28,$CD$6))</f>
        <v>1</v>
      </c>
      <c r="G14" s="75" t="n">
        <f aca="false">IF($CD$6=0,"",INDEX(Network!$J$7:$J$28,$CD$6))</f>
        <v>5.33333333333333</v>
      </c>
      <c r="H14" s="74" t="n">
        <f aca="false">IF($CD$6=0,"",INDEX(Network!$M$7:$M$28,$CD$6))</f>
        <v>5.33333333333333</v>
      </c>
      <c r="L14" s="74" t="n">
        <f aca="false">IF($CJ$6=0,"",INDEX(Network!$L$7:$L$28,$CJ$6))</f>
        <v>6.33333333333333</v>
      </c>
      <c r="M14" s="75" t="n">
        <f aca="false">IF($CJ$6=0,"",INDEX(Network!$J$7:$J$28,$CJ$6))</f>
        <v>11</v>
      </c>
      <c r="N14" s="74" t="n">
        <f aca="false">IF($CJ$6=0,"",INDEX(Network!$M$7:$M$28,$CJ$6))</f>
        <v>16.3333333333333</v>
      </c>
      <c r="R14" s="74" t="n">
        <f aca="false">IF($CP$6=0,"",INDEX(Network!$L$7:$L$28,$CP$6))</f>
        <v>17.3333333333333</v>
      </c>
      <c r="S14" s="75" t="n">
        <f aca="false">IF($CP$6=0,"",INDEX(Network!$J$7:$J$28,$CP$6))</f>
        <v>6.33333333333333</v>
      </c>
      <c r="T14" s="74" t="n">
        <f aca="false">IF($CP$6=0,"",INDEX(Network!$M$7:$M$28,$CP$6))</f>
        <v>22.6666666666667</v>
      </c>
      <c r="X14" s="74" t="n">
        <f aca="false">IF($CV$6=0,"",INDEX(Network!$L$7:$L$28,$CV$6))</f>
        <v>23.6666666666667</v>
      </c>
      <c r="Y14" s="75" t="n">
        <f aca="false">IF($CV$6=0,"",INDEX(Network!$J$7:$J$28,$CV$6))</f>
        <v>12.6666666666667</v>
      </c>
      <c r="Z14" s="74" t="n">
        <f aca="false">IF($CV$6=0,"",INDEX(Network!$M$7:$M$28,$CV$6))</f>
        <v>35.3333333333333</v>
      </c>
      <c r="AD14" s="74" t="n">
        <f aca="false">IF($DB$6=0,"",INDEX(Network!$L$7:$L$28,$DB$6))</f>
        <v>36.3333333333333</v>
      </c>
      <c r="AE14" s="75" t="n">
        <f aca="false">IF($DB$6=0,"",INDEX(Network!$J$7:$J$28,$DB$6))</f>
        <v>26.6666666666667</v>
      </c>
      <c r="AF14" s="74" t="n">
        <f aca="false">IF($DB$6=0,"",INDEX(Network!$M$7:$M$28,$DB$6))</f>
        <v>62</v>
      </c>
      <c r="AJ14" s="74" t="n">
        <f aca="false">IF($DH$6=0,"",INDEX(Network!$L$7:$L$28,$DH$6))</f>
        <v>63</v>
      </c>
      <c r="AK14" s="75" t="n">
        <f aca="false">IF($DH$6=0,"",INDEX(Network!$J$7:$J$28,$DH$6))</f>
        <v>14.6666666666667</v>
      </c>
      <c r="AL14" s="74" t="n">
        <f aca="false">IF($DH$6=0,"",INDEX(Network!$M$7:$M$28,$DH$6))</f>
        <v>76.6666666666667</v>
      </c>
      <c r="AP14" s="74" t="n">
        <f aca="false">IF($DN$6=0,"",INDEX(Network!$L$7:$L$28,$DN$6))</f>
        <v>77.6666666666667</v>
      </c>
      <c r="AQ14" s="75" t="n">
        <f aca="false">IF($DN$6=0,"",INDEX(Network!$J$7:$J$28,$DN$6))</f>
        <v>25.6666666666667</v>
      </c>
      <c r="AR14" s="74" t="n">
        <f aca="false">IF($DN$6=0,"",INDEX(Network!$M$7:$M$28,$DN$6))</f>
        <v>102.333333333333</v>
      </c>
      <c r="AV14" s="74" t="str">
        <f aca="false">IF($DT$6=0,"",INDEX(Network!$L$7:$L$28,$DT$6))</f>
        <v/>
      </c>
      <c r="AW14" s="75" t="str">
        <f aca="false">IF($DT$6=0,"",INDEX(Network!$J$7:$J$28,$DT$6))</f>
        <v/>
      </c>
      <c r="AX14" s="74" t="str">
        <f aca="false">IF($DT$6=0,"",INDEX(Network!$M$7:$M$28,$DT$6))</f>
        <v/>
      </c>
      <c r="BB14" s="74" t="str">
        <f aca="false">IF($DZ$6=0,"",INDEX(Network!$L$7:$L$28,$DZ$6))</f>
        <v/>
      </c>
      <c r="BC14" s="75" t="str">
        <f aca="false">IF($DZ$6=0,"",INDEX(Network!$J$7:$J$28,$DZ$6))</f>
        <v/>
      </c>
      <c r="BD14" s="74" t="str">
        <f aca="false">IF($DZ$6=0,"",INDEX(Network!$M$7:$M$28,$DZ$6))</f>
        <v/>
      </c>
      <c r="BH14" s="74" t="n">
        <f aca="false">IF($EF$6=0,"",INDEX(Network!$L$7:$L$28,$EF$6))</f>
        <v>128.5</v>
      </c>
      <c r="BI14" s="75" t="n">
        <f aca="false">IF($EF$6=0,"",INDEX(Network!$J$7:$J$28,$EF$6))</f>
        <v>11.1666666666667</v>
      </c>
      <c r="BJ14" s="74" t="n">
        <f aca="false">IF($EF$6=0,"",INDEX(Network!$M$7:$M$28,$EF$6))</f>
        <v>138.666666666667</v>
      </c>
      <c r="BN14" s="74" t="str">
        <f aca="false">IF($EL$6=0,"",INDEX(Network!$L$7:$L$28,$EL$6))</f>
        <v/>
      </c>
      <c r="BO14" s="75" t="str">
        <f aca="false">IF($EL$6=0,"",INDEX(Network!$J$7:$J$28,$EL$6))</f>
        <v/>
      </c>
      <c r="BP14" s="74" t="str">
        <f aca="false">IF($EL$6=0,"",INDEX(Network!$M$7:$M$28,$EL$6))</f>
        <v/>
      </c>
      <c r="BT14" s="74" t="str">
        <f aca="false">IF($ER$6=0,"",INDEX(Network!$L$7:$L$28,$ER$6))</f>
        <v/>
      </c>
      <c r="BU14" s="75" t="str">
        <f aca="false">IF($ER$6=0,"",INDEX(Network!$J$7:$J$28,$ER$6))</f>
        <v/>
      </c>
      <c r="BV14" s="74" t="str">
        <f aca="false">IF($ER$6=0,"",INDEX(Network!$M$7:$M$28,$ER$6))</f>
        <v/>
      </c>
      <c r="BZ14" s="73" t="s">
        <v>178</v>
      </c>
    </row>
    <row r="15" customFormat="false" ht="25.5" hidden="false" customHeight="true" outlineLevel="0" collapsed="false">
      <c r="B15" s="73"/>
      <c r="F15" s="76" t="str">
        <f aca="false">IF($CD$6=0,"",INDEX(Network!$C$7:$C$28,$CD$6))</f>
        <v>Site establishment and hoarding</v>
      </c>
      <c r="G15" s="76"/>
      <c r="H15" s="76"/>
      <c r="L15" s="76" t="str">
        <f aca="false">IF($CJ$6=0,"",INDEX(Network!$C$7:$C$28,$CJ$6))</f>
        <v>Demolition and strip-out</v>
      </c>
      <c r="M15" s="76"/>
      <c r="N15" s="76"/>
      <c r="R15" s="76" t="str">
        <f aca="false">IF($CP$6=0,"",INDEX(Network!$C$7:$C$28,$CP$6))</f>
        <v>Asbestos clearance certificate</v>
      </c>
      <c r="S15" s="76"/>
      <c r="T15" s="76"/>
      <c r="X15" s="76" t="str">
        <f aca="false">IF($CV$6=0,"",INDEX(Network!$C$7:$C$28,$CV$6))</f>
        <v>Structural steel - shop drawings</v>
      </c>
      <c r="Y15" s="76"/>
      <c r="Z15" s="76"/>
      <c r="AD15" s="76" t="str">
        <f aca="false">IF($DB$6=0,"",INDEX(Network!$C$7:$C$28,$DB$6))</f>
        <v>Structural steel - fabrication</v>
      </c>
      <c r="AE15" s="76"/>
      <c r="AF15" s="76"/>
      <c r="AJ15" s="76" t="str">
        <f aca="false">IF($DH$6=0,"",INDEX(Network!$C$7:$C$28,$DH$6))</f>
        <v>Structural steel - erection</v>
      </c>
      <c r="AK15" s="76"/>
      <c r="AL15" s="76"/>
      <c r="AP15" s="76" t="str">
        <f aca="false">IF($DN$6=0,"",INDEX(Network!$C$7:$C$28,$DN$6))</f>
        <v>Facade - installation</v>
      </c>
      <c r="AQ15" s="76"/>
      <c r="AR15" s="76"/>
      <c r="AV15" s="76" t="str">
        <f aca="false">IF($DT$6=0,"",INDEX(Network!$C$7:$C$28,$DT$6))</f>
        <v/>
      </c>
      <c r="AW15" s="76"/>
      <c r="AX15" s="76"/>
      <c r="BB15" s="76" t="str">
        <f aca="false">IF($DZ$6=0,"",INDEX(Network!$C$7:$C$28,$DZ$6))</f>
        <v/>
      </c>
      <c r="BC15" s="76"/>
      <c r="BD15" s="76"/>
      <c r="BH15" s="76" t="str">
        <f aca="false">IF($EF$6=0,"",INDEX(Network!$C$7:$C$28,$EF$6))</f>
        <v>Commissioning and witness testing</v>
      </c>
      <c r="BI15" s="76"/>
      <c r="BJ15" s="76"/>
      <c r="BN15" s="76" t="str">
        <f aca="false">IF($EL$6=0,"",INDEX(Network!$C$7:$C$28,$EL$6))</f>
        <v/>
      </c>
      <c r="BO15" s="76"/>
      <c r="BP15" s="76"/>
      <c r="BT15" s="76" t="str">
        <f aca="false">IF($ER$6=0,"",INDEX(Network!$C$7:$C$28,$ER$6))</f>
        <v/>
      </c>
      <c r="BU15" s="76"/>
      <c r="BV15" s="76"/>
      <c r="BZ15" s="73"/>
    </row>
    <row r="16" customFormat="false" ht="4.5" hidden="false" customHeight="true" outlineLevel="0" collapsed="false">
      <c r="B16" s="73"/>
      <c r="BZ16" s="73"/>
    </row>
    <row r="17" customFormat="false" ht="12" hidden="false" customHeight="true" outlineLevel="0" collapsed="false">
      <c r="B17" s="73"/>
      <c r="F17" s="74" t="n">
        <f aca="false">IF($CD$6=0,"",INDEX(Network!$N$7:$N$28,$CD$6))</f>
        <v>1</v>
      </c>
      <c r="G17" s="77" t="n">
        <f aca="false">IF($CD$6=0,"",INDEX(Network!$P$7:$P$28,$CD$6))</f>
        <v>0</v>
      </c>
      <c r="H17" s="74" t="n">
        <f aca="false">IF($CD$6=0,"",INDEX(Network!$O$7:$O$28,$CD$6))</f>
        <v>5.33333333333333</v>
      </c>
      <c r="L17" s="74" t="n">
        <f aca="false">IF($CJ$6=0,"",INDEX(Network!$N$7:$N$28,$CJ$6))</f>
        <v>6.33333333333334</v>
      </c>
      <c r="M17" s="77" t="n">
        <f aca="false">IF($CJ$6=0,"",INDEX(Network!$P$7:$P$28,$CJ$6))</f>
        <v>0</v>
      </c>
      <c r="N17" s="74" t="n">
        <f aca="false">IF($CJ$6=0,"",INDEX(Network!$O$7:$O$28,$CJ$6))</f>
        <v>16.3333333333333</v>
      </c>
      <c r="R17" s="74" t="n">
        <f aca="false">IF($CP$6=0,"",INDEX(Network!$N$7:$N$28,$CP$6))</f>
        <v>17.3333333333333</v>
      </c>
      <c r="S17" s="77" t="n">
        <f aca="false">IF($CP$6=0,"",INDEX(Network!$P$7:$P$28,$CP$6))</f>
        <v>0</v>
      </c>
      <c r="T17" s="74" t="n">
        <f aca="false">IF($CP$6=0,"",INDEX(Network!$O$7:$O$28,$CP$6))</f>
        <v>22.6666666666667</v>
      </c>
      <c r="X17" s="74" t="n">
        <f aca="false">IF($CV$6=0,"",INDEX(Network!$N$7:$N$28,$CV$6))</f>
        <v>23.6666666666667</v>
      </c>
      <c r="Y17" s="77" t="n">
        <f aca="false">IF($CV$6=0,"",INDEX(Network!$P$7:$P$28,$CV$6))</f>
        <v>0</v>
      </c>
      <c r="Z17" s="74" t="n">
        <f aca="false">IF($CV$6=0,"",INDEX(Network!$O$7:$O$28,$CV$6))</f>
        <v>35.3333333333333</v>
      </c>
      <c r="AD17" s="74" t="n">
        <f aca="false">IF($DB$6=0,"",INDEX(Network!$N$7:$N$28,$DB$6))</f>
        <v>36.3333333333333</v>
      </c>
      <c r="AE17" s="77" t="n">
        <f aca="false">IF($DB$6=0,"",INDEX(Network!$P$7:$P$28,$DB$6))</f>
        <v>0</v>
      </c>
      <c r="AF17" s="74" t="n">
        <f aca="false">IF($DB$6=0,"",INDEX(Network!$O$7:$O$28,$DB$6))</f>
        <v>62</v>
      </c>
      <c r="AJ17" s="74" t="n">
        <f aca="false">IF($DH$6=0,"",INDEX(Network!$N$7:$N$28,$DH$6))</f>
        <v>63</v>
      </c>
      <c r="AK17" s="77" t="n">
        <f aca="false">IF($DH$6=0,"",INDEX(Network!$P$7:$P$28,$DH$6))</f>
        <v>0</v>
      </c>
      <c r="AL17" s="74" t="n">
        <f aca="false">IF($DH$6=0,"",INDEX(Network!$O$7:$O$28,$DH$6))</f>
        <v>76.6666666666667</v>
      </c>
      <c r="AP17" s="74" t="n">
        <f aca="false">IF($DN$6=0,"",INDEX(Network!$N$7:$N$28,$DN$6))</f>
        <v>82</v>
      </c>
      <c r="AQ17" s="77" t="n">
        <f aca="false">IF($DN$6=0,"",INDEX(Network!$P$7:$P$28,$DN$6))</f>
        <v>4.333333</v>
      </c>
      <c r="AR17" s="74" t="n">
        <f aca="false">IF($DN$6=0,"",INDEX(Network!$O$7:$O$28,$DN$6))</f>
        <v>106.666666666667</v>
      </c>
      <c r="AV17" s="74" t="str">
        <f aca="false">IF($DT$6=0,"",INDEX(Network!$N$7:$N$28,$DT$6))</f>
        <v/>
      </c>
      <c r="AW17" s="77" t="str">
        <f aca="false">IF($DT$6=0,"",INDEX(Network!$P$7:$P$28,$DT$6))</f>
        <v/>
      </c>
      <c r="AX17" s="74" t="str">
        <f aca="false">IF($DT$6=0,"",INDEX(Network!$O$7:$O$28,$DT$6))</f>
        <v/>
      </c>
      <c r="BB17" s="74" t="str">
        <f aca="false">IF($DZ$6=0,"",INDEX(Network!$N$7:$N$28,$DZ$6))</f>
        <v/>
      </c>
      <c r="BC17" s="77" t="str">
        <f aca="false">IF($DZ$6=0,"",INDEX(Network!$P$7:$P$28,$DZ$6))</f>
        <v/>
      </c>
      <c r="BD17" s="74" t="str">
        <f aca="false">IF($DZ$6=0,"",INDEX(Network!$O$7:$O$28,$DZ$6))</f>
        <v/>
      </c>
      <c r="BH17" s="74" t="n">
        <f aca="false">IF($EF$6=0,"",INDEX(Network!$N$7:$N$28,$EF$6))</f>
        <v>129.666666666667</v>
      </c>
      <c r="BI17" s="77" t="n">
        <f aca="false">IF($EF$6=0,"",INDEX(Network!$P$7:$P$28,$EF$6))</f>
        <v>1.166667</v>
      </c>
      <c r="BJ17" s="74" t="n">
        <f aca="false">IF($EF$6=0,"",INDEX(Network!$O$7:$O$28,$EF$6))</f>
        <v>139.833333333333</v>
      </c>
      <c r="BN17" s="74" t="str">
        <f aca="false">IF($EL$6=0,"",INDEX(Network!$N$7:$N$28,$EL$6))</f>
        <v/>
      </c>
      <c r="BO17" s="77" t="str">
        <f aca="false">IF($EL$6=0,"",INDEX(Network!$P$7:$P$28,$EL$6))</f>
        <v/>
      </c>
      <c r="BP17" s="74" t="str">
        <f aca="false">IF($EL$6=0,"",INDEX(Network!$O$7:$O$28,$EL$6))</f>
        <v/>
      </c>
      <c r="BT17" s="74" t="str">
        <f aca="false">IF($ER$6=0,"",INDEX(Network!$N$7:$N$28,$ER$6))</f>
        <v/>
      </c>
      <c r="BU17" s="77" t="str">
        <f aca="false">IF($ER$6=0,"",INDEX(Network!$P$7:$P$28,$ER$6))</f>
        <v/>
      </c>
      <c r="BV17" s="74" t="str">
        <f aca="false">IF($ER$6=0,"",INDEX(Network!$O$7:$O$28,$ER$6))</f>
        <v/>
      </c>
      <c r="BZ17" s="73"/>
    </row>
    <row r="18" customFormat="false" ht="10.5" hidden="false" customHeight="true" outlineLevel="0" collapsed="false">
      <c r="B18" s="73"/>
      <c r="F18" s="78" t="str">
        <f aca="false">IF($CD$6=0,"",INDEX(Network!$B$7:$B$28,$CD$6)&amp;IF(INDEX(Network!$D$7:$D$28,$CD$6)="",""," ·  after "&amp;INDEX(Network!$D$7:$D$28,$CD$6)&amp;IF(INDEX(Network!$E$7:$E$28,$CD$6)="","",", "&amp;INDEX(Network!$E$7:$E$28,$CD$6))&amp;IF(INDEX(Network!$F$7:$F$28,$CD$6)="","",", "&amp;INDEX(Network!$F$7:$F$28,$CD$6))))</f>
        <v>1</v>
      </c>
      <c r="G18" s="78"/>
      <c r="H18" s="78"/>
      <c r="L18" s="78" t="str">
        <f aca="false">IF($CJ$6=0,"",INDEX(Network!$B$7:$B$28,$CJ$6)&amp;IF(INDEX(Network!$D$7:$D$28,$CJ$6)="",""," ·  after "&amp;INDEX(Network!$D$7:$D$28,$CJ$6)&amp;IF(INDEX(Network!$E$7:$E$28,$CJ$6)="","",", "&amp;INDEX(Network!$E$7:$E$28,$CJ$6))&amp;IF(INDEX(Network!$F$7:$F$28,$CJ$6)="","",", "&amp;INDEX(Network!$F$7:$F$28,$CJ$6))))</f>
        <v>2 ·  after 1</v>
      </c>
      <c r="M18" s="78"/>
      <c r="N18" s="78"/>
      <c r="R18" s="78" t="str">
        <f aca="false">IF($CP$6=0,"",INDEX(Network!$B$7:$B$28,$CP$6)&amp;IF(INDEX(Network!$D$7:$D$28,$CP$6)="",""," ·  after "&amp;INDEX(Network!$D$7:$D$28,$CP$6)&amp;IF(INDEX(Network!$E$7:$E$28,$CP$6)="","",", "&amp;INDEX(Network!$E$7:$E$28,$CP$6))&amp;IF(INDEX(Network!$F$7:$F$28,$CP$6)="","",", "&amp;INDEX(Network!$F$7:$F$28,$CP$6))))</f>
        <v>3 ·  after 2</v>
      </c>
      <c r="S18" s="78"/>
      <c r="T18" s="78"/>
      <c r="X18" s="78" t="str">
        <f aca="false">IF($CV$6=0,"",INDEX(Network!$B$7:$B$28,$CV$6)&amp;IF(INDEX(Network!$D$7:$D$28,$CV$6)="",""," ·  after "&amp;INDEX(Network!$D$7:$D$28,$CV$6)&amp;IF(INDEX(Network!$E$7:$E$28,$CV$6)="","",", "&amp;INDEX(Network!$E$7:$E$28,$CV$6))&amp;IF(INDEX(Network!$F$7:$F$28,$CV$6)="","",", "&amp;INDEX(Network!$F$7:$F$28,$CV$6))))</f>
        <v>4 ·  after 3</v>
      </c>
      <c r="Y18" s="78"/>
      <c r="Z18" s="78"/>
      <c r="AD18" s="78" t="str">
        <f aca="false">IF($DB$6=0,"",INDEX(Network!$B$7:$B$28,$DB$6)&amp;IF(INDEX(Network!$D$7:$D$28,$DB$6)="",""," ·  after "&amp;INDEX(Network!$D$7:$D$28,$DB$6)&amp;IF(INDEX(Network!$E$7:$E$28,$DB$6)="","",", "&amp;INDEX(Network!$E$7:$E$28,$DB$6))&amp;IF(INDEX(Network!$F$7:$F$28,$DB$6)="","",", "&amp;INDEX(Network!$F$7:$F$28,$DB$6))))</f>
        <v>5 ·  after 4</v>
      </c>
      <c r="AE18" s="78"/>
      <c r="AF18" s="78"/>
      <c r="AJ18" s="78" t="str">
        <f aca="false">IF($DH$6=0,"",INDEX(Network!$B$7:$B$28,$DH$6)&amp;IF(INDEX(Network!$D$7:$D$28,$DH$6)="",""," ·  after "&amp;INDEX(Network!$D$7:$D$28,$DH$6)&amp;IF(INDEX(Network!$E$7:$E$28,$DH$6)="","",", "&amp;INDEX(Network!$E$7:$E$28,$DH$6))&amp;IF(INDEX(Network!$F$7:$F$28,$DH$6)="","",", "&amp;INDEX(Network!$F$7:$F$28,$DH$6))))</f>
        <v>6 ·  after 5</v>
      </c>
      <c r="AK18" s="78"/>
      <c r="AL18" s="78"/>
      <c r="AP18" s="78" t="str">
        <f aca="false">IF($DN$6=0,"",INDEX(Network!$B$7:$B$28,$DN$6)&amp;IF(INDEX(Network!$D$7:$D$28,$DN$6)="",""," ·  after "&amp;INDEX(Network!$D$7:$D$28,$DN$6)&amp;IF(INDEX(Network!$E$7:$E$28,$DN$6)="","",", "&amp;INDEX(Network!$E$7:$E$28,$DN$6))&amp;IF(INDEX(Network!$F$7:$F$28,$DN$6)="","",", "&amp;INDEX(Network!$F$7:$F$28,$DN$6))))</f>
        <v>8 ·  after 6, 7</v>
      </c>
      <c r="AQ18" s="78"/>
      <c r="AR18" s="78"/>
      <c r="AV18" s="78" t="str">
        <f aca="false">IF($DT$6=0,"",INDEX(Network!$B$7:$B$28,$DT$6)&amp;IF(INDEX(Network!$D$7:$D$28,$DT$6)="",""," ·  after "&amp;INDEX(Network!$D$7:$D$28,$DT$6)&amp;IF(INDEX(Network!$E$7:$E$28,$DT$6)="","",", "&amp;INDEX(Network!$E$7:$E$28,$DT$6))&amp;IF(INDEX(Network!$F$7:$F$28,$DT$6)="","",", "&amp;INDEX(Network!$F$7:$F$28,$DT$6))))</f>
        <v/>
      </c>
      <c r="AW18" s="78"/>
      <c r="AX18" s="78"/>
      <c r="BB18" s="78" t="str">
        <f aca="false">IF($DZ$6=0,"",INDEX(Network!$B$7:$B$28,$DZ$6)&amp;IF(INDEX(Network!$D$7:$D$28,$DZ$6)="",""," ·  after "&amp;INDEX(Network!$D$7:$D$28,$DZ$6)&amp;IF(INDEX(Network!$E$7:$E$28,$DZ$6)="","",", "&amp;INDEX(Network!$E$7:$E$28,$DZ$6))&amp;IF(INDEX(Network!$F$7:$F$28,$DZ$6)="","",", "&amp;INDEX(Network!$F$7:$F$28,$DZ$6))))</f>
        <v/>
      </c>
      <c r="BC18" s="78"/>
      <c r="BD18" s="78"/>
      <c r="BH18" s="78" t="str">
        <f aca="false">IF($EF$6=0,"",INDEX(Network!$B$7:$B$28,$EF$6)&amp;IF(INDEX(Network!$D$7:$D$28,$EF$6)="",""," ·  after "&amp;INDEX(Network!$D$7:$D$28,$EF$6)&amp;IF(INDEX(Network!$E$7:$E$28,$EF$6)="","",", "&amp;INDEX(Network!$E$7:$E$28,$EF$6))&amp;IF(INDEX(Network!$F$7:$F$28,$EF$6)="","",", "&amp;INDEX(Network!$F$7:$F$28,$EF$6))))</f>
        <v>14 ·  after 12</v>
      </c>
      <c r="BI18" s="78"/>
      <c r="BJ18" s="78"/>
      <c r="BN18" s="78" t="str">
        <f aca="false">IF($EL$6=0,"",INDEX(Network!$B$7:$B$28,$EL$6)&amp;IF(INDEX(Network!$D$7:$D$28,$EL$6)="",""," ·  after "&amp;INDEX(Network!$D$7:$D$28,$EL$6)&amp;IF(INDEX(Network!$E$7:$E$28,$EL$6)="","",", "&amp;INDEX(Network!$E$7:$E$28,$EL$6))&amp;IF(INDEX(Network!$F$7:$F$28,$EL$6)="","",", "&amp;INDEX(Network!$F$7:$F$28,$EL$6))))</f>
        <v/>
      </c>
      <c r="BO18" s="78"/>
      <c r="BP18" s="78"/>
      <c r="BT18" s="78" t="str">
        <f aca="false">IF($ER$6=0,"",INDEX(Network!$B$7:$B$28,$ER$6)&amp;IF(INDEX(Network!$D$7:$D$28,$ER$6)="",""," ·  after "&amp;INDEX(Network!$D$7:$D$28,$ER$6)&amp;IF(INDEX(Network!$E$7:$E$28,$ER$6)="","",", "&amp;INDEX(Network!$E$7:$E$28,$ER$6))&amp;IF(INDEX(Network!$F$7:$F$28,$ER$6)="","",", "&amp;INDEX(Network!$F$7:$F$28,$ER$6))))</f>
        <v/>
      </c>
      <c r="BU18" s="78"/>
      <c r="BV18" s="78"/>
      <c r="BZ18" s="73"/>
    </row>
    <row r="19" customFormat="false" ht="6" hidden="false" customHeight="true" outlineLevel="0" collapsed="false">
      <c r="B19" s="73"/>
      <c r="BZ19" s="73"/>
    </row>
    <row r="20" customFormat="false" ht="12" hidden="false" customHeight="true" outlineLevel="0" collapsed="false">
      <c r="B20" s="73"/>
      <c r="F20" s="74" t="str">
        <f aca="false">IF($CD$7=0,"",INDEX(Network!$L$7:$L$28,$CD$7))</f>
        <v/>
      </c>
      <c r="G20" s="75" t="str">
        <f aca="false">IF($CD$7=0,"",INDEX(Network!$J$7:$J$28,$CD$7))</f>
        <v/>
      </c>
      <c r="H20" s="74" t="str">
        <f aca="false">IF($CD$7=0,"",INDEX(Network!$M$7:$M$28,$CD$7))</f>
        <v/>
      </c>
      <c r="L20" s="74" t="str">
        <f aca="false">IF($CJ$7=0,"",INDEX(Network!$L$7:$L$28,$CJ$7))</f>
        <v/>
      </c>
      <c r="M20" s="75" t="str">
        <f aca="false">IF($CJ$7=0,"",INDEX(Network!$J$7:$J$28,$CJ$7))</f>
        <v/>
      </c>
      <c r="N20" s="74" t="str">
        <f aca="false">IF($CJ$7=0,"",INDEX(Network!$M$7:$M$28,$CJ$7))</f>
        <v/>
      </c>
      <c r="R20" s="74" t="str">
        <f aca="false">IF($CP$7=0,"",INDEX(Network!$L$7:$L$28,$CP$7))</f>
        <v/>
      </c>
      <c r="S20" s="75" t="str">
        <f aca="false">IF($CP$7=0,"",INDEX(Network!$J$7:$J$28,$CP$7))</f>
        <v/>
      </c>
      <c r="T20" s="74" t="str">
        <f aca="false">IF($CP$7=0,"",INDEX(Network!$M$7:$M$28,$CP$7))</f>
        <v/>
      </c>
      <c r="X20" s="74" t="n">
        <f aca="false">IF($CV$7=0,"",INDEX(Network!$L$7:$L$28,$CV$7))</f>
        <v>23.6666666666667</v>
      </c>
      <c r="Y20" s="75" t="n">
        <f aca="false">IF($CV$7=0,"",INDEX(Network!$J$7:$J$28,$CV$7))</f>
        <v>21.6666666666667</v>
      </c>
      <c r="Z20" s="74" t="n">
        <f aca="false">IF($CV$7=0,"",INDEX(Network!$M$7:$M$28,$CV$7))</f>
        <v>44.3333333333333</v>
      </c>
      <c r="AD20" s="74" t="str">
        <f aca="false">IF($DB$7=0,"",INDEX(Network!$L$7:$L$28,$DB$7))</f>
        <v/>
      </c>
      <c r="AE20" s="75" t="str">
        <f aca="false">IF($DB$7=0,"",INDEX(Network!$J$7:$J$28,$DB$7))</f>
        <v/>
      </c>
      <c r="AF20" s="74" t="str">
        <f aca="false">IF($DB$7=0,"",INDEX(Network!$M$7:$M$28,$DB$7))</f>
        <v/>
      </c>
      <c r="AJ20" s="74" t="str">
        <f aca="false">IF($DH$7=0,"",INDEX(Network!$L$7:$L$28,$DH$7))</f>
        <v/>
      </c>
      <c r="AK20" s="75" t="str">
        <f aca="false">IF($DH$7=0,"",INDEX(Network!$J$7:$J$28,$DH$7))</f>
        <v/>
      </c>
      <c r="AL20" s="74" t="str">
        <f aca="false">IF($DH$7=0,"",INDEX(Network!$M$7:$M$28,$DH$7))</f>
        <v/>
      </c>
      <c r="AP20" s="74" t="n">
        <f aca="false">IF($DN$7=0,"",INDEX(Network!$L$7:$L$28,$DN$7))</f>
        <v>77.6666666666667</v>
      </c>
      <c r="AQ20" s="75" t="n">
        <f aca="false">IF($DN$7=0,"",INDEX(Network!$J$7:$J$28,$DN$7))</f>
        <v>19.6666666666667</v>
      </c>
      <c r="AR20" s="74" t="n">
        <f aca="false">IF($DN$7=0,"",INDEX(Network!$M$7:$M$28,$DN$7))</f>
        <v>96.3333333333333</v>
      </c>
      <c r="AV20" s="74" t="n">
        <f aca="false">IF($DT$7=0,"",INDEX(Network!$L$7:$L$28,$DT$7))</f>
        <v>97.3333333333333</v>
      </c>
      <c r="AW20" s="75" t="n">
        <f aca="false">IF($DT$7=0,"",INDEX(Network!$J$7:$J$28,$DT$7))</f>
        <v>10.3333333333333</v>
      </c>
      <c r="AX20" s="74" t="n">
        <f aca="false">IF($DT$7=0,"",INDEX(Network!$M$7:$M$28,$DT$7))</f>
        <v>106.666666666667</v>
      </c>
      <c r="BB20" s="74" t="n">
        <f aca="false">IF($DZ$7=0,"",INDEX(Network!$L$7:$L$28,$DZ$7))</f>
        <v>107.666666666667</v>
      </c>
      <c r="BC20" s="75" t="n">
        <f aca="false">IF($DZ$7=0,"",INDEX(Network!$J$7:$J$28,$DZ$7))</f>
        <v>20.8333333333333</v>
      </c>
      <c r="BD20" s="74" t="n">
        <f aca="false">IF($DZ$7=0,"",INDEX(Network!$M$7:$M$28,$DZ$7))</f>
        <v>127.5</v>
      </c>
      <c r="BH20" s="74" t="n">
        <f aca="false">IF($EF$7=0,"",INDEX(Network!$L$7:$L$28,$EF$7))</f>
        <v>128.5</v>
      </c>
      <c r="BI20" s="75" t="n">
        <f aca="false">IF($EF$7=0,"",INDEX(Network!$J$7:$J$28,$EF$7))</f>
        <v>12.3333333333333</v>
      </c>
      <c r="BJ20" s="74" t="n">
        <f aca="false">IF($EF$7=0,"",INDEX(Network!$M$7:$M$28,$EF$7))</f>
        <v>139.833333333333</v>
      </c>
      <c r="BN20" s="74" t="n">
        <f aca="false">IF($EL$7=0,"",INDEX(Network!$L$7:$L$28,$EL$7))</f>
        <v>140.833333333333</v>
      </c>
      <c r="BO20" s="75" t="n">
        <f aca="false">IF($EL$7=0,"",INDEX(Network!$J$7:$J$28,$EL$7))</f>
        <v>3.33333333333333</v>
      </c>
      <c r="BP20" s="74" t="n">
        <f aca="false">IF($EL$7=0,"",INDEX(Network!$M$7:$M$28,$EL$7))</f>
        <v>143.166666666667</v>
      </c>
      <c r="BT20" s="74" t="str">
        <f aca="false">IF($ER$7=0,"",INDEX(Network!$L$7:$L$28,$ER$7))</f>
        <v/>
      </c>
      <c r="BU20" s="75" t="str">
        <f aca="false">IF($ER$7=0,"",INDEX(Network!$J$7:$J$28,$ER$7))</f>
        <v/>
      </c>
      <c r="BV20" s="74" t="str">
        <f aca="false">IF($ER$7=0,"",INDEX(Network!$M$7:$M$28,$ER$7))</f>
        <v/>
      </c>
      <c r="BZ20" s="73"/>
    </row>
    <row r="21" customFormat="false" ht="25.5" hidden="false" customHeight="true" outlineLevel="0" collapsed="false">
      <c r="B21" s="73"/>
      <c r="F21" s="76" t="str">
        <f aca="false">IF($CD$7=0,"",INDEX(Network!$C$7:$C$28,$CD$7))</f>
        <v/>
      </c>
      <c r="G21" s="76"/>
      <c r="H21" s="76"/>
      <c r="L21" s="76" t="str">
        <f aca="false">IF($CJ$7=0,"",INDEX(Network!$C$7:$C$28,$CJ$7))</f>
        <v/>
      </c>
      <c r="M21" s="76"/>
      <c r="N21" s="76"/>
      <c r="R21" s="76" t="str">
        <f aca="false">IF($CP$7=0,"",INDEX(Network!$C$7:$C$28,$CP$7))</f>
        <v/>
      </c>
      <c r="S21" s="76"/>
      <c r="T21" s="76"/>
      <c r="X21" s="76" t="str">
        <f aca="false">IF($CV$7=0,"",INDEX(Network!$C$7:$C$28,$CV$7))</f>
        <v>Facade - procurement</v>
      </c>
      <c r="Y21" s="76"/>
      <c r="Z21" s="76"/>
      <c r="AD21" s="76" t="str">
        <f aca="false">IF($DB$7=0,"",INDEX(Network!$C$7:$C$28,$DB$7))</f>
        <v/>
      </c>
      <c r="AE21" s="76"/>
      <c r="AF21" s="76"/>
      <c r="AJ21" s="76" t="str">
        <f aca="false">IF($DH$7=0,"",INDEX(Network!$C$7:$C$28,$DH$7))</f>
        <v/>
      </c>
      <c r="AK21" s="76"/>
      <c r="AL21" s="76"/>
      <c r="AP21" s="76" t="str">
        <f aca="false">IF($DN$7=0,"",INDEX(Network!$C$7:$C$28,$DN$7))</f>
        <v>Mechanical services - rough-in</v>
      </c>
      <c r="AQ21" s="76"/>
      <c r="AR21" s="76"/>
      <c r="AV21" s="76" t="str">
        <f aca="false">IF($DT$7=0,"",INDEX(Network!$C$7:$C$28,$DT$7))</f>
        <v>Services - coordination and testing</v>
      </c>
      <c r="AW21" s="76"/>
      <c r="AX21" s="76"/>
      <c r="BB21" s="76" t="str">
        <f aca="false">IF($DZ$7=0,"",INDEX(Network!$C$7:$C$28,$DZ$7))</f>
        <v>Internal linings and finishes</v>
      </c>
      <c r="BC21" s="76"/>
      <c r="BD21" s="76"/>
      <c r="BH21" s="76" t="str">
        <f aca="false">IF($EF$7=0,"",INDEX(Network!$C$7:$C$28,$EF$7))</f>
        <v>Joinery and fixed furniture</v>
      </c>
      <c r="BI21" s="76"/>
      <c r="BJ21" s="76"/>
      <c r="BN21" s="76" t="str">
        <f aca="false">IF($EL$7=0,"",INDEX(Network!$C$7:$C$28,$EL$7))</f>
        <v>Practical completion inspection</v>
      </c>
      <c r="BO21" s="76"/>
      <c r="BP21" s="76"/>
      <c r="BT21" s="76" t="str">
        <f aca="false">IF($ER$7=0,"",INDEX(Network!$C$7:$C$28,$ER$7))</f>
        <v/>
      </c>
      <c r="BU21" s="76"/>
      <c r="BV21" s="76"/>
      <c r="BZ21" s="73"/>
    </row>
    <row r="22" customFormat="false" ht="4.5" hidden="false" customHeight="true" outlineLevel="0" collapsed="false">
      <c r="B22" s="73"/>
      <c r="BZ22" s="73"/>
    </row>
    <row r="23" customFormat="false" ht="12" hidden="false" customHeight="true" outlineLevel="0" collapsed="false">
      <c r="B23" s="73"/>
      <c r="F23" s="74" t="str">
        <f aca="false">IF($CD$7=0,"",INDEX(Network!$N$7:$N$28,$CD$7))</f>
        <v/>
      </c>
      <c r="G23" s="77" t="str">
        <f aca="false">IF($CD$7=0,"",INDEX(Network!$P$7:$P$28,$CD$7))</f>
        <v/>
      </c>
      <c r="H23" s="74" t="str">
        <f aca="false">IF($CD$7=0,"",INDEX(Network!$O$7:$O$28,$CD$7))</f>
        <v/>
      </c>
      <c r="L23" s="74" t="str">
        <f aca="false">IF($CJ$7=0,"",INDEX(Network!$N$7:$N$28,$CJ$7))</f>
        <v/>
      </c>
      <c r="M23" s="77" t="str">
        <f aca="false">IF($CJ$7=0,"",INDEX(Network!$P$7:$P$28,$CJ$7))</f>
        <v/>
      </c>
      <c r="N23" s="74" t="str">
        <f aca="false">IF($CJ$7=0,"",INDEX(Network!$O$7:$O$28,$CJ$7))</f>
        <v/>
      </c>
      <c r="R23" s="74" t="str">
        <f aca="false">IF($CP$7=0,"",INDEX(Network!$N$7:$N$28,$CP$7))</f>
        <v/>
      </c>
      <c r="S23" s="77" t="str">
        <f aca="false">IF($CP$7=0,"",INDEX(Network!$P$7:$P$28,$CP$7))</f>
        <v/>
      </c>
      <c r="T23" s="74" t="str">
        <f aca="false">IF($CP$7=0,"",INDEX(Network!$O$7:$O$28,$CP$7))</f>
        <v/>
      </c>
      <c r="X23" s="74" t="n">
        <f aca="false">IF($CV$7=0,"",INDEX(Network!$N$7:$N$28,$CV$7))</f>
        <v>60.3333333333333</v>
      </c>
      <c r="Y23" s="77" t="n">
        <f aca="false">IF($CV$7=0,"",INDEX(Network!$P$7:$P$28,$CV$7))</f>
        <v>36.666667</v>
      </c>
      <c r="Z23" s="74" t="n">
        <f aca="false">IF($CV$7=0,"",INDEX(Network!$O$7:$O$28,$CV$7))</f>
        <v>81</v>
      </c>
      <c r="AD23" s="74" t="str">
        <f aca="false">IF($DB$7=0,"",INDEX(Network!$N$7:$N$28,$DB$7))</f>
        <v/>
      </c>
      <c r="AE23" s="77" t="str">
        <f aca="false">IF($DB$7=0,"",INDEX(Network!$P$7:$P$28,$DB$7))</f>
        <v/>
      </c>
      <c r="AF23" s="74" t="str">
        <f aca="false">IF($DB$7=0,"",INDEX(Network!$O$7:$O$28,$DB$7))</f>
        <v/>
      </c>
      <c r="AJ23" s="74" t="str">
        <f aca="false">IF($DH$7=0,"",INDEX(Network!$N$7:$N$28,$DH$7))</f>
        <v/>
      </c>
      <c r="AK23" s="77" t="str">
        <f aca="false">IF($DH$7=0,"",INDEX(Network!$P$7:$P$28,$DH$7))</f>
        <v/>
      </c>
      <c r="AL23" s="74" t="str">
        <f aca="false">IF($DH$7=0,"",INDEX(Network!$O$7:$O$28,$DH$7))</f>
        <v/>
      </c>
      <c r="AP23" s="74" t="n">
        <f aca="false">IF($DN$7=0,"",INDEX(Network!$N$7:$N$28,$DN$7))</f>
        <v>77.6666666666667</v>
      </c>
      <c r="AQ23" s="77" t="n">
        <f aca="false">IF($DN$7=0,"",INDEX(Network!$P$7:$P$28,$DN$7))</f>
        <v>0</v>
      </c>
      <c r="AR23" s="74" t="n">
        <f aca="false">IF($DN$7=0,"",INDEX(Network!$O$7:$O$28,$DN$7))</f>
        <v>96.3333333333334</v>
      </c>
      <c r="AV23" s="74" t="n">
        <f aca="false">IF($DT$7=0,"",INDEX(Network!$N$7:$N$28,$DT$7))</f>
        <v>97.3333333333333</v>
      </c>
      <c r="AW23" s="77" t="n">
        <f aca="false">IF($DT$7=0,"",INDEX(Network!$P$7:$P$28,$DT$7))</f>
        <v>0</v>
      </c>
      <c r="AX23" s="74" t="n">
        <f aca="false">IF($DT$7=0,"",INDEX(Network!$O$7:$O$28,$DT$7))</f>
        <v>106.666666666667</v>
      </c>
      <c r="BB23" s="74" t="n">
        <f aca="false">IF($DZ$7=0,"",INDEX(Network!$N$7:$N$28,$DZ$7))</f>
        <v>107.666666666667</v>
      </c>
      <c r="BC23" s="77" t="n">
        <f aca="false">IF($DZ$7=0,"",INDEX(Network!$P$7:$P$28,$DZ$7))</f>
        <v>0</v>
      </c>
      <c r="BD23" s="74" t="n">
        <f aca="false">IF($DZ$7=0,"",INDEX(Network!$O$7:$O$28,$DZ$7))</f>
        <v>127.5</v>
      </c>
      <c r="BH23" s="74" t="n">
        <f aca="false">IF($EF$7=0,"",INDEX(Network!$N$7:$N$28,$EF$7))</f>
        <v>128.5</v>
      </c>
      <c r="BI23" s="77" t="n">
        <f aca="false">IF($EF$7=0,"",INDEX(Network!$P$7:$P$28,$EF$7))</f>
        <v>0</v>
      </c>
      <c r="BJ23" s="74" t="n">
        <f aca="false">IF($EF$7=0,"",INDEX(Network!$O$7:$O$28,$EF$7))</f>
        <v>139.833333333333</v>
      </c>
      <c r="BN23" s="74" t="n">
        <f aca="false">IF($EL$7=0,"",INDEX(Network!$N$7:$N$28,$EL$7))</f>
        <v>140.833333333333</v>
      </c>
      <c r="BO23" s="77" t="n">
        <f aca="false">IF($EL$7=0,"",INDEX(Network!$P$7:$P$28,$EL$7))</f>
        <v>0</v>
      </c>
      <c r="BP23" s="74" t="n">
        <f aca="false">IF($EL$7=0,"",INDEX(Network!$O$7:$O$28,$EL$7))</f>
        <v>143.166666666667</v>
      </c>
      <c r="BT23" s="74" t="str">
        <f aca="false">IF($ER$7=0,"",INDEX(Network!$N$7:$N$28,$ER$7))</f>
        <v/>
      </c>
      <c r="BU23" s="77" t="str">
        <f aca="false">IF($ER$7=0,"",INDEX(Network!$P$7:$P$28,$ER$7))</f>
        <v/>
      </c>
      <c r="BV23" s="74" t="str">
        <f aca="false">IF($ER$7=0,"",INDEX(Network!$O$7:$O$28,$ER$7))</f>
        <v/>
      </c>
      <c r="BZ23" s="73"/>
    </row>
    <row r="24" customFormat="false" ht="10.5" hidden="false" customHeight="true" outlineLevel="0" collapsed="false">
      <c r="B24" s="73"/>
      <c r="F24" s="78" t="str">
        <f aca="false">IF($CD$7=0,"",INDEX(Network!$B$7:$B$28,$CD$7)&amp;IF(INDEX(Network!$D$7:$D$28,$CD$7)="",""," ·  after "&amp;INDEX(Network!$D$7:$D$28,$CD$7)&amp;IF(INDEX(Network!$E$7:$E$28,$CD$7)="","",", "&amp;INDEX(Network!$E$7:$E$28,$CD$7))&amp;IF(INDEX(Network!$F$7:$F$28,$CD$7)="","",", "&amp;INDEX(Network!$F$7:$F$28,$CD$7))))</f>
        <v/>
      </c>
      <c r="G24" s="78"/>
      <c r="H24" s="78"/>
      <c r="L24" s="78" t="str">
        <f aca="false">IF($CJ$7=0,"",INDEX(Network!$B$7:$B$28,$CJ$7)&amp;IF(INDEX(Network!$D$7:$D$28,$CJ$7)="",""," ·  after "&amp;INDEX(Network!$D$7:$D$28,$CJ$7)&amp;IF(INDEX(Network!$E$7:$E$28,$CJ$7)="","",", "&amp;INDEX(Network!$E$7:$E$28,$CJ$7))&amp;IF(INDEX(Network!$F$7:$F$28,$CJ$7)="","",", "&amp;INDEX(Network!$F$7:$F$28,$CJ$7))))</f>
        <v/>
      </c>
      <c r="M24" s="78"/>
      <c r="N24" s="78"/>
      <c r="R24" s="78" t="str">
        <f aca="false">IF($CP$7=0,"",INDEX(Network!$B$7:$B$28,$CP$7)&amp;IF(INDEX(Network!$D$7:$D$28,$CP$7)="",""," ·  after "&amp;INDEX(Network!$D$7:$D$28,$CP$7)&amp;IF(INDEX(Network!$E$7:$E$28,$CP$7)="","",", "&amp;INDEX(Network!$E$7:$E$28,$CP$7))&amp;IF(INDEX(Network!$F$7:$F$28,$CP$7)="","",", "&amp;INDEX(Network!$F$7:$F$28,$CP$7))))</f>
        <v/>
      </c>
      <c r="S24" s="78"/>
      <c r="T24" s="78"/>
      <c r="X24" s="78" t="str">
        <f aca="false">IF($CV$7=0,"",INDEX(Network!$B$7:$B$28,$CV$7)&amp;IF(INDEX(Network!$D$7:$D$28,$CV$7)="",""," ·  after "&amp;INDEX(Network!$D$7:$D$28,$CV$7)&amp;IF(INDEX(Network!$E$7:$E$28,$CV$7)="","",", "&amp;INDEX(Network!$E$7:$E$28,$CV$7))&amp;IF(INDEX(Network!$F$7:$F$28,$CV$7)="","",", "&amp;INDEX(Network!$F$7:$F$28,$CV$7))))</f>
        <v>7 ·  after 3</v>
      </c>
      <c r="Y24" s="78"/>
      <c r="Z24" s="78"/>
      <c r="AD24" s="78" t="str">
        <f aca="false">IF($DB$7=0,"",INDEX(Network!$B$7:$B$28,$DB$7)&amp;IF(INDEX(Network!$D$7:$D$28,$DB$7)="",""," ·  after "&amp;INDEX(Network!$D$7:$D$28,$DB$7)&amp;IF(INDEX(Network!$E$7:$E$28,$DB$7)="","",", "&amp;INDEX(Network!$E$7:$E$28,$DB$7))&amp;IF(INDEX(Network!$F$7:$F$28,$DB$7)="","",", "&amp;INDEX(Network!$F$7:$F$28,$DB$7))))</f>
        <v/>
      </c>
      <c r="AE24" s="78"/>
      <c r="AF24" s="78"/>
      <c r="AJ24" s="78" t="str">
        <f aca="false">IF($DH$7=0,"",INDEX(Network!$B$7:$B$28,$DH$7)&amp;IF(INDEX(Network!$D$7:$D$28,$DH$7)="",""," ·  after "&amp;INDEX(Network!$D$7:$D$28,$DH$7)&amp;IF(INDEX(Network!$E$7:$E$28,$DH$7)="","",", "&amp;INDEX(Network!$E$7:$E$28,$DH$7))&amp;IF(INDEX(Network!$F$7:$F$28,$DH$7)="","",", "&amp;INDEX(Network!$F$7:$F$28,$DH$7))))</f>
        <v/>
      </c>
      <c r="AK24" s="78"/>
      <c r="AL24" s="78"/>
      <c r="AP24" s="78" t="str">
        <f aca="false">IF($DN$7=0,"",INDEX(Network!$B$7:$B$28,$DN$7)&amp;IF(INDEX(Network!$D$7:$D$28,$DN$7)="",""," ·  after "&amp;INDEX(Network!$D$7:$D$28,$DN$7)&amp;IF(INDEX(Network!$E$7:$E$28,$DN$7)="","",", "&amp;INDEX(Network!$E$7:$E$28,$DN$7))&amp;IF(INDEX(Network!$F$7:$F$28,$DN$7)="","",", "&amp;INDEX(Network!$F$7:$F$28,$DN$7))))</f>
        <v>9 ·  after 6</v>
      </c>
      <c r="AQ24" s="78"/>
      <c r="AR24" s="78"/>
      <c r="AV24" s="78" t="str">
        <f aca="false">IF($DT$7=0,"",INDEX(Network!$B$7:$B$28,$DT$7)&amp;IF(INDEX(Network!$D$7:$D$28,$DT$7)="",""," ·  after "&amp;INDEX(Network!$D$7:$D$28,$DT$7)&amp;IF(INDEX(Network!$E$7:$E$28,$DT$7)="","",", "&amp;INDEX(Network!$E$7:$E$28,$DT$7))&amp;IF(INDEX(Network!$F$7:$F$28,$DT$7)="","",", "&amp;INDEX(Network!$F$7:$F$28,$DT$7))))</f>
        <v>11 ·  after 9, 10</v>
      </c>
      <c r="AW24" s="78"/>
      <c r="AX24" s="78"/>
      <c r="BB24" s="78" t="str">
        <f aca="false">IF($DZ$7=0,"",INDEX(Network!$B$7:$B$28,$DZ$7)&amp;IF(INDEX(Network!$D$7:$D$28,$DZ$7)="",""," ·  after "&amp;INDEX(Network!$D$7:$D$28,$DZ$7)&amp;IF(INDEX(Network!$E$7:$E$28,$DZ$7)="","",", "&amp;INDEX(Network!$E$7:$E$28,$DZ$7))&amp;IF(INDEX(Network!$F$7:$F$28,$DZ$7)="","",", "&amp;INDEX(Network!$F$7:$F$28,$DZ$7))))</f>
        <v>12 ·  after 8, 11</v>
      </c>
      <c r="BC24" s="78"/>
      <c r="BD24" s="78"/>
      <c r="BH24" s="78" t="str">
        <f aca="false">IF($EF$7=0,"",INDEX(Network!$B$7:$B$28,$EF$7)&amp;IF(INDEX(Network!$D$7:$D$28,$EF$7)="",""," ·  after "&amp;INDEX(Network!$D$7:$D$28,$EF$7)&amp;IF(INDEX(Network!$E$7:$E$28,$EF$7)="","",", "&amp;INDEX(Network!$E$7:$E$28,$EF$7))&amp;IF(INDEX(Network!$F$7:$F$28,$EF$7)="","",", "&amp;INDEX(Network!$F$7:$F$28,$EF$7))))</f>
        <v>13 ·  after 12</v>
      </c>
      <c r="BI24" s="78"/>
      <c r="BJ24" s="78"/>
      <c r="BN24" s="78" t="str">
        <f aca="false">IF($EL$7=0,"",INDEX(Network!$B$7:$B$28,$EL$7)&amp;IF(INDEX(Network!$D$7:$D$28,$EL$7)="",""," ·  after "&amp;INDEX(Network!$D$7:$D$28,$EL$7)&amp;IF(INDEX(Network!$E$7:$E$28,$EL$7)="","",", "&amp;INDEX(Network!$E$7:$E$28,$EL$7))&amp;IF(INDEX(Network!$F$7:$F$28,$EL$7)="","",", "&amp;INDEX(Network!$F$7:$F$28,$EL$7))))</f>
        <v>15 ·  after 13, 14</v>
      </c>
      <c r="BO24" s="78"/>
      <c r="BP24" s="78"/>
      <c r="BT24" s="78" t="str">
        <f aca="false">IF($ER$7=0,"",INDEX(Network!$B$7:$B$28,$ER$7)&amp;IF(INDEX(Network!$D$7:$D$28,$ER$7)="",""," ·  after "&amp;INDEX(Network!$D$7:$D$28,$ER$7)&amp;IF(INDEX(Network!$E$7:$E$28,$ER$7)="","",", "&amp;INDEX(Network!$E$7:$E$28,$ER$7))&amp;IF(INDEX(Network!$F$7:$F$28,$ER$7)="","",", "&amp;INDEX(Network!$F$7:$F$28,$ER$7))))</f>
        <v/>
      </c>
      <c r="BU24" s="78"/>
      <c r="BV24" s="78"/>
      <c r="BZ24" s="73"/>
    </row>
    <row r="25" customFormat="false" ht="6" hidden="false" customHeight="true" outlineLevel="0" collapsed="false">
      <c r="B25" s="73"/>
      <c r="BZ25" s="73"/>
    </row>
    <row r="26" customFormat="false" ht="12" hidden="false" customHeight="true" outlineLevel="0" collapsed="false">
      <c r="B26" s="73"/>
      <c r="F26" s="74" t="str">
        <f aca="false">IF($CD$8=0,"",INDEX(Network!$L$7:$L$28,$CD$8))</f>
        <v/>
      </c>
      <c r="G26" s="75" t="str">
        <f aca="false">IF($CD$8=0,"",INDEX(Network!$J$7:$J$28,$CD$8))</f>
        <v/>
      </c>
      <c r="H26" s="74" t="str">
        <f aca="false">IF($CD$8=0,"",INDEX(Network!$M$7:$M$28,$CD$8))</f>
        <v/>
      </c>
      <c r="L26" s="74" t="str">
        <f aca="false">IF($CJ$8=0,"",INDEX(Network!$L$7:$L$28,$CJ$8))</f>
        <v/>
      </c>
      <c r="M26" s="75" t="str">
        <f aca="false">IF($CJ$8=0,"",INDEX(Network!$J$7:$J$28,$CJ$8))</f>
        <v/>
      </c>
      <c r="N26" s="74" t="str">
        <f aca="false">IF($CJ$8=0,"",INDEX(Network!$M$7:$M$28,$CJ$8))</f>
        <v/>
      </c>
      <c r="R26" s="74" t="str">
        <f aca="false">IF($CP$8=0,"",INDEX(Network!$L$7:$L$28,$CP$8))</f>
        <v/>
      </c>
      <c r="S26" s="75" t="str">
        <f aca="false">IF($CP$8=0,"",INDEX(Network!$J$7:$J$28,$CP$8))</f>
        <v/>
      </c>
      <c r="T26" s="74" t="str">
        <f aca="false">IF($CP$8=0,"",INDEX(Network!$M$7:$M$28,$CP$8))</f>
        <v/>
      </c>
      <c r="X26" s="74" t="str">
        <f aca="false">IF($CV$8=0,"",INDEX(Network!$L$7:$L$28,$CV$8))</f>
        <v/>
      </c>
      <c r="Y26" s="75" t="str">
        <f aca="false">IF($CV$8=0,"",INDEX(Network!$J$7:$J$28,$CV$8))</f>
        <v/>
      </c>
      <c r="Z26" s="74" t="str">
        <f aca="false">IF($CV$8=0,"",INDEX(Network!$M$7:$M$28,$CV$8))</f>
        <v/>
      </c>
      <c r="AD26" s="74" t="str">
        <f aca="false">IF($DB$8=0,"",INDEX(Network!$L$7:$L$28,$DB$8))</f>
        <v/>
      </c>
      <c r="AE26" s="75" t="str">
        <f aca="false">IF($DB$8=0,"",INDEX(Network!$J$7:$J$28,$DB$8))</f>
        <v/>
      </c>
      <c r="AF26" s="74" t="str">
        <f aca="false">IF($DB$8=0,"",INDEX(Network!$M$7:$M$28,$DB$8))</f>
        <v/>
      </c>
      <c r="AJ26" s="74" t="str">
        <f aca="false">IF($DH$8=0,"",INDEX(Network!$L$7:$L$28,$DH$8))</f>
        <v/>
      </c>
      <c r="AK26" s="75" t="str">
        <f aca="false">IF($DH$8=0,"",INDEX(Network!$J$7:$J$28,$DH$8))</f>
        <v/>
      </c>
      <c r="AL26" s="74" t="str">
        <f aca="false">IF($DH$8=0,"",INDEX(Network!$M$7:$M$28,$DH$8))</f>
        <v/>
      </c>
      <c r="AP26" s="74" t="n">
        <f aca="false">IF($DN$8=0,"",INDEX(Network!$L$7:$L$28,$DN$8))</f>
        <v>77.6666666666667</v>
      </c>
      <c r="AQ26" s="75" t="n">
        <f aca="false">IF($DN$8=0,"",INDEX(Network!$J$7:$J$28,$DN$8))</f>
        <v>16.6666666666667</v>
      </c>
      <c r="AR26" s="74" t="n">
        <f aca="false">IF($DN$8=0,"",INDEX(Network!$M$7:$M$28,$DN$8))</f>
        <v>93.3333333333333</v>
      </c>
      <c r="AV26" s="74" t="str">
        <f aca="false">IF($DT$8=0,"",INDEX(Network!$L$7:$L$28,$DT$8))</f>
        <v/>
      </c>
      <c r="AW26" s="75" t="str">
        <f aca="false">IF($DT$8=0,"",INDEX(Network!$J$7:$J$28,$DT$8))</f>
        <v/>
      </c>
      <c r="AX26" s="74" t="str">
        <f aca="false">IF($DT$8=0,"",INDEX(Network!$M$7:$M$28,$DT$8))</f>
        <v/>
      </c>
      <c r="BB26" s="74" t="str">
        <f aca="false">IF($DZ$8=0,"",INDEX(Network!$L$7:$L$28,$DZ$8))</f>
        <v/>
      </c>
      <c r="BC26" s="75" t="str">
        <f aca="false">IF($DZ$8=0,"",INDEX(Network!$J$7:$J$28,$DZ$8))</f>
        <v/>
      </c>
      <c r="BD26" s="74" t="str">
        <f aca="false">IF($DZ$8=0,"",INDEX(Network!$M$7:$M$28,$DZ$8))</f>
        <v/>
      </c>
      <c r="BH26" s="74" t="str">
        <f aca="false">IF($EF$8=0,"",INDEX(Network!$L$7:$L$28,$EF$8))</f>
        <v/>
      </c>
      <c r="BI26" s="75" t="str">
        <f aca="false">IF($EF$8=0,"",INDEX(Network!$J$7:$J$28,$EF$8))</f>
        <v/>
      </c>
      <c r="BJ26" s="74" t="str">
        <f aca="false">IF($EF$8=0,"",INDEX(Network!$M$7:$M$28,$EF$8))</f>
        <v/>
      </c>
      <c r="BN26" s="74" t="str">
        <f aca="false">IF($EL$8=0,"",INDEX(Network!$L$7:$L$28,$EL$8))</f>
        <v/>
      </c>
      <c r="BO26" s="75" t="str">
        <f aca="false">IF($EL$8=0,"",INDEX(Network!$J$7:$J$28,$EL$8))</f>
        <v/>
      </c>
      <c r="BP26" s="74" t="str">
        <f aca="false">IF($EL$8=0,"",INDEX(Network!$M$7:$M$28,$EL$8))</f>
        <v/>
      </c>
      <c r="BT26" s="74" t="str">
        <f aca="false">IF($ER$8=0,"",INDEX(Network!$L$7:$L$28,$ER$8))</f>
        <v/>
      </c>
      <c r="BU26" s="75" t="str">
        <f aca="false">IF($ER$8=0,"",INDEX(Network!$J$7:$J$28,$ER$8))</f>
        <v/>
      </c>
      <c r="BV26" s="74" t="str">
        <f aca="false">IF($ER$8=0,"",INDEX(Network!$M$7:$M$28,$ER$8))</f>
        <v/>
      </c>
      <c r="BZ26" s="73"/>
    </row>
    <row r="27" customFormat="false" ht="25.5" hidden="false" customHeight="true" outlineLevel="0" collapsed="false">
      <c r="B27" s="73"/>
      <c r="F27" s="76" t="str">
        <f aca="false">IF($CD$8=0,"",INDEX(Network!$C$7:$C$28,$CD$8))</f>
        <v/>
      </c>
      <c r="G27" s="76"/>
      <c r="H27" s="76"/>
      <c r="L27" s="76" t="str">
        <f aca="false">IF($CJ$8=0,"",INDEX(Network!$C$7:$C$28,$CJ$8))</f>
        <v/>
      </c>
      <c r="M27" s="76"/>
      <c r="N27" s="76"/>
      <c r="R27" s="76" t="str">
        <f aca="false">IF($CP$8=0,"",INDEX(Network!$C$7:$C$28,$CP$8))</f>
        <v/>
      </c>
      <c r="S27" s="76"/>
      <c r="T27" s="76"/>
      <c r="X27" s="76" t="str">
        <f aca="false">IF($CV$8=0,"",INDEX(Network!$C$7:$C$28,$CV$8))</f>
        <v/>
      </c>
      <c r="Y27" s="76"/>
      <c r="Z27" s="76"/>
      <c r="AD27" s="76" t="str">
        <f aca="false">IF($DB$8=0,"",INDEX(Network!$C$7:$C$28,$DB$8))</f>
        <v/>
      </c>
      <c r="AE27" s="76"/>
      <c r="AF27" s="76"/>
      <c r="AJ27" s="76" t="str">
        <f aca="false">IF($DH$8=0,"",INDEX(Network!$C$7:$C$28,$DH$8))</f>
        <v/>
      </c>
      <c r="AK27" s="76"/>
      <c r="AL27" s="76"/>
      <c r="AP27" s="76" t="str">
        <f aca="false">IF($DN$8=0,"",INDEX(Network!$C$7:$C$28,$DN$8))</f>
        <v>Electrical services - rough-in</v>
      </c>
      <c r="AQ27" s="76"/>
      <c r="AR27" s="76"/>
      <c r="AV27" s="76" t="str">
        <f aca="false">IF($DT$8=0,"",INDEX(Network!$C$7:$C$28,$DT$8))</f>
        <v/>
      </c>
      <c r="AW27" s="76"/>
      <c r="AX27" s="76"/>
      <c r="BB27" s="76" t="str">
        <f aca="false">IF($DZ$8=0,"",INDEX(Network!$C$7:$C$28,$DZ$8))</f>
        <v/>
      </c>
      <c r="BC27" s="76"/>
      <c r="BD27" s="76"/>
      <c r="BH27" s="76" t="str">
        <f aca="false">IF($EF$8=0,"",INDEX(Network!$C$7:$C$28,$EF$8))</f>
        <v/>
      </c>
      <c r="BI27" s="76"/>
      <c r="BJ27" s="76"/>
      <c r="BN27" s="76" t="str">
        <f aca="false">IF($EL$8=0,"",INDEX(Network!$C$7:$C$28,$EL$8))</f>
        <v/>
      </c>
      <c r="BO27" s="76"/>
      <c r="BP27" s="76"/>
      <c r="BT27" s="76" t="str">
        <f aca="false">IF($ER$8=0,"",INDEX(Network!$C$7:$C$28,$ER$8))</f>
        <v/>
      </c>
      <c r="BU27" s="76"/>
      <c r="BV27" s="76"/>
      <c r="BZ27" s="73"/>
    </row>
    <row r="28" customFormat="false" ht="4.5" hidden="false" customHeight="true" outlineLevel="0" collapsed="false">
      <c r="B28" s="73"/>
      <c r="BZ28" s="73"/>
    </row>
    <row r="29" customFormat="false" ht="12" hidden="false" customHeight="true" outlineLevel="0" collapsed="false">
      <c r="B29" s="73"/>
      <c r="F29" s="74" t="str">
        <f aca="false">IF($CD$8=0,"",INDEX(Network!$N$7:$N$28,$CD$8))</f>
        <v/>
      </c>
      <c r="G29" s="77" t="str">
        <f aca="false">IF($CD$8=0,"",INDEX(Network!$P$7:$P$28,$CD$8))</f>
        <v/>
      </c>
      <c r="H29" s="74" t="str">
        <f aca="false">IF($CD$8=0,"",INDEX(Network!$O$7:$O$28,$CD$8))</f>
        <v/>
      </c>
      <c r="L29" s="74" t="str">
        <f aca="false">IF($CJ$8=0,"",INDEX(Network!$N$7:$N$28,$CJ$8))</f>
        <v/>
      </c>
      <c r="M29" s="77" t="str">
        <f aca="false">IF($CJ$8=0,"",INDEX(Network!$P$7:$P$28,$CJ$8))</f>
        <v/>
      </c>
      <c r="N29" s="74" t="str">
        <f aca="false">IF($CJ$8=0,"",INDEX(Network!$O$7:$O$28,$CJ$8))</f>
        <v/>
      </c>
      <c r="R29" s="74" t="str">
        <f aca="false">IF($CP$8=0,"",INDEX(Network!$N$7:$N$28,$CP$8))</f>
        <v/>
      </c>
      <c r="S29" s="77" t="str">
        <f aca="false">IF($CP$8=0,"",INDEX(Network!$P$7:$P$28,$CP$8))</f>
        <v/>
      </c>
      <c r="T29" s="74" t="str">
        <f aca="false">IF($CP$8=0,"",INDEX(Network!$O$7:$O$28,$CP$8))</f>
        <v/>
      </c>
      <c r="X29" s="74" t="str">
        <f aca="false">IF($CV$8=0,"",INDEX(Network!$N$7:$N$28,$CV$8))</f>
        <v/>
      </c>
      <c r="Y29" s="77" t="str">
        <f aca="false">IF($CV$8=0,"",INDEX(Network!$P$7:$P$28,$CV$8))</f>
        <v/>
      </c>
      <c r="Z29" s="74" t="str">
        <f aca="false">IF($CV$8=0,"",INDEX(Network!$O$7:$O$28,$CV$8))</f>
        <v/>
      </c>
      <c r="AD29" s="74" t="str">
        <f aca="false">IF($DB$8=0,"",INDEX(Network!$N$7:$N$28,$DB$8))</f>
        <v/>
      </c>
      <c r="AE29" s="77" t="str">
        <f aca="false">IF($DB$8=0,"",INDEX(Network!$P$7:$P$28,$DB$8))</f>
        <v/>
      </c>
      <c r="AF29" s="74" t="str">
        <f aca="false">IF($DB$8=0,"",INDEX(Network!$O$7:$O$28,$DB$8))</f>
        <v/>
      </c>
      <c r="AJ29" s="74" t="str">
        <f aca="false">IF($DH$8=0,"",INDEX(Network!$N$7:$N$28,$DH$8))</f>
        <v/>
      </c>
      <c r="AK29" s="77" t="str">
        <f aca="false">IF($DH$8=0,"",INDEX(Network!$P$7:$P$28,$DH$8))</f>
        <v/>
      </c>
      <c r="AL29" s="74" t="str">
        <f aca="false">IF($DH$8=0,"",INDEX(Network!$O$7:$O$28,$DH$8))</f>
        <v/>
      </c>
      <c r="AP29" s="74" t="n">
        <f aca="false">IF($DN$8=0,"",INDEX(Network!$N$7:$N$28,$DN$8))</f>
        <v>80.6666666666667</v>
      </c>
      <c r="AQ29" s="77" t="n">
        <f aca="false">IF($DN$8=0,"",INDEX(Network!$P$7:$P$28,$DN$8))</f>
        <v>3</v>
      </c>
      <c r="AR29" s="74" t="n">
        <f aca="false">IF($DN$8=0,"",INDEX(Network!$O$7:$O$28,$DN$8))</f>
        <v>96.3333333333334</v>
      </c>
      <c r="AV29" s="74" t="str">
        <f aca="false">IF($DT$8=0,"",INDEX(Network!$N$7:$N$28,$DT$8))</f>
        <v/>
      </c>
      <c r="AW29" s="77" t="str">
        <f aca="false">IF($DT$8=0,"",INDEX(Network!$P$7:$P$28,$DT$8))</f>
        <v/>
      </c>
      <c r="AX29" s="74" t="str">
        <f aca="false">IF($DT$8=0,"",INDEX(Network!$O$7:$O$28,$DT$8))</f>
        <v/>
      </c>
      <c r="BB29" s="74" t="str">
        <f aca="false">IF($DZ$8=0,"",INDEX(Network!$N$7:$N$28,$DZ$8))</f>
        <v/>
      </c>
      <c r="BC29" s="77" t="str">
        <f aca="false">IF($DZ$8=0,"",INDEX(Network!$P$7:$P$28,$DZ$8))</f>
        <v/>
      </c>
      <c r="BD29" s="74" t="str">
        <f aca="false">IF($DZ$8=0,"",INDEX(Network!$O$7:$O$28,$DZ$8))</f>
        <v/>
      </c>
      <c r="BH29" s="74" t="str">
        <f aca="false">IF($EF$8=0,"",INDEX(Network!$N$7:$N$28,$EF$8))</f>
        <v/>
      </c>
      <c r="BI29" s="77" t="str">
        <f aca="false">IF($EF$8=0,"",INDEX(Network!$P$7:$P$28,$EF$8))</f>
        <v/>
      </c>
      <c r="BJ29" s="74" t="str">
        <f aca="false">IF($EF$8=0,"",INDEX(Network!$O$7:$O$28,$EF$8))</f>
        <v/>
      </c>
      <c r="BN29" s="74" t="str">
        <f aca="false">IF($EL$8=0,"",INDEX(Network!$N$7:$N$28,$EL$8))</f>
        <v/>
      </c>
      <c r="BO29" s="77" t="str">
        <f aca="false">IF($EL$8=0,"",INDEX(Network!$P$7:$P$28,$EL$8))</f>
        <v/>
      </c>
      <c r="BP29" s="74" t="str">
        <f aca="false">IF($EL$8=0,"",INDEX(Network!$O$7:$O$28,$EL$8))</f>
        <v/>
      </c>
      <c r="BT29" s="74" t="str">
        <f aca="false">IF($ER$8=0,"",INDEX(Network!$N$7:$N$28,$ER$8))</f>
        <v/>
      </c>
      <c r="BU29" s="77" t="str">
        <f aca="false">IF($ER$8=0,"",INDEX(Network!$P$7:$P$28,$ER$8))</f>
        <v/>
      </c>
      <c r="BV29" s="74" t="str">
        <f aca="false">IF($ER$8=0,"",INDEX(Network!$O$7:$O$28,$ER$8))</f>
        <v/>
      </c>
      <c r="BZ29" s="73"/>
    </row>
    <row r="30" customFormat="false" ht="10.5" hidden="false" customHeight="true" outlineLevel="0" collapsed="false">
      <c r="B30" s="73"/>
      <c r="F30" s="78" t="str">
        <f aca="false">IF($CD$8=0,"",INDEX(Network!$B$7:$B$28,$CD$8)&amp;IF(INDEX(Network!$D$7:$D$28,$CD$8)="",""," ·  after "&amp;INDEX(Network!$D$7:$D$28,$CD$8)&amp;IF(INDEX(Network!$E$7:$E$28,$CD$8)="","",", "&amp;INDEX(Network!$E$7:$E$28,$CD$8))&amp;IF(INDEX(Network!$F$7:$F$28,$CD$8)="","",", "&amp;INDEX(Network!$F$7:$F$28,$CD$8))))</f>
        <v/>
      </c>
      <c r="G30" s="78"/>
      <c r="H30" s="78"/>
      <c r="L30" s="78" t="str">
        <f aca="false">IF($CJ$8=0,"",INDEX(Network!$B$7:$B$28,$CJ$8)&amp;IF(INDEX(Network!$D$7:$D$28,$CJ$8)="",""," ·  after "&amp;INDEX(Network!$D$7:$D$28,$CJ$8)&amp;IF(INDEX(Network!$E$7:$E$28,$CJ$8)="","",", "&amp;INDEX(Network!$E$7:$E$28,$CJ$8))&amp;IF(INDEX(Network!$F$7:$F$28,$CJ$8)="","",", "&amp;INDEX(Network!$F$7:$F$28,$CJ$8))))</f>
        <v/>
      </c>
      <c r="M30" s="78"/>
      <c r="N30" s="78"/>
      <c r="R30" s="78" t="str">
        <f aca="false">IF($CP$8=0,"",INDEX(Network!$B$7:$B$28,$CP$8)&amp;IF(INDEX(Network!$D$7:$D$28,$CP$8)="",""," ·  after "&amp;INDEX(Network!$D$7:$D$28,$CP$8)&amp;IF(INDEX(Network!$E$7:$E$28,$CP$8)="","",", "&amp;INDEX(Network!$E$7:$E$28,$CP$8))&amp;IF(INDEX(Network!$F$7:$F$28,$CP$8)="","",", "&amp;INDEX(Network!$F$7:$F$28,$CP$8))))</f>
        <v/>
      </c>
      <c r="S30" s="78"/>
      <c r="T30" s="78"/>
      <c r="X30" s="78" t="str">
        <f aca="false">IF($CV$8=0,"",INDEX(Network!$B$7:$B$28,$CV$8)&amp;IF(INDEX(Network!$D$7:$D$28,$CV$8)="",""," ·  after "&amp;INDEX(Network!$D$7:$D$28,$CV$8)&amp;IF(INDEX(Network!$E$7:$E$28,$CV$8)="","",", "&amp;INDEX(Network!$E$7:$E$28,$CV$8))&amp;IF(INDEX(Network!$F$7:$F$28,$CV$8)="","",", "&amp;INDEX(Network!$F$7:$F$28,$CV$8))))</f>
        <v/>
      </c>
      <c r="Y30" s="78"/>
      <c r="Z30" s="78"/>
      <c r="AD30" s="78" t="str">
        <f aca="false">IF($DB$8=0,"",INDEX(Network!$B$7:$B$28,$DB$8)&amp;IF(INDEX(Network!$D$7:$D$28,$DB$8)="",""," ·  after "&amp;INDEX(Network!$D$7:$D$28,$DB$8)&amp;IF(INDEX(Network!$E$7:$E$28,$DB$8)="","",", "&amp;INDEX(Network!$E$7:$E$28,$DB$8))&amp;IF(INDEX(Network!$F$7:$F$28,$DB$8)="","",", "&amp;INDEX(Network!$F$7:$F$28,$DB$8))))</f>
        <v/>
      </c>
      <c r="AE30" s="78"/>
      <c r="AF30" s="78"/>
      <c r="AJ30" s="78" t="str">
        <f aca="false">IF($DH$8=0,"",INDEX(Network!$B$7:$B$28,$DH$8)&amp;IF(INDEX(Network!$D$7:$D$28,$DH$8)="",""," ·  after "&amp;INDEX(Network!$D$7:$D$28,$DH$8)&amp;IF(INDEX(Network!$E$7:$E$28,$DH$8)="","",", "&amp;INDEX(Network!$E$7:$E$28,$DH$8))&amp;IF(INDEX(Network!$F$7:$F$28,$DH$8)="","",", "&amp;INDEX(Network!$F$7:$F$28,$DH$8))))</f>
        <v/>
      </c>
      <c r="AK30" s="78"/>
      <c r="AL30" s="78"/>
      <c r="AP30" s="78" t="str">
        <f aca="false">IF($DN$8=0,"",INDEX(Network!$B$7:$B$28,$DN$8)&amp;IF(INDEX(Network!$D$7:$D$28,$DN$8)="",""," ·  after "&amp;INDEX(Network!$D$7:$D$28,$DN$8)&amp;IF(INDEX(Network!$E$7:$E$28,$DN$8)="","",", "&amp;INDEX(Network!$E$7:$E$28,$DN$8))&amp;IF(INDEX(Network!$F$7:$F$28,$DN$8)="","",", "&amp;INDEX(Network!$F$7:$F$28,$DN$8))))</f>
        <v>10 ·  after 6</v>
      </c>
      <c r="AQ30" s="78"/>
      <c r="AR30" s="78"/>
      <c r="AV30" s="78" t="str">
        <f aca="false">IF($DT$8=0,"",INDEX(Network!$B$7:$B$28,$DT$8)&amp;IF(INDEX(Network!$D$7:$D$28,$DT$8)="",""," ·  after "&amp;INDEX(Network!$D$7:$D$28,$DT$8)&amp;IF(INDEX(Network!$E$7:$E$28,$DT$8)="","",", "&amp;INDEX(Network!$E$7:$E$28,$DT$8))&amp;IF(INDEX(Network!$F$7:$F$28,$DT$8)="","",", "&amp;INDEX(Network!$F$7:$F$28,$DT$8))))</f>
        <v/>
      </c>
      <c r="AW30" s="78"/>
      <c r="AX30" s="78"/>
      <c r="BB30" s="78" t="str">
        <f aca="false">IF($DZ$8=0,"",INDEX(Network!$B$7:$B$28,$DZ$8)&amp;IF(INDEX(Network!$D$7:$D$28,$DZ$8)="",""," ·  after "&amp;INDEX(Network!$D$7:$D$28,$DZ$8)&amp;IF(INDEX(Network!$E$7:$E$28,$DZ$8)="","",", "&amp;INDEX(Network!$E$7:$E$28,$DZ$8))&amp;IF(INDEX(Network!$F$7:$F$28,$DZ$8)="","",", "&amp;INDEX(Network!$F$7:$F$28,$DZ$8))))</f>
        <v/>
      </c>
      <c r="BC30" s="78"/>
      <c r="BD30" s="78"/>
      <c r="BH30" s="78" t="str">
        <f aca="false">IF($EF$8=0,"",INDEX(Network!$B$7:$B$28,$EF$8)&amp;IF(INDEX(Network!$D$7:$D$28,$EF$8)="",""," ·  after "&amp;INDEX(Network!$D$7:$D$28,$EF$8)&amp;IF(INDEX(Network!$E$7:$E$28,$EF$8)="","",", "&amp;INDEX(Network!$E$7:$E$28,$EF$8))&amp;IF(INDEX(Network!$F$7:$F$28,$EF$8)="","",", "&amp;INDEX(Network!$F$7:$F$28,$EF$8))))</f>
        <v/>
      </c>
      <c r="BI30" s="78"/>
      <c r="BJ30" s="78"/>
      <c r="BN30" s="78" t="str">
        <f aca="false">IF($EL$8=0,"",INDEX(Network!$B$7:$B$28,$EL$8)&amp;IF(INDEX(Network!$D$7:$D$28,$EL$8)="",""," ·  after "&amp;INDEX(Network!$D$7:$D$28,$EL$8)&amp;IF(INDEX(Network!$E$7:$E$28,$EL$8)="","",", "&amp;INDEX(Network!$E$7:$E$28,$EL$8))&amp;IF(INDEX(Network!$F$7:$F$28,$EL$8)="","",", "&amp;INDEX(Network!$F$7:$F$28,$EL$8))))</f>
        <v/>
      </c>
      <c r="BO30" s="78"/>
      <c r="BP30" s="78"/>
      <c r="BT30" s="78" t="str">
        <f aca="false">IF($ER$8=0,"",INDEX(Network!$B$7:$B$28,$ER$8)&amp;IF(INDEX(Network!$D$7:$D$28,$ER$8)="",""," ·  after "&amp;INDEX(Network!$D$7:$D$28,$ER$8)&amp;IF(INDEX(Network!$E$7:$E$28,$ER$8)="","",", "&amp;INDEX(Network!$E$7:$E$28,$ER$8))&amp;IF(INDEX(Network!$F$7:$F$28,$ER$8)="","",", "&amp;INDEX(Network!$F$7:$F$28,$ER$8))))</f>
        <v/>
      </c>
      <c r="BU30" s="78"/>
      <c r="BV30" s="78"/>
      <c r="BZ30" s="73"/>
    </row>
    <row r="31" customFormat="false" ht="6" hidden="false" customHeight="true" outlineLevel="0" collapsed="false">
      <c r="B31" s="73"/>
      <c r="BZ31" s="73"/>
    </row>
    <row r="32" customFormat="false" ht="12" hidden="false" customHeight="true" outlineLevel="0" collapsed="false">
      <c r="B32" s="73"/>
      <c r="F32" s="74" t="str">
        <f aca="false">IF($CD$9=0,"",INDEX(Network!$L$7:$L$28,$CD$9))</f>
        <v/>
      </c>
      <c r="G32" s="75" t="str">
        <f aca="false">IF($CD$9=0,"",INDEX(Network!$J$7:$J$28,$CD$9))</f>
        <v/>
      </c>
      <c r="H32" s="74" t="str">
        <f aca="false">IF($CD$9=0,"",INDEX(Network!$M$7:$M$28,$CD$9))</f>
        <v/>
      </c>
      <c r="L32" s="74" t="str">
        <f aca="false">IF($CJ$9=0,"",INDEX(Network!$L$7:$L$28,$CJ$9))</f>
        <v/>
      </c>
      <c r="M32" s="75" t="str">
        <f aca="false">IF($CJ$9=0,"",INDEX(Network!$J$7:$J$28,$CJ$9))</f>
        <v/>
      </c>
      <c r="N32" s="74" t="str">
        <f aca="false">IF($CJ$9=0,"",INDEX(Network!$M$7:$M$28,$CJ$9))</f>
        <v/>
      </c>
      <c r="R32" s="74" t="str">
        <f aca="false">IF($CP$9=0,"",INDEX(Network!$L$7:$L$28,$CP$9))</f>
        <v/>
      </c>
      <c r="S32" s="75" t="str">
        <f aca="false">IF($CP$9=0,"",INDEX(Network!$J$7:$J$28,$CP$9))</f>
        <v/>
      </c>
      <c r="T32" s="74" t="str">
        <f aca="false">IF($CP$9=0,"",INDEX(Network!$M$7:$M$28,$CP$9))</f>
        <v/>
      </c>
      <c r="X32" s="74" t="str">
        <f aca="false">IF($CV$9=0,"",INDEX(Network!$L$7:$L$28,$CV$9))</f>
        <v/>
      </c>
      <c r="Y32" s="75" t="str">
        <f aca="false">IF($CV$9=0,"",INDEX(Network!$J$7:$J$28,$CV$9))</f>
        <v/>
      </c>
      <c r="Z32" s="74" t="str">
        <f aca="false">IF($CV$9=0,"",INDEX(Network!$M$7:$M$28,$CV$9))</f>
        <v/>
      </c>
      <c r="AD32" s="74" t="str">
        <f aca="false">IF($DB$9=0,"",INDEX(Network!$L$7:$L$28,$DB$9))</f>
        <v/>
      </c>
      <c r="AE32" s="75" t="str">
        <f aca="false">IF($DB$9=0,"",INDEX(Network!$J$7:$J$28,$DB$9))</f>
        <v/>
      </c>
      <c r="AF32" s="74" t="str">
        <f aca="false">IF($DB$9=0,"",INDEX(Network!$M$7:$M$28,$DB$9))</f>
        <v/>
      </c>
      <c r="AJ32" s="74" t="str">
        <f aca="false">IF($DH$9=0,"",INDEX(Network!$L$7:$L$28,$DH$9))</f>
        <v/>
      </c>
      <c r="AK32" s="75" t="str">
        <f aca="false">IF($DH$9=0,"",INDEX(Network!$J$7:$J$28,$DH$9))</f>
        <v/>
      </c>
      <c r="AL32" s="74" t="str">
        <f aca="false">IF($DH$9=0,"",INDEX(Network!$M$7:$M$28,$DH$9))</f>
        <v/>
      </c>
      <c r="AP32" s="74" t="str">
        <f aca="false">IF($DN$9=0,"",INDEX(Network!$L$7:$L$28,$DN$9))</f>
        <v/>
      </c>
      <c r="AQ32" s="75" t="str">
        <f aca="false">IF($DN$9=0,"",INDEX(Network!$J$7:$J$28,$DN$9))</f>
        <v/>
      </c>
      <c r="AR32" s="74" t="str">
        <f aca="false">IF($DN$9=0,"",INDEX(Network!$M$7:$M$28,$DN$9))</f>
        <v/>
      </c>
      <c r="AV32" s="74" t="str">
        <f aca="false">IF($DT$9=0,"",INDEX(Network!$L$7:$L$28,$DT$9))</f>
        <v/>
      </c>
      <c r="AW32" s="75" t="str">
        <f aca="false">IF($DT$9=0,"",INDEX(Network!$J$7:$J$28,$DT$9))</f>
        <v/>
      </c>
      <c r="AX32" s="74" t="str">
        <f aca="false">IF($DT$9=0,"",INDEX(Network!$M$7:$M$28,$DT$9))</f>
        <v/>
      </c>
      <c r="BB32" s="74" t="str">
        <f aca="false">IF($DZ$9=0,"",INDEX(Network!$L$7:$L$28,$DZ$9))</f>
        <v/>
      </c>
      <c r="BC32" s="75" t="str">
        <f aca="false">IF($DZ$9=0,"",INDEX(Network!$J$7:$J$28,$DZ$9))</f>
        <v/>
      </c>
      <c r="BD32" s="74" t="str">
        <f aca="false">IF($DZ$9=0,"",INDEX(Network!$M$7:$M$28,$DZ$9))</f>
        <v/>
      </c>
      <c r="BH32" s="74" t="str">
        <f aca="false">IF($EF$9=0,"",INDEX(Network!$L$7:$L$28,$EF$9))</f>
        <v/>
      </c>
      <c r="BI32" s="75" t="str">
        <f aca="false">IF($EF$9=0,"",INDEX(Network!$J$7:$J$28,$EF$9))</f>
        <v/>
      </c>
      <c r="BJ32" s="74" t="str">
        <f aca="false">IF($EF$9=0,"",INDEX(Network!$M$7:$M$28,$EF$9))</f>
        <v/>
      </c>
      <c r="BN32" s="74" t="str">
        <f aca="false">IF($EL$9=0,"",INDEX(Network!$L$7:$L$28,$EL$9))</f>
        <v/>
      </c>
      <c r="BO32" s="75" t="str">
        <f aca="false">IF($EL$9=0,"",INDEX(Network!$J$7:$J$28,$EL$9))</f>
        <v/>
      </c>
      <c r="BP32" s="74" t="str">
        <f aca="false">IF($EL$9=0,"",INDEX(Network!$M$7:$M$28,$EL$9))</f>
        <v/>
      </c>
      <c r="BT32" s="74" t="str">
        <f aca="false">IF($ER$9=0,"",INDEX(Network!$L$7:$L$28,$ER$9))</f>
        <v/>
      </c>
      <c r="BU32" s="75" t="str">
        <f aca="false">IF($ER$9=0,"",INDEX(Network!$J$7:$J$28,$ER$9))</f>
        <v/>
      </c>
      <c r="BV32" s="74" t="str">
        <f aca="false">IF($ER$9=0,"",INDEX(Network!$M$7:$M$28,$ER$9))</f>
        <v/>
      </c>
      <c r="BZ32" s="73"/>
    </row>
    <row r="33" customFormat="false" ht="25.5" hidden="false" customHeight="true" outlineLevel="0" collapsed="false">
      <c r="B33" s="73"/>
      <c r="F33" s="76" t="str">
        <f aca="false">IF($CD$9=0,"",INDEX(Network!$C$7:$C$28,$CD$9))</f>
        <v/>
      </c>
      <c r="G33" s="76"/>
      <c r="H33" s="76"/>
      <c r="L33" s="76" t="str">
        <f aca="false">IF($CJ$9=0,"",INDEX(Network!$C$7:$C$28,$CJ$9))</f>
        <v/>
      </c>
      <c r="M33" s="76"/>
      <c r="N33" s="76"/>
      <c r="R33" s="76" t="str">
        <f aca="false">IF($CP$9=0,"",INDEX(Network!$C$7:$C$28,$CP$9))</f>
        <v/>
      </c>
      <c r="S33" s="76"/>
      <c r="T33" s="76"/>
      <c r="X33" s="76" t="str">
        <f aca="false">IF($CV$9=0,"",INDEX(Network!$C$7:$C$28,$CV$9))</f>
        <v/>
      </c>
      <c r="Y33" s="76"/>
      <c r="Z33" s="76"/>
      <c r="AD33" s="76" t="str">
        <f aca="false">IF($DB$9=0,"",INDEX(Network!$C$7:$C$28,$DB$9))</f>
        <v/>
      </c>
      <c r="AE33" s="76"/>
      <c r="AF33" s="76"/>
      <c r="AJ33" s="76" t="str">
        <f aca="false">IF($DH$9=0,"",INDEX(Network!$C$7:$C$28,$DH$9))</f>
        <v/>
      </c>
      <c r="AK33" s="76"/>
      <c r="AL33" s="76"/>
      <c r="AP33" s="76" t="str">
        <f aca="false">IF($DN$9=0,"",INDEX(Network!$C$7:$C$28,$DN$9))</f>
        <v/>
      </c>
      <c r="AQ33" s="76"/>
      <c r="AR33" s="76"/>
      <c r="AV33" s="76" t="str">
        <f aca="false">IF($DT$9=0,"",INDEX(Network!$C$7:$C$28,$DT$9))</f>
        <v/>
      </c>
      <c r="AW33" s="76"/>
      <c r="AX33" s="76"/>
      <c r="BB33" s="76" t="str">
        <f aca="false">IF($DZ$9=0,"",INDEX(Network!$C$7:$C$28,$DZ$9))</f>
        <v/>
      </c>
      <c r="BC33" s="76"/>
      <c r="BD33" s="76"/>
      <c r="BH33" s="76" t="str">
        <f aca="false">IF($EF$9=0,"",INDEX(Network!$C$7:$C$28,$EF$9))</f>
        <v/>
      </c>
      <c r="BI33" s="76"/>
      <c r="BJ33" s="76"/>
      <c r="BN33" s="76" t="str">
        <f aca="false">IF($EL$9=0,"",INDEX(Network!$C$7:$C$28,$EL$9))</f>
        <v/>
      </c>
      <c r="BO33" s="76"/>
      <c r="BP33" s="76"/>
      <c r="BT33" s="76" t="str">
        <f aca="false">IF($ER$9=0,"",INDEX(Network!$C$7:$C$28,$ER$9))</f>
        <v/>
      </c>
      <c r="BU33" s="76"/>
      <c r="BV33" s="76"/>
      <c r="BZ33" s="73"/>
    </row>
    <row r="34" customFormat="false" ht="4.5" hidden="false" customHeight="true" outlineLevel="0" collapsed="false">
      <c r="B34" s="73"/>
      <c r="BZ34" s="73"/>
    </row>
    <row r="35" customFormat="false" ht="12" hidden="false" customHeight="true" outlineLevel="0" collapsed="false">
      <c r="B35" s="73"/>
      <c r="F35" s="74" t="str">
        <f aca="false">IF($CD$9=0,"",INDEX(Network!$N$7:$N$28,$CD$9))</f>
        <v/>
      </c>
      <c r="G35" s="77" t="str">
        <f aca="false">IF($CD$9=0,"",INDEX(Network!$P$7:$P$28,$CD$9))</f>
        <v/>
      </c>
      <c r="H35" s="74" t="str">
        <f aca="false">IF($CD$9=0,"",INDEX(Network!$O$7:$O$28,$CD$9))</f>
        <v/>
      </c>
      <c r="L35" s="74" t="str">
        <f aca="false">IF($CJ$9=0,"",INDEX(Network!$N$7:$N$28,$CJ$9))</f>
        <v/>
      </c>
      <c r="M35" s="77" t="str">
        <f aca="false">IF($CJ$9=0,"",INDEX(Network!$P$7:$P$28,$CJ$9))</f>
        <v/>
      </c>
      <c r="N35" s="74" t="str">
        <f aca="false">IF($CJ$9=0,"",INDEX(Network!$O$7:$O$28,$CJ$9))</f>
        <v/>
      </c>
      <c r="R35" s="74" t="str">
        <f aca="false">IF($CP$9=0,"",INDEX(Network!$N$7:$N$28,$CP$9))</f>
        <v/>
      </c>
      <c r="S35" s="77" t="str">
        <f aca="false">IF($CP$9=0,"",INDEX(Network!$P$7:$P$28,$CP$9))</f>
        <v/>
      </c>
      <c r="T35" s="74" t="str">
        <f aca="false">IF($CP$9=0,"",INDEX(Network!$O$7:$O$28,$CP$9))</f>
        <v/>
      </c>
      <c r="X35" s="74" t="str">
        <f aca="false">IF($CV$9=0,"",INDEX(Network!$N$7:$N$28,$CV$9))</f>
        <v/>
      </c>
      <c r="Y35" s="77" t="str">
        <f aca="false">IF($CV$9=0,"",INDEX(Network!$P$7:$P$28,$CV$9))</f>
        <v/>
      </c>
      <c r="Z35" s="74" t="str">
        <f aca="false">IF($CV$9=0,"",INDEX(Network!$O$7:$O$28,$CV$9))</f>
        <v/>
      </c>
      <c r="AD35" s="74" t="str">
        <f aca="false">IF($DB$9=0,"",INDEX(Network!$N$7:$N$28,$DB$9))</f>
        <v/>
      </c>
      <c r="AE35" s="77" t="str">
        <f aca="false">IF($DB$9=0,"",INDEX(Network!$P$7:$P$28,$DB$9))</f>
        <v/>
      </c>
      <c r="AF35" s="74" t="str">
        <f aca="false">IF($DB$9=0,"",INDEX(Network!$O$7:$O$28,$DB$9))</f>
        <v/>
      </c>
      <c r="AJ35" s="74" t="str">
        <f aca="false">IF($DH$9=0,"",INDEX(Network!$N$7:$N$28,$DH$9))</f>
        <v/>
      </c>
      <c r="AK35" s="77" t="str">
        <f aca="false">IF($DH$9=0,"",INDEX(Network!$P$7:$P$28,$DH$9))</f>
        <v/>
      </c>
      <c r="AL35" s="74" t="str">
        <f aca="false">IF($DH$9=0,"",INDEX(Network!$O$7:$O$28,$DH$9))</f>
        <v/>
      </c>
      <c r="AP35" s="74" t="str">
        <f aca="false">IF($DN$9=0,"",INDEX(Network!$N$7:$N$28,$DN$9))</f>
        <v/>
      </c>
      <c r="AQ35" s="77" t="str">
        <f aca="false">IF($DN$9=0,"",INDEX(Network!$P$7:$P$28,$DN$9))</f>
        <v/>
      </c>
      <c r="AR35" s="74" t="str">
        <f aca="false">IF($DN$9=0,"",INDEX(Network!$O$7:$O$28,$DN$9))</f>
        <v/>
      </c>
      <c r="AV35" s="74" t="str">
        <f aca="false">IF($DT$9=0,"",INDEX(Network!$N$7:$N$28,$DT$9))</f>
        <v/>
      </c>
      <c r="AW35" s="77" t="str">
        <f aca="false">IF($DT$9=0,"",INDEX(Network!$P$7:$P$28,$DT$9))</f>
        <v/>
      </c>
      <c r="AX35" s="74" t="str">
        <f aca="false">IF($DT$9=0,"",INDEX(Network!$O$7:$O$28,$DT$9))</f>
        <v/>
      </c>
      <c r="BB35" s="74" t="str">
        <f aca="false">IF($DZ$9=0,"",INDEX(Network!$N$7:$N$28,$DZ$9))</f>
        <v/>
      </c>
      <c r="BC35" s="77" t="str">
        <f aca="false">IF($DZ$9=0,"",INDEX(Network!$P$7:$P$28,$DZ$9))</f>
        <v/>
      </c>
      <c r="BD35" s="74" t="str">
        <f aca="false">IF($DZ$9=0,"",INDEX(Network!$O$7:$O$28,$DZ$9))</f>
        <v/>
      </c>
      <c r="BH35" s="74" t="str">
        <f aca="false">IF($EF$9=0,"",INDEX(Network!$N$7:$N$28,$EF$9))</f>
        <v/>
      </c>
      <c r="BI35" s="77" t="str">
        <f aca="false">IF($EF$9=0,"",INDEX(Network!$P$7:$P$28,$EF$9))</f>
        <v/>
      </c>
      <c r="BJ35" s="74" t="str">
        <f aca="false">IF($EF$9=0,"",INDEX(Network!$O$7:$O$28,$EF$9))</f>
        <v/>
      </c>
      <c r="BN35" s="74" t="str">
        <f aca="false">IF($EL$9=0,"",INDEX(Network!$N$7:$N$28,$EL$9))</f>
        <v/>
      </c>
      <c r="BO35" s="77" t="str">
        <f aca="false">IF($EL$9=0,"",INDEX(Network!$P$7:$P$28,$EL$9))</f>
        <v/>
      </c>
      <c r="BP35" s="74" t="str">
        <f aca="false">IF($EL$9=0,"",INDEX(Network!$O$7:$O$28,$EL$9))</f>
        <v/>
      </c>
      <c r="BT35" s="74" t="str">
        <f aca="false">IF($ER$9=0,"",INDEX(Network!$N$7:$N$28,$ER$9))</f>
        <v/>
      </c>
      <c r="BU35" s="77" t="str">
        <f aca="false">IF($ER$9=0,"",INDEX(Network!$P$7:$P$28,$ER$9))</f>
        <v/>
      </c>
      <c r="BV35" s="74" t="str">
        <f aca="false">IF($ER$9=0,"",INDEX(Network!$O$7:$O$28,$ER$9))</f>
        <v/>
      </c>
      <c r="BZ35" s="73"/>
    </row>
    <row r="36" customFormat="false" ht="10.5" hidden="false" customHeight="true" outlineLevel="0" collapsed="false">
      <c r="B36" s="73"/>
      <c r="F36" s="78" t="str">
        <f aca="false">IF($CD$9=0,"",INDEX(Network!$B$7:$B$28,$CD$9)&amp;IF(INDEX(Network!$D$7:$D$28,$CD$9)="",""," ·  after "&amp;INDEX(Network!$D$7:$D$28,$CD$9)&amp;IF(INDEX(Network!$E$7:$E$28,$CD$9)="","",", "&amp;INDEX(Network!$E$7:$E$28,$CD$9))&amp;IF(INDEX(Network!$F$7:$F$28,$CD$9)="","",", "&amp;INDEX(Network!$F$7:$F$28,$CD$9))))</f>
        <v/>
      </c>
      <c r="G36" s="78"/>
      <c r="H36" s="78"/>
      <c r="L36" s="78" t="str">
        <f aca="false">IF($CJ$9=0,"",INDEX(Network!$B$7:$B$28,$CJ$9)&amp;IF(INDEX(Network!$D$7:$D$28,$CJ$9)="",""," ·  after "&amp;INDEX(Network!$D$7:$D$28,$CJ$9)&amp;IF(INDEX(Network!$E$7:$E$28,$CJ$9)="","",", "&amp;INDEX(Network!$E$7:$E$28,$CJ$9))&amp;IF(INDEX(Network!$F$7:$F$28,$CJ$9)="","",", "&amp;INDEX(Network!$F$7:$F$28,$CJ$9))))</f>
        <v/>
      </c>
      <c r="M36" s="78"/>
      <c r="N36" s="78"/>
      <c r="R36" s="78" t="str">
        <f aca="false">IF($CP$9=0,"",INDEX(Network!$B$7:$B$28,$CP$9)&amp;IF(INDEX(Network!$D$7:$D$28,$CP$9)="",""," ·  after "&amp;INDEX(Network!$D$7:$D$28,$CP$9)&amp;IF(INDEX(Network!$E$7:$E$28,$CP$9)="","",", "&amp;INDEX(Network!$E$7:$E$28,$CP$9))&amp;IF(INDEX(Network!$F$7:$F$28,$CP$9)="","",", "&amp;INDEX(Network!$F$7:$F$28,$CP$9))))</f>
        <v/>
      </c>
      <c r="S36" s="78"/>
      <c r="T36" s="78"/>
      <c r="X36" s="78" t="str">
        <f aca="false">IF($CV$9=0,"",INDEX(Network!$B$7:$B$28,$CV$9)&amp;IF(INDEX(Network!$D$7:$D$28,$CV$9)="",""," ·  after "&amp;INDEX(Network!$D$7:$D$28,$CV$9)&amp;IF(INDEX(Network!$E$7:$E$28,$CV$9)="","",", "&amp;INDEX(Network!$E$7:$E$28,$CV$9))&amp;IF(INDEX(Network!$F$7:$F$28,$CV$9)="","",", "&amp;INDEX(Network!$F$7:$F$28,$CV$9))))</f>
        <v/>
      </c>
      <c r="Y36" s="78"/>
      <c r="Z36" s="78"/>
      <c r="AD36" s="78" t="str">
        <f aca="false">IF($DB$9=0,"",INDEX(Network!$B$7:$B$28,$DB$9)&amp;IF(INDEX(Network!$D$7:$D$28,$DB$9)="",""," ·  after "&amp;INDEX(Network!$D$7:$D$28,$DB$9)&amp;IF(INDEX(Network!$E$7:$E$28,$DB$9)="","",", "&amp;INDEX(Network!$E$7:$E$28,$DB$9))&amp;IF(INDEX(Network!$F$7:$F$28,$DB$9)="","",", "&amp;INDEX(Network!$F$7:$F$28,$DB$9))))</f>
        <v/>
      </c>
      <c r="AE36" s="78"/>
      <c r="AF36" s="78"/>
      <c r="AJ36" s="78" t="str">
        <f aca="false">IF($DH$9=0,"",INDEX(Network!$B$7:$B$28,$DH$9)&amp;IF(INDEX(Network!$D$7:$D$28,$DH$9)="",""," ·  after "&amp;INDEX(Network!$D$7:$D$28,$DH$9)&amp;IF(INDEX(Network!$E$7:$E$28,$DH$9)="","",", "&amp;INDEX(Network!$E$7:$E$28,$DH$9))&amp;IF(INDEX(Network!$F$7:$F$28,$DH$9)="","",", "&amp;INDEX(Network!$F$7:$F$28,$DH$9))))</f>
        <v/>
      </c>
      <c r="AK36" s="78"/>
      <c r="AL36" s="78"/>
      <c r="AP36" s="78" t="str">
        <f aca="false">IF($DN$9=0,"",INDEX(Network!$B$7:$B$28,$DN$9)&amp;IF(INDEX(Network!$D$7:$D$28,$DN$9)="",""," ·  after "&amp;INDEX(Network!$D$7:$D$28,$DN$9)&amp;IF(INDEX(Network!$E$7:$E$28,$DN$9)="","",", "&amp;INDEX(Network!$E$7:$E$28,$DN$9))&amp;IF(INDEX(Network!$F$7:$F$28,$DN$9)="","",", "&amp;INDEX(Network!$F$7:$F$28,$DN$9))))</f>
        <v/>
      </c>
      <c r="AQ36" s="78"/>
      <c r="AR36" s="78"/>
      <c r="AV36" s="78" t="str">
        <f aca="false">IF($DT$9=0,"",INDEX(Network!$B$7:$B$28,$DT$9)&amp;IF(INDEX(Network!$D$7:$D$28,$DT$9)="",""," ·  after "&amp;INDEX(Network!$D$7:$D$28,$DT$9)&amp;IF(INDEX(Network!$E$7:$E$28,$DT$9)="","",", "&amp;INDEX(Network!$E$7:$E$28,$DT$9))&amp;IF(INDEX(Network!$F$7:$F$28,$DT$9)="","",", "&amp;INDEX(Network!$F$7:$F$28,$DT$9))))</f>
        <v/>
      </c>
      <c r="AW36" s="78"/>
      <c r="AX36" s="78"/>
      <c r="BB36" s="78" t="str">
        <f aca="false">IF($DZ$9=0,"",INDEX(Network!$B$7:$B$28,$DZ$9)&amp;IF(INDEX(Network!$D$7:$D$28,$DZ$9)="",""," ·  after "&amp;INDEX(Network!$D$7:$D$28,$DZ$9)&amp;IF(INDEX(Network!$E$7:$E$28,$DZ$9)="","",", "&amp;INDEX(Network!$E$7:$E$28,$DZ$9))&amp;IF(INDEX(Network!$F$7:$F$28,$DZ$9)="","",", "&amp;INDEX(Network!$F$7:$F$28,$DZ$9))))</f>
        <v/>
      </c>
      <c r="BC36" s="78"/>
      <c r="BD36" s="78"/>
      <c r="BH36" s="78" t="str">
        <f aca="false">IF($EF$9=0,"",INDEX(Network!$B$7:$B$28,$EF$9)&amp;IF(INDEX(Network!$D$7:$D$28,$EF$9)="",""," ·  after "&amp;INDEX(Network!$D$7:$D$28,$EF$9)&amp;IF(INDEX(Network!$E$7:$E$28,$EF$9)="","",", "&amp;INDEX(Network!$E$7:$E$28,$EF$9))&amp;IF(INDEX(Network!$F$7:$F$28,$EF$9)="","",", "&amp;INDEX(Network!$F$7:$F$28,$EF$9))))</f>
        <v/>
      </c>
      <c r="BI36" s="78"/>
      <c r="BJ36" s="78"/>
      <c r="BN36" s="78" t="str">
        <f aca="false">IF($EL$9=0,"",INDEX(Network!$B$7:$B$28,$EL$9)&amp;IF(INDEX(Network!$D$7:$D$28,$EL$9)="",""," ·  after "&amp;INDEX(Network!$D$7:$D$28,$EL$9)&amp;IF(INDEX(Network!$E$7:$E$28,$EL$9)="","",", "&amp;INDEX(Network!$E$7:$E$28,$EL$9))&amp;IF(INDEX(Network!$F$7:$F$28,$EL$9)="","",", "&amp;INDEX(Network!$F$7:$F$28,$EL$9))))</f>
        <v/>
      </c>
      <c r="BO36" s="78"/>
      <c r="BP36" s="78"/>
      <c r="BT36" s="78" t="str">
        <f aca="false">IF($ER$9=0,"",INDEX(Network!$B$7:$B$28,$ER$9)&amp;IF(INDEX(Network!$D$7:$D$28,$ER$9)="",""," ·  after "&amp;INDEX(Network!$D$7:$D$28,$ER$9)&amp;IF(INDEX(Network!$E$7:$E$28,$ER$9)="","",", "&amp;INDEX(Network!$E$7:$E$28,$ER$9))&amp;IF(INDEX(Network!$F$7:$F$28,$ER$9)="","",", "&amp;INDEX(Network!$F$7:$F$28,$ER$9))))</f>
        <v/>
      </c>
      <c r="BU36" s="78"/>
      <c r="BV36" s="78"/>
      <c r="BZ36" s="73"/>
    </row>
    <row r="37" customFormat="false" ht="6" hidden="false" customHeight="true" outlineLevel="0" collapsed="false">
      <c r="B37" s="73"/>
      <c r="BZ37" s="73"/>
    </row>
    <row r="38" customFormat="false" ht="12" hidden="false" customHeight="true" outlineLevel="0" collapsed="false">
      <c r="B38" s="73"/>
      <c r="F38" s="74" t="str">
        <f aca="false">IF($CD$10=0,"",INDEX(Network!$L$7:$L$28,$CD$10))</f>
        <v/>
      </c>
      <c r="G38" s="75" t="str">
        <f aca="false">IF($CD$10=0,"",INDEX(Network!$J$7:$J$28,$CD$10))</f>
        <v/>
      </c>
      <c r="H38" s="74" t="str">
        <f aca="false">IF($CD$10=0,"",INDEX(Network!$M$7:$M$28,$CD$10))</f>
        <v/>
      </c>
      <c r="L38" s="74" t="str">
        <f aca="false">IF($CJ$10=0,"",INDEX(Network!$L$7:$L$28,$CJ$10))</f>
        <v/>
      </c>
      <c r="M38" s="75" t="str">
        <f aca="false">IF($CJ$10=0,"",INDEX(Network!$J$7:$J$28,$CJ$10))</f>
        <v/>
      </c>
      <c r="N38" s="74" t="str">
        <f aca="false">IF($CJ$10=0,"",INDEX(Network!$M$7:$M$28,$CJ$10))</f>
        <v/>
      </c>
      <c r="R38" s="74" t="str">
        <f aca="false">IF($CP$10=0,"",INDEX(Network!$L$7:$L$28,$CP$10))</f>
        <v/>
      </c>
      <c r="S38" s="75" t="str">
        <f aca="false">IF($CP$10=0,"",INDEX(Network!$J$7:$J$28,$CP$10))</f>
        <v/>
      </c>
      <c r="T38" s="74" t="str">
        <f aca="false">IF($CP$10=0,"",INDEX(Network!$M$7:$M$28,$CP$10))</f>
        <v/>
      </c>
      <c r="X38" s="74" t="str">
        <f aca="false">IF($CV$10=0,"",INDEX(Network!$L$7:$L$28,$CV$10))</f>
        <v/>
      </c>
      <c r="Y38" s="75" t="str">
        <f aca="false">IF($CV$10=0,"",INDEX(Network!$J$7:$J$28,$CV$10))</f>
        <v/>
      </c>
      <c r="Z38" s="74" t="str">
        <f aca="false">IF($CV$10=0,"",INDEX(Network!$M$7:$M$28,$CV$10))</f>
        <v/>
      </c>
      <c r="AD38" s="74" t="str">
        <f aca="false">IF($DB$10=0,"",INDEX(Network!$L$7:$L$28,$DB$10))</f>
        <v/>
      </c>
      <c r="AE38" s="75" t="str">
        <f aca="false">IF($DB$10=0,"",INDEX(Network!$J$7:$J$28,$DB$10))</f>
        <v/>
      </c>
      <c r="AF38" s="74" t="str">
        <f aca="false">IF($DB$10=0,"",INDEX(Network!$M$7:$M$28,$DB$10))</f>
        <v/>
      </c>
      <c r="AJ38" s="74" t="str">
        <f aca="false">IF($DH$10=0,"",INDEX(Network!$L$7:$L$28,$DH$10))</f>
        <v/>
      </c>
      <c r="AK38" s="75" t="str">
        <f aca="false">IF($DH$10=0,"",INDEX(Network!$J$7:$J$28,$DH$10))</f>
        <v/>
      </c>
      <c r="AL38" s="74" t="str">
        <f aca="false">IF($DH$10=0,"",INDEX(Network!$M$7:$M$28,$DH$10))</f>
        <v/>
      </c>
      <c r="AP38" s="74" t="str">
        <f aca="false">IF($DN$10=0,"",INDEX(Network!$L$7:$L$28,$DN$10))</f>
        <v/>
      </c>
      <c r="AQ38" s="75" t="str">
        <f aca="false">IF($DN$10=0,"",INDEX(Network!$J$7:$J$28,$DN$10))</f>
        <v/>
      </c>
      <c r="AR38" s="74" t="str">
        <f aca="false">IF($DN$10=0,"",INDEX(Network!$M$7:$M$28,$DN$10))</f>
        <v/>
      </c>
      <c r="AV38" s="74" t="str">
        <f aca="false">IF($DT$10=0,"",INDEX(Network!$L$7:$L$28,$DT$10))</f>
        <v/>
      </c>
      <c r="AW38" s="75" t="str">
        <f aca="false">IF($DT$10=0,"",INDEX(Network!$J$7:$J$28,$DT$10))</f>
        <v/>
      </c>
      <c r="AX38" s="74" t="str">
        <f aca="false">IF($DT$10=0,"",INDEX(Network!$M$7:$M$28,$DT$10))</f>
        <v/>
      </c>
      <c r="BB38" s="74" t="str">
        <f aca="false">IF($DZ$10=0,"",INDEX(Network!$L$7:$L$28,$DZ$10))</f>
        <v/>
      </c>
      <c r="BC38" s="75" t="str">
        <f aca="false">IF($DZ$10=0,"",INDEX(Network!$J$7:$J$28,$DZ$10))</f>
        <v/>
      </c>
      <c r="BD38" s="74" t="str">
        <f aca="false">IF($DZ$10=0,"",INDEX(Network!$M$7:$M$28,$DZ$10))</f>
        <v/>
      </c>
      <c r="BH38" s="74" t="str">
        <f aca="false">IF($EF$10=0,"",INDEX(Network!$L$7:$L$28,$EF$10))</f>
        <v/>
      </c>
      <c r="BI38" s="75" t="str">
        <f aca="false">IF($EF$10=0,"",INDEX(Network!$J$7:$J$28,$EF$10))</f>
        <v/>
      </c>
      <c r="BJ38" s="74" t="str">
        <f aca="false">IF($EF$10=0,"",INDEX(Network!$M$7:$M$28,$EF$10))</f>
        <v/>
      </c>
      <c r="BN38" s="74" t="str">
        <f aca="false">IF($EL$10=0,"",INDEX(Network!$L$7:$L$28,$EL$10))</f>
        <v/>
      </c>
      <c r="BO38" s="75" t="str">
        <f aca="false">IF($EL$10=0,"",INDEX(Network!$J$7:$J$28,$EL$10))</f>
        <v/>
      </c>
      <c r="BP38" s="74" t="str">
        <f aca="false">IF($EL$10=0,"",INDEX(Network!$M$7:$M$28,$EL$10))</f>
        <v/>
      </c>
      <c r="BT38" s="74" t="str">
        <f aca="false">IF($ER$10=0,"",INDEX(Network!$L$7:$L$28,$ER$10))</f>
        <v/>
      </c>
      <c r="BU38" s="75" t="str">
        <f aca="false">IF($ER$10=0,"",INDEX(Network!$J$7:$J$28,$ER$10))</f>
        <v/>
      </c>
      <c r="BV38" s="74" t="str">
        <f aca="false">IF($ER$10=0,"",INDEX(Network!$M$7:$M$28,$ER$10))</f>
        <v/>
      </c>
      <c r="BZ38" s="73"/>
    </row>
    <row r="39" customFormat="false" ht="25.5" hidden="false" customHeight="true" outlineLevel="0" collapsed="false">
      <c r="B39" s="73"/>
      <c r="F39" s="76" t="str">
        <f aca="false">IF($CD$10=0,"",INDEX(Network!$C$7:$C$28,$CD$10))</f>
        <v/>
      </c>
      <c r="G39" s="76"/>
      <c r="H39" s="76"/>
      <c r="L39" s="76" t="str">
        <f aca="false">IF($CJ$10=0,"",INDEX(Network!$C$7:$C$28,$CJ$10))</f>
        <v/>
      </c>
      <c r="M39" s="76"/>
      <c r="N39" s="76"/>
      <c r="R39" s="76" t="str">
        <f aca="false">IF($CP$10=0,"",INDEX(Network!$C$7:$C$28,$CP$10))</f>
        <v/>
      </c>
      <c r="S39" s="76"/>
      <c r="T39" s="76"/>
      <c r="X39" s="76" t="str">
        <f aca="false">IF($CV$10=0,"",INDEX(Network!$C$7:$C$28,$CV$10))</f>
        <v/>
      </c>
      <c r="Y39" s="76"/>
      <c r="Z39" s="76"/>
      <c r="AD39" s="76" t="str">
        <f aca="false">IF($DB$10=0,"",INDEX(Network!$C$7:$C$28,$DB$10))</f>
        <v/>
      </c>
      <c r="AE39" s="76"/>
      <c r="AF39" s="76"/>
      <c r="AJ39" s="76" t="str">
        <f aca="false">IF($DH$10=0,"",INDEX(Network!$C$7:$C$28,$DH$10))</f>
        <v/>
      </c>
      <c r="AK39" s="76"/>
      <c r="AL39" s="76"/>
      <c r="AP39" s="76" t="str">
        <f aca="false">IF($DN$10=0,"",INDEX(Network!$C$7:$C$28,$DN$10))</f>
        <v/>
      </c>
      <c r="AQ39" s="76"/>
      <c r="AR39" s="76"/>
      <c r="AV39" s="76" t="str">
        <f aca="false">IF($DT$10=0,"",INDEX(Network!$C$7:$C$28,$DT$10))</f>
        <v/>
      </c>
      <c r="AW39" s="76"/>
      <c r="AX39" s="76"/>
      <c r="BB39" s="76" t="str">
        <f aca="false">IF($DZ$10=0,"",INDEX(Network!$C$7:$C$28,$DZ$10))</f>
        <v/>
      </c>
      <c r="BC39" s="76"/>
      <c r="BD39" s="76"/>
      <c r="BH39" s="76" t="str">
        <f aca="false">IF($EF$10=0,"",INDEX(Network!$C$7:$C$28,$EF$10))</f>
        <v/>
      </c>
      <c r="BI39" s="76"/>
      <c r="BJ39" s="76"/>
      <c r="BN39" s="76" t="str">
        <f aca="false">IF($EL$10=0,"",INDEX(Network!$C$7:$C$28,$EL$10))</f>
        <v/>
      </c>
      <c r="BO39" s="76"/>
      <c r="BP39" s="76"/>
      <c r="BT39" s="76" t="str">
        <f aca="false">IF($ER$10=0,"",INDEX(Network!$C$7:$C$28,$ER$10))</f>
        <v/>
      </c>
      <c r="BU39" s="76"/>
      <c r="BV39" s="76"/>
      <c r="BZ39" s="73"/>
    </row>
    <row r="40" customFormat="false" ht="4.5" hidden="false" customHeight="true" outlineLevel="0" collapsed="false">
      <c r="B40" s="73"/>
      <c r="BZ40" s="73"/>
    </row>
    <row r="41" customFormat="false" ht="12" hidden="false" customHeight="true" outlineLevel="0" collapsed="false">
      <c r="B41" s="73"/>
      <c r="F41" s="74" t="str">
        <f aca="false">IF($CD$10=0,"",INDEX(Network!$N$7:$N$28,$CD$10))</f>
        <v/>
      </c>
      <c r="G41" s="77" t="str">
        <f aca="false">IF($CD$10=0,"",INDEX(Network!$P$7:$P$28,$CD$10))</f>
        <v/>
      </c>
      <c r="H41" s="74" t="str">
        <f aca="false">IF($CD$10=0,"",INDEX(Network!$O$7:$O$28,$CD$10))</f>
        <v/>
      </c>
      <c r="L41" s="74" t="str">
        <f aca="false">IF($CJ$10=0,"",INDEX(Network!$N$7:$N$28,$CJ$10))</f>
        <v/>
      </c>
      <c r="M41" s="77" t="str">
        <f aca="false">IF($CJ$10=0,"",INDEX(Network!$P$7:$P$28,$CJ$10))</f>
        <v/>
      </c>
      <c r="N41" s="74" t="str">
        <f aca="false">IF($CJ$10=0,"",INDEX(Network!$O$7:$O$28,$CJ$10))</f>
        <v/>
      </c>
      <c r="R41" s="74" t="str">
        <f aca="false">IF($CP$10=0,"",INDEX(Network!$N$7:$N$28,$CP$10))</f>
        <v/>
      </c>
      <c r="S41" s="77" t="str">
        <f aca="false">IF($CP$10=0,"",INDEX(Network!$P$7:$P$28,$CP$10))</f>
        <v/>
      </c>
      <c r="T41" s="74" t="str">
        <f aca="false">IF($CP$10=0,"",INDEX(Network!$O$7:$O$28,$CP$10))</f>
        <v/>
      </c>
      <c r="X41" s="74" t="str">
        <f aca="false">IF($CV$10=0,"",INDEX(Network!$N$7:$N$28,$CV$10))</f>
        <v/>
      </c>
      <c r="Y41" s="77" t="str">
        <f aca="false">IF($CV$10=0,"",INDEX(Network!$P$7:$P$28,$CV$10))</f>
        <v/>
      </c>
      <c r="Z41" s="74" t="str">
        <f aca="false">IF($CV$10=0,"",INDEX(Network!$O$7:$O$28,$CV$10))</f>
        <v/>
      </c>
      <c r="AD41" s="74" t="str">
        <f aca="false">IF($DB$10=0,"",INDEX(Network!$N$7:$N$28,$DB$10))</f>
        <v/>
      </c>
      <c r="AE41" s="77" t="str">
        <f aca="false">IF($DB$10=0,"",INDEX(Network!$P$7:$P$28,$DB$10))</f>
        <v/>
      </c>
      <c r="AF41" s="74" t="str">
        <f aca="false">IF($DB$10=0,"",INDEX(Network!$O$7:$O$28,$DB$10))</f>
        <v/>
      </c>
      <c r="AJ41" s="74" t="str">
        <f aca="false">IF($DH$10=0,"",INDEX(Network!$N$7:$N$28,$DH$10))</f>
        <v/>
      </c>
      <c r="AK41" s="77" t="str">
        <f aca="false">IF($DH$10=0,"",INDEX(Network!$P$7:$P$28,$DH$10))</f>
        <v/>
      </c>
      <c r="AL41" s="74" t="str">
        <f aca="false">IF($DH$10=0,"",INDEX(Network!$O$7:$O$28,$DH$10))</f>
        <v/>
      </c>
      <c r="AP41" s="74" t="str">
        <f aca="false">IF($DN$10=0,"",INDEX(Network!$N$7:$N$28,$DN$10))</f>
        <v/>
      </c>
      <c r="AQ41" s="77" t="str">
        <f aca="false">IF($DN$10=0,"",INDEX(Network!$P$7:$P$28,$DN$10))</f>
        <v/>
      </c>
      <c r="AR41" s="74" t="str">
        <f aca="false">IF($DN$10=0,"",INDEX(Network!$O$7:$O$28,$DN$10))</f>
        <v/>
      </c>
      <c r="AV41" s="74" t="str">
        <f aca="false">IF($DT$10=0,"",INDEX(Network!$N$7:$N$28,$DT$10))</f>
        <v/>
      </c>
      <c r="AW41" s="77" t="str">
        <f aca="false">IF($DT$10=0,"",INDEX(Network!$P$7:$P$28,$DT$10))</f>
        <v/>
      </c>
      <c r="AX41" s="74" t="str">
        <f aca="false">IF($DT$10=0,"",INDEX(Network!$O$7:$O$28,$DT$10))</f>
        <v/>
      </c>
      <c r="BB41" s="74" t="str">
        <f aca="false">IF($DZ$10=0,"",INDEX(Network!$N$7:$N$28,$DZ$10))</f>
        <v/>
      </c>
      <c r="BC41" s="77" t="str">
        <f aca="false">IF($DZ$10=0,"",INDEX(Network!$P$7:$P$28,$DZ$10))</f>
        <v/>
      </c>
      <c r="BD41" s="74" t="str">
        <f aca="false">IF($DZ$10=0,"",INDEX(Network!$O$7:$O$28,$DZ$10))</f>
        <v/>
      </c>
      <c r="BH41" s="74" t="str">
        <f aca="false">IF($EF$10=0,"",INDEX(Network!$N$7:$N$28,$EF$10))</f>
        <v/>
      </c>
      <c r="BI41" s="77" t="str">
        <f aca="false">IF($EF$10=0,"",INDEX(Network!$P$7:$P$28,$EF$10))</f>
        <v/>
      </c>
      <c r="BJ41" s="74" t="str">
        <f aca="false">IF($EF$10=0,"",INDEX(Network!$O$7:$O$28,$EF$10))</f>
        <v/>
      </c>
      <c r="BN41" s="74" t="str">
        <f aca="false">IF($EL$10=0,"",INDEX(Network!$N$7:$N$28,$EL$10))</f>
        <v/>
      </c>
      <c r="BO41" s="77" t="str">
        <f aca="false">IF($EL$10=0,"",INDEX(Network!$P$7:$P$28,$EL$10))</f>
        <v/>
      </c>
      <c r="BP41" s="74" t="str">
        <f aca="false">IF($EL$10=0,"",INDEX(Network!$O$7:$O$28,$EL$10))</f>
        <v/>
      </c>
      <c r="BT41" s="74" t="str">
        <f aca="false">IF($ER$10=0,"",INDEX(Network!$N$7:$N$28,$ER$10))</f>
        <v/>
      </c>
      <c r="BU41" s="77" t="str">
        <f aca="false">IF($ER$10=0,"",INDEX(Network!$P$7:$P$28,$ER$10))</f>
        <v/>
      </c>
      <c r="BV41" s="74" t="str">
        <f aca="false">IF($ER$10=0,"",INDEX(Network!$O$7:$O$28,$ER$10))</f>
        <v/>
      </c>
      <c r="BZ41" s="73"/>
    </row>
    <row r="42" customFormat="false" ht="10.5" hidden="false" customHeight="true" outlineLevel="0" collapsed="false">
      <c r="B42" s="73"/>
      <c r="F42" s="78" t="str">
        <f aca="false">IF($CD$10=0,"",INDEX(Network!$B$7:$B$28,$CD$10)&amp;IF(INDEX(Network!$D$7:$D$28,$CD$10)="",""," ·  after "&amp;INDEX(Network!$D$7:$D$28,$CD$10)&amp;IF(INDEX(Network!$E$7:$E$28,$CD$10)="","",", "&amp;INDEX(Network!$E$7:$E$28,$CD$10))&amp;IF(INDEX(Network!$F$7:$F$28,$CD$10)="","",", "&amp;INDEX(Network!$F$7:$F$28,$CD$10))))</f>
        <v/>
      </c>
      <c r="G42" s="78"/>
      <c r="H42" s="78"/>
      <c r="L42" s="78" t="str">
        <f aca="false">IF($CJ$10=0,"",INDEX(Network!$B$7:$B$28,$CJ$10)&amp;IF(INDEX(Network!$D$7:$D$28,$CJ$10)="",""," ·  after "&amp;INDEX(Network!$D$7:$D$28,$CJ$10)&amp;IF(INDEX(Network!$E$7:$E$28,$CJ$10)="","",", "&amp;INDEX(Network!$E$7:$E$28,$CJ$10))&amp;IF(INDEX(Network!$F$7:$F$28,$CJ$10)="","",", "&amp;INDEX(Network!$F$7:$F$28,$CJ$10))))</f>
        <v/>
      </c>
      <c r="M42" s="78"/>
      <c r="N42" s="78"/>
      <c r="R42" s="78" t="str">
        <f aca="false">IF($CP$10=0,"",INDEX(Network!$B$7:$B$28,$CP$10)&amp;IF(INDEX(Network!$D$7:$D$28,$CP$10)="",""," ·  after "&amp;INDEX(Network!$D$7:$D$28,$CP$10)&amp;IF(INDEX(Network!$E$7:$E$28,$CP$10)="","",", "&amp;INDEX(Network!$E$7:$E$28,$CP$10))&amp;IF(INDEX(Network!$F$7:$F$28,$CP$10)="","",", "&amp;INDEX(Network!$F$7:$F$28,$CP$10))))</f>
        <v/>
      </c>
      <c r="S42" s="78"/>
      <c r="T42" s="78"/>
      <c r="X42" s="78" t="str">
        <f aca="false">IF($CV$10=0,"",INDEX(Network!$B$7:$B$28,$CV$10)&amp;IF(INDEX(Network!$D$7:$D$28,$CV$10)="",""," ·  after "&amp;INDEX(Network!$D$7:$D$28,$CV$10)&amp;IF(INDEX(Network!$E$7:$E$28,$CV$10)="","",", "&amp;INDEX(Network!$E$7:$E$28,$CV$10))&amp;IF(INDEX(Network!$F$7:$F$28,$CV$10)="","",", "&amp;INDEX(Network!$F$7:$F$28,$CV$10))))</f>
        <v/>
      </c>
      <c r="Y42" s="78"/>
      <c r="Z42" s="78"/>
      <c r="AD42" s="78" t="str">
        <f aca="false">IF($DB$10=0,"",INDEX(Network!$B$7:$B$28,$DB$10)&amp;IF(INDEX(Network!$D$7:$D$28,$DB$10)="",""," ·  after "&amp;INDEX(Network!$D$7:$D$28,$DB$10)&amp;IF(INDEX(Network!$E$7:$E$28,$DB$10)="","",", "&amp;INDEX(Network!$E$7:$E$28,$DB$10))&amp;IF(INDEX(Network!$F$7:$F$28,$DB$10)="","",", "&amp;INDEX(Network!$F$7:$F$28,$DB$10))))</f>
        <v/>
      </c>
      <c r="AE42" s="78"/>
      <c r="AF42" s="78"/>
      <c r="AJ42" s="78" t="str">
        <f aca="false">IF($DH$10=0,"",INDEX(Network!$B$7:$B$28,$DH$10)&amp;IF(INDEX(Network!$D$7:$D$28,$DH$10)="",""," ·  after "&amp;INDEX(Network!$D$7:$D$28,$DH$10)&amp;IF(INDEX(Network!$E$7:$E$28,$DH$10)="","",", "&amp;INDEX(Network!$E$7:$E$28,$DH$10))&amp;IF(INDEX(Network!$F$7:$F$28,$DH$10)="","",", "&amp;INDEX(Network!$F$7:$F$28,$DH$10))))</f>
        <v/>
      </c>
      <c r="AK42" s="78"/>
      <c r="AL42" s="78"/>
      <c r="AP42" s="78" t="str">
        <f aca="false">IF($DN$10=0,"",INDEX(Network!$B$7:$B$28,$DN$10)&amp;IF(INDEX(Network!$D$7:$D$28,$DN$10)="",""," ·  after "&amp;INDEX(Network!$D$7:$D$28,$DN$10)&amp;IF(INDEX(Network!$E$7:$E$28,$DN$10)="","",", "&amp;INDEX(Network!$E$7:$E$28,$DN$10))&amp;IF(INDEX(Network!$F$7:$F$28,$DN$10)="","",", "&amp;INDEX(Network!$F$7:$F$28,$DN$10))))</f>
        <v/>
      </c>
      <c r="AQ42" s="78"/>
      <c r="AR42" s="78"/>
      <c r="AV42" s="78" t="str">
        <f aca="false">IF($DT$10=0,"",INDEX(Network!$B$7:$B$28,$DT$10)&amp;IF(INDEX(Network!$D$7:$D$28,$DT$10)="",""," ·  after "&amp;INDEX(Network!$D$7:$D$28,$DT$10)&amp;IF(INDEX(Network!$E$7:$E$28,$DT$10)="","",", "&amp;INDEX(Network!$E$7:$E$28,$DT$10))&amp;IF(INDEX(Network!$F$7:$F$28,$DT$10)="","",", "&amp;INDEX(Network!$F$7:$F$28,$DT$10))))</f>
        <v/>
      </c>
      <c r="AW42" s="78"/>
      <c r="AX42" s="78"/>
      <c r="BB42" s="78" t="str">
        <f aca="false">IF($DZ$10=0,"",INDEX(Network!$B$7:$B$28,$DZ$10)&amp;IF(INDEX(Network!$D$7:$D$28,$DZ$10)="",""," ·  after "&amp;INDEX(Network!$D$7:$D$28,$DZ$10)&amp;IF(INDEX(Network!$E$7:$E$28,$DZ$10)="","",", "&amp;INDEX(Network!$E$7:$E$28,$DZ$10))&amp;IF(INDEX(Network!$F$7:$F$28,$DZ$10)="","",", "&amp;INDEX(Network!$F$7:$F$28,$DZ$10))))</f>
        <v/>
      </c>
      <c r="BC42" s="78"/>
      <c r="BD42" s="78"/>
      <c r="BH42" s="78" t="str">
        <f aca="false">IF($EF$10=0,"",INDEX(Network!$B$7:$B$28,$EF$10)&amp;IF(INDEX(Network!$D$7:$D$28,$EF$10)="",""," ·  after "&amp;INDEX(Network!$D$7:$D$28,$EF$10)&amp;IF(INDEX(Network!$E$7:$E$28,$EF$10)="","",", "&amp;INDEX(Network!$E$7:$E$28,$EF$10))&amp;IF(INDEX(Network!$F$7:$F$28,$EF$10)="","",", "&amp;INDEX(Network!$F$7:$F$28,$EF$10))))</f>
        <v/>
      </c>
      <c r="BI42" s="78"/>
      <c r="BJ42" s="78"/>
      <c r="BN42" s="78" t="str">
        <f aca="false">IF($EL$10=0,"",INDEX(Network!$B$7:$B$28,$EL$10)&amp;IF(INDEX(Network!$D$7:$D$28,$EL$10)="",""," ·  after "&amp;INDEX(Network!$D$7:$D$28,$EL$10)&amp;IF(INDEX(Network!$E$7:$E$28,$EL$10)="","",", "&amp;INDEX(Network!$E$7:$E$28,$EL$10))&amp;IF(INDEX(Network!$F$7:$F$28,$EL$10)="","",", "&amp;INDEX(Network!$F$7:$F$28,$EL$10))))</f>
        <v/>
      </c>
      <c r="BO42" s="78"/>
      <c r="BP42" s="78"/>
      <c r="BT42" s="78" t="str">
        <f aca="false">IF($ER$10=0,"",INDEX(Network!$B$7:$B$28,$ER$10)&amp;IF(INDEX(Network!$D$7:$D$28,$ER$10)="",""," ·  after "&amp;INDEX(Network!$D$7:$D$28,$ER$10)&amp;IF(INDEX(Network!$E$7:$E$28,$ER$10)="","",", "&amp;INDEX(Network!$E$7:$E$28,$ER$10))&amp;IF(INDEX(Network!$F$7:$F$28,$ER$10)="","",", "&amp;INDEX(Network!$F$7:$F$28,$ER$10))))</f>
        <v/>
      </c>
      <c r="BU42" s="78"/>
      <c r="BV42" s="78"/>
      <c r="BZ42" s="73"/>
    </row>
    <row r="43" customFormat="false" ht="6" hidden="false" customHeight="true" outlineLevel="0" collapsed="false">
      <c r="B43" s="73"/>
      <c r="BZ43" s="73"/>
    </row>
    <row r="44" customFormat="false" ht="6" hidden="false" customHeight="true" outlineLevel="0" collapsed="false"/>
    <row r="45" customFormat="false" ht="25.5" hidden="false" customHeight="true" outlineLevel="0" collapsed="false">
      <c r="B45" s="79" t="s">
        <v>179</v>
      </c>
      <c r="C45" s="79"/>
      <c r="D45" s="79"/>
      <c r="E45" s="79"/>
      <c r="F45" s="79"/>
      <c r="G45" s="79"/>
      <c r="H45" s="79"/>
      <c r="L45" s="80" t="n">
        <f aca="false">SUMPRODUCT((Network!$X$7:$X$28&gt;12)*1)+SUMPRODUCT((Network!$Y$7:$Y$28&gt;5)*1)</f>
        <v>0</v>
      </c>
      <c r="O45" s="81" t="s">
        <v>180</v>
      </c>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c r="AT45" s="81"/>
      <c r="AU45" s="81"/>
      <c r="AV45" s="81"/>
      <c r="AW45" s="81"/>
      <c r="AX45" s="81"/>
      <c r="AY45" s="81"/>
      <c r="AZ45" s="81"/>
      <c r="BA45" s="81"/>
      <c r="BB45" s="81"/>
      <c r="BC45" s="81"/>
      <c r="BD45" s="81"/>
      <c r="BE45" s="81"/>
      <c r="BF45" s="81"/>
      <c r="BG45" s="81"/>
      <c r="BH45" s="81"/>
      <c r="BI45" s="81"/>
      <c r="BJ45" s="81"/>
      <c r="BK45" s="81"/>
      <c r="BL45" s="81"/>
      <c r="BM45" s="81"/>
      <c r="BN45" s="81"/>
      <c r="BO45" s="81"/>
      <c r="BP45" s="81"/>
      <c r="BQ45" s="81"/>
      <c r="BR45" s="81"/>
      <c r="BS45" s="81"/>
      <c r="BT45" s="81"/>
      <c r="BU45" s="81"/>
      <c r="BV45" s="81"/>
      <c r="BW45" s="81"/>
      <c r="BX45" s="81"/>
      <c r="BY45" s="81"/>
      <c r="BZ45" s="81"/>
      <c r="CA45" s="81"/>
    </row>
    <row r="46" customFormat="false" ht="25.5" hidden="false" customHeight="true" outlineLevel="0" collapsed="false">
      <c r="B46" s="79" t="s">
        <v>181</v>
      </c>
      <c r="C46" s="79"/>
      <c r="D46" s="79"/>
      <c r="E46" s="79"/>
      <c r="F46" s="79"/>
      <c r="G46" s="79"/>
      <c r="H46" s="79"/>
      <c r="L46" s="80" t="n">
        <f aca="false">$CI$10+$CO$10+$CU$10+$DA$10+$DG$10+$DM$10+$DS$10+$DY$10+$EE$10+$EK$10+$EQ$10+$EW$10</f>
        <v>0</v>
      </c>
      <c r="O46" s="81" t="s">
        <v>182</v>
      </c>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c r="AT46" s="81"/>
      <c r="AU46" s="81"/>
      <c r="AV46" s="81"/>
      <c r="AW46" s="81"/>
      <c r="AX46" s="81"/>
      <c r="AY46" s="81"/>
      <c r="AZ46" s="81"/>
      <c r="BA46" s="81"/>
      <c r="BB46" s="81"/>
      <c r="BC46" s="81"/>
      <c r="BD46" s="81"/>
      <c r="BE46" s="81"/>
      <c r="BF46" s="81"/>
      <c r="BG46" s="81"/>
      <c r="BH46" s="81"/>
      <c r="BI46" s="81"/>
      <c r="BJ46" s="81"/>
      <c r="BK46" s="81"/>
      <c r="BL46" s="81"/>
      <c r="BM46" s="81"/>
      <c r="BN46" s="81"/>
      <c r="BO46" s="81"/>
      <c r="BP46" s="81"/>
      <c r="BQ46" s="81"/>
      <c r="BR46" s="81"/>
      <c r="BS46" s="81"/>
      <c r="BT46" s="81"/>
      <c r="BU46" s="81"/>
      <c r="BV46" s="81"/>
      <c r="BW46" s="81"/>
      <c r="BX46" s="81"/>
      <c r="BY46" s="81"/>
      <c r="BZ46" s="81"/>
      <c r="CA46" s="81"/>
    </row>
    <row r="47" customFormat="false" ht="12.75" hidden="false" customHeight="true" outlineLevel="0" collapsed="false">
      <c r="B47" s="15" t="s">
        <v>183</v>
      </c>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row>
    <row r="48" customFormat="false" ht="12.75" hidden="false" customHeight="true" outlineLevel="0" collapsed="false">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row>
    <row r="49" customFormat="false" ht="18" hidden="false" customHeight="true" outlineLevel="0" collapsed="false">
      <c r="B49" s="25" t="s">
        <v>76</v>
      </c>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row>
  </sheetData>
  <mergeCells count="149">
    <mergeCell ref="B1:CA1"/>
    <mergeCell ref="B2:CA2"/>
    <mergeCell ref="B3:CA3"/>
    <mergeCell ref="B4:CA4"/>
    <mergeCell ref="B6:E7"/>
    <mergeCell ref="L6:CA10"/>
    <mergeCell ref="F7:H7"/>
    <mergeCell ref="F10:H10"/>
    <mergeCell ref="B12:CA12"/>
    <mergeCell ref="F13:H13"/>
    <mergeCell ref="L13:N13"/>
    <mergeCell ref="R13:T13"/>
    <mergeCell ref="X13:Z13"/>
    <mergeCell ref="AD13:AF13"/>
    <mergeCell ref="AJ13:AL13"/>
    <mergeCell ref="AP13:AR13"/>
    <mergeCell ref="AV13:AX13"/>
    <mergeCell ref="BB13:BD13"/>
    <mergeCell ref="BH13:BJ13"/>
    <mergeCell ref="BN13:BP13"/>
    <mergeCell ref="BT13:BV13"/>
    <mergeCell ref="B14:B43"/>
    <mergeCell ref="BZ14:BZ43"/>
    <mergeCell ref="F15:H15"/>
    <mergeCell ref="L15:N15"/>
    <mergeCell ref="R15:T15"/>
    <mergeCell ref="X15:Z15"/>
    <mergeCell ref="AD15:AF15"/>
    <mergeCell ref="AJ15:AL15"/>
    <mergeCell ref="AP15:AR15"/>
    <mergeCell ref="AV15:AX15"/>
    <mergeCell ref="BB15:BD15"/>
    <mergeCell ref="BH15:BJ15"/>
    <mergeCell ref="BN15:BP15"/>
    <mergeCell ref="BT15:BV15"/>
    <mergeCell ref="F18:H18"/>
    <mergeCell ref="L18:N18"/>
    <mergeCell ref="R18:T18"/>
    <mergeCell ref="X18:Z18"/>
    <mergeCell ref="AD18:AF18"/>
    <mergeCell ref="AJ18:AL18"/>
    <mergeCell ref="AP18:AR18"/>
    <mergeCell ref="AV18:AX18"/>
    <mergeCell ref="BB18:BD18"/>
    <mergeCell ref="BH18:BJ18"/>
    <mergeCell ref="BN18:BP18"/>
    <mergeCell ref="BT18:BV18"/>
    <mergeCell ref="F21:H21"/>
    <mergeCell ref="L21:N21"/>
    <mergeCell ref="R21:T21"/>
    <mergeCell ref="X21:Z21"/>
    <mergeCell ref="AD21:AF21"/>
    <mergeCell ref="AJ21:AL21"/>
    <mergeCell ref="AP21:AR21"/>
    <mergeCell ref="AV21:AX21"/>
    <mergeCell ref="BB21:BD21"/>
    <mergeCell ref="BH21:BJ21"/>
    <mergeCell ref="BN21:BP21"/>
    <mergeCell ref="BT21:BV21"/>
    <mergeCell ref="F24:H24"/>
    <mergeCell ref="L24:N24"/>
    <mergeCell ref="R24:T24"/>
    <mergeCell ref="X24:Z24"/>
    <mergeCell ref="AD24:AF24"/>
    <mergeCell ref="AJ24:AL24"/>
    <mergeCell ref="AP24:AR24"/>
    <mergeCell ref="AV24:AX24"/>
    <mergeCell ref="BB24:BD24"/>
    <mergeCell ref="BH24:BJ24"/>
    <mergeCell ref="BN24:BP24"/>
    <mergeCell ref="BT24:BV24"/>
    <mergeCell ref="F27:H27"/>
    <mergeCell ref="L27:N27"/>
    <mergeCell ref="R27:T27"/>
    <mergeCell ref="X27:Z27"/>
    <mergeCell ref="AD27:AF27"/>
    <mergeCell ref="AJ27:AL27"/>
    <mergeCell ref="AP27:AR27"/>
    <mergeCell ref="AV27:AX27"/>
    <mergeCell ref="BB27:BD27"/>
    <mergeCell ref="BH27:BJ27"/>
    <mergeCell ref="BN27:BP27"/>
    <mergeCell ref="BT27:BV27"/>
    <mergeCell ref="F30:H30"/>
    <mergeCell ref="L30:N30"/>
    <mergeCell ref="R30:T30"/>
    <mergeCell ref="X30:Z30"/>
    <mergeCell ref="AD30:AF30"/>
    <mergeCell ref="AJ30:AL30"/>
    <mergeCell ref="AP30:AR30"/>
    <mergeCell ref="AV30:AX30"/>
    <mergeCell ref="BB30:BD30"/>
    <mergeCell ref="BH30:BJ30"/>
    <mergeCell ref="BN30:BP30"/>
    <mergeCell ref="BT30:BV30"/>
    <mergeCell ref="F33:H33"/>
    <mergeCell ref="L33:N33"/>
    <mergeCell ref="R33:T33"/>
    <mergeCell ref="X33:Z33"/>
    <mergeCell ref="AD33:AF33"/>
    <mergeCell ref="AJ33:AL33"/>
    <mergeCell ref="AP33:AR33"/>
    <mergeCell ref="AV33:AX33"/>
    <mergeCell ref="BB33:BD33"/>
    <mergeCell ref="BH33:BJ33"/>
    <mergeCell ref="BN33:BP33"/>
    <mergeCell ref="BT33:BV33"/>
    <mergeCell ref="F36:H36"/>
    <mergeCell ref="L36:N36"/>
    <mergeCell ref="R36:T36"/>
    <mergeCell ref="X36:Z36"/>
    <mergeCell ref="AD36:AF36"/>
    <mergeCell ref="AJ36:AL36"/>
    <mergeCell ref="AP36:AR36"/>
    <mergeCell ref="AV36:AX36"/>
    <mergeCell ref="BB36:BD36"/>
    <mergeCell ref="BH36:BJ36"/>
    <mergeCell ref="BN36:BP36"/>
    <mergeCell ref="BT36:BV36"/>
    <mergeCell ref="F39:H39"/>
    <mergeCell ref="L39:N39"/>
    <mergeCell ref="R39:T39"/>
    <mergeCell ref="X39:Z39"/>
    <mergeCell ref="AD39:AF39"/>
    <mergeCell ref="AJ39:AL39"/>
    <mergeCell ref="AP39:AR39"/>
    <mergeCell ref="AV39:AX39"/>
    <mergeCell ref="BB39:BD39"/>
    <mergeCell ref="BH39:BJ39"/>
    <mergeCell ref="BN39:BP39"/>
    <mergeCell ref="BT39:BV39"/>
    <mergeCell ref="F42:H42"/>
    <mergeCell ref="L42:N42"/>
    <mergeCell ref="R42:T42"/>
    <mergeCell ref="X42:Z42"/>
    <mergeCell ref="AD42:AF42"/>
    <mergeCell ref="AJ42:AL42"/>
    <mergeCell ref="AP42:AR42"/>
    <mergeCell ref="AV42:AX42"/>
    <mergeCell ref="BB42:BD42"/>
    <mergeCell ref="BH42:BJ42"/>
    <mergeCell ref="BN42:BP42"/>
    <mergeCell ref="BT42:BV42"/>
    <mergeCell ref="B45:H45"/>
    <mergeCell ref="O45:CA45"/>
    <mergeCell ref="B46:H46"/>
    <mergeCell ref="O46:CA46"/>
    <mergeCell ref="B47:CA48"/>
    <mergeCell ref="B49:CA49"/>
  </mergeCells>
  <conditionalFormatting sqref="B3:CA3">
    <cfRule type="expression" priority="2" aboveAverage="0" equalAverage="0" bottom="0" percent="0" rank="0" text="" dxfId="0">
      <formula>LEN($B$3)&gt;0</formula>
    </cfRule>
  </conditionalFormatting>
  <conditionalFormatting sqref="C16:E16">
    <cfRule type="expression" priority="3" aboveAverage="0" equalAverage="0" bottom="0" percent="0" rank="0" text="" dxfId="15">
      <formula>$CD$6&gt;0</formula>
    </cfRule>
  </conditionalFormatting>
  <conditionalFormatting sqref="F14:H18">
    <cfRule type="expression" priority="4" aboveAverage="0" equalAverage="0" bottom="0" percent="0" rank="0" text="" dxfId="16">
      <formula>AND($CD$6&gt;0,INDEX(Network!$P$7:$P$28,$CD$6)="")</formula>
    </cfRule>
    <cfRule type="expression" priority="5" aboveAverage="0" equalAverage="0" bottom="0" percent="0" rank="0" text="" dxfId="11">
      <formula>AND($CD$6&gt;0,INDEX(Network!$P$7:$P$28,$CD$6)&lt;&gt;"",INDEX(Network!$P$7:$P$28,$CD$6)&lt;=Setup!$D$31)</formula>
    </cfRule>
    <cfRule type="expression" priority="6" aboveAverage="0" equalAverage="0" bottom="0" percent="0" rank="0" text="" dxfId="12">
      <formula>AND($CD$6&gt;0,INDEX(Network!$P$7:$P$28,$CD$6)&lt;&gt;"",INDEX(Network!$P$7:$P$28,$CD$6)&gt;Setup!$D$31,INDEX(Network!$P$7:$P$28,$CD$6)&lt;=Setup!$D$31+Setup!$D$20)</formula>
    </cfRule>
    <cfRule type="expression" priority="7" aboveAverage="0" equalAverage="0" bottom="0" percent="0" rank="0" text="" dxfId="14">
      <formula>AND($CD$6&gt;0,INDEX(Network!$P$7:$P$28,$CD$6)&lt;&gt;"",INDEX(Network!$P$7:$P$28,$CD$6)&gt;Setup!$D$31+Setup!$D$20)</formula>
    </cfRule>
  </conditionalFormatting>
  <conditionalFormatting sqref="F16:H16">
    <cfRule type="expression" priority="8" aboveAverage="0" equalAverage="0" bottom="0" percent="0" rank="0" text="" dxfId="15">
      <formula>AND($CD$6=0,$CE$6&gt;0)</formula>
    </cfRule>
  </conditionalFormatting>
  <conditionalFormatting sqref="I16">
    <cfRule type="expression" priority="9" aboveAverage="0" equalAverage="0" bottom="0" percent="0" rank="0" text="" dxfId="15">
      <formula>($CF$6+$CH$6)&gt;0</formula>
    </cfRule>
  </conditionalFormatting>
  <conditionalFormatting sqref="K16">
    <cfRule type="expression" priority="10" aboveAverage="0" equalAverage="0" bottom="0" percent="0" rank="0" text="" dxfId="15">
      <formula>($CK$6+$CG$6+$CH$6)&gt;0</formula>
    </cfRule>
  </conditionalFormatting>
  <conditionalFormatting sqref="J16">
    <cfRule type="expression" priority="11" aboveAverage="0" equalAverage="0" bottom="0" percent="0" rank="0" text="" dxfId="15">
      <formula>OR(($CF$6+$CH$6)&gt;0,($CK$6+$CG$6+$CH$6)&gt;0,0,$CI$6&gt;0)</formula>
    </cfRule>
  </conditionalFormatting>
  <conditionalFormatting sqref="J17:J19">
    <cfRule type="expression" priority="12" aboveAverage="0" equalAverage="0" bottom="0" percent="0" rank="0" text="" dxfId="15">
      <formula>$CI$6&gt;0</formula>
    </cfRule>
  </conditionalFormatting>
  <conditionalFormatting sqref="L14:N18">
    <cfRule type="expression" priority="13" aboveAverage="0" equalAverage="0" bottom="0" percent="0" rank="0" text="" dxfId="16">
      <formula>AND($CJ$6&gt;0,INDEX(Network!$P$7:$P$28,$CJ$6)="")</formula>
    </cfRule>
    <cfRule type="expression" priority="14" aboveAverage="0" equalAverage="0" bottom="0" percent="0" rank="0" text="" dxfId="11">
      <formula>AND($CJ$6&gt;0,INDEX(Network!$P$7:$P$28,$CJ$6)&lt;&gt;"",INDEX(Network!$P$7:$P$28,$CJ$6)&lt;=Setup!$D$31)</formula>
    </cfRule>
    <cfRule type="expression" priority="15" aboveAverage="0" equalAverage="0" bottom="0" percent="0" rank="0" text="" dxfId="12">
      <formula>AND($CJ$6&gt;0,INDEX(Network!$P$7:$P$28,$CJ$6)&lt;&gt;"",INDEX(Network!$P$7:$P$28,$CJ$6)&gt;Setup!$D$31,INDEX(Network!$P$7:$P$28,$CJ$6)&lt;=Setup!$D$31+Setup!$D$20)</formula>
    </cfRule>
    <cfRule type="expression" priority="16" aboveAverage="0" equalAverage="0" bottom="0" percent="0" rank="0" text="" dxfId="14">
      <formula>AND($CJ$6&gt;0,INDEX(Network!$P$7:$P$28,$CJ$6)&lt;&gt;"",INDEX(Network!$P$7:$P$28,$CJ$6)&gt;Setup!$D$31+Setup!$D$20)</formula>
    </cfRule>
  </conditionalFormatting>
  <conditionalFormatting sqref="L16:N16">
    <cfRule type="expression" priority="17" aboveAverage="0" equalAverage="0" bottom="0" percent="0" rank="0" text="" dxfId="15">
      <formula>AND($CJ$6=0,($CK$6+$CH$6)&gt;0)</formula>
    </cfRule>
  </conditionalFormatting>
  <conditionalFormatting sqref="O16">
    <cfRule type="expression" priority="18" aboveAverage="0" equalAverage="0" bottom="0" percent="0" rank="0" text="" dxfId="15">
      <formula>($CL$6+$CN$6)&gt;0</formula>
    </cfRule>
  </conditionalFormatting>
  <conditionalFormatting sqref="Q16">
    <cfRule type="expression" priority="19" aboveAverage="0" equalAverage="0" bottom="0" percent="0" rank="0" text="" dxfId="15">
      <formula>($CQ$6+$CM$6+$CN$6)&gt;0</formula>
    </cfRule>
  </conditionalFormatting>
  <conditionalFormatting sqref="P16">
    <cfRule type="expression" priority="20" aboveAverage="0" equalAverage="0" bottom="0" percent="0" rank="0" text="" dxfId="15">
      <formula>OR(($CL$6+$CN$6)&gt;0,($CQ$6+$CM$6+$CN$6)&gt;0,0,$CO$6&gt;0)</formula>
    </cfRule>
  </conditionalFormatting>
  <conditionalFormatting sqref="P17:P19">
    <cfRule type="expression" priority="21" aboveAverage="0" equalAverage="0" bottom="0" percent="0" rank="0" text="" dxfId="15">
      <formula>$CO$6&gt;0</formula>
    </cfRule>
  </conditionalFormatting>
  <conditionalFormatting sqref="R14:T18">
    <cfRule type="expression" priority="22" aboveAverage="0" equalAverage="0" bottom="0" percent="0" rank="0" text="" dxfId="16">
      <formula>AND($CP$6&gt;0,INDEX(Network!$P$7:$P$28,$CP$6)="")</formula>
    </cfRule>
    <cfRule type="expression" priority="23" aboveAverage="0" equalAverage="0" bottom="0" percent="0" rank="0" text="" dxfId="11">
      <formula>AND($CP$6&gt;0,INDEX(Network!$P$7:$P$28,$CP$6)&lt;&gt;"",INDEX(Network!$P$7:$P$28,$CP$6)&lt;=Setup!$D$31)</formula>
    </cfRule>
    <cfRule type="expression" priority="24" aboveAverage="0" equalAverage="0" bottom="0" percent="0" rank="0" text="" dxfId="12">
      <formula>AND($CP$6&gt;0,INDEX(Network!$P$7:$P$28,$CP$6)&lt;&gt;"",INDEX(Network!$P$7:$P$28,$CP$6)&gt;Setup!$D$31,INDEX(Network!$P$7:$P$28,$CP$6)&lt;=Setup!$D$31+Setup!$D$20)</formula>
    </cfRule>
    <cfRule type="expression" priority="25" aboveAverage="0" equalAverage="0" bottom="0" percent="0" rank="0" text="" dxfId="14">
      <formula>AND($CP$6&gt;0,INDEX(Network!$P$7:$P$28,$CP$6)&lt;&gt;"",INDEX(Network!$P$7:$P$28,$CP$6)&gt;Setup!$D$31+Setup!$D$20)</formula>
    </cfRule>
  </conditionalFormatting>
  <conditionalFormatting sqref="R16:T16">
    <cfRule type="expression" priority="26" aboveAverage="0" equalAverage="0" bottom="0" percent="0" rank="0" text="" dxfId="15">
      <formula>AND($CP$6=0,($CQ$6+$CN$6)&gt;0)</formula>
    </cfRule>
  </conditionalFormatting>
  <conditionalFormatting sqref="U16">
    <cfRule type="expression" priority="27" aboveAverage="0" equalAverage="0" bottom="0" percent="0" rank="0" text="" dxfId="15">
      <formula>($CR$6+$CT$6)&gt;0</formula>
    </cfRule>
  </conditionalFormatting>
  <conditionalFormatting sqref="W16">
    <cfRule type="expression" priority="28" aboveAverage="0" equalAverage="0" bottom="0" percent="0" rank="0" text="" dxfId="15">
      <formula>($CW$6+$CS$6+$CT$6)&gt;0</formula>
    </cfRule>
  </conditionalFormatting>
  <conditionalFormatting sqref="V16">
    <cfRule type="expression" priority="29" aboveAverage="0" equalAverage="0" bottom="0" percent="0" rank="0" text="" dxfId="15">
      <formula>OR(($CR$6+$CT$6)&gt;0,($CW$6+$CS$6+$CT$6)&gt;0,0,$CU$6&gt;0)</formula>
    </cfRule>
  </conditionalFormatting>
  <conditionalFormatting sqref="V17:V19">
    <cfRule type="expression" priority="30" aboveAverage="0" equalAverage="0" bottom="0" percent="0" rank="0" text="" dxfId="15">
      <formula>$CU$6&gt;0</formula>
    </cfRule>
  </conditionalFormatting>
  <conditionalFormatting sqref="X14:Z18">
    <cfRule type="expression" priority="31" aboveAverage="0" equalAverage="0" bottom="0" percent="0" rank="0" text="" dxfId="16">
      <formula>AND($CV$6&gt;0,INDEX(Network!$P$7:$P$28,$CV$6)="")</formula>
    </cfRule>
    <cfRule type="expression" priority="32" aboveAverage="0" equalAverage="0" bottom="0" percent="0" rank="0" text="" dxfId="11">
      <formula>AND($CV$6&gt;0,INDEX(Network!$P$7:$P$28,$CV$6)&lt;&gt;"",INDEX(Network!$P$7:$P$28,$CV$6)&lt;=Setup!$D$31)</formula>
    </cfRule>
    <cfRule type="expression" priority="33" aboveAverage="0" equalAverage="0" bottom="0" percent="0" rank="0" text="" dxfId="12">
      <formula>AND($CV$6&gt;0,INDEX(Network!$P$7:$P$28,$CV$6)&lt;&gt;"",INDEX(Network!$P$7:$P$28,$CV$6)&gt;Setup!$D$31,INDEX(Network!$P$7:$P$28,$CV$6)&lt;=Setup!$D$31+Setup!$D$20)</formula>
    </cfRule>
    <cfRule type="expression" priority="34" aboveAverage="0" equalAverage="0" bottom="0" percent="0" rank="0" text="" dxfId="14">
      <formula>AND($CV$6&gt;0,INDEX(Network!$P$7:$P$28,$CV$6)&lt;&gt;"",INDEX(Network!$P$7:$P$28,$CV$6)&gt;Setup!$D$31+Setup!$D$20)</formula>
    </cfRule>
  </conditionalFormatting>
  <conditionalFormatting sqref="X16:Z16">
    <cfRule type="expression" priority="35" aboveAverage="0" equalAverage="0" bottom="0" percent="0" rank="0" text="" dxfId="15">
      <formula>AND($CV$6=0,($CW$6+$CT$6)&gt;0)</formula>
    </cfRule>
  </conditionalFormatting>
  <conditionalFormatting sqref="AA16">
    <cfRule type="expression" priority="36" aboveAverage="0" equalAverage="0" bottom="0" percent="0" rank="0" text="" dxfId="15">
      <formula>($CX$6+$CZ$6)&gt;0</formula>
    </cfRule>
  </conditionalFormatting>
  <conditionalFormatting sqref="AC16">
    <cfRule type="expression" priority="37" aboveAverage="0" equalAverage="0" bottom="0" percent="0" rank="0" text="" dxfId="15">
      <formula>($DC$6+$CY$6+$CZ$6)&gt;0</formula>
    </cfRule>
  </conditionalFormatting>
  <conditionalFormatting sqref="AB16">
    <cfRule type="expression" priority="38" aboveAverage="0" equalAverage="0" bottom="0" percent="0" rank="0" text="" dxfId="15">
      <formula>OR(($CX$6+$CZ$6)&gt;0,($DC$6+$CY$6+$CZ$6)&gt;0,0,$DA$6&gt;0)</formula>
    </cfRule>
  </conditionalFormatting>
  <conditionalFormatting sqref="AB17:AB19">
    <cfRule type="expression" priority="39" aboveAverage="0" equalAverage="0" bottom="0" percent="0" rank="0" text="" dxfId="15">
      <formula>$DA$6&gt;0</formula>
    </cfRule>
  </conditionalFormatting>
  <conditionalFormatting sqref="AD14:AF18">
    <cfRule type="expression" priority="40" aboveAverage="0" equalAverage="0" bottom="0" percent="0" rank="0" text="" dxfId="16">
      <formula>AND($DB$6&gt;0,INDEX(Network!$P$7:$P$28,$DB$6)="")</formula>
    </cfRule>
    <cfRule type="expression" priority="41" aboveAverage="0" equalAverage="0" bottom="0" percent="0" rank="0" text="" dxfId="11">
      <formula>AND($DB$6&gt;0,INDEX(Network!$P$7:$P$28,$DB$6)&lt;&gt;"",INDEX(Network!$P$7:$P$28,$DB$6)&lt;=Setup!$D$31)</formula>
    </cfRule>
    <cfRule type="expression" priority="42" aboveAverage="0" equalAverage="0" bottom="0" percent="0" rank="0" text="" dxfId="12">
      <formula>AND($DB$6&gt;0,INDEX(Network!$P$7:$P$28,$DB$6)&lt;&gt;"",INDEX(Network!$P$7:$P$28,$DB$6)&gt;Setup!$D$31,INDEX(Network!$P$7:$P$28,$DB$6)&lt;=Setup!$D$31+Setup!$D$20)</formula>
    </cfRule>
    <cfRule type="expression" priority="43" aboveAverage="0" equalAverage="0" bottom="0" percent="0" rank="0" text="" dxfId="14">
      <formula>AND($DB$6&gt;0,INDEX(Network!$P$7:$P$28,$DB$6)&lt;&gt;"",INDEX(Network!$P$7:$P$28,$DB$6)&gt;Setup!$D$31+Setup!$D$20)</formula>
    </cfRule>
  </conditionalFormatting>
  <conditionalFormatting sqref="AD16:AF16">
    <cfRule type="expression" priority="44" aboveAverage="0" equalAverage="0" bottom="0" percent="0" rank="0" text="" dxfId="15">
      <formula>AND($DB$6=0,($DC$6+$CZ$6)&gt;0)</formula>
    </cfRule>
  </conditionalFormatting>
  <conditionalFormatting sqref="AG16">
    <cfRule type="expression" priority="45" aboveAverage="0" equalAverage="0" bottom="0" percent="0" rank="0" text="" dxfId="15">
      <formula>($DD$6+$DF$6)&gt;0</formula>
    </cfRule>
  </conditionalFormatting>
  <conditionalFormatting sqref="AI16">
    <cfRule type="expression" priority="46" aboveAverage="0" equalAverage="0" bottom="0" percent="0" rank="0" text="" dxfId="15">
      <formula>($DI$6+$DE$6+$DF$6)&gt;0</formula>
    </cfRule>
  </conditionalFormatting>
  <conditionalFormatting sqref="AH16">
    <cfRule type="expression" priority="47" aboveAverage="0" equalAverage="0" bottom="0" percent="0" rank="0" text="" dxfId="15">
      <formula>OR(($DD$6+$DF$6)&gt;0,($DI$6+$DE$6+$DF$6)&gt;0,0,$DG$6&gt;0)</formula>
    </cfRule>
  </conditionalFormatting>
  <conditionalFormatting sqref="AH17:AH19">
    <cfRule type="expression" priority="48" aboveAverage="0" equalAverage="0" bottom="0" percent="0" rank="0" text="" dxfId="15">
      <formula>$DG$6&gt;0</formula>
    </cfRule>
  </conditionalFormatting>
  <conditionalFormatting sqref="AJ14:AL18">
    <cfRule type="expression" priority="49" aboveAverage="0" equalAverage="0" bottom="0" percent="0" rank="0" text="" dxfId="16">
      <formula>AND($DH$6&gt;0,INDEX(Network!$P$7:$P$28,$DH$6)="")</formula>
    </cfRule>
    <cfRule type="expression" priority="50" aboveAverage="0" equalAverage="0" bottom="0" percent="0" rank="0" text="" dxfId="11">
      <formula>AND($DH$6&gt;0,INDEX(Network!$P$7:$P$28,$DH$6)&lt;&gt;"",INDEX(Network!$P$7:$P$28,$DH$6)&lt;=Setup!$D$31)</formula>
    </cfRule>
    <cfRule type="expression" priority="51" aboveAverage="0" equalAverage="0" bottom="0" percent="0" rank="0" text="" dxfId="12">
      <formula>AND($DH$6&gt;0,INDEX(Network!$P$7:$P$28,$DH$6)&lt;&gt;"",INDEX(Network!$P$7:$P$28,$DH$6)&gt;Setup!$D$31,INDEX(Network!$P$7:$P$28,$DH$6)&lt;=Setup!$D$31+Setup!$D$20)</formula>
    </cfRule>
    <cfRule type="expression" priority="52" aboveAverage="0" equalAverage="0" bottom="0" percent="0" rank="0" text="" dxfId="14">
      <formula>AND($DH$6&gt;0,INDEX(Network!$P$7:$P$28,$DH$6)&lt;&gt;"",INDEX(Network!$P$7:$P$28,$DH$6)&gt;Setup!$D$31+Setup!$D$20)</formula>
    </cfRule>
  </conditionalFormatting>
  <conditionalFormatting sqref="AJ16:AL16">
    <cfRule type="expression" priority="53" aboveAverage="0" equalAverage="0" bottom="0" percent="0" rank="0" text="" dxfId="15">
      <formula>AND($DH$6=0,($DI$6+$DF$6)&gt;0)</formula>
    </cfRule>
  </conditionalFormatting>
  <conditionalFormatting sqref="AM16">
    <cfRule type="expression" priority="54" aboveAverage="0" equalAverage="0" bottom="0" percent="0" rank="0" text="" dxfId="15">
      <formula>($DJ$6+$DL$6)&gt;0</formula>
    </cfRule>
  </conditionalFormatting>
  <conditionalFormatting sqref="AO16">
    <cfRule type="expression" priority="55" aboveAverage="0" equalAverage="0" bottom="0" percent="0" rank="0" text="" dxfId="15">
      <formula>($DO$6+$DK$6+$DL$6)&gt;0</formula>
    </cfRule>
  </conditionalFormatting>
  <conditionalFormatting sqref="AN16">
    <cfRule type="expression" priority="56" aboveAverage="0" equalAverage="0" bottom="0" percent="0" rank="0" text="" dxfId="15">
      <formula>OR(($DJ$6+$DL$6)&gt;0,($DO$6+$DK$6+$DL$6)&gt;0,0,$DM$6&gt;0)</formula>
    </cfRule>
  </conditionalFormatting>
  <conditionalFormatting sqref="AN17:AN19">
    <cfRule type="expression" priority="57" aboveAverage="0" equalAverage="0" bottom="0" percent="0" rank="0" text="" dxfId="15">
      <formula>$DM$6&gt;0</formula>
    </cfRule>
  </conditionalFormatting>
  <conditionalFormatting sqref="AP14:AR18">
    <cfRule type="expression" priority="58" aboveAverage="0" equalAverage="0" bottom="0" percent="0" rank="0" text="" dxfId="16">
      <formula>AND($DN$6&gt;0,INDEX(Network!$P$7:$P$28,$DN$6)="")</formula>
    </cfRule>
    <cfRule type="expression" priority="59" aboveAverage="0" equalAverage="0" bottom="0" percent="0" rank="0" text="" dxfId="11">
      <formula>AND($DN$6&gt;0,INDEX(Network!$P$7:$P$28,$DN$6)&lt;&gt;"",INDEX(Network!$P$7:$P$28,$DN$6)&lt;=Setup!$D$31)</formula>
    </cfRule>
    <cfRule type="expression" priority="60" aboveAverage="0" equalAverage="0" bottom="0" percent="0" rank="0" text="" dxfId="12">
      <formula>AND($DN$6&gt;0,INDEX(Network!$P$7:$P$28,$DN$6)&lt;&gt;"",INDEX(Network!$P$7:$P$28,$DN$6)&gt;Setup!$D$31,INDEX(Network!$P$7:$P$28,$DN$6)&lt;=Setup!$D$31+Setup!$D$20)</formula>
    </cfRule>
    <cfRule type="expression" priority="61" aboveAverage="0" equalAverage="0" bottom="0" percent="0" rank="0" text="" dxfId="14">
      <formula>AND($DN$6&gt;0,INDEX(Network!$P$7:$P$28,$DN$6)&lt;&gt;"",INDEX(Network!$P$7:$P$28,$DN$6)&gt;Setup!$D$31+Setup!$D$20)</formula>
    </cfRule>
  </conditionalFormatting>
  <conditionalFormatting sqref="AP16:AR16">
    <cfRule type="expression" priority="62" aboveAverage="0" equalAverage="0" bottom="0" percent="0" rank="0" text="" dxfId="15">
      <formula>AND($DN$6=0,($DO$6+$DL$6)&gt;0)</formula>
    </cfRule>
  </conditionalFormatting>
  <conditionalFormatting sqref="AS16">
    <cfRule type="expression" priority="63" aboveAverage="0" equalAverage="0" bottom="0" percent="0" rank="0" text="" dxfId="15">
      <formula>($DP$6+$DR$6)&gt;0</formula>
    </cfRule>
  </conditionalFormatting>
  <conditionalFormatting sqref="AU16">
    <cfRule type="expression" priority="64" aboveAverage="0" equalAverage="0" bottom="0" percent="0" rank="0" text="" dxfId="15">
      <formula>($DU$6+$DQ$6+$DR$6)&gt;0</formula>
    </cfRule>
  </conditionalFormatting>
  <conditionalFormatting sqref="AT16">
    <cfRule type="expression" priority="65" aboveAverage="0" equalAverage="0" bottom="0" percent="0" rank="0" text="" dxfId="15">
      <formula>OR(($DP$6+$DR$6)&gt;0,($DU$6+$DQ$6+$DR$6)&gt;0,0,$DS$6&gt;0)</formula>
    </cfRule>
  </conditionalFormatting>
  <conditionalFormatting sqref="AT17:AT19">
    <cfRule type="expression" priority="66" aboveAverage="0" equalAverage="0" bottom="0" percent="0" rank="0" text="" dxfId="15">
      <formula>$DS$6&gt;0</formula>
    </cfRule>
  </conditionalFormatting>
  <conditionalFormatting sqref="AV14:AX18">
    <cfRule type="expression" priority="67" aboveAverage="0" equalAverage="0" bottom="0" percent="0" rank="0" text="" dxfId="16">
      <formula>AND($DT$6&gt;0,INDEX(Network!$P$7:$P$28,$DT$6)="")</formula>
    </cfRule>
    <cfRule type="expression" priority="68" aboveAverage="0" equalAverage="0" bottom="0" percent="0" rank="0" text="" dxfId="11">
      <formula>AND($DT$6&gt;0,INDEX(Network!$P$7:$P$28,$DT$6)&lt;&gt;"",INDEX(Network!$P$7:$P$28,$DT$6)&lt;=Setup!$D$31)</formula>
    </cfRule>
    <cfRule type="expression" priority="69" aboveAverage="0" equalAverage="0" bottom="0" percent="0" rank="0" text="" dxfId="12">
      <formula>AND($DT$6&gt;0,INDEX(Network!$P$7:$P$28,$DT$6)&lt;&gt;"",INDEX(Network!$P$7:$P$28,$DT$6)&gt;Setup!$D$31,INDEX(Network!$P$7:$P$28,$DT$6)&lt;=Setup!$D$31+Setup!$D$20)</formula>
    </cfRule>
    <cfRule type="expression" priority="70" aboveAverage="0" equalAverage="0" bottom="0" percent="0" rank="0" text="" dxfId="14">
      <formula>AND($DT$6&gt;0,INDEX(Network!$P$7:$P$28,$DT$6)&lt;&gt;"",INDEX(Network!$P$7:$P$28,$DT$6)&gt;Setup!$D$31+Setup!$D$20)</formula>
    </cfRule>
  </conditionalFormatting>
  <conditionalFormatting sqref="AV16:AX16">
    <cfRule type="expression" priority="71" aboveAverage="0" equalAverage="0" bottom="0" percent="0" rank="0" text="" dxfId="15">
      <formula>AND($DT$6=0,($DU$6+$DR$6)&gt;0)</formula>
    </cfRule>
  </conditionalFormatting>
  <conditionalFormatting sqref="AY16">
    <cfRule type="expression" priority="72" aboveAverage="0" equalAverage="0" bottom="0" percent="0" rank="0" text="" dxfId="15">
      <formula>($DV$6+$DX$6)&gt;0</formula>
    </cfRule>
  </conditionalFormatting>
  <conditionalFormatting sqref="BA16">
    <cfRule type="expression" priority="73" aboveAverage="0" equalAverage="0" bottom="0" percent="0" rank="0" text="" dxfId="15">
      <formula>($EA$6+$DW$6+$DX$6)&gt;0</formula>
    </cfRule>
  </conditionalFormatting>
  <conditionalFormatting sqref="AZ16">
    <cfRule type="expression" priority="74" aboveAverage="0" equalAverage="0" bottom="0" percent="0" rank="0" text="" dxfId="15">
      <formula>OR(($DV$6+$DX$6)&gt;0,($EA$6+$DW$6+$DX$6)&gt;0,0,$DY$6&gt;0)</formula>
    </cfRule>
  </conditionalFormatting>
  <conditionalFormatting sqref="AZ17:AZ19">
    <cfRule type="expression" priority="75" aboveAverage="0" equalAverage="0" bottom="0" percent="0" rank="0" text="" dxfId="15">
      <formula>$DY$6&gt;0</formula>
    </cfRule>
  </conditionalFormatting>
  <conditionalFormatting sqref="BB14:BD18">
    <cfRule type="expression" priority="76" aboveAverage="0" equalAverage="0" bottom="0" percent="0" rank="0" text="" dxfId="16">
      <formula>AND($DZ$6&gt;0,INDEX(Network!$P$7:$P$28,$DZ$6)="")</formula>
    </cfRule>
    <cfRule type="expression" priority="77" aboveAverage="0" equalAverage="0" bottom="0" percent="0" rank="0" text="" dxfId="11">
      <formula>AND($DZ$6&gt;0,INDEX(Network!$P$7:$P$28,$DZ$6)&lt;&gt;"",INDEX(Network!$P$7:$P$28,$DZ$6)&lt;=Setup!$D$31)</formula>
    </cfRule>
    <cfRule type="expression" priority="78" aboveAverage="0" equalAverage="0" bottom="0" percent="0" rank="0" text="" dxfId="12">
      <formula>AND($DZ$6&gt;0,INDEX(Network!$P$7:$P$28,$DZ$6)&lt;&gt;"",INDEX(Network!$P$7:$P$28,$DZ$6)&gt;Setup!$D$31,INDEX(Network!$P$7:$P$28,$DZ$6)&lt;=Setup!$D$31+Setup!$D$20)</formula>
    </cfRule>
    <cfRule type="expression" priority="79" aboveAverage="0" equalAverage="0" bottom="0" percent="0" rank="0" text="" dxfId="14">
      <formula>AND($DZ$6&gt;0,INDEX(Network!$P$7:$P$28,$DZ$6)&lt;&gt;"",INDEX(Network!$P$7:$P$28,$DZ$6)&gt;Setup!$D$31+Setup!$D$20)</formula>
    </cfRule>
  </conditionalFormatting>
  <conditionalFormatting sqref="BB16:BD16">
    <cfRule type="expression" priority="80" aboveAverage="0" equalAverage="0" bottom="0" percent="0" rank="0" text="" dxfId="15">
      <formula>AND($DZ$6=0,($EA$6+$DX$6)&gt;0)</formula>
    </cfRule>
  </conditionalFormatting>
  <conditionalFormatting sqref="BE16">
    <cfRule type="expression" priority="81" aboveAverage="0" equalAverage="0" bottom="0" percent="0" rank="0" text="" dxfId="15">
      <formula>($EB$6+$ED$6)&gt;0</formula>
    </cfRule>
  </conditionalFormatting>
  <conditionalFormatting sqref="BG16">
    <cfRule type="expression" priority="82" aboveAverage="0" equalAverage="0" bottom="0" percent="0" rank="0" text="" dxfId="15">
      <formula>($EG$6+$EC$6+$ED$6)&gt;0</formula>
    </cfRule>
  </conditionalFormatting>
  <conditionalFormatting sqref="BF16">
    <cfRule type="expression" priority="83" aboveAverage="0" equalAverage="0" bottom="0" percent="0" rank="0" text="" dxfId="15">
      <formula>OR(($EB$6+$ED$6)&gt;0,($EG$6+$EC$6+$ED$6)&gt;0,0,$EE$6&gt;0)</formula>
    </cfRule>
  </conditionalFormatting>
  <conditionalFormatting sqref="BF17:BF19">
    <cfRule type="expression" priority="84" aboveAverage="0" equalAverage="0" bottom="0" percent="0" rank="0" text="" dxfId="15">
      <formula>$EE$6&gt;0</formula>
    </cfRule>
  </conditionalFormatting>
  <conditionalFormatting sqref="BH14:BJ18">
    <cfRule type="expression" priority="85" aboveAverage="0" equalAverage="0" bottom="0" percent="0" rank="0" text="" dxfId="16">
      <formula>AND($EF$6&gt;0,INDEX(Network!$P$7:$P$28,$EF$6)="")</formula>
    </cfRule>
    <cfRule type="expression" priority="86" aboveAverage="0" equalAverage="0" bottom="0" percent="0" rank="0" text="" dxfId="11">
      <formula>AND($EF$6&gt;0,INDEX(Network!$P$7:$P$28,$EF$6)&lt;&gt;"",INDEX(Network!$P$7:$P$28,$EF$6)&lt;=Setup!$D$31)</formula>
    </cfRule>
    <cfRule type="expression" priority="87" aboveAverage="0" equalAverage="0" bottom="0" percent="0" rank="0" text="" dxfId="12">
      <formula>AND($EF$6&gt;0,INDEX(Network!$P$7:$P$28,$EF$6)&lt;&gt;"",INDEX(Network!$P$7:$P$28,$EF$6)&gt;Setup!$D$31,INDEX(Network!$P$7:$P$28,$EF$6)&lt;=Setup!$D$31+Setup!$D$20)</formula>
    </cfRule>
    <cfRule type="expression" priority="88" aboveAverage="0" equalAverage="0" bottom="0" percent="0" rank="0" text="" dxfId="14">
      <formula>AND($EF$6&gt;0,INDEX(Network!$P$7:$P$28,$EF$6)&lt;&gt;"",INDEX(Network!$P$7:$P$28,$EF$6)&gt;Setup!$D$31+Setup!$D$20)</formula>
    </cfRule>
  </conditionalFormatting>
  <conditionalFormatting sqref="BH16:BJ16">
    <cfRule type="expression" priority="89" aboveAverage="0" equalAverage="0" bottom="0" percent="0" rank="0" text="" dxfId="15">
      <formula>AND($EF$6=0,($EG$6+$ED$6)&gt;0)</formula>
    </cfRule>
  </conditionalFormatting>
  <conditionalFormatting sqref="BK16">
    <cfRule type="expression" priority="90" aboveAverage="0" equalAverage="0" bottom="0" percent="0" rank="0" text="" dxfId="15">
      <formula>($EH$6+$EJ$6)&gt;0</formula>
    </cfRule>
  </conditionalFormatting>
  <conditionalFormatting sqref="BM16">
    <cfRule type="expression" priority="91" aboveAverage="0" equalAverage="0" bottom="0" percent="0" rank="0" text="" dxfId="15">
      <formula>($EM$6+$EI$6+$EJ$6)&gt;0</formula>
    </cfRule>
  </conditionalFormatting>
  <conditionalFormatting sqref="BL16">
    <cfRule type="expression" priority="92" aboveAverage="0" equalAverage="0" bottom="0" percent="0" rank="0" text="" dxfId="15">
      <formula>OR(($EH$6+$EJ$6)&gt;0,($EM$6+$EI$6+$EJ$6)&gt;0,0,$EK$6&gt;0)</formula>
    </cfRule>
  </conditionalFormatting>
  <conditionalFormatting sqref="BL17:BL19">
    <cfRule type="expression" priority="93" aboveAverage="0" equalAverage="0" bottom="0" percent="0" rank="0" text="" dxfId="15">
      <formula>$EK$6&gt;0</formula>
    </cfRule>
  </conditionalFormatting>
  <conditionalFormatting sqref="BN14:BP18">
    <cfRule type="expression" priority="94" aboveAverage="0" equalAverage="0" bottom="0" percent="0" rank="0" text="" dxfId="16">
      <formula>AND($EL$6&gt;0,INDEX(Network!$P$7:$P$28,$EL$6)="")</formula>
    </cfRule>
    <cfRule type="expression" priority="95" aboveAverage="0" equalAverage="0" bottom="0" percent="0" rank="0" text="" dxfId="11">
      <formula>AND($EL$6&gt;0,INDEX(Network!$P$7:$P$28,$EL$6)&lt;&gt;"",INDEX(Network!$P$7:$P$28,$EL$6)&lt;=Setup!$D$31)</formula>
    </cfRule>
    <cfRule type="expression" priority="96" aboveAverage="0" equalAverage="0" bottom="0" percent="0" rank="0" text="" dxfId="12">
      <formula>AND($EL$6&gt;0,INDEX(Network!$P$7:$P$28,$EL$6)&lt;&gt;"",INDEX(Network!$P$7:$P$28,$EL$6)&gt;Setup!$D$31,INDEX(Network!$P$7:$P$28,$EL$6)&lt;=Setup!$D$31+Setup!$D$20)</formula>
    </cfRule>
    <cfRule type="expression" priority="97" aboveAverage="0" equalAverage="0" bottom="0" percent="0" rank="0" text="" dxfId="14">
      <formula>AND($EL$6&gt;0,INDEX(Network!$P$7:$P$28,$EL$6)&lt;&gt;"",INDEX(Network!$P$7:$P$28,$EL$6)&gt;Setup!$D$31+Setup!$D$20)</formula>
    </cfRule>
  </conditionalFormatting>
  <conditionalFormatting sqref="BN16:BP16">
    <cfRule type="expression" priority="98" aboveAverage="0" equalAverage="0" bottom="0" percent="0" rank="0" text="" dxfId="15">
      <formula>AND($EL$6=0,($EM$6+$EJ$6)&gt;0)</formula>
    </cfRule>
  </conditionalFormatting>
  <conditionalFormatting sqref="BQ16">
    <cfRule type="expression" priority="99" aboveAverage="0" equalAverage="0" bottom="0" percent="0" rank="0" text="" dxfId="15">
      <formula>($EN$6+$EP$6)&gt;0</formula>
    </cfRule>
  </conditionalFormatting>
  <conditionalFormatting sqref="BS16">
    <cfRule type="expression" priority="100" aboveAverage="0" equalAverage="0" bottom="0" percent="0" rank="0" text="" dxfId="15">
      <formula>($ES$6+$EO$6+$EP$6)&gt;0</formula>
    </cfRule>
  </conditionalFormatting>
  <conditionalFormatting sqref="BR16">
    <cfRule type="expression" priority="101" aboveAverage="0" equalAverage="0" bottom="0" percent="0" rank="0" text="" dxfId="15">
      <formula>OR(($EN$6+$EP$6)&gt;0,($ES$6+$EO$6+$EP$6)&gt;0,0,$EQ$6&gt;0)</formula>
    </cfRule>
  </conditionalFormatting>
  <conditionalFormatting sqref="BR17:BR19">
    <cfRule type="expression" priority="102" aboveAverage="0" equalAverage="0" bottom="0" percent="0" rank="0" text="" dxfId="15">
      <formula>$EQ$6&gt;0</formula>
    </cfRule>
  </conditionalFormatting>
  <conditionalFormatting sqref="BT14:BV18">
    <cfRule type="expression" priority="103" aboveAverage="0" equalAverage="0" bottom="0" percent="0" rank="0" text="" dxfId="16">
      <formula>AND($ER$6&gt;0,INDEX(Network!$P$7:$P$28,$ER$6)="")</formula>
    </cfRule>
    <cfRule type="expression" priority="104" aboveAverage="0" equalAverage="0" bottom="0" percent="0" rank="0" text="" dxfId="11">
      <formula>AND($ER$6&gt;0,INDEX(Network!$P$7:$P$28,$ER$6)&lt;&gt;"",INDEX(Network!$P$7:$P$28,$ER$6)&lt;=Setup!$D$31)</formula>
    </cfRule>
    <cfRule type="expression" priority="105" aboveAverage="0" equalAverage="0" bottom="0" percent="0" rank="0" text="" dxfId="12">
      <formula>AND($ER$6&gt;0,INDEX(Network!$P$7:$P$28,$ER$6)&lt;&gt;"",INDEX(Network!$P$7:$P$28,$ER$6)&gt;Setup!$D$31,INDEX(Network!$P$7:$P$28,$ER$6)&lt;=Setup!$D$31+Setup!$D$20)</formula>
    </cfRule>
    <cfRule type="expression" priority="106" aboveAverage="0" equalAverage="0" bottom="0" percent="0" rank="0" text="" dxfId="14">
      <formula>AND($ER$6&gt;0,INDEX(Network!$P$7:$P$28,$ER$6)&lt;&gt;"",INDEX(Network!$P$7:$P$28,$ER$6)&gt;Setup!$D$31+Setup!$D$20)</formula>
    </cfRule>
  </conditionalFormatting>
  <conditionalFormatting sqref="BT16:BV16">
    <cfRule type="expression" priority="107" aboveAverage="0" equalAverage="0" bottom="0" percent="0" rank="0" text="" dxfId="15">
      <formula>AND($ER$6=0,($ES$6+$EP$6)&gt;0)</formula>
    </cfRule>
  </conditionalFormatting>
  <conditionalFormatting sqref="BW16">
    <cfRule type="expression" priority="108" aboveAverage="0" equalAverage="0" bottom="0" percent="0" rank="0" text="" dxfId="15">
      <formula>($ET$6+$EV$6)&gt;0</formula>
    </cfRule>
  </conditionalFormatting>
  <conditionalFormatting sqref="BY16">
    <cfRule type="expression" priority="109" aboveAverage="0" equalAverage="0" bottom="0" percent="0" rank="0" text="" dxfId="15">
      <formula>($EV$6)&gt;0</formula>
    </cfRule>
  </conditionalFormatting>
  <conditionalFormatting sqref="BX16">
    <cfRule type="expression" priority="110" aboveAverage="0" equalAverage="0" bottom="0" percent="0" rank="0" text="" dxfId="15">
      <formula>OR(($ET$6+$EV$6)&gt;0,($EV$6)&gt;0,0,0)</formula>
    </cfRule>
  </conditionalFormatting>
  <conditionalFormatting sqref="BX17:BX19">
    <cfRule type="expression" priority="111" aboveAverage="0" equalAverage="0" bottom="0" percent="0" rank="0" text="" dxfId="15">
      <formula>0</formula>
    </cfRule>
  </conditionalFormatting>
  <conditionalFormatting sqref="C22:E22">
    <cfRule type="expression" priority="112" aboveAverage="0" equalAverage="0" bottom="0" percent="0" rank="0" text="" dxfId="15">
      <formula>$CD$7&gt;0</formula>
    </cfRule>
  </conditionalFormatting>
  <conditionalFormatting sqref="F20:H24">
    <cfRule type="expression" priority="113" aboveAverage="0" equalAverage="0" bottom="0" percent="0" rank="0" text="" dxfId="16">
      <formula>AND($CD$7&gt;0,INDEX(Network!$P$7:$P$28,$CD$7)="")</formula>
    </cfRule>
    <cfRule type="expression" priority="114" aboveAverage="0" equalAverage="0" bottom="0" percent="0" rank="0" text="" dxfId="11">
      <formula>AND($CD$7&gt;0,INDEX(Network!$P$7:$P$28,$CD$7)&lt;&gt;"",INDEX(Network!$P$7:$P$28,$CD$7)&lt;=Setup!$D$31)</formula>
    </cfRule>
    <cfRule type="expression" priority="115" aboveAverage="0" equalAverage="0" bottom="0" percent="0" rank="0" text="" dxfId="12">
      <formula>AND($CD$7&gt;0,INDEX(Network!$P$7:$P$28,$CD$7)&lt;&gt;"",INDEX(Network!$P$7:$P$28,$CD$7)&gt;Setup!$D$31,INDEX(Network!$P$7:$P$28,$CD$7)&lt;=Setup!$D$31+Setup!$D$20)</formula>
    </cfRule>
    <cfRule type="expression" priority="116" aboveAverage="0" equalAverage="0" bottom="0" percent="0" rank="0" text="" dxfId="14">
      <formula>AND($CD$7&gt;0,INDEX(Network!$P$7:$P$28,$CD$7)&lt;&gt;"",INDEX(Network!$P$7:$P$28,$CD$7)&gt;Setup!$D$31+Setup!$D$20)</formula>
    </cfRule>
  </conditionalFormatting>
  <conditionalFormatting sqref="F22:H22">
    <cfRule type="expression" priority="117" aboveAverage="0" equalAverage="0" bottom="0" percent="0" rank="0" text="" dxfId="15">
      <formula>AND($CD$7=0,$CE$7&gt;0)</formula>
    </cfRule>
  </conditionalFormatting>
  <conditionalFormatting sqref="I22">
    <cfRule type="expression" priority="118" aboveAverage="0" equalAverage="0" bottom="0" percent="0" rank="0" text="" dxfId="15">
      <formula>($CF$7+$CH$7)&gt;0</formula>
    </cfRule>
  </conditionalFormatting>
  <conditionalFormatting sqref="K22">
    <cfRule type="expression" priority="119" aboveAverage="0" equalAverage="0" bottom="0" percent="0" rank="0" text="" dxfId="15">
      <formula>($CK$7+$CG$7+$CH$7)&gt;0</formula>
    </cfRule>
  </conditionalFormatting>
  <conditionalFormatting sqref="J22">
    <cfRule type="expression" priority="120" aboveAverage="0" equalAverage="0" bottom="0" percent="0" rank="0" text="" dxfId="15">
      <formula>OR(($CF$7+$CH$7)&gt;0,($CK$7+$CG$7+$CH$7)&gt;0,$CI$6&gt;0,$CI$7&gt;0)</formula>
    </cfRule>
  </conditionalFormatting>
  <conditionalFormatting sqref="J20:J21">
    <cfRule type="expression" priority="121" aboveAverage="0" equalAverage="0" bottom="0" percent="0" rank="0" text="" dxfId="15">
      <formula>$CI$6&gt;0</formula>
    </cfRule>
  </conditionalFormatting>
  <conditionalFormatting sqref="J23:J25">
    <cfRule type="expression" priority="122" aboveAverage="0" equalAverage="0" bottom="0" percent="0" rank="0" text="" dxfId="15">
      <formula>$CI$7&gt;0</formula>
    </cfRule>
  </conditionalFormatting>
  <conditionalFormatting sqref="L20:N24">
    <cfRule type="expression" priority="123" aboveAverage="0" equalAverage="0" bottom="0" percent="0" rank="0" text="" dxfId="16">
      <formula>AND($CJ$7&gt;0,INDEX(Network!$P$7:$P$28,$CJ$7)="")</formula>
    </cfRule>
    <cfRule type="expression" priority="124" aboveAverage="0" equalAverage="0" bottom="0" percent="0" rank="0" text="" dxfId="11">
      <formula>AND($CJ$7&gt;0,INDEX(Network!$P$7:$P$28,$CJ$7)&lt;&gt;"",INDEX(Network!$P$7:$P$28,$CJ$7)&lt;=Setup!$D$31)</formula>
    </cfRule>
    <cfRule type="expression" priority="125" aboveAverage="0" equalAverage="0" bottom="0" percent="0" rank="0" text="" dxfId="12">
      <formula>AND($CJ$7&gt;0,INDEX(Network!$P$7:$P$28,$CJ$7)&lt;&gt;"",INDEX(Network!$P$7:$P$28,$CJ$7)&gt;Setup!$D$31,INDEX(Network!$P$7:$P$28,$CJ$7)&lt;=Setup!$D$31+Setup!$D$20)</formula>
    </cfRule>
    <cfRule type="expression" priority="126" aboveAverage="0" equalAverage="0" bottom="0" percent="0" rank="0" text="" dxfId="14">
      <formula>AND($CJ$7&gt;0,INDEX(Network!$P$7:$P$28,$CJ$7)&lt;&gt;"",INDEX(Network!$P$7:$P$28,$CJ$7)&gt;Setup!$D$31+Setup!$D$20)</formula>
    </cfRule>
  </conditionalFormatting>
  <conditionalFormatting sqref="L22:N22">
    <cfRule type="expression" priority="127" aboveAverage="0" equalAverage="0" bottom="0" percent="0" rank="0" text="" dxfId="15">
      <formula>AND($CJ$7=0,($CK$7+$CH$7)&gt;0)</formula>
    </cfRule>
  </conditionalFormatting>
  <conditionalFormatting sqref="O22">
    <cfRule type="expression" priority="128" aboveAverage="0" equalAverage="0" bottom="0" percent="0" rank="0" text="" dxfId="15">
      <formula>($CL$7+$CN$7)&gt;0</formula>
    </cfRule>
  </conditionalFormatting>
  <conditionalFormatting sqref="Q22">
    <cfRule type="expression" priority="129" aboveAverage="0" equalAverage="0" bottom="0" percent="0" rank="0" text="" dxfId="15">
      <formula>($CQ$7+$CM$7+$CN$7)&gt;0</formula>
    </cfRule>
  </conditionalFormatting>
  <conditionalFormatting sqref="P22">
    <cfRule type="expression" priority="130" aboveAverage="0" equalAverage="0" bottom="0" percent="0" rank="0" text="" dxfId="15">
      <formula>OR(($CL$7+$CN$7)&gt;0,($CQ$7+$CM$7+$CN$7)&gt;0,$CO$6&gt;0,$CO$7&gt;0)</formula>
    </cfRule>
  </conditionalFormatting>
  <conditionalFormatting sqref="P20:P21">
    <cfRule type="expression" priority="131" aboveAverage="0" equalAverage="0" bottom="0" percent="0" rank="0" text="" dxfId="15">
      <formula>$CO$6&gt;0</formula>
    </cfRule>
  </conditionalFormatting>
  <conditionalFormatting sqref="P23:P25">
    <cfRule type="expression" priority="132" aboveAverage="0" equalAverage="0" bottom="0" percent="0" rank="0" text="" dxfId="15">
      <formula>$CO$7&gt;0</formula>
    </cfRule>
  </conditionalFormatting>
  <conditionalFormatting sqref="R20:T24">
    <cfRule type="expression" priority="133" aboveAverage="0" equalAverage="0" bottom="0" percent="0" rank="0" text="" dxfId="16">
      <formula>AND($CP$7&gt;0,INDEX(Network!$P$7:$P$28,$CP$7)="")</formula>
    </cfRule>
    <cfRule type="expression" priority="134" aboveAverage="0" equalAverage="0" bottom="0" percent="0" rank="0" text="" dxfId="11">
      <formula>AND($CP$7&gt;0,INDEX(Network!$P$7:$P$28,$CP$7)&lt;&gt;"",INDEX(Network!$P$7:$P$28,$CP$7)&lt;=Setup!$D$31)</formula>
    </cfRule>
    <cfRule type="expression" priority="135" aboveAverage="0" equalAverage="0" bottom="0" percent="0" rank="0" text="" dxfId="12">
      <formula>AND($CP$7&gt;0,INDEX(Network!$P$7:$P$28,$CP$7)&lt;&gt;"",INDEX(Network!$P$7:$P$28,$CP$7)&gt;Setup!$D$31,INDEX(Network!$P$7:$P$28,$CP$7)&lt;=Setup!$D$31+Setup!$D$20)</formula>
    </cfRule>
    <cfRule type="expression" priority="136" aboveAverage="0" equalAverage="0" bottom="0" percent="0" rank="0" text="" dxfId="14">
      <formula>AND($CP$7&gt;0,INDEX(Network!$P$7:$P$28,$CP$7)&lt;&gt;"",INDEX(Network!$P$7:$P$28,$CP$7)&gt;Setup!$D$31+Setup!$D$20)</formula>
    </cfRule>
  </conditionalFormatting>
  <conditionalFormatting sqref="R22:T22">
    <cfRule type="expression" priority="137" aboveAverage="0" equalAverage="0" bottom="0" percent="0" rank="0" text="" dxfId="15">
      <formula>AND($CP$7=0,($CQ$7+$CN$7)&gt;0)</formula>
    </cfRule>
  </conditionalFormatting>
  <conditionalFormatting sqref="U22">
    <cfRule type="expression" priority="138" aboveAverage="0" equalAverage="0" bottom="0" percent="0" rank="0" text="" dxfId="15">
      <formula>($CR$7+$CT$7)&gt;0</formula>
    </cfRule>
  </conditionalFormatting>
  <conditionalFormatting sqref="W22">
    <cfRule type="expression" priority="139" aboveAverage="0" equalAverage="0" bottom="0" percent="0" rank="0" text="" dxfId="15">
      <formula>($CW$7+$CS$7+$CT$7)&gt;0</formula>
    </cfRule>
  </conditionalFormatting>
  <conditionalFormatting sqref="V22">
    <cfRule type="expression" priority="140" aboveAverage="0" equalAverage="0" bottom="0" percent="0" rank="0" text="" dxfId="15">
      <formula>OR(($CR$7+$CT$7)&gt;0,($CW$7+$CS$7+$CT$7)&gt;0,$CU$6&gt;0,$CU$7&gt;0)</formula>
    </cfRule>
  </conditionalFormatting>
  <conditionalFormatting sqref="V20:V21">
    <cfRule type="expression" priority="141" aboveAverage="0" equalAverage="0" bottom="0" percent="0" rank="0" text="" dxfId="15">
      <formula>$CU$6&gt;0</formula>
    </cfRule>
  </conditionalFormatting>
  <conditionalFormatting sqref="V23:V25">
    <cfRule type="expression" priority="142" aboveAverage="0" equalAverage="0" bottom="0" percent="0" rank="0" text="" dxfId="15">
      <formula>$CU$7&gt;0</formula>
    </cfRule>
  </conditionalFormatting>
  <conditionalFormatting sqref="X20:Z24">
    <cfRule type="expression" priority="143" aboveAverage="0" equalAverage="0" bottom="0" percent="0" rank="0" text="" dxfId="16">
      <formula>AND($CV$7&gt;0,INDEX(Network!$P$7:$P$28,$CV$7)="")</formula>
    </cfRule>
    <cfRule type="expression" priority="144" aboveAverage="0" equalAverage="0" bottom="0" percent="0" rank="0" text="" dxfId="11">
      <formula>AND($CV$7&gt;0,INDEX(Network!$P$7:$P$28,$CV$7)&lt;&gt;"",INDEX(Network!$P$7:$P$28,$CV$7)&lt;=Setup!$D$31)</formula>
    </cfRule>
    <cfRule type="expression" priority="145" aboveAverage="0" equalAverage="0" bottom="0" percent="0" rank="0" text="" dxfId="12">
      <formula>AND($CV$7&gt;0,INDEX(Network!$P$7:$P$28,$CV$7)&lt;&gt;"",INDEX(Network!$P$7:$P$28,$CV$7)&gt;Setup!$D$31,INDEX(Network!$P$7:$P$28,$CV$7)&lt;=Setup!$D$31+Setup!$D$20)</formula>
    </cfRule>
    <cfRule type="expression" priority="146" aboveAverage="0" equalAverage="0" bottom="0" percent="0" rank="0" text="" dxfId="14">
      <formula>AND($CV$7&gt;0,INDEX(Network!$P$7:$P$28,$CV$7)&lt;&gt;"",INDEX(Network!$P$7:$P$28,$CV$7)&gt;Setup!$D$31+Setup!$D$20)</formula>
    </cfRule>
  </conditionalFormatting>
  <conditionalFormatting sqref="X22:Z22">
    <cfRule type="expression" priority="147" aboveAverage="0" equalAverage="0" bottom="0" percent="0" rank="0" text="" dxfId="15">
      <formula>AND($CV$7=0,($CW$7+$CT$7)&gt;0)</formula>
    </cfRule>
  </conditionalFormatting>
  <conditionalFormatting sqref="AA22">
    <cfRule type="expression" priority="148" aboveAverage="0" equalAverage="0" bottom="0" percent="0" rank="0" text="" dxfId="15">
      <formula>($CX$7+$CZ$7)&gt;0</formula>
    </cfRule>
  </conditionalFormatting>
  <conditionalFormatting sqref="AC22">
    <cfRule type="expression" priority="149" aboveAverage="0" equalAverage="0" bottom="0" percent="0" rank="0" text="" dxfId="15">
      <formula>($DC$7+$CY$7+$CZ$7)&gt;0</formula>
    </cfRule>
  </conditionalFormatting>
  <conditionalFormatting sqref="AB22">
    <cfRule type="expression" priority="150" aboveAverage="0" equalAverage="0" bottom="0" percent="0" rank="0" text="" dxfId="15">
      <formula>OR(($CX$7+$CZ$7)&gt;0,($DC$7+$CY$7+$CZ$7)&gt;0,$DA$6&gt;0,$DA$7&gt;0)</formula>
    </cfRule>
  </conditionalFormatting>
  <conditionalFormatting sqref="AB20:AB21">
    <cfRule type="expression" priority="151" aboveAverage="0" equalAverage="0" bottom="0" percent="0" rank="0" text="" dxfId="15">
      <formula>$DA$6&gt;0</formula>
    </cfRule>
  </conditionalFormatting>
  <conditionalFormatting sqref="AB23:AB25">
    <cfRule type="expression" priority="152" aboveAverage="0" equalAverage="0" bottom="0" percent="0" rank="0" text="" dxfId="15">
      <formula>$DA$7&gt;0</formula>
    </cfRule>
  </conditionalFormatting>
  <conditionalFormatting sqref="AD20:AF24">
    <cfRule type="expression" priority="153" aboveAverage="0" equalAverage="0" bottom="0" percent="0" rank="0" text="" dxfId="16">
      <formula>AND($DB$7&gt;0,INDEX(Network!$P$7:$P$28,$DB$7)="")</formula>
    </cfRule>
    <cfRule type="expression" priority="154" aboveAverage="0" equalAverage="0" bottom="0" percent="0" rank="0" text="" dxfId="11">
      <formula>AND($DB$7&gt;0,INDEX(Network!$P$7:$P$28,$DB$7)&lt;&gt;"",INDEX(Network!$P$7:$P$28,$DB$7)&lt;=Setup!$D$31)</formula>
    </cfRule>
    <cfRule type="expression" priority="155" aboveAverage="0" equalAverage="0" bottom="0" percent="0" rank="0" text="" dxfId="12">
      <formula>AND($DB$7&gt;0,INDEX(Network!$P$7:$P$28,$DB$7)&lt;&gt;"",INDEX(Network!$P$7:$P$28,$DB$7)&gt;Setup!$D$31,INDEX(Network!$P$7:$P$28,$DB$7)&lt;=Setup!$D$31+Setup!$D$20)</formula>
    </cfRule>
    <cfRule type="expression" priority="156" aboveAverage="0" equalAverage="0" bottom="0" percent="0" rank="0" text="" dxfId="14">
      <formula>AND($DB$7&gt;0,INDEX(Network!$P$7:$P$28,$DB$7)&lt;&gt;"",INDEX(Network!$P$7:$P$28,$DB$7)&gt;Setup!$D$31+Setup!$D$20)</formula>
    </cfRule>
  </conditionalFormatting>
  <conditionalFormatting sqref="AD22:AF22">
    <cfRule type="expression" priority="157" aboveAverage="0" equalAverage="0" bottom="0" percent="0" rank="0" text="" dxfId="15">
      <formula>AND($DB$7=0,($DC$7+$CZ$7)&gt;0)</formula>
    </cfRule>
  </conditionalFormatting>
  <conditionalFormatting sqref="AG22">
    <cfRule type="expression" priority="158" aboveAverage="0" equalAverage="0" bottom="0" percent="0" rank="0" text="" dxfId="15">
      <formula>($DD$7+$DF$7)&gt;0</formula>
    </cfRule>
  </conditionalFormatting>
  <conditionalFormatting sqref="AI22">
    <cfRule type="expression" priority="159" aboveAverage="0" equalAverage="0" bottom="0" percent="0" rank="0" text="" dxfId="15">
      <formula>($DI$7+$DE$7+$DF$7)&gt;0</formula>
    </cfRule>
  </conditionalFormatting>
  <conditionalFormatting sqref="AH22">
    <cfRule type="expression" priority="160" aboveAverage="0" equalAverage="0" bottom="0" percent="0" rank="0" text="" dxfId="15">
      <formula>OR(($DD$7+$DF$7)&gt;0,($DI$7+$DE$7+$DF$7)&gt;0,$DG$6&gt;0,$DG$7&gt;0)</formula>
    </cfRule>
  </conditionalFormatting>
  <conditionalFormatting sqref="AH20:AH21">
    <cfRule type="expression" priority="161" aboveAverage="0" equalAverage="0" bottom="0" percent="0" rank="0" text="" dxfId="15">
      <formula>$DG$6&gt;0</formula>
    </cfRule>
  </conditionalFormatting>
  <conditionalFormatting sqref="AH23:AH25">
    <cfRule type="expression" priority="162" aboveAverage="0" equalAverage="0" bottom="0" percent="0" rank="0" text="" dxfId="15">
      <formula>$DG$7&gt;0</formula>
    </cfRule>
  </conditionalFormatting>
  <conditionalFormatting sqref="AJ20:AL24">
    <cfRule type="expression" priority="163" aboveAverage="0" equalAverage="0" bottom="0" percent="0" rank="0" text="" dxfId="16">
      <formula>AND($DH$7&gt;0,INDEX(Network!$P$7:$P$28,$DH$7)="")</formula>
    </cfRule>
    <cfRule type="expression" priority="164" aboveAverage="0" equalAverage="0" bottom="0" percent="0" rank="0" text="" dxfId="11">
      <formula>AND($DH$7&gt;0,INDEX(Network!$P$7:$P$28,$DH$7)&lt;&gt;"",INDEX(Network!$P$7:$P$28,$DH$7)&lt;=Setup!$D$31)</formula>
    </cfRule>
    <cfRule type="expression" priority="165" aboveAverage="0" equalAverage="0" bottom="0" percent="0" rank="0" text="" dxfId="12">
      <formula>AND($DH$7&gt;0,INDEX(Network!$P$7:$P$28,$DH$7)&lt;&gt;"",INDEX(Network!$P$7:$P$28,$DH$7)&gt;Setup!$D$31,INDEX(Network!$P$7:$P$28,$DH$7)&lt;=Setup!$D$31+Setup!$D$20)</formula>
    </cfRule>
    <cfRule type="expression" priority="166" aboveAverage="0" equalAverage="0" bottom="0" percent="0" rank="0" text="" dxfId="14">
      <formula>AND($DH$7&gt;0,INDEX(Network!$P$7:$P$28,$DH$7)&lt;&gt;"",INDEX(Network!$P$7:$P$28,$DH$7)&gt;Setup!$D$31+Setup!$D$20)</formula>
    </cfRule>
  </conditionalFormatting>
  <conditionalFormatting sqref="AJ22:AL22">
    <cfRule type="expression" priority="167" aboveAverage="0" equalAverage="0" bottom="0" percent="0" rank="0" text="" dxfId="15">
      <formula>AND($DH$7=0,($DI$7+$DF$7)&gt;0)</formula>
    </cfRule>
  </conditionalFormatting>
  <conditionalFormatting sqref="AM22">
    <cfRule type="expression" priority="168" aboveAverage="0" equalAverage="0" bottom="0" percent="0" rank="0" text="" dxfId="15">
      <formula>($DJ$7+$DL$7)&gt;0</formula>
    </cfRule>
  </conditionalFormatting>
  <conditionalFormatting sqref="AO22">
    <cfRule type="expression" priority="169" aboveAverage="0" equalAverage="0" bottom="0" percent="0" rank="0" text="" dxfId="15">
      <formula>($DO$7+$DK$7+$DL$7)&gt;0</formula>
    </cfRule>
  </conditionalFormatting>
  <conditionalFormatting sqref="AN22">
    <cfRule type="expression" priority="170" aboveAverage="0" equalAverage="0" bottom="0" percent="0" rank="0" text="" dxfId="15">
      <formula>OR(($DJ$7+$DL$7)&gt;0,($DO$7+$DK$7+$DL$7)&gt;0,$DM$6&gt;0,$DM$7&gt;0)</formula>
    </cfRule>
  </conditionalFormatting>
  <conditionalFormatting sqref="AN20:AN21">
    <cfRule type="expression" priority="171" aboveAverage="0" equalAverage="0" bottom="0" percent="0" rank="0" text="" dxfId="15">
      <formula>$DM$6&gt;0</formula>
    </cfRule>
  </conditionalFormatting>
  <conditionalFormatting sqref="AN23:AN25">
    <cfRule type="expression" priority="172" aboveAverage="0" equalAverage="0" bottom="0" percent="0" rank="0" text="" dxfId="15">
      <formula>$DM$7&gt;0</formula>
    </cfRule>
  </conditionalFormatting>
  <conditionalFormatting sqref="AP20:AR24">
    <cfRule type="expression" priority="173" aboveAverage="0" equalAverage="0" bottom="0" percent="0" rank="0" text="" dxfId="16">
      <formula>AND($DN$7&gt;0,INDEX(Network!$P$7:$P$28,$DN$7)="")</formula>
    </cfRule>
    <cfRule type="expression" priority="174" aboveAverage="0" equalAverage="0" bottom="0" percent="0" rank="0" text="" dxfId="11">
      <formula>AND($DN$7&gt;0,INDEX(Network!$P$7:$P$28,$DN$7)&lt;&gt;"",INDEX(Network!$P$7:$P$28,$DN$7)&lt;=Setup!$D$31)</formula>
    </cfRule>
    <cfRule type="expression" priority="175" aboveAverage="0" equalAverage="0" bottom="0" percent="0" rank="0" text="" dxfId="12">
      <formula>AND($DN$7&gt;0,INDEX(Network!$P$7:$P$28,$DN$7)&lt;&gt;"",INDEX(Network!$P$7:$P$28,$DN$7)&gt;Setup!$D$31,INDEX(Network!$P$7:$P$28,$DN$7)&lt;=Setup!$D$31+Setup!$D$20)</formula>
    </cfRule>
    <cfRule type="expression" priority="176" aboveAverage="0" equalAverage="0" bottom="0" percent="0" rank="0" text="" dxfId="14">
      <formula>AND($DN$7&gt;0,INDEX(Network!$P$7:$P$28,$DN$7)&lt;&gt;"",INDEX(Network!$P$7:$P$28,$DN$7)&gt;Setup!$D$31+Setup!$D$20)</formula>
    </cfRule>
  </conditionalFormatting>
  <conditionalFormatting sqref="AP22:AR22">
    <cfRule type="expression" priority="177" aboveAverage="0" equalAverage="0" bottom="0" percent="0" rank="0" text="" dxfId="15">
      <formula>AND($DN$7=0,($DO$7+$DL$7)&gt;0)</formula>
    </cfRule>
  </conditionalFormatting>
  <conditionalFormatting sqref="AS22">
    <cfRule type="expression" priority="178" aboveAverage="0" equalAverage="0" bottom="0" percent="0" rank="0" text="" dxfId="15">
      <formula>($DP$7+$DR$7)&gt;0</formula>
    </cfRule>
  </conditionalFormatting>
  <conditionalFormatting sqref="AU22">
    <cfRule type="expression" priority="179" aboveAverage="0" equalAverage="0" bottom="0" percent="0" rank="0" text="" dxfId="15">
      <formula>($DU$7+$DQ$7+$DR$7)&gt;0</formula>
    </cfRule>
  </conditionalFormatting>
  <conditionalFormatting sqref="AT22">
    <cfRule type="expression" priority="180" aboveAverage="0" equalAverage="0" bottom="0" percent="0" rank="0" text="" dxfId="15">
      <formula>OR(($DP$7+$DR$7)&gt;0,($DU$7+$DQ$7+$DR$7)&gt;0,$DS$6&gt;0,$DS$7&gt;0)</formula>
    </cfRule>
  </conditionalFormatting>
  <conditionalFormatting sqref="AT20:AT21">
    <cfRule type="expression" priority="181" aboveAverage="0" equalAverage="0" bottom="0" percent="0" rank="0" text="" dxfId="15">
      <formula>$DS$6&gt;0</formula>
    </cfRule>
  </conditionalFormatting>
  <conditionalFormatting sqref="AT23:AT25">
    <cfRule type="expression" priority="182" aboveAverage="0" equalAverage="0" bottom="0" percent="0" rank="0" text="" dxfId="15">
      <formula>$DS$7&gt;0</formula>
    </cfRule>
  </conditionalFormatting>
  <conditionalFormatting sqref="AV20:AX24">
    <cfRule type="expression" priority="183" aboveAverage="0" equalAverage="0" bottom="0" percent="0" rank="0" text="" dxfId="16">
      <formula>AND($DT$7&gt;0,INDEX(Network!$P$7:$P$28,$DT$7)="")</formula>
    </cfRule>
    <cfRule type="expression" priority="184" aboveAverage="0" equalAverage="0" bottom="0" percent="0" rank="0" text="" dxfId="11">
      <formula>AND($DT$7&gt;0,INDEX(Network!$P$7:$P$28,$DT$7)&lt;&gt;"",INDEX(Network!$P$7:$P$28,$DT$7)&lt;=Setup!$D$31)</formula>
    </cfRule>
    <cfRule type="expression" priority="185" aboveAverage="0" equalAverage="0" bottom="0" percent="0" rank="0" text="" dxfId="12">
      <formula>AND($DT$7&gt;0,INDEX(Network!$P$7:$P$28,$DT$7)&lt;&gt;"",INDEX(Network!$P$7:$P$28,$DT$7)&gt;Setup!$D$31,INDEX(Network!$P$7:$P$28,$DT$7)&lt;=Setup!$D$31+Setup!$D$20)</formula>
    </cfRule>
    <cfRule type="expression" priority="186" aboveAverage="0" equalAverage="0" bottom="0" percent="0" rank="0" text="" dxfId="14">
      <formula>AND($DT$7&gt;0,INDEX(Network!$P$7:$P$28,$DT$7)&lt;&gt;"",INDEX(Network!$P$7:$P$28,$DT$7)&gt;Setup!$D$31+Setup!$D$20)</formula>
    </cfRule>
  </conditionalFormatting>
  <conditionalFormatting sqref="AV22:AX22">
    <cfRule type="expression" priority="187" aboveAverage="0" equalAverage="0" bottom="0" percent="0" rank="0" text="" dxfId="15">
      <formula>AND($DT$7=0,($DU$7+$DR$7)&gt;0)</formula>
    </cfRule>
  </conditionalFormatting>
  <conditionalFormatting sqref="AY22">
    <cfRule type="expression" priority="188" aboveAverage="0" equalAverage="0" bottom="0" percent="0" rank="0" text="" dxfId="15">
      <formula>($DV$7+$DX$7)&gt;0</formula>
    </cfRule>
  </conditionalFormatting>
  <conditionalFormatting sqref="BA22">
    <cfRule type="expression" priority="189" aboveAverage="0" equalAverage="0" bottom="0" percent="0" rank="0" text="" dxfId="15">
      <formula>($EA$7+$DW$7+$DX$7)&gt;0</formula>
    </cfRule>
  </conditionalFormatting>
  <conditionalFormatting sqref="AZ22">
    <cfRule type="expression" priority="190" aboveAverage="0" equalAverage="0" bottom="0" percent="0" rank="0" text="" dxfId="15">
      <formula>OR(($DV$7+$DX$7)&gt;0,($EA$7+$DW$7+$DX$7)&gt;0,$DY$6&gt;0,$DY$7&gt;0)</formula>
    </cfRule>
  </conditionalFormatting>
  <conditionalFormatting sqref="AZ20:AZ21">
    <cfRule type="expression" priority="191" aboveAverage="0" equalAverage="0" bottom="0" percent="0" rank="0" text="" dxfId="15">
      <formula>$DY$6&gt;0</formula>
    </cfRule>
  </conditionalFormatting>
  <conditionalFormatting sqref="AZ23:AZ25">
    <cfRule type="expression" priority="192" aboveAverage="0" equalAverage="0" bottom="0" percent="0" rank="0" text="" dxfId="15">
      <formula>$DY$7&gt;0</formula>
    </cfRule>
  </conditionalFormatting>
  <conditionalFormatting sqref="BB20:BD24">
    <cfRule type="expression" priority="193" aboveAverage="0" equalAverage="0" bottom="0" percent="0" rank="0" text="" dxfId="16">
      <formula>AND($DZ$7&gt;0,INDEX(Network!$P$7:$P$28,$DZ$7)="")</formula>
    </cfRule>
    <cfRule type="expression" priority="194" aboveAverage="0" equalAverage="0" bottom="0" percent="0" rank="0" text="" dxfId="11">
      <formula>AND($DZ$7&gt;0,INDEX(Network!$P$7:$P$28,$DZ$7)&lt;&gt;"",INDEX(Network!$P$7:$P$28,$DZ$7)&lt;=Setup!$D$31)</formula>
    </cfRule>
    <cfRule type="expression" priority="195" aboveAverage="0" equalAverage="0" bottom="0" percent="0" rank="0" text="" dxfId="12">
      <formula>AND($DZ$7&gt;0,INDEX(Network!$P$7:$P$28,$DZ$7)&lt;&gt;"",INDEX(Network!$P$7:$P$28,$DZ$7)&gt;Setup!$D$31,INDEX(Network!$P$7:$P$28,$DZ$7)&lt;=Setup!$D$31+Setup!$D$20)</formula>
    </cfRule>
    <cfRule type="expression" priority="196" aboveAverage="0" equalAverage="0" bottom="0" percent="0" rank="0" text="" dxfId="14">
      <formula>AND($DZ$7&gt;0,INDEX(Network!$P$7:$P$28,$DZ$7)&lt;&gt;"",INDEX(Network!$P$7:$P$28,$DZ$7)&gt;Setup!$D$31+Setup!$D$20)</formula>
    </cfRule>
  </conditionalFormatting>
  <conditionalFormatting sqref="BB22:BD22">
    <cfRule type="expression" priority="197" aboveAverage="0" equalAverage="0" bottom="0" percent="0" rank="0" text="" dxfId="15">
      <formula>AND($DZ$7=0,($EA$7+$DX$7)&gt;0)</formula>
    </cfRule>
  </conditionalFormatting>
  <conditionalFormatting sqref="BE22">
    <cfRule type="expression" priority="198" aboveAverage="0" equalAverage="0" bottom="0" percent="0" rank="0" text="" dxfId="15">
      <formula>($EB$7+$ED$7)&gt;0</formula>
    </cfRule>
  </conditionalFormatting>
  <conditionalFormatting sqref="BG22">
    <cfRule type="expression" priority="199" aboveAverage="0" equalAverage="0" bottom="0" percent="0" rank="0" text="" dxfId="15">
      <formula>($EG$7+$EC$7+$ED$7)&gt;0</formula>
    </cfRule>
  </conditionalFormatting>
  <conditionalFormatting sqref="BF22">
    <cfRule type="expression" priority="200" aboveAverage="0" equalAverage="0" bottom="0" percent="0" rank="0" text="" dxfId="15">
      <formula>OR(($EB$7+$ED$7)&gt;0,($EG$7+$EC$7+$ED$7)&gt;0,$EE$6&gt;0,$EE$7&gt;0)</formula>
    </cfRule>
  </conditionalFormatting>
  <conditionalFormatting sqref="BF20:BF21">
    <cfRule type="expression" priority="201" aboveAverage="0" equalAverage="0" bottom="0" percent="0" rank="0" text="" dxfId="15">
      <formula>$EE$6&gt;0</formula>
    </cfRule>
  </conditionalFormatting>
  <conditionalFormatting sqref="BF23:BF25">
    <cfRule type="expression" priority="202" aboveAverage="0" equalAverage="0" bottom="0" percent="0" rank="0" text="" dxfId="15">
      <formula>$EE$7&gt;0</formula>
    </cfRule>
  </conditionalFormatting>
  <conditionalFormatting sqref="BH20:BJ24">
    <cfRule type="expression" priority="203" aboveAverage="0" equalAverage="0" bottom="0" percent="0" rank="0" text="" dxfId="16">
      <formula>AND($EF$7&gt;0,INDEX(Network!$P$7:$P$28,$EF$7)="")</formula>
    </cfRule>
    <cfRule type="expression" priority="204" aboveAverage="0" equalAverage="0" bottom="0" percent="0" rank="0" text="" dxfId="11">
      <formula>AND($EF$7&gt;0,INDEX(Network!$P$7:$P$28,$EF$7)&lt;&gt;"",INDEX(Network!$P$7:$P$28,$EF$7)&lt;=Setup!$D$31)</formula>
    </cfRule>
    <cfRule type="expression" priority="205" aboveAverage="0" equalAverage="0" bottom="0" percent="0" rank="0" text="" dxfId="12">
      <formula>AND($EF$7&gt;0,INDEX(Network!$P$7:$P$28,$EF$7)&lt;&gt;"",INDEX(Network!$P$7:$P$28,$EF$7)&gt;Setup!$D$31,INDEX(Network!$P$7:$P$28,$EF$7)&lt;=Setup!$D$31+Setup!$D$20)</formula>
    </cfRule>
    <cfRule type="expression" priority="206" aboveAverage="0" equalAverage="0" bottom="0" percent="0" rank="0" text="" dxfId="14">
      <formula>AND($EF$7&gt;0,INDEX(Network!$P$7:$P$28,$EF$7)&lt;&gt;"",INDEX(Network!$P$7:$P$28,$EF$7)&gt;Setup!$D$31+Setup!$D$20)</formula>
    </cfRule>
  </conditionalFormatting>
  <conditionalFormatting sqref="BH22:BJ22">
    <cfRule type="expression" priority="207" aboveAverage="0" equalAverage="0" bottom="0" percent="0" rank="0" text="" dxfId="15">
      <formula>AND($EF$7=0,($EG$7+$ED$7)&gt;0)</formula>
    </cfRule>
  </conditionalFormatting>
  <conditionalFormatting sqref="BK22">
    <cfRule type="expression" priority="208" aboveAverage="0" equalAverage="0" bottom="0" percent="0" rank="0" text="" dxfId="15">
      <formula>($EH$7+$EJ$7)&gt;0</formula>
    </cfRule>
  </conditionalFormatting>
  <conditionalFormatting sqref="BM22">
    <cfRule type="expression" priority="209" aboveAverage="0" equalAverage="0" bottom="0" percent="0" rank="0" text="" dxfId="15">
      <formula>($EM$7+$EI$7+$EJ$7)&gt;0</formula>
    </cfRule>
  </conditionalFormatting>
  <conditionalFormatting sqref="BL22">
    <cfRule type="expression" priority="210" aboveAverage="0" equalAverage="0" bottom="0" percent="0" rank="0" text="" dxfId="15">
      <formula>OR(($EH$7+$EJ$7)&gt;0,($EM$7+$EI$7+$EJ$7)&gt;0,$EK$6&gt;0,$EK$7&gt;0)</formula>
    </cfRule>
  </conditionalFormatting>
  <conditionalFormatting sqref="BL20:BL21">
    <cfRule type="expression" priority="211" aboveAverage="0" equalAverage="0" bottom="0" percent="0" rank="0" text="" dxfId="15">
      <formula>$EK$6&gt;0</formula>
    </cfRule>
  </conditionalFormatting>
  <conditionalFormatting sqref="BL23:BL25">
    <cfRule type="expression" priority="212" aboveAverage="0" equalAverage="0" bottom="0" percent="0" rank="0" text="" dxfId="15">
      <formula>$EK$7&gt;0</formula>
    </cfRule>
  </conditionalFormatting>
  <conditionalFormatting sqref="BN20:BP24">
    <cfRule type="expression" priority="213" aboveAverage="0" equalAverage="0" bottom="0" percent="0" rank="0" text="" dxfId="16">
      <formula>AND($EL$7&gt;0,INDEX(Network!$P$7:$P$28,$EL$7)="")</formula>
    </cfRule>
    <cfRule type="expression" priority="214" aboveAverage="0" equalAverage="0" bottom="0" percent="0" rank="0" text="" dxfId="11">
      <formula>AND($EL$7&gt;0,INDEX(Network!$P$7:$P$28,$EL$7)&lt;&gt;"",INDEX(Network!$P$7:$P$28,$EL$7)&lt;=Setup!$D$31)</formula>
    </cfRule>
    <cfRule type="expression" priority="215" aboveAverage="0" equalAverage="0" bottom="0" percent="0" rank="0" text="" dxfId="12">
      <formula>AND($EL$7&gt;0,INDEX(Network!$P$7:$P$28,$EL$7)&lt;&gt;"",INDEX(Network!$P$7:$P$28,$EL$7)&gt;Setup!$D$31,INDEX(Network!$P$7:$P$28,$EL$7)&lt;=Setup!$D$31+Setup!$D$20)</formula>
    </cfRule>
    <cfRule type="expression" priority="216" aboveAverage="0" equalAverage="0" bottom="0" percent="0" rank="0" text="" dxfId="14">
      <formula>AND($EL$7&gt;0,INDEX(Network!$P$7:$P$28,$EL$7)&lt;&gt;"",INDEX(Network!$P$7:$P$28,$EL$7)&gt;Setup!$D$31+Setup!$D$20)</formula>
    </cfRule>
  </conditionalFormatting>
  <conditionalFormatting sqref="BN22:BP22">
    <cfRule type="expression" priority="217" aboveAverage="0" equalAverage="0" bottom="0" percent="0" rank="0" text="" dxfId="15">
      <formula>AND($EL$7=0,($EM$7+$EJ$7)&gt;0)</formula>
    </cfRule>
  </conditionalFormatting>
  <conditionalFormatting sqref="BQ22">
    <cfRule type="expression" priority="218" aboveAverage="0" equalAverage="0" bottom="0" percent="0" rank="0" text="" dxfId="15">
      <formula>($EN$7+$EP$7)&gt;0</formula>
    </cfRule>
  </conditionalFormatting>
  <conditionalFormatting sqref="BS22">
    <cfRule type="expression" priority="219" aboveAverage="0" equalAverage="0" bottom="0" percent="0" rank="0" text="" dxfId="15">
      <formula>($ES$7+$EO$7+$EP$7)&gt;0</formula>
    </cfRule>
  </conditionalFormatting>
  <conditionalFormatting sqref="BR22">
    <cfRule type="expression" priority="220" aboveAverage="0" equalAverage="0" bottom="0" percent="0" rank="0" text="" dxfId="15">
      <formula>OR(($EN$7+$EP$7)&gt;0,($ES$7+$EO$7+$EP$7)&gt;0,$EQ$6&gt;0,$EQ$7&gt;0)</formula>
    </cfRule>
  </conditionalFormatting>
  <conditionalFormatting sqref="BR20:BR21">
    <cfRule type="expression" priority="221" aboveAverage="0" equalAverage="0" bottom="0" percent="0" rank="0" text="" dxfId="15">
      <formula>$EQ$6&gt;0</formula>
    </cfRule>
  </conditionalFormatting>
  <conditionalFormatting sqref="BR23:BR25">
    <cfRule type="expression" priority="222" aboveAverage="0" equalAverage="0" bottom="0" percent="0" rank="0" text="" dxfId="15">
      <formula>$EQ$7&gt;0</formula>
    </cfRule>
  </conditionalFormatting>
  <conditionalFormatting sqref="BT20:BV24">
    <cfRule type="expression" priority="223" aboveAverage="0" equalAverage="0" bottom="0" percent="0" rank="0" text="" dxfId="16">
      <formula>AND($ER$7&gt;0,INDEX(Network!$P$7:$P$28,$ER$7)="")</formula>
    </cfRule>
    <cfRule type="expression" priority="224" aboveAverage="0" equalAverage="0" bottom="0" percent="0" rank="0" text="" dxfId="11">
      <formula>AND($ER$7&gt;0,INDEX(Network!$P$7:$P$28,$ER$7)&lt;&gt;"",INDEX(Network!$P$7:$P$28,$ER$7)&lt;=Setup!$D$31)</formula>
    </cfRule>
    <cfRule type="expression" priority="225" aboveAverage="0" equalAverage="0" bottom="0" percent="0" rank="0" text="" dxfId="12">
      <formula>AND($ER$7&gt;0,INDEX(Network!$P$7:$P$28,$ER$7)&lt;&gt;"",INDEX(Network!$P$7:$P$28,$ER$7)&gt;Setup!$D$31,INDEX(Network!$P$7:$P$28,$ER$7)&lt;=Setup!$D$31+Setup!$D$20)</formula>
    </cfRule>
    <cfRule type="expression" priority="226" aboveAverage="0" equalAverage="0" bottom="0" percent="0" rank="0" text="" dxfId="14">
      <formula>AND($ER$7&gt;0,INDEX(Network!$P$7:$P$28,$ER$7)&lt;&gt;"",INDEX(Network!$P$7:$P$28,$ER$7)&gt;Setup!$D$31+Setup!$D$20)</formula>
    </cfRule>
  </conditionalFormatting>
  <conditionalFormatting sqref="BT22:BV22">
    <cfRule type="expression" priority="227" aboveAverage="0" equalAverage="0" bottom="0" percent="0" rank="0" text="" dxfId="15">
      <formula>AND($ER$7=0,($ES$7+$EP$7)&gt;0)</formula>
    </cfRule>
  </conditionalFormatting>
  <conditionalFormatting sqref="BW22">
    <cfRule type="expression" priority="228" aboveAverage="0" equalAverage="0" bottom="0" percent="0" rank="0" text="" dxfId="15">
      <formula>($ET$7+$EV$7)&gt;0</formula>
    </cfRule>
  </conditionalFormatting>
  <conditionalFormatting sqref="BY22">
    <cfRule type="expression" priority="229" aboveAverage="0" equalAverage="0" bottom="0" percent="0" rank="0" text="" dxfId="15">
      <formula>($EV$7)&gt;0</formula>
    </cfRule>
  </conditionalFormatting>
  <conditionalFormatting sqref="BX22">
    <cfRule type="expression" priority="230" aboveAverage="0" equalAverage="0" bottom="0" percent="0" rank="0" text="" dxfId="15">
      <formula>OR(($ET$7+$EV$7)&gt;0,($EV$7)&gt;0,0,0)</formula>
    </cfRule>
  </conditionalFormatting>
  <conditionalFormatting sqref="BX20:BX21">
    <cfRule type="expression" priority="231" aboveAverage="0" equalAverage="0" bottom="0" percent="0" rank="0" text="" dxfId="15">
      <formula>0</formula>
    </cfRule>
  </conditionalFormatting>
  <conditionalFormatting sqref="BX23:BX25">
    <cfRule type="expression" priority="232" aboveAverage="0" equalAverage="0" bottom="0" percent="0" rank="0" text="" dxfId="15">
      <formula>0</formula>
    </cfRule>
  </conditionalFormatting>
  <conditionalFormatting sqref="C28:E28">
    <cfRule type="expression" priority="233" aboveAverage="0" equalAverage="0" bottom="0" percent="0" rank="0" text="" dxfId="15">
      <formula>$CD$8&gt;0</formula>
    </cfRule>
  </conditionalFormatting>
  <conditionalFormatting sqref="F26:H30">
    <cfRule type="expression" priority="234" aboveAverage="0" equalAverage="0" bottom="0" percent="0" rank="0" text="" dxfId="16">
      <formula>AND($CD$8&gt;0,INDEX(Network!$P$7:$P$28,$CD$8)="")</formula>
    </cfRule>
    <cfRule type="expression" priority="235" aboveAverage="0" equalAverage="0" bottom="0" percent="0" rank="0" text="" dxfId="11">
      <formula>AND($CD$8&gt;0,INDEX(Network!$P$7:$P$28,$CD$8)&lt;&gt;"",INDEX(Network!$P$7:$P$28,$CD$8)&lt;=Setup!$D$31)</formula>
    </cfRule>
    <cfRule type="expression" priority="236" aboveAverage="0" equalAverage="0" bottom="0" percent="0" rank="0" text="" dxfId="12">
      <formula>AND($CD$8&gt;0,INDEX(Network!$P$7:$P$28,$CD$8)&lt;&gt;"",INDEX(Network!$P$7:$P$28,$CD$8)&gt;Setup!$D$31,INDEX(Network!$P$7:$P$28,$CD$8)&lt;=Setup!$D$31+Setup!$D$20)</formula>
    </cfRule>
    <cfRule type="expression" priority="237" aboveAverage="0" equalAverage="0" bottom="0" percent="0" rank="0" text="" dxfId="14">
      <formula>AND($CD$8&gt;0,INDEX(Network!$P$7:$P$28,$CD$8)&lt;&gt;"",INDEX(Network!$P$7:$P$28,$CD$8)&gt;Setup!$D$31+Setup!$D$20)</formula>
    </cfRule>
  </conditionalFormatting>
  <conditionalFormatting sqref="F28:H28">
    <cfRule type="expression" priority="238" aboveAverage="0" equalAverage="0" bottom="0" percent="0" rank="0" text="" dxfId="15">
      <formula>AND($CD$8=0,$CE$8&gt;0)</formula>
    </cfRule>
  </conditionalFormatting>
  <conditionalFormatting sqref="I28">
    <cfRule type="expression" priority="239" aboveAverage="0" equalAverage="0" bottom="0" percent="0" rank="0" text="" dxfId="15">
      <formula>($CF$8+$CH$8)&gt;0</formula>
    </cfRule>
  </conditionalFormatting>
  <conditionalFormatting sqref="K28">
    <cfRule type="expression" priority="240" aboveAverage="0" equalAverage="0" bottom="0" percent="0" rank="0" text="" dxfId="15">
      <formula>($CK$8+$CG$8+$CH$8)&gt;0</formula>
    </cfRule>
  </conditionalFormatting>
  <conditionalFormatting sqref="J28">
    <cfRule type="expression" priority="241" aboveAverage="0" equalAverage="0" bottom="0" percent="0" rank="0" text="" dxfId="15">
      <formula>OR(($CF$8+$CH$8)&gt;0,($CK$8+$CG$8+$CH$8)&gt;0,$CI$7&gt;0,$CI$8&gt;0)</formula>
    </cfRule>
  </conditionalFormatting>
  <conditionalFormatting sqref="J26:J27">
    <cfRule type="expression" priority="242" aboveAverage="0" equalAverage="0" bottom="0" percent="0" rank="0" text="" dxfId="15">
      <formula>$CI$7&gt;0</formula>
    </cfRule>
  </conditionalFormatting>
  <conditionalFormatting sqref="J29:J31">
    <cfRule type="expression" priority="243" aboveAverage="0" equalAverage="0" bottom="0" percent="0" rank="0" text="" dxfId="15">
      <formula>$CI$8&gt;0</formula>
    </cfRule>
  </conditionalFormatting>
  <conditionalFormatting sqref="L26:N30">
    <cfRule type="expression" priority="244" aboveAverage="0" equalAverage="0" bottom="0" percent="0" rank="0" text="" dxfId="16">
      <formula>AND($CJ$8&gt;0,INDEX(Network!$P$7:$P$28,$CJ$8)="")</formula>
    </cfRule>
    <cfRule type="expression" priority="245" aboveAverage="0" equalAverage="0" bottom="0" percent="0" rank="0" text="" dxfId="11">
      <formula>AND($CJ$8&gt;0,INDEX(Network!$P$7:$P$28,$CJ$8)&lt;&gt;"",INDEX(Network!$P$7:$P$28,$CJ$8)&lt;=Setup!$D$31)</formula>
    </cfRule>
    <cfRule type="expression" priority="246" aboveAverage="0" equalAverage="0" bottom="0" percent="0" rank="0" text="" dxfId="12">
      <formula>AND($CJ$8&gt;0,INDEX(Network!$P$7:$P$28,$CJ$8)&lt;&gt;"",INDEX(Network!$P$7:$P$28,$CJ$8)&gt;Setup!$D$31,INDEX(Network!$P$7:$P$28,$CJ$8)&lt;=Setup!$D$31+Setup!$D$20)</formula>
    </cfRule>
    <cfRule type="expression" priority="247" aboveAverage="0" equalAverage="0" bottom="0" percent="0" rank="0" text="" dxfId="14">
      <formula>AND($CJ$8&gt;0,INDEX(Network!$P$7:$P$28,$CJ$8)&lt;&gt;"",INDEX(Network!$P$7:$P$28,$CJ$8)&gt;Setup!$D$31+Setup!$D$20)</formula>
    </cfRule>
  </conditionalFormatting>
  <conditionalFormatting sqref="L28:N28">
    <cfRule type="expression" priority="248" aboveAverage="0" equalAverage="0" bottom="0" percent="0" rank="0" text="" dxfId="15">
      <formula>AND($CJ$8=0,($CK$8+$CH$8)&gt;0)</formula>
    </cfRule>
  </conditionalFormatting>
  <conditionalFormatting sqref="O28">
    <cfRule type="expression" priority="249" aboveAverage="0" equalAverage="0" bottom="0" percent="0" rank="0" text="" dxfId="15">
      <formula>($CL$8+$CN$8)&gt;0</formula>
    </cfRule>
  </conditionalFormatting>
  <conditionalFormatting sqref="Q28">
    <cfRule type="expression" priority="250" aboveAverage="0" equalAverage="0" bottom="0" percent="0" rank="0" text="" dxfId="15">
      <formula>($CQ$8+$CM$8+$CN$8)&gt;0</formula>
    </cfRule>
  </conditionalFormatting>
  <conditionalFormatting sqref="P28">
    <cfRule type="expression" priority="251" aboveAverage="0" equalAverage="0" bottom="0" percent="0" rank="0" text="" dxfId="15">
      <formula>OR(($CL$8+$CN$8)&gt;0,($CQ$8+$CM$8+$CN$8)&gt;0,$CO$7&gt;0,$CO$8&gt;0)</formula>
    </cfRule>
  </conditionalFormatting>
  <conditionalFormatting sqref="P26:P27">
    <cfRule type="expression" priority="252" aboveAverage="0" equalAverage="0" bottom="0" percent="0" rank="0" text="" dxfId="15">
      <formula>$CO$7&gt;0</formula>
    </cfRule>
  </conditionalFormatting>
  <conditionalFormatting sqref="P29:P31">
    <cfRule type="expression" priority="253" aboveAverage="0" equalAverage="0" bottom="0" percent="0" rank="0" text="" dxfId="15">
      <formula>$CO$8&gt;0</formula>
    </cfRule>
  </conditionalFormatting>
  <conditionalFormatting sqref="R26:T30">
    <cfRule type="expression" priority="254" aboveAverage="0" equalAverage="0" bottom="0" percent="0" rank="0" text="" dxfId="16">
      <formula>AND($CP$8&gt;0,INDEX(Network!$P$7:$P$28,$CP$8)="")</formula>
    </cfRule>
    <cfRule type="expression" priority="255" aboveAverage="0" equalAverage="0" bottom="0" percent="0" rank="0" text="" dxfId="11">
      <formula>AND($CP$8&gt;0,INDEX(Network!$P$7:$P$28,$CP$8)&lt;&gt;"",INDEX(Network!$P$7:$P$28,$CP$8)&lt;=Setup!$D$31)</formula>
    </cfRule>
    <cfRule type="expression" priority="256" aboveAverage="0" equalAverage="0" bottom="0" percent="0" rank="0" text="" dxfId="12">
      <formula>AND($CP$8&gt;0,INDEX(Network!$P$7:$P$28,$CP$8)&lt;&gt;"",INDEX(Network!$P$7:$P$28,$CP$8)&gt;Setup!$D$31,INDEX(Network!$P$7:$P$28,$CP$8)&lt;=Setup!$D$31+Setup!$D$20)</formula>
    </cfRule>
    <cfRule type="expression" priority="257" aboveAverage="0" equalAverage="0" bottom="0" percent="0" rank="0" text="" dxfId="14">
      <formula>AND($CP$8&gt;0,INDEX(Network!$P$7:$P$28,$CP$8)&lt;&gt;"",INDEX(Network!$P$7:$P$28,$CP$8)&gt;Setup!$D$31+Setup!$D$20)</formula>
    </cfRule>
  </conditionalFormatting>
  <conditionalFormatting sqref="R28:T28">
    <cfRule type="expression" priority="258" aboveAverage="0" equalAverage="0" bottom="0" percent="0" rank="0" text="" dxfId="15">
      <formula>AND($CP$8=0,($CQ$8+$CN$8)&gt;0)</formula>
    </cfRule>
  </conditionalFormatting>
  <conditionalFormatting sqref="U28">
    <cfRule type="expression" priority="259" aboveAverage="0" equalAverage="0" bottom="0" percent="0" rank="0" text="" dxfId="15">
      <formula>($CR$8+$CT$8)&gt;0</formula>
    </cfRule>
  </conditionalFormatting>
  <conditionalFormatting sqref="W28">
    <cfRule type="expression" priority="260" aboveAverage="0" equalAverage="0" bottom="0" percent="0" rank="0" text="" dxfId="15">
      <formula>($CW$8+$CS$8+$CT$8)&gt;0</formula>
    </cfRule>
  </conditionalFormatting>
  <conditionalFormatting sqref="V28">
    <cfRule type="expression" priority="261" aboveAverage="0" equalAverage="0" bottom="0" percent="0" rank="0" text="" dxfId="15">
      <formula>OR(($CR$8+$CT$8)&gt;0,($CW$8+$CS$8+$CT$8)&gt;0,$CU$7&gt;0,$CU$8&gt;0)</formula>
    </cfRule>
  </conditionalFormatting>
  <conditionalFormatting sqref="V26:V27">
    <cfRule type="expression" priority="262" aboveAverage="0" equalAverage="0" bottom="0" percent="0" rank="0" text="" dxfId="15">
      <formula>$CU$7&gt;0</formula>
    </cfRule>
  </conditionalFormatting>
  <conditionalFormatting sqref="V29:V31">
    <cfRule type="expression" priority="263" aboveAverage="0" equalAverage="0" bottom="0" percent="0" rank="0" text="" dxfId="15">
      <formula>$CU$8&gt;0</formula>
    </cfRule>
  </conditionalFormatting>
  <conditionalFormatting sqref="X26:Z30">
    <cfRule type="expression" priority="264" aboveAverage="0" equalAverage="0" bottom="0" percent="0" rank="0" text="" dxfId="16">
      <formula>AND($CV$8&gt;0,INDEX(Network!$P$7:$P$28,$CV$8)="")</formula>
    </cfRule>
    <cfRule type="expression" priority="265" aboveAverage="0" equalAverage="0" bottom="0" percent="0" rank="0" text="" dxfId="11">
      <formula>AND($CV$8&gt;0,INDEX(Network!$P$7:$P$28,$CV$8)&lt;&gt;"",INDEX(Network!$P$7:$P$28,$CV$8)&lt;=Setup!$D$31)</formula>
    </cfRule>
    <cfRule type="expression" priority="266" aboveAverage="0" equalAverage="0" bottom="0" percent="0" rank="0" text="" dxfId="12">
      <formula>AND($CV$8&gt;0,INDEX(Network!$P$7:$P$28,$CV$8)&lt;&gt;"",INDEX(Network!$P$7:$P$28,$CV$8)&gt;Setup!$D$31,INDEX(Network!$P$7:$P$28,$CV$8)&lt;=Setup!$D$31+Setup!$D$20)</formula>
    </cfRule>
    <cfRule type="expression" priority="267" aboveAverage="0" equalAverage="0" bottom="0" percent="0" rank="0" text="" dxfId="14">
      <formula>AND($CV$8&gt;0,INDEX(Network!$P$7:$P$28,$CV$8)&lt;&gt;"",INDEX(Network!$P$7:$P$28,$CV$8)&gt;Setup!$D$31+Setup!$D$20)</formula>
    </cfRule>
  </conditionalFormatting>
  <conditionalFormatting sqref="X28:Z28">
    <cfRule type="expression" priority="268" aboveAverage="0" equalAverage="0" bottom="0" percent="0" rank="0" text="" dxfId="15">
      <formula>AND($CV$8=0,($CW$8+$CT$8)&gt;0)</formula>
    </cfRule>
  </conditionalFormatting>
  <conditionalFormatting sqref="AA28">
    <cfRule type="expression" priority="269" aboveAverage="0" equalAverage="0" bottom="0" percent="0" rank="0" text="" dxfId="15">
      <formula>($CX$8+$CZ$8)&gt;0</formula>
    </cfRule>
  </conditionalFormatting>
  <conditionalFormatting sqref="AC28">
    <cfRule type="expression" priority="270" aboveAverage="0" equalAverage="0" bottom="0" percent="0" rank="0" text="" dxfId="15">
      <formula>($DC$8+$CY$8+$CZ$8)&gt;0</formula>
    </cfRule>
  </conditionalFormatting>
  <conditionalFormatting sqref="AB28">
    <cfRule type="expression" priority="271" aboveAverage="0" equalAverage="0" bottom="0" percent="0" rank="0" text="" dxfId="15">
      <formula>OR(($CX$8+$CZ$8)&gt;0,($DC$8+$CY$8+$CZ$8)&gt;0,$DA$7&gt;0,$DA$8&gt;0)</formula>
    </cfRule>
  </conditionalFormatting>
  <conditionalFormatting sqref="AB26:AB27">
    <cfRule type="expression" priority="272" aboveAverage="0" equalAverage="0" bottom="0" percent="0" rank="0" text="" dxfId="15">
      <formula>$DA$7&gt;0</formula>
    </cfRule>
  </conditionalFormatting>
  <conditionalFormatting sqref="AB29:AB31">
    <cfRule type="expression" priority="273" aboveAverage="0" equalAverage="0" bottom="0" percent="0" rank="0" text="" dxfId="15">
      <formula>$DA$8&gt;0</formula>
    </cfRule>
  </conditionalFormatting>
  <conditionalFormatting sqref="AD26:AF30">
    <cfRule type="expression" priority="274" aboveAverage="0" equalAverage="0" bottom="0" percent="0" rank="0" text="" dxfId="16">
      <formula>AND($DB$8&gt;0,INDEX(Network!$P$7:$P$28,$DB$8)="")</formula>
    </cfRule>
    <cfRule type="expression" priority="275" aboveAverage="0" equalAverage="0" bottom="0" percent="0" rank="0" text="" dxfId="11">
      <formula>AND($DB$8&gt;0,INDEX(Network!$P$7:$P$28,$DB$8)&lt;&gt;"",INDEX(Network!$P$7:$P$28,$DB$8)&lt;=Setup!$D$31)</formula>
    </cfRule>
    <cfRule type="expression" priority="276" aboveAverage="0" equalAverage="0" bottom="0" percent="0" rank="0" text="" dxfId="12">
      <formula>AND($DB$8&gt;0,INDEX(Network!$P$7:$P$28,$DB$8)&lt;&gt;"",INDEX(Network!$P$7:$P$28,$DB$8)&gt;Setup!$D$31,INDEX(Network!$P$7:$P$28,$DB$8)&lt;=Setup!$D$31+Setup!$D$20)</formula>
    </cfRule>
    <cfRule type="expression" priority="277" aboveAverage="0" equalAverage="0" bottom="0" percent="0" rank="0" text="" dxfId="14">
      <formula>AND($DB$8&gt;0,INDEX(Network!$P$7:$P$28,$DB$8)&lt;&gt;"",INDEX(Network!$P$7:$P$28,$DB$8)&gt;Setup!$D$31+Setup!$D$20)</formula>
    </cfRule>
  </conditionalFormatting>
  <conditionalFormatting sqref="AD28:AF28">
    <cfRule type="expression" priority="278" aboveAverage="0" equalAverage="0" bottom="0" percent="0" rank="0" text="" dxfId="15">
      <formula>AND($DB$8=0,($DC$8+$CZ$8)&gt;0)</formula>
    </cfRule>
  </conditionalFormatting>
  <conditionalFormatting sqref="AG28">
    <cfRule type="expression" priority="279" aboveAverage="0" equalAverage="0" bottom="0" percent="0" rank="0" text="" dxfId="15">
      <formula>($DD$8+$DF$8)&gt;0</formula>
    </cfRule>
  </conditionalFormatting>
  <conditionalFormatting sqref="AI28">
    <cfRule type="expression" priority="280" aboveAverage="0" equalAverage="0" bottom="0" percent="0" rank="0" text="" dxfId="15">
      <formula>($DI$8+$DE$8+$DF$8)&gt;0</formula>
    </cfRule>
  </conditionalFormatting>
  <conditionalFormatting sqref="AH28">
    <cfRule type="expression" priority="281" aboveAverage="0" equalAverage="0" bottom="0" percent="0" rank="0" text="" dxfId="15">
      <formula>OR(($DD$8+$DF$8)&gt;0,($DI$8+$DE$8+$DF$8)&gt;0,$DG$7&gt;0,$DG$8&gt;0)</formula>
    </cfRule>
  </conditionalFormatting>
  <conditionalFormatting sqref="AH26:AH27">
    <cfRule type="expression" priority="282" aboveAverage="0" equalAverage="0" bottom="0" percent="0" rank="0" text="" dxfId="15">
      <formula>$DG$7&gt;0</formula>
    </cfRule>
  </conditionalFormatting>
  <conditionalFormatting sqref="AH29:AH31">
    <cfRule type="expression" priority="283" aboveAverage="0" equalAverage="0" bottom="0" percent="0" rank="0" text="" dxfId="15">
      <formula>$DG$8&gt;0</formula>
    </cfRule>
  </conditionalFormatting>
  <conditionalFormatting sqref="AJ26:AL30">
    <cfRule type="expression" priority="284" aboveAverage="0" equalAverage="0" bottom="0" percent="0" rank="0" text="" dxfId="16">
      <formula>AND($DH$8&gt;0,INDEX(Network!$P$7:$P$28,$DH$8)="")</formula>
    </cfRule>
    <cfRule type="expression" priority="285" aboveAverage="0" equalAverage="0" bottom="0" percent="0" rank="0" text="" dxfId="11">
      <formula>AND($DH$8&gt;0,INDEX(Network!$P$7:$P$28,$DH$8)&lt;&gt;"",INDEX(Network!$P$7:$P$28,$DH$8)&lt;=Setup!$D$31)</formula>
    </cfRule>
    <cfRule type="expression" priority="286" aboveAverage="0" equalAverage="0" bottom="0" percent="0" rank="0" text="" dxfId="12">
      <formula>AND($DH$8&gt;0,INDEX(Network!$P$7:$P$28,$DH$8)&lt;&gt;"",INDEX(Network!$P$7:$P$28,$DH$8)&gt;Setup!$D$31,INDEX(Network!$P$7:$P$28,$DH$8)&lt;=Setup!$D$31+Setup!$D$20)</formula>
    </cfRule>
    <cfRule type="expression" priority="287" aboveAverage="0" equalAverage="0" bottom="0" percent="0" rank="0" text="" dxfId="14">
      <formula>AND($DH$8&gt;0,INDEX(Network!$P$7:$P$28,$DH$8)&lt;&gt;"",INDEX(Network!$P$7:$P$28,$DH$8)&gt;Setup!$D$31+Setup!$D$20)</formula>
    </cfRule>
  </conditionalFormatting>
  <conditionalFormatting sqref="AJ28:AL28">
    <cfRule type="expression" priority="288" aboveAverage="0" equalAverage="0" bottom="0" percent="0" rank="0" text="" dxfId="15">
      <formula>AND($DH$8=0,($DI$8+$DF$8)&gt;0)</formula>
    </cfRule>
  </conditionalFormatting>
  <conditionalFormatting sqref="AM28">
    <cfRule type="expression" priority="289" aboveAverage="0" equalAverage="0" bottom="0" percent="0" rank="0" text="" dxfId="15">
      <formula>($DJ$8+$DL$8)&gt;0</formula>
    </cfRule>
  </conditionalFormatting>
  <conditionalFormatting sqref="AO28">
    <cfRule type="expression" priority="290" aboveAverage="0" equalAverage="0" bottom="0" percent="0" rank="0" text="" dxfId="15">
      <formula>($DO$8+$DK$8+$DL$8)&gt;0</formula>
    </cfRule>
  </conditionalFormatting>
  <conditionalFormatting sqref="AN28">
    <cfRule type="expression" priority="291" aboveAverage="0" equalAverage="0" bottom="0" percent="0" rank="0" text="" dxfId="15">
      <formula>OR(($DJ$8+$DL$8)&gt;0,($DO$8+$DK$8+$DL$8)&gt;0,$DM$7&gt;0,$DM$8&gt;0)</formula>
    </cfRule>
  </conditionalFormatting>
  <conditionalFormatting sqref="AN26:AN27">
    <cfRule type="expression" priority="292" aboveAverage="0" equalAverage="0" bottom="0" percent="0" rank="0" text="" dxfId="15">
      <formula>$DM$7&gt;0</formula>
    </cfRule>
  </conditionalFormatting>
  <conditionalFormatting sqref="AN29:AN31">
    <cfRule type="expression" priority="293" aboveAverage="0" equalAverage="0" bottom="0" percent="0" rank="0" text="" dxfId="15">
      <formula>$DM$8&gt;0</formula>
    </cfRule>
  </conditionalFormatting>
  <conditionalFormatting sqref="AP26:AR30">
    <cfRule type="expression" priority="294" aboveAverage="0" equalAverage="0" bottom="0" percent="0" rank="0" text="" dxfId="16">
      <formula>AND($DN$8&gt;0,INDEX(Network!$P$7:$P$28,$DN$8)="")</formula>
    </cfRule>
    <cfRule type="expression" priority="295" aboveAverage="0" equalAverage="0" bottom="0" percent="0" rank="0" text="" dxfId="11">
      <formula>AND($DN$8&gt;0,INDEX(Network!$P$7:$P$28,$DN$8)&lt;&gt;"",INDEX(Network!$P$7:$P$28,$DN$8)&lt;=Setup!$D$31)</formula>
    </cfRule>
    <cfRule type="expression" priority="296" aboveAverage="0" equalAverage="0" bottom="0" percent="0" rank="0" text="" dxfId="12">
      <formula>AND($DN$8&gt;0,INDEX(Network!$P$7:$P$28,$DN$8)&lt;&gt;"",INDEX(Network!$P$7:$P$28,$DN$8)&gt;Setup!$D$31,INDEX(Network!$P$7:$P$28,$DN$8)&lt;=Setup!$D$31+Setup!$D$20)</formula>
    </cfRule>
    <cfRule type="expression" priority="297" aboveAverage="0" equalAverage="0" bottom="0" percent="0" rank="0" text="" dxfId="14">
      <formula>AND($DN$8&gt;0,INDEX(Network!$P$7:$P$28,$DN$8)&lt;&gt;"",INDEX(Network!$P$7:$P$28,$DN$8)&gt;Setup!$D$31+Setup!$D$20)</formula>
    </cfRule>
  </conditionalFormatting>
  <conditionalFormatting sqref="AP28:AR28">
    <cfRule type="expression" priority="298" aboveAverage="0" equalAverage="0" bottom="0" percent="0" rank="0" text="" dxfId="15">
      <formula>AND($DN$8=0,($DO$8+$DL$8)&gt;0)</formula>
    </cfRule>
  </conditionalFormatting>
  <conditionalFormatting sqref="AS28">
    <cfRule type="expression" priority="299" aboveAverage="0" equalAverage="0" bottom="0" percent="0" rank="0" text="" dxfId="15">
      <formula>($DP$8+$DR$8)&gt;0</formula>
    </cfRule>
  </conditionalFormatting>
  <conditionalFormatting sqref="AU28">
    <cfRule type="expression" priority="300" aboveAverage="0" equalAverage="0" bottom="0" percent="0" rank="0" text="" dxfId="15">
      <formula>($DU$8+$DQ$8+$DR$8)&gt;0</formula>
    </cfRule>
  </conditionalFormatting>
  <conditionalFormatting sqref="AT28">
    <cfRule type="expression" priority="301" aboveAverage="0" equalAverage="0" bottom="0" percent="0" rank="0" text="" dxfId="15">
      <formula>OR(($DP$8+$DR$8)&gt;0,($DU$8+$DQ$8+$DR$8)&gt;0,$DS$7&gt;0,$DS$8&gt;0)</formula>
    </cfRule>
  </conditionalFormatting>
  <conditionalFormatting sqref="AT26:AT27">
    <cfRule type="expression" priority="302" aboveAverage="0" equalAverage="0" bottom="0" percent="0" rank="0" text="" dxfId="15">
      <formula>$DS$7&gt;0</formula>
    </cfRule>
  </conditionalFormatting>
  <conditionalFormatting sqref="AT29:AT31">
    <cfRule type="expression" priority="303" aboveAverage="0" equalAverage="0" bottom="0" percent="0" rank="0" text="" dxfId="15">
      <formula>$DS$8&gt;0</formula>
    </cfRule>
  </conditionalFormatting>
  <conditionalFormatting sqref="AV26:AX30">
    <cfRule type="expression" priority="304" aboveAverage="0" equalAverage="0" bottom="0" percent="0" rank="0" text="" dxfId="16">
      <formula>AND($DT$8&gt;0,INDEX(Network!$P$7:$P$28,$DT$8)="")</formula>
    </cfRule>
    <cfRule type="expression" priority="305" aboveAverage="0" equalAverage="0" bottom="0" percent="0" rank="0" text="" dxfId="11">
      <formula>AND($DT$8&gt;0,INDEX(Network!$P$7:$P$28,$DT$8)&lt;&gt;"",INDEX(Network!$P$7:$P$28,$DT$8)&lt;=Setup!$D$31)</formula>
    </cfRule>
    <cfRule type="expression" priority="306" aboveAverage="0" equalAverage="0" bottom="0" percent="0" rank="0" text="" dxfId="12">
      <formula>AND($DT$8&gt;0,INDEX(Network!$P$7:$P$28,$DT$8)&lt;&gt;"",INDEX(Network!$P$7:$P$28,$DT$8)&gt;Setup!$D$31,INDEX(Network!$P$7:$P$28,$DT$8)&lt;=Setup!$D$31+Setup!$D$20)</formula>
    </cfRule>
    <cfRule type="expression" priority="307" aboveAverage="0" equalAverage="0" bottom="0" percent="0" rank="0" text="" dxfId="14">
      <formula>AND($DT$8&gt;0,INDEX(Network!$P$7:$P$28,$DT$8)&lt;&gt;"",INDEX(Network!$P$7:$P$28,$DT$8)&gt;Setup!$D$31+Setup!$D$20)</formula>
    </cfRule>
  </conditionalFormatting>
  <conditionalFormatting sqref="AV28:AX28">
    <cfRule type="expression" priority="308" aboveAverage="0" equalAverage="0" bottom="0" percent="0" rank="0" text="" dxfId="15">
      <formula>AND($DT$8=0,($DU$8+$DR$8)&gt;0)</formula>
    </cfRule>
  </conditionalFormatting>
  <conditionalFormatting sqref="AY28">
    <cfRule type="expression" priority="309" aboveAverage="0" equalAverage="0" bottom="0" percent="0" rank="0" text="" dxfId="15">
      <formula>($DV$8+$DX$8)&gt;0</formula>
    </cfRule>
  </conditionalFormatting>
  <conditionalFormatting sqref="BA28">
    <cfRule type="expression" priority="310" aboveAverage="0" equalAverage="0" bottom="0" percent="0" rank="0" text="" dxfId="15">
      <formula>($EA$8+$DW$8+$DX$8)&gt;0</formula>
    </cfRule>
  </conditionalFormatting>
  <conditionalFormatting sqref="AZ28">
    <cfRule type="expression" priority="311" aboveAverage="0" equalAverage="0" bottom="0" percent="0" rank="0" text="" dxfId="15">
      <formula>OR(($DV$8+$DX$8)&gt;0,($EA$8+$DW$8+$DX$8)&gt;0,$DY$7&gt;0,$DY$8&gt;0)</formula>
    </cfRule>
  </conditionalFormatting>
  <conditionalFormatting sqref="AZ26:AZ27">
    <cfRule type="expression" priority="312" aboveAverage="0" equalAverage="0" bottom="0" percent="0" rank="0" text="" dxfId="15">
      <formula>$DY$7&gt;0</formula>
    </cfRule>
  </conditionalFormatting>
  <conditionalFormatting sqref="AZ29:AZ31">
    <cfRule type="expression" priority="313" aboveAverage="0" equalAverage="0" bottom="0" percent="0" rank="0" text="" dxfId="15">
      <formula>$DY$8&gt;0</formula>
    </cfRule>
  </conditionalFormatting>
  <conditionalFormatting sqref="BB26:BD30">
    <cfRule type="expression" priority="314" aboveAverage="0" equalAverage="0" bottom="0" percent="0" rank="0" text="" dxfId="16">
      <formula>AND($DZ$8&gt;0,INDEX(Network!$P$7:$P$28,$DZ$8)="")</formula>
    </cfRule>
    <cfRule type="expression" priority="315" aboveAverage="0" equalAverage="0" bottom="0" percent="0" rank="0" text="" dxfId="11">
      <formula>AND($DZ$8&gt;0,INDEX(Network!$P$7:$P$28,$DZ$8)&lt;&gt;"",INDEX(Network!$P$7:$P$28,$DZ$8)&lt;=Setup!$D$31)</formula>
    </cfRule>
    <cfRule type="expression" priority="316" aboveAverage="0" equalAverage="0" bottom="0" percent="0" rank="0" text="" dxfId="12">
      <formula>AND($DZ$8&gt;0,INDEX(Network!$P$7:$P$28,$DZ$8)&lt;&gt;"",INDEX(Network!$P$7:$P$28,$DZ$8)&gt;Setup!$D$31,INDEX(Network!$P$7:$P$28,$DZ$8)&lt;=Setup!$D$31+Setup!$D$20)</formula>
    </cfRule>
    <cfRule type="expression" priority="317" aboveAverage="0" equalAverage="0" bottom="0" percent="0" rank="0" text="" dxfId="14">
      <formula>AND($DZ$8&gt;0,INDEX(Network!$P$7:$P$28,$DZ$8)&lt;&gt;"",INDEX(Network!$P$7:$P$28,$DZ$8)&gt;Setup!$D$31+Setup!$D$20)</formula>
    </cfRule>
  </conditionalFormatting>
  <conditionalFormatting sqref="BB28:BD28">
    <cfRule type="expression" priority="318" aboveAverage="0" equalAverage="0" bottom="0" percent="0" rank="0" text="" dxfId="15">
      <formula>AND($DZ$8=0,($EA$8+$DX$8)&gt;0)</formula>
    </cfRule>
  </conditionalFormatting>
  <conditionalFormatting sqref="BE28">
    <cfRule type="expression" priority="319" aboveAverage="0" equalAverage="0" bottom="0" percent="0" rank="0" text="" dxfId="15">
      <formula>($EB$8+$ED$8)&gt;0</formula>
    </cfRule>
  </conditionalFormatting>
  <conditionalFormatting sqref="BG28">
    <cfRule type="expression" priority="320" aboveAverage="0" equalAverage="0" bottom="0" percent="0" rank="0" text="" dxfId="15">
      <formula>($EG$8+$EC$8+$ED$8)&gt;0</formula>
    </cfRule>
  </conditionalFormatting>
  <conditionalFormatting sqref="BF28">
    <cfRule type="expression" priority="321" aboveAverage="0" equalAverage="0" bottom="0" percent="0" rank="0" text="" dxfId="15">
      <formula>OR(($EB$8+$ED$8)&gt;0,($EG$8+$EC$8+$ED$8)&gt;0,$EE$7&gt;0,$EE$8&gt;0)</formula>
    </cfRule>
  </conditionalFormatting>
  <conditionalFormatting sqref="BF26:BF27">
    <cfRule type="expression" priority="322" aboveAverage="0" equalAverage="0" bottom="0" percent="0" rank="0" text="" dxfId="15">
      <formula>$EE$7&gt;0</formula>
    </cfRule>
  </conditionalFormatting>
  <conditionalFormatting sqref="BF29:BF31">
    <cfRule type="expression" priority="323" aboveAverage="0" equalAverage="0" bottom="0" percent="0" rank="0" text="" dxfId="15">
      <formula>$EE$8&gt;0</formula>
    </cfRule>
  </conditionalFormatting>
  <conditionalFormatting sqref="BH26:BJ30">
    <cfRule type="expression" priority="324" aboveAverage="0" equalAverage="0" bottom="0" percent="0" rank="0" text="" dxfId="16">
      <formula>AND($EF$8&gt;0,INDEX(Network!$P$7:$P$28,$EF$8)="")</formula>
    </cfRule>
    <cfRule type="expression" priority="325" aboveAverage="0" equalAverage="0" bottom="0" percent="0" rank="0" text="" dxfId="11">
      <formula>AND($EF$8&gt;0,INDEX(Network!$P$7:$P$28,$EF$8)&lt;&gt;"",INDEX(Network!$P$7:$P$28,$EF$8)&lt;=Setup!$D$31)</formula>
    </cfRule>
    <cfRule type="expression" priority="326" aboveAverage="0" equalAverage="0" bottom="0" percent="0" rank="0" text="" dxfId="12">
      <formula>AND($EF$8&gt;0,INDEX(Network!$P$7:$P$28,$EF$8)&lt;&gt;"",INDEX(Network!$P$7:$P$28,$EF$8)&gt;Setup!$D$31,INDEX(Network!$P$7:$P$28,$EF$8)&lt;=Setup!$D$31+Setup!$D$20)</formula>
    </cfRule>
    <cfRule type="expression" priority="327" aboveAverage="0" equalAverage="0" bottom="0" percent="0" rank="0" text="" dxfId="14">
      <formula>AND($EF$8&gt;0,INDEX(Network!$P$7:$P$28,$EF$8)&lt;&gt;"",INDEX(Network!$P$7:$P$28,$EF$8)&gt;Setup!$D$31+Setup!$D$20)</formula>
    </cfRule>
  </conditionalFormatting>
  <conditionalFormatting sqref="BH28:BJ28">
    <cfRule type="expression" priority="328" aboveAverage="0" equalAverage="0" bottom="0" percent="0" rank="0" text="" dxfId="15">
      <formula>AND($EF$8=0,($EG$8+$ED$8)&gt;0)</formula>
    </cfRule>
  </conditionalFormatting>
  <conditionalFormatting sqref="BK28">
    <cfRule type="expression" priority="329" aboveAverage="0" equalAverage="0" bottom="0" percent="0" rank="0" text="" dxfId="15">
      <formula>($EH$8+$EJ$8)&gt;0</formula>
    </cfRule>
  </conditionalFormatting>
  <conditionalFormatting sqref="BM28">
    <cfRule type="expression" priority="330" aboveAverage="0" equalAverage="0" bottom="0" percent="0" rank="0" text="" dxfId="15">
      <formula>($EM$8+$EI$8+$EJ$8)&gt;0</formula>
    </cfRule>
  </conditionalFormatting>
  <conditionalFormatting sqref="BL28">
    <cfRule type="expression" priority="331" aboveAverage="0" equalAverage="0" bottom="0" percent="0" rank="0" text="" dxfId="15">
      <formula>OR(($EH$8+$EJ$8)&gt;0,($EM$8+$EI$8+$EJ$8)&gt;0,$EK$7&gt;0,$EK$8&gt;0)</formula>
    </cfRule>
  </conditionalFormatting>
  <conditionalFormatting sqref="BL26:BL27">
    <cfRule type="expression" priority="332" aboveAverage="0" equalAverage="0" bottom="0" percent="0" rank="0" text="" dxfId="15">
      <formula>$EK$7&gt;0</formula>
    </cfRule>
  </conditionalFormatting>
  <conditionalFormatting sqref="BL29:BL31">
    <cfRule type="expression" priority="333" aboveAverage="0" equalAverage="0" bottom="0" percent="0" rank="0" text="" dxfId="15">
      <formula>$EK$8&gt;0</formula>
    </cfRule>
  </conditionalFormatting>
  <conditionalFormatting sqref="BN26:BP30">
    <cfRule type="expression" priority="334" aboveAverage="0" equalAverage="0" bottom="0" percent="0" rank="0" text="" dxfId="16">
      <formula>AND($EL$8&gt;0,INDEX(Network!$P$7:$P$28,$EL$8)="")</formula>
    </cfRule>
    <cfRule type="expression" priority="335" aboveAverage="0" equalAverage="0" bottom="0" percent="0" rank="0" text="" dxfId="11">
      <formula>AND($EL$8&gt;0,INDEX(Network!$P$7:$P$28,$EL$8)&lt;&gt;"",INDEX(Network!$P$7:$P$28,$EL$8)&lt;=Setup!$D$31)</formula>
    </cfRule>
    <cfRule type="expression" priority="336" aboveAverage="0" equalAverage="0" bottom="0" percent="0" rank="0" text="" dxfId="12">
      <formula>AND($EL$8&gt;0,INDEX(Network!$P$7:$P$28,$EL$8)&lt;&gt;"",INDEX(Network!$P$7:$P$28,$EL$8)&gt;Setup!$D$31,INDEX(Network!$P$7:$P$28,$EL$8)&lt;=Setup!$D$31+Setup!$D$20)</formula>
    </cfRule>
    <cfRule type="expression" priority="337" aboveAverage="0" equalAverage="0" bottom="0" percent="0" rank="0" text="" dxfId="14">
      <formula>AND($EL$8&gt;0,INDEX(Network!$P$7:$P$28,$EL$8)&lt;&gt;"",INDEX(Network!$P$7:$P$28,$EL$8)&gt;Setup!$D$31+Setup!$D$20)</formula>
    </cfRule>
  </conditionalFormatting>
  <conditionalFormatting sqref="BN28:BP28">
    <cfRule type="expression" priority="338" aboveAverage="0" equalAverage="0" bottom="0" percent="0" rank="0" text="" dxfId="15">
      <formula>AND($EL$8=0,($EM$8+$EJ$8)&gt;0)</formula>
    </cfRule>
  </conditionalFormatting>
  <conditionalFormatting sqref="BQ28">
    <cfRule type="expression" priority="339" aboveAverage="0" equalAverage="0" bottom="0" percent="0" rank="0" text="" dxfId="15">
      <formula>($EN$8+$EP$8)&gt;0</formula>
    </cfRule>
  </conditionalFormatting>
  <conditionalFormatting sqref="BS28">
    <cfRule type="expression" priority="340" aboveAverage="0" equalAverage="0" bottom="0" percent="0" rank="0" text="" dxfId="15">
      <formula>($ES$8+$EO$8+$EP$8)&gt;0</formula>
    </cfRule>
  </conditionalFormatting>
  <conditionalFormatting sqref="BR28">
    <cfRule type="expression" priority="341" aboveAverage="0" equalAverage="0" bottom="0" percent="0" rank="0" text="" dxfId="15">
      <formula>OR(($EN$8+$EP$8)&gt;0,($ES$8+$EO$8+$EP$8)&gt;0,$EQ$7&gt;0,$EQ$8&gt;0)</formula>
    </cfRule>
  </conditionalFormatting>
  <conditionalFormatting sqref="BR26:BR27">
    <cfRule type="expression" priority="342" aboveAverage="0" equalAverage="0" bottom="0" percent="0" rank="0" text="" dxfId="15">
      <formula>$EQ$7&gt;0</formula>
    </cfRule>
  </conditionalFormatting>
  <conditionalFormatting sqref="BR29:BR31">
    <cfRule type="expression" priority="343" aboveAverage="0" equalAverage="0" bottom="0" percent="0" rank="0" text="" dxfId="15">
      <formula>$EQ$8&gt;0</formula>
    </cfRule>
  </conditionalFormatting>
  <conditionalFormatting sqref="BT26:BV30">
    <cfRule type="expression" priority="344" aboveAverage="0" equalAverage="0" bottom="0" percent="0" rank="0" text="" dxfId="16">
      <formula>AND($ER$8&gt;0,INDEX(Network!$P$7:$P$28,$ER$8)="")</formula>
    </cfRule>
    <cfRule type="expression" priority="345" aboveAverage="0" equalAverage="0" bottom="0" percent="0" rank="0" text="" dxfId="11">
      <formula>AND($ER$8&gt;0,INDEX(Network!$P$7:$P$28,$ER$8)&lt;&gt;"",INDEX(Network!$P$7:$P$28,$ER$8)&lt;=Setup!$D$31)</formula>
    </cfRule>
    <cfRule type="expression" priority="346" aboveAverage="0" equalAverage="0" bottom="0" percent="0" rank="0" text="" dxfId="12">
      <formula>AND($ER$8&gt;0,INDEX(Network!$P$7:$P$28,$ER$8)&lt;&gt;"",INDEX(Network!$P$7:$P$28,$ER$8)&gt;Setup!$D$31,INDEX(Network!$P$7:$P$28,$ER$8)&lt;=Setup!$D$31+Setup!$D$20)</formula>
    </cfRule>
    <cfRule type="expression" priority="347" aboveAverage="0" equalAverage="0" bottom="0" percent="0" rank="0" text="" dxfId="14">
      <formula>AND($ER$8&gt;0,INDEX(Network!$P$7:$P$28,$ER$8)&lt;&gt;"",INDEX(Network!$P$7:$P$28,$ER$8)&gt;Setup!$D$31+Setup!$D$20)</formula>
    </cfRule>
  </conditionalFormatting>
  <conditionalFormatting sqref="BT28:BV28">
    <cfRule type="expression" priority="348" aboveAverage="0" equalAverage="0" bottom="0" percent="0" rank="0" text="" dxfId="15">
      <formula>AND($ER$8=0,($ES$8+$EP$8)&gt;0)</formula>
    </cfRule>
  </conditionalFormatting>
  <conditionalFormatting sqref="BW28">
    <cfRule type="expression" priority="349" aboveAverage="0" equalAverage="0" bottom="0" percent="0" rank="0" text="" dxfId="15">
      <formula>($ET$8+$EV$8)&gt;0</formula>
    </cfRule>
  </conditionalFormatting>
  <conditionalFormatting sqref="BY28">
    <cfRule type="expression" priority="350" aboveAverage="0" equalAverage="0" bottom="0" percent="0" rank="0" text="" dxfId="15">
      <formula>($EV$8)&gt;0</formula>
    </cfRule>
  </conditionalFormatting>
  <conditionalFormatting sqref="BX28">
    <cfRule type="expression" priority="351" aboveAverage="0" equalAverage="0" bottom="0" percent="0" rank="0" text="" dxfId="15">
      <formula>OR(($ET$8+$EV$8)&gt;0,($EV$8)&gt;0,0,0)</formula>
    </cfRule>
  </conditionalFormatting>
  <conditionalFormatting sqref="BX26:BX27">
    <cfRule type="expression" priority="352" aboveAverage="0" equalAverage="0" bottom="0" percent="0" rank="0" text="" dxfId="15">
      <formula>0</formula>
    </cfRule>
  </conditionalFormatting>
  <conditionalFormatting sqref="BX29:BX31">
    <cfRule type="expression" priority="353" aboveAverage="0" equalAverage="0" bottom="0" percent="0" rank="0" text="" dxfId="15">
      <formula>0</formula>
    </cfRule>
  </conditionalFormatting>
  <conditionalFormatting sqref="C34:E34">
    <cfRule type="expression" priority="354" aboveAverage="0" equalAverage="0" bottom="0" percent="0" rank="0" text="" dxfId="15">
      <formula>$CD$9&gt;0</formula>
    </cfRule>
  </conditionalFormatting>
  <conditionalFormatting sqref="F32:H36">
    <cfRule type="expression" priority="355" aboveAverage="0" equalAverage="0" bottom="0" percent="0" rank="0" text="" dxfId="16">
      <formula>AND($CD$9&gt;0,INDEX(Network!$P$7:$P$28,$CD$9)="")</formula>
    </cfRule>
    <cfRule type="expression" priority="356" aboveAverage="0" equalAverage="0" bottom="0" percent="0" rank="0" text="" dxfId="11">
      <formula>AND($CD$9&gt;0,INDEX(Network!$P$7:$P$28,$CD$9)&lt;&gt;"",INDEX(Network!$P$7:$P$28,$CD$9)&lt;=Setup!$D$31)</formula>
    </cfRule>
    <cfRule type="expression" priority="357" aboveAverage="0" equalAverage="0" bottom="0" percent="0" rank="0" text="" dxfId="12">
      <formula>AND($CD$9&gt;0,INDEX(Network!$P$7:$P$28,$CD$9)&lt;&gt;"",INDEX(Network!$P$7:$P$28,$CD$9)&gt;Setup!$D$31,INDEX(Network!$P$7:$P$28,$CD$9)&lt;=Setup!$D$31+Setup!$D$20)</formula>
    </cfRule>
    <cfRule type="expression" priority="358" aboveAverage="0" equalAverage="0" bottom="0" percent="0" rank="0" text="" dxfId="14">
      <formula>AND($CD$9&gt;0,INDEX(Network!$P$7:$P$28,$CD$9)&lt;&gt;"",INDEX(Network!$P$7:$P$28,$CD$9)&gt;Setup!$D$31+Setup!$D$20)</formula>
    </cfRule>
  </conditionalFormatting>
  <conditionalFormatting sqref="F34:H34">
    <cfRule type="expression" priority="359" aboveAverage="0" equalAverage="0" bottom="0" percent="0" rank="0" text="" dxfId="15">
      <formula>AND($CD$9=0,$CE$9&gt;0)</formula>
    </cfRule>
  </conditionalFormatting>
  <conditionalFormatting sqref="I34">
    <cfRule type="expression" priority="360" aboveAverage="0" equalAverage="0" bottom="0" percent="0" rank="0" text="" dxfId="15">
      <formula>($CF$9+$CH$9)&gt;0</formula>
    </cfRule>
  </conditionalFormatting>
  <conditionalFormatting sqref="K34">
    <cfRule type="expression" priority="361" aboveAverage="0" equalAverage="0" bottom="0" percent="0" rank="0" text="" dxfId="15">
      <formula>($CK$9+$CG$9+$CH$9)&gt;0</formula>
    </cfRule>
  </conditionalFormatting>
  <conditionalFormatting sqref="J34">
    <cfRule type="expression" priority="362" aboveAverage="0" equalAverage="0" bottom="0" percent="0" rank="0" text="" dxfId="15">
      <formula>OR(($CF$9+$CH$9)&gt;0,($CK$9+$CG$9+$CH$9)&gt;0,$CI$8&gt;0,$CI$9&gt;0)</formula>
    </cfRule>
  </conditionalFormatting>
  <conditionalFormatting sqref="J32:J33">
    <cfRule type="expression" priority="363" aboveAverage="0" equalAverage="0" bottom="0" percent="0" rank="0" text="" dxfId="15">
      <formula>$CI$8&gt;0</formula>
    </cfRule>
  </conditionalFormatting>
  <conditionalFormatting sqref="J35:J37">
    <cfRule type="expression" priority="364" aboveAverage="0" equalAverage="0" bottom="0" percent="0" rank="0" text="" dxfId="15">
      <formula>$CI$9&gt;0</formula>
    </cfRule>
  </conditionalFormatting>
  <conditionalFormatting sqref="L32:N36">
    <cfRule type="expression" priority="365" aboveAverage="0" equalAverage="0" bottom="0" percent="0" rank="0" text="" dxfId="16">
      <formula>AND($CJ$9&gt;0,INDEX(Network!$P$7:$P$28,$CJ$9)="")</formula>
    </cfRule>
    <cfRule type="expression" priority="366" aboveAverage="0" equalAverage="0" bottom="0" percent="0" rank="0" text="" dxfId="11">
      <formula>AND($CJ$9&gt;0,INDEX(Network!$P$7:$P$28,$CJ$9)&lt;&gt;"",INDEX(Network!$P$7:$P$28,$CJ$9)&lt;=Setup!$D$31)</formula>
    </cfRule>
    <cfRule type="expression" priority="367" aboveAverage="0" equalAverage="0" bottom="0" percent="0" rank="0" text="" dxfId="12">
      <formula>AND($CJ$9&gt;0,INDEX(Network!$P$7:$P$28,$CJ$9)&lt;&gt;"",INDEX(Network!$P$7:$P$28,$CJ$9)&gt;Setup!$D$31,INDEX(Network!$P$7:$P$28,$CJ$9)&lt;=Setup!$D$31+Setup!$D$20)</formula>
    </cfRule>
    <cfRule type="expression" priority="368" aboveAverage="0" equalAverage="0" bottom="0" percent="0" rank="0" text="" dxfId="14">
      <formula>AND($CJ$9&gt;0,INDEX(Network!$P$7:$P$28,$CJ$9)&lt;&gt;"",INDEX(Network!$P$7:$P$28,$CJ$9)&gt;Setup!$D$31+Setup!$D$20)</formula>
    </cfRule>
  </conditionalFormatting>
  <conditionalFormatting sqref="L34:N34">
    <cfRule type="expression" priority="369" aboveAverage="0" equalAverage="0" bottom="0" percent="0" rank="0" text="" dxfId="15">
      <formula>AND($CJ$9=0,($CK$9+$CH$9)&gt;0)</formula>
    </cfRule>
  </conditionalFormatting>
  <conditionalFormatting sqref="O34">
    <cfRule type="expression" priority="370" aboveAverage="0" equalAverage="0" bottom="0" percent="0" rank="0" text="" dxfId="15">
      <formula>($CL$9+$CN$9)&gt;0</formula>
    </cfRule>
  </conditionalFormatting>
  <conditionalFormatting sqref="Q34">
    <cfRule type="expression" priority="371" aboveAverage="0" equalAverage="0" bottom="0" percent="0" rank="0" text="" dxfId="15">
      <formula>($CQ$9+$CM$9+$CN$9)&gt;0</formula>
    </cfRule>
  </conditionalFormatting>
  <conditionalFormatting sqref="P34">
    <cfRule type="expression" priority="372" aboveAverage="0" equalAverage="0" bottom="0" percent="0" rank="0" text="" dxfId="15">
      <formula>OR(($CL$9+$CN$9)&gt;0,($CQ$9+$CM$9+$CN$9)&gt;0,$CO$8&gt;0,$CO$9&gt;0)</formula>
    </cfRule>
  </conditionalFormatting>
  <conditionalFormatting sqref="P32:P33">
    <cfRule type="expression" priority="373" aboveAverage="0" equalAverage="0" bottom="0" percent="0" rank="0" text="" dxfId="15">
      <formula>$CO$8&gt;0</formula>
    </cfRule>
  </conditionalFormatting>
  <conditionalFormatting sqref="P35:P37">
    <cfRule type="expression" priority="374" aboveAverage="0" equalAverage="0" bottom="0" percent="0" rank="0" text="" dxfId="15">
      <formula>$CO$9&gt;0</formula>
    </cfRule>
  </conditionalFormatting>
  <conditionalFormatting sqref="R32:T36">
    <cfRule type="expression" priority="375" aboveAverage="0" equalAverage="0" bottom="0" percent="0" rank="0" text="" dxfId="16">
      <formula>AND($CP$9&gt;0,INDEX(Network!$P$7:$P$28,$CP$9)="")</formula>
    </cfRule>
    <cfRule type="expression" priority="376" aboveAverage="0" equalAverage="0" bottom="0" percent="0" rank="0" text="" dxfId="11">
      <formula>AND($CP$9&gt;0,INDEX(Network!$P$7:$P$28,$CP$9)&lt;&gt;"",INDEX(Network!$P$7:$P$28,$CP$9)&lt;=Setup!$D$31)</formula>
    </cfRule>
    <cfRule type="expression" priority="377" aboveAverage="0" equalAverage="0" bottom="0" percent="0" rank="0" text="" dxfId="12">
      <formula>AND($CP$9&gt;0,INDEX(Network!$P$7:$P$28,$CP$9)&lt;&gt;"",INDEX(Network!$P$7:$P$28,$CP$9)&gt;Setup!$D$31,INDEX(Network!$P$7:$P$28,$CP$9)&lt;=Setup!$D$31+Setup!$D$20)</formula>
    </cfRule>
    <cfRule type="expression" priority="378" aboveAverage="0" equalAverage="0" bottom="0" percent="0" rank="0" text="" dxfId="14">
      <formula>AND($CP$9&gt;0,INDEX(Network!$P$7:$P$28,$CP$9)&lt;&gt;"",INDEX(Network!$P$7:$P$28,$CP$9)&gt;Setup!$D$31+Setup!$D$20)</formula>
    </cfRule>
  </conditionalFormatting>
  <conditionalFormatting sqref="R34:T34">
    <cfRule type="expression" priority="379" aboveAverage="0" equalAverage="0" bottom="0" percent="0" rank="0" text="" dxfId="15">
      <formula>AND($CP$9=0,($CQ$9+$CN$9)&gt;0)</formula>
    </cfRule>
  </conditionalFormatting>
  <conditionalFormatting sqref="U34">
    <cfRule type="expression" priority="380" aboveAverage="0" equalAverage="0" bottom="0" percent="0" rank="0" text="" dxfId="15">
      <formula>($CR$9+$CT$9)&gt;0</formula>
    </cfRule>
  </conditionalFormatting>
  <conditionalFormatting sqref="W34">
    <cfRule type="expression" priority="381" aboveAverage="0" equalAverage="0" bottom="0" percent="0" rank="0" text="" dxfId="15">
      <formula>($CW$9+$CS$9+$CT$9)&gt;0</formula>
    </cfRule>
  </conditionalFormatting>
  <conditionalFormatting sqref="V34">
    <cfRule type="expression" priority="382" aboveAverage="0" equalAverage="0" bottom="0" percent="0" rank="0" text="" dxfId="15">
      <formula>OR(($CR$9+$CT$9)&gt;0,($CW$9+$CS$9+$CT$9)&gt;0,$CU$8&gt;0,$CU$9&gt;0)</formula>
    </cfRule>
  </conditionalFormatting>
  <conditionalFormatting sqref="V32:V33">
    <cfRule type="expression" priority="383" aboveAverage="0" equalAverage="0" bottom="0" percent="0" rank="0" text="" dxfId="15">
      <formula>$CU$8&gt;0</formula>
    </cfRule>
  </conditionalFormatting>
  <conditionalFormatting sqref="V35:V37">
    <cfRule type="expression" priority="384" aboveAverage="0" equalAverage="0" bottom="0" percent="0" rank="0" text="" dxfId="15">
      <formula>$CU$9&gt;0</formula>
    </cfRule>
  </conditionalFormatting>
  <conditionalFormatting sqref="X32:Z36">
    <cfRule type="expression" priority="385" aboveAverage="0" equalAverage="0" bottom="0" percent="0" rank="0" text="" dxfId="16">
      <formula>AND($CV$9&gt;0,INDEX(Network!$P$7:$P$28,$CV$9)="")</formula>
    </cfRule>
    <cfRule type="expression" priority="386" aboveAverage="0" equalAverage="0" bottom="0" percent="0" rank="0" text="" dxfId="11">
      <formula>AND($CV$9&gt;0,INDEX(Network!$P$7:$P$28,$CV$9)&lt;&gt;"",INDEX(Network!$P$7:$P$28,$CV$9)&lt;=Setup!$D$31)</formula>
    </cfRule>
    <cfRule type="expression" priority="387" aboveAverage="0" equalAverage="0" bottom="0" percent="0" rank="0" text="" dxfId="12">
      <formula>AND($CV$9&gt;0,INDEX(Network!$P$7:$P$28,$CV$9)&lt;&gt;"",INDEX(Network!$P$7:$P$28,$CV$9)&gt;Setup!$D$31,INDEX(Network!$P$7:$P$28,$CV$9)&lt;=Setup!$D$31+Setup!$D$20)</formula>
    </cfRule>
    <cfRule type="expression" priority="388" aboveAverage="0" equalAverage="0" bottom="0" percent="0" rank="0" text="" dxfId="14">
      <formula>AND($CV$9&gt;0,INDEX(Network!$P$7:$P$28,$CV$9)&lt;&gt;"",INDEX(Network!$P$7:$P$28,$CV$9)&gt;Setup!$D$31+Setup!$D$20)</formula>
    </cfRule>
  </conditionalFormatting>
  <conditionalFormatting sqref="X34:Z34">
    <cfRule type="expression" priority="389" aboveAverage="0" equalAverage="0" bottom="0" percent="0" rank="0" text="" dxfId="15">
      <formula>AND($CV$9=0,($CW$9+$CT$9)&gt;0)</formula>
    </cfRule>
  </conditionalFormatting>
  <conditionalFormatting sqref="AA34">
    <cfRule type="expression" priority="390" aboveAverage="0" equalAverage="0" bottom="0" percent="0" rank="0" text="" dxfId="15">
      <formula>($CX$9+$CZ$9)&gt;0</formula>
    </cfRule>
  </conditionalFormatting>
  <conditionalFormatting sqref="AC34">
    <cfRule type="expression" priority="391" aboveAverage="0" equalAverage="0" bottom="0" percent="0" rank="0" text="" dxfId="15">
      <formula>($DC$9+$CY$9+$CZ$9)&gt;0</formula>
    </cfRule>
  </conditionalFormatting>
  <conditionalFormatting sqref="AB34">
    <cfRule type="expression" priority="392" aboveAverage="0" equalAverage="0" bottom="0" percent="0" rank="0" text="" dxfId="15">
      <formula>OR(($CX$9+$CZ$9)&gt;0,($DC$9+$CY$9+$CZ$9)&gt;0,$DA$8&gt;0,$DA$9&gt;0)</formula>
    </cfRule>
  </conditionalFormatting>
  <conditionalFormatting sqref="AB32:AB33">
    <cfRule type="expression" priority="393" aboveAverage="0" equalAverage="0" bottom="0" percent="0" rank="0" text="" dxfId="15">
      <formula>$DA$8&gt;0</formula>
    </cfRule>
  </conditionalFormatting>
  <conditionalFormatting sqref="AB35:AB37">
    <cfRule type="expression" priority="394" aboveAverage="0" equalAverage="0" bottom="0" percent="0" rank="0" text="" dxfId="15">
      <formula>$DA$9&gt;0</formula>
    </cfRule>
  </conditionalFormatting>
  <conditionalFormatting sqref="AD32:AF36">
    <cfRule type="expression" priority="395" aboveAverage="0" equalAverage="0" bottom="0" percent="0" rank="0" text="" dxfId="16">
      <formula>AND($DB$9&gt;0,INDEX(Network!$P$7:$P$28,$DB$9)="")</formula>
    </cfRule>
    <cfRule type="expression" priority="396" aboveAverage="0" equalAverage="0" bottom="0" percent="0" rank="0" text="" dxfId="11">
      <formula>AND($DB$9&gt;0,INDEX(Network!$P$7:$P$28,$DB$9)&lt;&gt;"",INDEX(Network!$P$7:$P$28,$DB$9)&lt;=Setup!$D$31)</formula>
    </cfRule>
    <cfRule type="expression" priority="397" aboveAverage="0" equalAverage="0" bottom="0" percent="0" rank="0" text="" dxfId="12">
      <formula>AND($DB$9&gt;0,INDEX(Network!$P$7:$P$28,$DB$9)&lt;&gt;"",INDEX(Network!$P$7:$P$28,$DB$9)&gt;Setup!$D$31,INDEX(Network!$P$7:$P$28,$DB$9)&lt;=Setup!$D$31+Setup!$D$20)</formula>
    </cfRule>
    <cfRule type="expression" priority="398" aboveAverage="0" equalAverage="0" bottom="0" percent="0" rank="0" text="" dxfId="14">
      <formula>AND($DB$9&gt;0,INDEX(Network!$P$7:$P$28,$DB$9)&lt;&gt;"",INDEX(Network!$P$7:$P$28,$DB$9)&gt;Setup!$D$31+Setup!$D$20)</formula>
    </cfRule>
  </conditionalFormatting>
  <conditionalFormatting sqref="AD34:AF34">
    <cfRule type="expression" priority="399" aboveAverage="0" equalAverage="0" bottom="0" percent="0" rank="0" text="" dxfId="15">
      <formula>AND($DB$9=0,($DC$9+$CZ$9)&gt;0)</formula>
    </cfRule>
  </conditionalFormatting>
  <conditionalFormatting sqref="AG34">
    <cfRule type="expression" priority="400" aboveAverage="0" equalAverage="0" bottom="0" percent="0" rank="0" text="" dxfId="15">
      <formula>($DD$9+$DF$9)&gt;0</formula>
    </cfRule>
  </conditionalFormatting>
  <conditionalFormatting sqref="AI34">
    <cfRule type="expression" priority="401" aboveAverage="0" equalAverage="0" bottom="0" percent="0" rank="0" text="" dxfId="15">
      <formula>($DI$9+$DE$9+$DF$9)&gt;0</formula>
    </cfRule>
  </conditionalFormatting>
  <conditionalFormatting sqref="AH34">
    <cfRule type="expression" priority="402" aboveAverage="0" equalAverage="0" bottom="0" percent="0" rank="0" text="" dxfId="15">
      <formula>OR(($DD$9+$DF$9)&gt;0,($DI$9+$DE$9+$DF$9)&gt;0,$DG$8&gt;0,$DG$9&gt;0)</formula>
    </cfRule>
  </conditionalFormatting>
  <conditionalFormatting sqref="AH32:AH33">
    <cfRule type="expression" priority="403" aboveAverage="0" equalAverage="0" bottom="0" percent="0" rank="0" text="" dxfId="15">
      <formula>$DG$8&gt;0</formula>
    </cfRule>
  </conditionalFormatting>
  <conditionalFormatting sqref="AH35:AH37">
    <cfRule type="expression" priority="404" aboveAverage="0" equalAverage="0" bottom="0" percent="0" rank="0" text="" dxfId="15">
      <formula>$DG$9&gt;0</formula>
    </cfRule>
  </conditionalFormatting>
  <conditionalFormatting sqref="AJ32:AL36">
    <cfRule type="expression" priority="405" aboveAverage="0" equalAverage="0" bottom="0" percent="0" rank="0" text="" dxfId="16">
      <formula>AND($DH$9&gt;0,INDEX(Network!$P$7:$P$28,$DH$9)="")</formula>
    </cfRule>
    <cfRule type="expression" priority="406" aboveAverage="0" equalAverage="0" bottom="0" percent="0" rank="0" text="" dxfId="11">
      <formula>AND($DH$9&gt;0,INDEX(Network!$P$7:$P$28,$DH$9)&lt;&gt;"",INDEX(Network!$P$7:$P$28,$DH$9)&lt;=Setup!$D$31)</formula>
    </cfRule>
    <cfRule type="expression" priority="407" aboveAverage="0" equalAverage="0" bottom="0" percent="0" rank="0" text="" dxfId="12">
      <formula>AND($DH$9&gt;0,INDEX(Network!$P$7:$P$28,$DH$9)&lt;&gt;"",INDEX(Network!$P$7:$P$28,$DH$9)&gt;Setup!$D$31,INDEX(Network!$P$7:$P$28,$DH$9)&lt;=Setup!$D$31+Setup!$D$20)</formula>
    </cfRule>
    <cfRule type="expression" priority="408" aboveAverage="0" equalAverage="0" bottom="0" percent="0" rank="0" text="" dxfId="14">
      <formula>AND($DH$9&gt;0,INDEX(Network!$P$7:$P$28,$DH$9)&lt;&gt;"",INDEX(Network!$P$7:$P$28,$DH$9)&gt;Setup!$D$31+Setup!$D$20)</formula>
    </cfRule>
  </conditionalFormatting>
  <conditionalFormatting sqref="AJ34:AL34">
    <cfRule type="expression" priority="409" aboveAverage="0" equalAverage="0" bottom="0" percent="0" rank="0" text="" dxfId="15">
      <formula>AND($DH$9=0,($DI$9+$DF$9)&gt;0)</formula>
    </cfRule>
  </conditionalFormatting>
  <conditionalFormatting sqref="AM34">
    <cfRule type="expression" priority="410" aboveAverage="0" equalAverage="0" bottom="0" percent="0" rank="0" text="" dxfId="15">
      <formula>($DJ$9+$DL$9)&gt;0</formula>
    </cfRule>
  </conditionalFormatting>
  <conditionalFormatting sqref="AO34">
    <cfRule type="expression" priority="411" aboveAverage="0" equalAverage="0" bottom="0" percent="0" rank="0" text="" dxfId="15">
      <formula>($DO$9+$DK$9+$DL$9)&gt;0</formula>
    </cfRule>
  </conditionalFormatting>
  <conditionalFormatting sqref="AN34">
    <cfRule type="expression" priority="412" aboveAverage="0" equalAverage="0" bottom="0" percent="0" rank="0" text="" dxfId="15">
      <formula>OR(($DJ$9+$DL$9)&gt;0,($DO$9+$DK$9+$DL$9)&gt;0,$DM$8&gt;0,$DM$9&gt;0)</formula>
    </cfRule>
  </conditionalFormatting>
  <conditionalFormatting sqref="AN32:AN33">
    <cfRule type="expression" priority="413" aboveAverage="0" equalAverage="0" bottom="0" percent="0" rank="0" text="" dxfId="15">
      <formula>$DM$8&gt;0</formula>
    </cfRule>
  </conditionalFormatting>
  <conditionalFormatting sqref="AN35:AN37">
    <cfRule type="expression" priority="414" aboveAverage="0" equalAverage="0" bottom="0" percent="0" rank="0" text="" dxfId="15">
      <formula>$DM$9&gt;0</formula>
    </cfRule>
  </conditionalFormatting>
  <conditionalFormatting sqref="AP32:AR36">
    <cfRule type="expression" priority="415" aboveAverage="0" equalAverage="0" bottom="0" percent="0" rank="0" text="" dxfId="16">
      <formula>AND($DN$9&gt;0,INDEX(Network!$P$7:$P$28,$DN$9)="")</formula>
    </cfRule>
    <cfRule type="expression" priority="416" aboveAverage="0" equalAverage="0" bottom="0" percent="0" rank="0" text="" dxfId="11">
      <formula>AND($DN$9&gt;0,INDEX(Network!$P$7:$P$28,$DN$9)&lt;&gt;"",INDEX(Network!$P$7:$P$28,$DN$9)&lt;=Setup!$D$31)</formula>
    </cfRule>
    <cfRule type="expression" priority="417" aboveAverage="0" equalAverage="0" bottom="0" percent="0" rank="0" text="" dxfId="12">
      <formula>AND($DN$9&gt;0,INDEX(Network!$P$7:$P$28,$DN$9)&lt;&gt;"",INDEX(Network!$P$7:$P$28,$DN$9)&gt;Setup!$D$31,INDEX(Network!$P$7:$P$28,$DN$9)&lt;=Setup!$D$31+Setup!$D$20)</formula>
    </cfRule>
    <cfRule type="expression" priority="418" aboveAverage="0" equalAverage="0" bottom="0" percent="0" rank="0" text="" dxfId="14">
      <formula>AND($DN$9&gt;0,INDEX(Network!$P$7:$P$28,$DN$9)&lt;&gt;"",INDEX(Network!$P$7:$P$28,$DN$9)&gt;Setup!$D$31+Setup!$D$20)</formula>
    </cfRule>
  </conditionalFormatting>
  <conditionalFormatting sqref="AP34:AR34">
    <cfRule type="expression" priority="419" aboveAverage="0" equalAverage="0" bottom="0" percent="0" rank="0" text="" dxfId="15">
      <formula>AND($DN$9=0,($DO$9+$DL$9)&gt;0)</formula>
    </cfRule>
  </conditionalFormatting>
  <conditionalFormatting sqref="AS34">
    <cfRule type="expression" priority="420" aboveAverage="0" equalAverage="0" bottom="0" percent="0" rank="0" text="" dxfId="15">
      <formula>($DP$9+$DR$9)&gt;0</formula>
    </cfRule>
  </conditionalFormatting>
  <conditionalFormatting sqref="AU34">
    <cfRule type="expression" priority="421" aboveAverage="0" equalAverage="0" bottom="0" percent="0" rank="0" text="" dxfId="15">
      <formula>($DU$9+$DQ$9+$DR$9)&gt;0</formula>
    </cfRule>
  </conditionalFormatting>
  <conditionalFormatting sqref="AT34">
    <cfRule type="expression" priority="422" aboveAverage="0" equalAverage="0" bottom="0" percent="0" rank="0" text="" dxfId="15">
      <formula>OR(($DP$9+$DR$9)&gt;0,($DU$9+$DQ$9+$DR$9)&gt;0,$DS$8&gt;0,$DS$9&gt;0)</formula>
    </cfRule>
  </conditionalFormatting>
  <conditionalFormatting sqref="AT32:AT33">
    <cfRule type="expression" priority="423" aboveAverage="0" equalAverage="0" bottom="0" percent="0" rank="0" text="" dxfId="15">
      <formula>$DS$8&gt;0</formula>
    </cfRule>
  </conditionalFormatting>
  <conditionalFormatting sqref="AT35:AT37">
    <cfRule type="expression" priority="424" aboveAverage="0" equalAverage="0" bottom="0" percent="0" rank="0" text="" dxfId="15">
      <formula>$DS$9&gt;0</formula>
    </cfRule>
  </conditionalFormatting>
  <conditionalFormatting sqref="AV32:AX36">
    <cfRule type="expression" priority="425" aboveAverage="0" equalAverage="0" bottom="0" percent="0" rank="0" text="" dxfId="16">
      <formula>AND($DT$9&gt;0,INDEX(Network!$P$7:$P$28,$DT$9)="")</formula>
    </cfRule>
    <cfRule type="expression" priority="426" aboveAverage="0" equalAverage="0" bottom="0" percent="0" rank="0" text="" dxfId="11">
      <formula>AND($DT$9&gt;0,INDEX(Network!$P$7:$P$28,$DT$9)&lt;&gt;"",INDEX(Network!$P$7:$P$28,$DT$9)&lt;=Setup!$D$31)</formula>
    </cfRule>
    <cfRule type="expression" priority="427" aboveAverage="0" equalAverage="0" bottom="0" percent="0" rank="0" text="" dxfId="12">
      <formula>AND($DT$9&gt;0,INDEX(Network!$P$7:$P$28,$DT$9)&lt;&gt;"",INDEX(Network!$P$7:$P$28,$DT$9)&gt;Setup!$D$31,INDEX(Network!$P$7:$P$28,$DT$9)&lt;=Setup!$D$31+Setup!$D$20)</formula>
    </cfRule>
    <cfRule type="expression" priority="428" aboveAverage="0" equalAverage="0" bottom="0" percent="0" rank="0" text="" dxfId="14">
      <formula>AND($DT$9&gt;0,INDEX(Network!$P$7:$P$28,$DT$9)&lt;&gt;"",INDEX(Network!$P$7:$P$28,$DT$9)&gt;Setup!$D$31+Setup!$D$20)</formula>
    </cfRule>
  </conditionalFormatting>
  <conditionalFormatting sqref="AV34:AX34">
    <cfRule type="expression" priority="429" aboveAverage="0" equalAverage="0" bottom="0" percent="0" rank="0" text="" dxfId="15">
      <formula>AND($DT$9=0,($DU$9+$DR$9)&gt;0)</formula>
    </cfRule>
  </conditionalFormatting>
  <conditionalFormatting sqref="AY34">
    <cfRule type="expression" priority="430" aboveAverage="0" equalAverage="0" bottom="0" percent="0" rank="0" text="" dxfId="15">
      <formula>($DV$9+$DX$9)&gt;0</formula>
    </cfRule>
  </conditionalFormatting>
  <conditionalFormatting sqref="BA34">
    <cfRule type="expression" priority="431" aboveAverage="0" equalAverage="0" bottom="0" percent="0" rank="0" text="" dxfId="15">
      <formula>($EA$9+$DW$9+$DX$9)&gt;0</formula>
    </cfRule>
  </conditionalFormatting>
  <conditionalFormatting sqref="AZ34">
    <cfRule type="expression" priority="432" aboveAverage="0" equalAverage="0" bottom="0" percent="0" rank="0" text="" dxfId="15">
      <formula>OR(($DV$9+$DX$9)&gt;0,($EA$9+$DW$9+$DX$9)&gt;0,$DY$8&gt;0,$DY$9&gt;0)</formula>
    </cfRule>
  </conditionalFormatting>
  <conditionalFormatting sqref="AZ32:AZ33">
    <cfRule type="expression" priority="433" aboveAverage="0" equalAverage="0" bottom="0" percent="0" rank="0" text="" dxfId="15">
      <formula>$DY$8&gt;0</formula>
    </cfRule>
  </conditionalFormatting>
  <conditionalFormatting sqref="AZ35:AZ37">
    <cfRule type="expression" priority="434" aboveAverage="0" equalAverage="0" bottom="0" percent="0" rank="0" text="" dxfId="15">
      <formula>$DY$9&gt;0</formula>
    </cfRule>
  </conditionalFormatting>
  <conditionalFormatting sqref="BB32:BD36">
    <cfRule type="expression" priority="435" aboveAverage="0" equalAverage="0" bottom="0" percent="0" rank="0" text="" dxfId="16">
      <formula>AND($DZ$9&gt;0,INDEX(Network!$P$7:$P$28,$DZ$9)="")</formula>
    </cfRule>
    <cfRule type="expression" priority="436" aboveAverage="0" equalAverage="0" bottom="0" percent="0" rank="0" text="" dxfId="11">
      <formula>AND($DZ$9&gt;0,INDEX(Network!$P$7:$P$28,$DZ$9)&lt;&gt;"",INDEX(Network!$P$7:$P$28,$DZ$9)&lt;=Setup!$D$31)</formula>
    </cfRule>
    <cfRule type="expression" priority="437" aboveAverage="0" equalAverage="0" bottom="0" percent="0" rank="0" text="" dxfId="12">
      <formula>AND($DZ$9&gt;0,INDEX(Network!$P$7:$P$28,$DZ$9)&lt;&gt;"",INDEX(Network!$P$7:$P$28,$DZ$9)&gt;Setup!$D$31,INDEX(Network!$P$7:$P$28,$DZ$9)&lt;=Setup!$D$31+Setup!$D$20)</formula>
    </cfRule>
    <cfRule type="expression" priority="438" aboveAverage="0" equalAverage="0" bottom="0" percent="0" rank="0" text="" dxfId="14">
      <formula>AND($DZ$9&gt;0,INDEX(Network!$P$7:$P$28,$DZ$9)&lt;&gt;"",INDEX(Network!$P$7:$P$28,$DZ$9)&gt;Setup!$D$31+Setup!$D$20)</formula>
    </cfRule>
  </conditionalFormatting>
  <conditionalFormatting sqref="BB34:BD34">
    <cfRule type="expression" priority="439" aboveAverage="0" equalAverage="0" bottom="0" percent="0" rank="0" text="" dxfId="15">
      <formula>AND($DZ$9=0,($EA$9+$DX$9)&gt;0)</formula>
    </cfRule>
  </conditionalFormatting>
  <conditionalFormatting sqref="BE34">
    <cfRule type="expression" priority="440" aboveAverage="0" equalAverage="0" bottom="0" percent="0" rank="0" text="" dxfId="15">
      <formula>($EB$9+$ED$9)&gt;0</formula>
    </cfRule>
  </conditionalFormatting>
  <conditionalFormatting sqref="BG34">
    <cfRule type="expression" priority="441" aboveAverage="0" equalAverage="0" bottom="0" percent="0" rank="0" text="" dxfId="15">
      <formula>($EG$9+$EC$9+$ED$9)&gt;0</formula>
    </cfRule>
  </conditionalFormatting>
  <conditionalFormatting sqref="BF34">
    <cfRule type="expression" priority="442" aboveAverage="0" equalAverage="0" bottom="0" percent="0" rank="0" text="" dxfId="15">
      <formula>OR(($EB$9+$ED$9)&gt;0,($EG$9+$EC$9+$ED$9)&gt;0,$EE$8&gt;0,$EE$9&gt;0)</formula>
    </cfRule>
  </conditionalFormatting>
  <conditionalFormatting sqref="BF32:BF33">
    <cfRule type="expression" priority="443" aboveAverage="0" equalAverage="0" bottom="0" percent="0" rank="0" text="" dxfId="15">
      <formula>$EE$8&gt;0</formula>
    </cfRule>
  </conditionalFormatting>
  <conditionalFormatting sqref="BF35:BF37">
    <cfRule type="expression" priority="444" aboveAverage="0" equalAverage="0" bottom="0" percent="0" rank="0" text="" dxfId="15">
      <formula>$EE$9&gt;0</formula>
    </cfRule>
  </conditionalFormatting>
  <conditionalFormatting sqref="BH32:BJ36">
    <cfRule type="expression" priority="445" aboveAverage="0" equalAverage="0" bottom="0" percent="0" rank="0" text="" dxfId="16">
      <formula>AND($EF$9&gt;0,INDEX(Network!$P$7:$P$28,$EF$9)="")</formula>
    </cfRule>
    <cfRule type="expression" priority="446" aboveAverage="0" equalAverage="0" bottom="0" percent="0" rank="0" text="" dxfId="11">
      <formula>AND($EF$9&gt;0,INDEX(Network!$P$7:$P$28,$EF$9)&lt;&gt;"",INDEX(Network!$P$7:$P$28,$EF$9)&lt;=Setup!$D$31)</formula>
    </cfRule>
    <cfRule type="expression" priority="447" aboveAverage="0" equalAverage="0" bottom="0" percent="0" rank="0" text="" dxfId="12">
      <formula>AND($EF$9&gt;0,INDEX(Network!$P$7:$P$28,$EF$9)&lt;&gt;"",INDEX(Network!$P$7:$P$28,$EF$9)&gt;Setup!$D$31,INDEX(Network!$P$7:$P$28,$EF$9)&lt;=Setup!$D$31+Setup!$D$20)</formula>
    </cfRule>
    <cfRule type="expression" priority="448" aboveAverage="0" equalAverage="0" bottom="0" percent="0" rank="0" text="" dxfId="14">
      <formula>AND($EF$9&gt;0,INDEX(Network!$P$7:$P$28,$EF$9)&lt;&gt;"",INDEX(Network!$P$7:$P$28,$EF$9)&gt;Setup!$D$31+Setup!$D$20)</formula>
    </cfRule>
  </conditionalFormatting>
  <conditionalFormatting sqref="BH34:BJ34">
    <cfRule type="expression" priority="449" aboveAverage="0" equalAverage="0" bottom="0" percent="0" rank="0" text="" dxfId="15">
      <formula>AND($EF$9=0,($EG$9+$ED$9)&gt;0)</formula>
    </cfRule>
  </conditionalFormatting>
  <conditionalFormatting sqref="BK34">
    <cfRule type="expression" priority="450" aboveAverage="0" equalAverage="0" bottom="0" percent="0" rank="0" text="" dxfId="15">
      <formula>($EH$9+$EJ$9)&gt;0</formula>
    </cfRule>
  </conditionalFormatting>
  <conditionalFormatting sqref="BM34">
    <cfRule type="expression" priority="451" aboveAverage="0" equalAverage="0" bottom="0" percent="0" rank="0" text="" dxfId="15">
      <formula>($EM$9+$EI$9+$EJ$9)&gt;0</formula>
    </cfRule>
  </conditionalFormatting>
  <conditionalFormatting sqref="BL34">
    <cfRule type="expression" priority="452" aboveAverage="0" equalAverage="0" bottom="0" percent="0" rank="0" text="" dxfId="15">
      <formula>OR(($EH$9+$EJ$9)&gt;0,($EM$9+$EI$9+$EJ$9)&gt;0,$EK$8&gt;0,$EK$9&gt;0)</formula>
    </cfRule>
  </conditionalFormatting>
  <conditionalFormatting sqref="BL32:BL33">
    <cfRule type="expression" priority="453" aboveAverage="0" equalAverage="0" bottom="0" percent="0" rank="0" text="" dxfId="15">
      <formula>$EK$8&gt;0</formula>
    </cfRule>
  </conditionalFormatting>
  <conditionalFormatting sqref="BL35:BL37">
    <cfRule type="expression" priority="454" aboveAverage="0" equalAverage="0" bottom="0" percent="0" rank="0" text="" dxfId="15">
      <formula>$EK$9&gt;0</formula>
    </cfRule>
  </conditionalFormatting>
  <conditionalFormatting sqref="BN32:BP36">
    <cfRule type="expression" priority="455" aboveAverage="0" equalAverage="0" bottom="0" percent="0" rank="0" text="" dxfId="16">
      <formula>AND($EL$9&gt;0,INDEX(Network!$P$7:$P$28,$EL$9)="")</formula>
    </cfRule>
    <cfRule type="expression" priority="456" aboveAverage="0" equalAverage="0" bottom="0" percent="0" rank="0" text="" dxfId="11">
      <formula>AND($EL$9&gt;0,INDEX(Network!$P$7:$P$28,$EL$9)&lt;&gt;"",INDEX(Network!$P$7:$P$28,$EL$9)&lt;=Setup!$D$31)</formula>
    </cfRule>
    <cfRule type="expression" priority="457" aboveAverage="0" equalAverage="0" bottom="0" percent="0" rank="0" text="" dxfId="12">
      <formula>AND($EL$9&gt;0,INDEX(Network!$P$7:$P$28,$EL$9)&lt;&gt;"",INDEX(Network!$P$7:$P$28,$EL$9)&gt;Setup!$D$31,INDEX(Network!$P$7:$P$28,$EL$9)&lt;=Setup!$D$31+Setup!$D$20)</formula>
    </cfRule>
    <cfRule type="expression" priority="458" aboveAverage="0" equalAverage="0" bottom="0" percent="0" rank="0" text="" dxfId="14">
      <formula>AND($EL$9&gt;0,INDEX(Network!$P$7:$P$28,$EL$9)&lt;&gt;"",INDEX(Network!$P$7:$P$28,$EL$9)&gt;Setup!$D$31+Setup!$D$20)</formula>
    </cfRule>
  </conditionalFormatting>
  <conditionalFormatting sqref="BN34:BP34">
    <cfRule type="expression" priority="459" aboveAverage="0" equalAverage="0" bottom="0" percent="0" rank="0" text="" dxfId="15">
      <formula>AND($EL$9=0,($EM$9+$EJ$9)&gt;0)</formula>
    </cfRule>
  </conditionalFormatting>
  <conditionalFormatting sqref="BQ34">
    <cfRule type="expression" priority="460" aboveAverage="0" equalAverage="0" bottom="0" percent="0" rank="0" text="" dxfId="15">
      <formula>($EN$9+$EP$9)&gt;0</formula>
    </cfRule>
  </conditionalFormatting>
  <conditionalFormatting sqref="BS34">
    <cfRule type="expression" priority="461" aboveAverage="0" equalAverage="0" bottom="0" percent="0" rank="0" text="" dxfId="15">
      <formula>($ES$9+$EO$9+$EP$9)&gt;0</formula>
    </cfRule>
  </conditionalFormatting>
  <conditionalFormatting sqref="BR34">
    <cfRule type="expression" priority="462" aboveAverage="0" equalAverage="0" bottom="0" percent="0" rank="0" text="" dxfId="15">
      <formula>OR(($EN$9+$EP$9)&gt;0,($ES$9+$EO$9+$EP$9)&gt;0,$EQ$8&gt;0,$EQ$9&gt;0)</formula>
    </cfRule>
  </conditionalFormatting>
  <conditionalFormatting sqref="BR32:BR33">
    <cfRule type="expression" priority="463" aboveAverage="0" equalAverage="0" bottom="0" percent="0" rank="0" text="" dxfId="15">
      <formula>$EQ$8&gt;0</formula>
    </cfRule>
  </conditionalFormatting>
  <conditionalFormatting sqref="BR35:BR37">
    <cfRule type="expression" priority="464" aboveAverage="0" equalAverage="0" bottom="0" percent="0" rank="0" text="" dxfId="15">
      <formula>$EQ$9&gt;0</formula>
    </cfRule>
  </conditionalFormatting>
  <conditionalFormatting sqref="BT32:BV36">
    <cfRule type="expression" priority="465" aboveAverage="0" equalAverage="0" bottom="0" percent="0" rank="0" text="" dxfId="16">
      <formula>AND($ER$9&gt;0,INDEX(Network!$P$7:$P$28,$ER$9)="")</formula>
    </cfRule>
    <cfRule type="expression" priority="466" aboveAverage="0" equalAverage="0" bottom="0" percent="0" rank="0" text="" dxfId="11">
      <formula>AND($ER$9&gt;0,INDEX(Network!$P$7:$P$28,$ER$9)&lt;&gt;"",INDEX(Network!$P$7:$P$28,$ER$9)&lt;=Setup!$D$31)</formula>
    </cfRule>
    <cfRule type="expression" priority="467" aboveAverage="0" equalAverage="0" bottom="0" percent="0" rank="0" text="" dxfId="12">
      <formula>AND($ER$9&gt;0,INDEX(Network!$P$7:$P$28,$ER$9)&lt;&gt;"",INDEX(Network!$P$7:$P$28,$ER$9)&gt;Setup!$D$31,INDEX(Network!$P$7:$P$28,$ER$9)&lt;=Setup!$D$31+Setup!$D$20)</formula>
    </cfRule>
    <cfRule type="expression" priority="468" aboveAverage="0" equalAverage="0" bottom="0" percent="0" rank="0" text="" dxfId="14">
      <formula>AND($ER$9&gt;0,INDEX(Network!$P$7:$P$28,$ER$9)&lt;&gt;"",INDEX(Network!$P$7:$P$28,$ER$9)&gt;Setup!$D$31+Setup!$D$20)</formula>
    </cfRule>
  </conditionalFormatting>
  <conditionalFormatting sqref="BT34:BV34">
    <cfRule type="expression" priority="469" aboveAverage="0" equalAverage="0" bottom="0" percent="0" rank="0" text="" dxfId="15">
      <formula>AND($ER$9=0,($ES$9+$EP$9)&gt;0)</formula>
    </cfRule>
  </conditionalFormatting>
  <conditionalFormatting sqref="BW34">
    <cfRule type="expression" priority="470" aboveAverage="0" equalAverage="0" bottom="0" percent="0" rank="0" text="" dxfId="15">
      <formula>($ET$9+$EV$9)&gt;0</formula>
    </cfRule>
  </conditionalFormatting>
  <conditionalFormatting sqref="BY34">
    <cfRule type="expression" priority="471" aboveAverage="0" equalAverage="0" bottom="0" percent="0" rank="0" text="" dxfId="15">
      <formula>($EV$9)&gt;0</formula>
    </cfRule>
  </conditionalFormatting>
  <conditionalFormatting sqref="BX34">
    <cfRule type="expression" priority="472" aboveAverage="0" equalAverage="0" bottom="0" percent="0" rank="0" text="" dxfId="15">
      <formula>OR(($ET$9+$EV$9)&gt;0,($EV$9)&gt;0,0,0)</formula>
    </cfRule>
  </conditionalFormatting>
  <conditionalFormatting sqref="BX32:BX33">
    <cfRule type="expression" priority="473" aboveAverage="0" equalAverage="0" bottom="0" percent="0" rank="0" text="" dxfId="15">
      <formula>0</formula>
    </cfRule>
  </conditionalFormatting>
  <conditionalFormatting sqref="BX35:BX37">
    <cfRule type="expression" priority="474" aboveAverage="0" equalAverage="0" bottom="0" percent="0" rank="0" text="" dxfId="15">
      <formula>0</formula>
    </cfRule>
  </conditionalFormatting>
  <conditionalFormatting sqref="C40:E40">
    <cfRule type="expression" priority="475" aboveAverage="0" equalAverage="0" bottom="0" percent="0" rank="0" text="" dxfId="15">
      <formula>$CD$10&gt;0</formula>
    </cfRule>
  </conditionalFormatting>
  <conditionalFormatting sqref="F38:H42">
    <cfRule type="expression" priority="476" aboveAverage="0" equalAverage="0" bottom="0" percent="0" rank="0" text="" dxfId="16">
      <formula>AND($CD$10&gt;0,INDEX(Network!$P$7:$P$28,$CD$10)="")</formula>
    </cfRule>
    <cfRule type="expression" priority="477" aboveAverage="0" equalAverage="0" bottom="0" percent="0" rank="0" text="" dxfId="11">
      <formula>AND($CD$10&gt;0,INDEX(Network!$P$7:$P$28,$CD$10)&lt;&gt;"",INDEX(Network!$P$7:$P$28,$CD$10)&lt;=Setup!$D$31)</formula>
    </cfRule>
    <cfRule type="expression" priority="478" aboveAverage="0" equalAverage="0" bottom="0" percent="0" rank="0" text="" dxfId="12">
      <formula>AND($CD$10&gt;0,INDEX(Network!$P$7:$P$28,$CD$10)&lt;&gt;"",INDEX(Network!$P$7:$P$28,$CD$10)&gt;Setup!$D$31,INDEX(Network!$P$7:$P$28,$CD$10)&lt;=Setup!$D$31+Setup!$D$20)</formula>
    </cfRule>
    <cfRule type="expression" priority="479" aboveAverage="0" equalAverage="0" bottom="0" percent="0" rank="0" text="" dxfId="14">
      <formula>AND($CD$10&gt;0,INDEX(Network!$P$7:$P$28,$CD$10)&lt;&gt;"",INDEX(Network!$P$7:$P$28,$CD$10)&gt;Setup!$D$31+Setup!$D$20)</formula>
    </cfRule>
  </conditionalFormatting>
  <conditionalFormatting sqref="F40:H40">
    <cfRule type="expression" priority="480" aboveAverage="0" equalAverage="0" bottom="0" percent="0" rank="0" text="" dxfId="15">
      <formula>AND($CD$10=0,$CE$10&gt;0)</formula>
    </cfRule>
  </conditionalFormatting>
  <conditionalFormatting sqref="I40">
    <cfRule type="expression" priority="481" aboveAverage="0" equalAverage="0" bottom="0" percent="0" rank="0" text="" dxfId="15">
      <formula>($CF$10+$CH$10)&gt;0</formula>
    </cfRule>
  </conditionalFormatting>
  <conditionalFormatting sqref="K40">
    <cfRule type="expression" priority="482" aboveAverage="0" equalAverage="0" bottom="0" percent="0" rank="0" text="" dxfId="15">
      <formula>($CK$10+$CG$10+$CH$10)&gt;0</formula>
    </cfRule>
  </conditionalFormatting>
  <conditionalFormatting sqref="J40">
    <cfRule type="expression" priority="483" aboveAverage="0" equalAverage="0" bottom="0" percent="0" rank="0" text="" dxfId="15">
      <formula>OR(($CF$10+$CH$10)&gt;0,($CK$10+$CG$10+$CH$10)&gt;0,$CI$9&gt;0,0)</formula>
    </cfRule>
  </conditionalFormatting>
  <conditionalFormatting sqref="J38:J39">
    <cfRule type="expression" priority="484" aboveAverage="0" equalAverage="0" bottom="0" percent="0" rank="0" text="" dxfId="15">
      <formula>$CI$9&gt;0</formula>
    </cfRule>
  </conditionalFormatting>
  <conditionalFormatting sqref="L38:N42">
    <cfRule type="expression" priority="485" aboveAverage="0" equalAverage="0" bottom="0" percent="0" rank="0" text="" dxfId="16">
      <formula>AND($CJ$10&gt;0,INDEX(Network!$P$7:$P$28,$CJ$10)="")</formula>
    </cfRule>
    <cfRule type="expression" priority="486" aboveAverage="0" equalAverage="0" bottom="0" percent="0" rank="0" text="" dxfId="11">
      <formula>AND($CJ$10&gt;0,INDEX(Network!$P$7:$P$28,$CJ$10)&lt;&gt;"",INDEX(Network!$P$7:$P$28,$CJ$10)&lt;=Setup!$D$31)</formula>
    </cfRule>
    <cfRule type="expression" priority="487" aboveAverage="0" equalAverage="0" bottom="0" percent="0" rank="0" text="" dxfId="12">
      <formula>AND($CJ$10&gt;0,INDEX(Network!$P$7:$P$28,$CJ$10)&lt;&gt;"",INDEX(Network!$P$7:$P$28,$CJ$10)&gt;Setup!$D$31,INDEX(Network!$P$7:$P$28,$CJ$10)&lt;=Setup!$D$31+Setup!$D$20)</formula>
    </cfRule>
    <cfRule type="expression" priority="488" aboveAverage="0" equalAverage="0" bottom="0" percent="0" rank="0" text="" dxfId="14">
      <formula>AND($CJ$10&gt;0,INDEX(Network!$P$7:$P$28,$CJ$10)&lt;&gt;"",INDEX(Network!$P$7:$P$28,$CJ$10)&gt;Setup!$D$31+Setup!$D$20)</formula>
    </cfRule>
  </conditionalFormatting>
  <conditionalFormatting sqref="L40:N40">
    <cfRule type="expression" priority="489" aboveAverage="0" equalAverage="0" bottom="0" percent="0" rank="0" text="" dxfId="15">
      <formula>AND($CJ$10=0,($CK$10+$CH$10)&gt;0)</formula>
    </cfRule>
  </conditionalFormatting>
  <conditionalFormatting sqref="O40">
    <cfRule type="expression" priority="490" aboveAverage="0" equalAverage="0" bottom="0" percent="0" rank="0" text="" dxfId="15">
      <formula>($CL$10+$CN$10)&gt;0</formula>
    </cfRule>
  </conditionalFormatting>
  <conditionalFormatting sqref="Q40">
    <cfRule type="expression" priority="491" aboveAverage="0" equalAverage="0" bottom="0" percent="0" rank="0" text="" dxfId="15">
      <formula>($CQ$10+$CM$10+$CN$10)&gt;0</formula>
    </cfRule>
  </conditionalFormatting>
  <conditionalFormatting sqref="P40">
    <cfRule type="expression" priority="492" aboveAverage="0" equalAverage="0" bottom="0" percent="0" rank="0" text="" dxfId="15">
      <formula>OR(($CL$10+$CN$10)&gt;0,($CQ$10+$CM$10+$CN$10)&gt;0,$CO$9&gt;0,0)</formula>
    </cfRule>
  </conditionalFormatting>
  <conditionalFormatting sqref="P38:P39">
    <cfRule type="expression" priority="493" aboveAverage="0" equalAverage="0" bottom="0" percent="0" rank="0" text="" dxfId="15">
      <formula>$CO$9&gt;0</formula>
    </cfRule>
  </conditionalFormatting>
  <conditionalFormatting sqref="R38:T42">
    <cfRule type="expression" priority="494" aboveAverage="0" equalAverage="0" bottom="0" percent="0" rank="0" text="" dxfId="16">
      <formula>AND($CP$10&gt;0,INDEX(Network!$P$7:$P$28,$CP$10)="")</formula>
    </cfRule>
    <cfRule type="expression" priority="495" aboveAverage="0" equalAverage="0" bottom="0" percent="0" rank="0" text="" dxfId="11">
      <formula>AND($CP$10&gt;0,INDEX(Network!$P$7:$P$28,$CP$10)&lt;&gt;"",INDEX(Network!$P$7:$P$28,$CP$10)&lt;=Setup!$D$31)</formula>
    </cfRule>
    <cfRule type="expression" priority="496" aboveAverage="0" equalAverage="0" bottom="0" percent="0" rank="0" text="" dxfId="12">
      <formula>AND($CP$10&gt;0,INDEX(Network!$P$7:$P$28,$CP$10)&lt;&gt;"",INDEX(Network!$P$7:$P$28,$CP$10)&gt;Setup!$D$31,INDEX(Network!$P$7:$P$28,$CP$10)&lt;=Setup!$D$31+Setup!$D$20)</formula>
    </cfRule>
    <cfRule type="expression" priority="497" aboveAverage="0" equalAverage="0" bottom="0" percent="0" rank="0" text="" dxfId="14">
      <formula>AND($CP$10&gt;0,INDEX(Network!$P$7:$P$28,$CP$10)&lt;&gt;"",INDEX(Network!$P$7:$P$28,$CP$10)&gt;Setup!$D$31+Setup!$D$20)</formula>
    </cfRule>
  </conditionalFormatting>
  <conditionalFormatting sqref="R40:T40">
    <cfRule type="expression" priority="498" aboveAverage="0" equalAverage="0" bottom="0" percent="0" rank="0" text="" dxfId="15">
      <formula>AND($CP$10=0,($CQ$10+$CN$10)&gt;0)</formula>
    </cfRule>
  </conditionalFormatting>
  <conditionalFormatting sqref="U40">
    <cfRule type="expression" priority="499" aboveAverage="0" equalAverage="0" bottom="0" percent="0" rank="0" text="" dxfId="15">
      <formula>($CR$10+$CT$10)&gt;0</formula>
    </cfRule>
  </conditionalFormatting>
  <conditionalFormatting sqref="W40">
    <cfRule type="expression" priority="500" aboveAverage="0" equalAverage="0" bottom="0" percent="0" rank="0" text="" dxfId="15">
      <formula>($CW$10+$CS$10+$CT$10)&gt;0</formula>
    </cfRule>
  </conditionalFormatting>
  <conditionalFormatting sqref="V40">
    <cfRule type="expression" priority="501" aboveAverage="0" equalAverage="0" bottom="0" percent="0" rank="0" text="" dxfId="15">
      <formula>OR(($CR$10+$CT$10)&gt;0,($CW$10+$CS$10+$CT$10)&gt;0,$CU$9&gt;0,0)</formula>
    </cfRule>
  </conditionalFormatting>
  <conditionalFormatting sqref="V38:V39">
    <cfRule type="expression" priority="502" aboveAverage="0" equalAverage="0" bottom="0" percent="0" rank="0" text="" dxfId="15">
      <formula>$CU$9&gt;0</formula>
    </cfRule>
  </conditionalFormatting>
  <conditionalFormatting sqref="X38:Z42">
    <cfRule type="expression" priority="503" aboveAverage="0" equalAverage="0" bottom="0" percent="0" rank="0" text="" dxfId="16">
      <formula>AND($CV$10&gt;0,INDEX(Network!$P$7:$P$28,$CV$10)="")</formula>
    </cfRule>
    <cfRule type="expression" priority="504" aboveAverage="0" equalAverage="0" bottom="0" percent="0" rank="0" text="" dxfId="11">
      <formula>AND($CV$10&gt;0,INDEX(Network!$P$7:$P$28,$CV$10)&lt;&gt;"",INDEX(Network!$P$7:$P$28,$CV$10)&lt;=Setup!$D$31)</formula>
    </cfRule>
    <cfRule type="expression" priority="505" aboveAverage="0" equalAverage="0" bottom="0" percent="0" rank="0" text="" dxfId="12">
      <formula>AND($CV$10&gt;0,INDEX(Network!$P$7:$P$28,$CV$10)&lt;&gt;"",INDEX(Network!$P$7:$P$28,$CV$10)&gt;Setup!$D$31,INDEX(Network!$P$7:$P$28,$CV$10)&lt;=Setup!$D$31+Setup!$D$20)</formula>
    </cfRule>
    <cfRule type="expression" priority="506" aboveAverage="0" equalAverage="0" bottom="0" percent="0" rank="0" text="" dxfId="14">
      <formula>AND($CV$10&gt;0,INDEX(Network!$P$7:$P$28,$CV$10)&lt;&gt;"",INDEX(Network!$P$7:$P$28,$CV$10)&gt;Setup!$D$31+Setup!$D$20)</formula>
    </cfRule>
  </conditionalFormatting>
  <conditionalFormatting sqref="X40:Z40">
    <cfRule type="expression" priority="507" aboveAverage="0" equalAverage="0" bottom="0" percent="0" rank="0" text="" dxfId="15">
      <formula>AND($CV$10=0,($CW$10+$CT$10)&gt;0)</formula>
    </cfRule>
  </conditionalFormatting>
  <conditionalFormatting sqref="AA40">
    <cfRule type="expression" priority="508" aboveAverage="0" equalAverage="0" bottom="0" percent="0" rank="0" text="" dxfId="15">
      <formula>($CX$10+$CZ$10)&gt;0</formula>
    </cfRule>
  </conditionalFormatting>
  <conditionalFormatting sqref="AC40">
    <cfRule type="expression" priority="509" aboveAverage="0" equalAverage="0" bottom="0" percent="0" rank="0" text="" dxfId="15">
      <formula>($DC$10+$CY$10+$CZ$10)&gt;0</formula>
    </cfRule>
  </conditionalFormatting>
  <conditionalFormatting sqref="AB40">
    <cfRule type="expression" priority="510" aboveAverage="0" equalAverage="0" bottom="0" percent="0" rank="0" text="" dxfId="15">
      <formula>OR(($CX$10+$CZ$10)&gt;0,($DC$10+$CY$10+$CZ$10)&gt;0,$DA$9&gt;0,0)</formula>
    </cfRule>
  </conditionalFormatting>
  <conditionalFormatting sqref="AB38:AB39">
    <cfRule type="expression" priority="511" aboveAverage="0" equalAverage="0" bottom="0" percent="0" rank="0" text="" dxfId="15">
      <formula>$DA$9&gt;0</formula>
    </cfRule>
  </conditionalFormatting>
  <conditionalFormatting sqref="AD38:AF42">
    <cfRule type="expression" priority="512" aboveAverage="0" equalAverage="0" bottom="0" percent="0" rank="0" text="" dxfId="16">
      <formula>AND($DB$10&gt;0,INDEX(Network!$P$7:$P$28,$DB$10)="")</formula>
    </cfRule>
    <cfRule type="expression" priority="513" aboveAverage="0" equalAverage="0" bottom="0" percent="0" rank="0" text="" dxfId="11">
      <formula>AND($DB$10&gt;0,INDEX(Network!$P$7:$P$28,$DB$10)&lt;&gt;"",INDEX(Network!$P$7:$P$28,$DB$10)&lt;=Setup!$D$31)</formula>
    </cfRule>
    <cfRule type="expression" priority="514" aboveAverage="0" equalAverage="0" bottom="0" percent="0" rank="0" text="" dxfId="12">
      <formula>AND($DB$10&gt;0,INDEX(Network!$P$7:$P$28,$DB$10)&lt;&gt;"",INDEX(Network!$P$7:$P$28,$DB$10)&gt;Setup!$D$31,INDEX(Network!$P$7:$P$28,$DB$10)&lt;=Setup!$D$31+Setup!$D$20)</formula>
    </cfRule>
    <cfRule type="expression" priority="515" aboveAverage="0" equalAverage="0" bottom="0" percent="0" rank="0" text="" dxfId="14">
      <formula>AND($DB$10&gt;0,INDEX(Network!$P$7:$P$28,$DB$10)&lt;&gt;"",INDEX(Network!$P$7:$P$28,$DB$10)&gt;Setup!$D$31+Setup!$D$20)</formula>
    </cfRule>
  </conditionalFormatting>
  <conditionalFormatting sqref="AD40:AF40">
    <cfRule type="expression" priority="516" aboveAverage="0" equalAverage="0" bottom="0" percent="0" rank="0" text="" dxfId="15">
      <formula>AND($DB$10=0,($DC$10+$CZ$10)&gt;0)</formula>
    </cfRule>
  </conditionalFormatting>
  <conditionalFormatting sqref="AG40">
    <cfRule type="expression" priority="517" aboveAverage="0" equalAverage="0" bottom="0" percent="0" rank="0" text="" dxfId="15">
      <formula>($DD$10+$DF$10)&gt;0</formula>
    </cfRule>
  </conditionalFormatting>
  <conditionalFormatting sqref="AI40">
    <cfRule type="expression" priority="518" aboveAverage="0" equalAverage="0" bottom="0" percent="0" rank="0" text="" dxfId="15">
      <formula>($DI$10+$DE$10+$DF$10)&gt;0</formula>
    </cfRule>
  </conditionalFormatting>
  <conditionalFormatting sqref="AH40">
    <cfRule type="expression" priority="519" aboveAverage="0" equalAverage="0" bottom="0" percent="0" rank="0" text="" dxfId="15">
      <formula>OR(($DD$10+$DF$10)&gt;0,($DI$10+$DE$10+$DF$10)&gt;0,$DG$9&gt;0,0)</formula>
    </cfRule>
  </conditionalFormatting>
  <conditionalFormatting sqref="AH38:AH39">
    <cfRule type="expression" priority="520" aboveAverage="0" equalAverage="0" bottom="0" percent="0" rank="0" text="" dxfId="15">
      <formula>$DG$9&gt;0</formula>
    </cfRule>
  </conditionalFormatting>
  <conditionalFormatting sqref="AJ38:AL42">
    <cfRule type="expression" priority="521" aboveAverage="0" equalAverage="0" bottom="0" percent="0" rank="0" text="" dxfId="16">
      <formula>AND($DH$10&gt;0,INDEX(Network!$P$7:$P$28,$DH$10)="")</formula>
    </cfRule>
    <cfRule type="expression" priority="522" aboveAverage="0" equalAverage="0" bottom="0" percent="0" rank="0" text="" dxfId="11">
      <formula>AND($DH$10&gt;0,INDEX(Network!$P$7:$P$28,$DH$10)&lt;&gt;"",INDEX(Network!$P$7:$P$28,$DH$10)&lt;=Setup!$D$31)</formula>
    </cfRule>
    <cfRule type="expression" priority="523" aboveAverage="0" equalAverage="0" bottom="0" percent="0" rank="0" text="" dxfId="12">
      <formula>AND($DH$10&gt;0,INDEX(Network!$P$7:$P$28,$DH$10)&lt;&gt;"",INDEX(Network!$P$7:$P$28,$DH$10)&gt;Setup!$D$31,INDEX(Network!$P$7:$P$28,$DH$10)&lt;=Setup!$D$31+Setup!$D$20)</formula>
    </cfRule>
    <cfRule type="expression" priority="524" aboveAverage="0" equalAverage="0" bottom="0" percent="0" rank="0" text="" dxfId="14">
      <formula>AND($DH$10&gt;0,INDEX(Network!$P$7:$P$28,$DH$10)&lt;&gt;"",INDEX(Network!$P$7:$P$28,$DH$10)&gt;Setup!$D$31+Setup!$D$20)</formula>
    </cfRule>
  </conditionalFormatting>
  <conditionalFormatting sqref="AJ40:AL40">
    <cfRule type="expression" priority="525" aboveAverage="0" equalAverage="0" bottom="0" percent="0" rank="0" text="" dxfId="15">
      <formula>AND($DH$10=0,($DI$10+$DF$10)&gt;0)</formula>
    </cfRule>
  </conditionalFormatting>
  <conditionalFormatting sqref="AM40">
    <cfRule type="expression" priority="526" aboveAverage="0" equalAverage="0" bottom="0" percent="0" rank="0" text="" dxfId="15">
      <formula>($DJ$10+$DL$10)&gt;0</formula>
    </cfRule>
  </conditionalFormatting>
  <conditionalFormatting sqref="AO40">
    <cfRule type="expression" priority="527" aboveAverage="0" equalAverage="0" bottom="0" percent="0" rank="0" text="" dxfId="15">
      <formula>($DO$10+$DK$10+$DL$10)&gt;0</formula>
    </cfRule>
  </conditionalFormatting>
  <conditionalFormatting sqref="AN40">
    <cfRule type="expression" priority="528" aboveAverage="0" equalAverage="0" bottom="0" percent="0" rank="0" text="" dxfId="15">
      <formula>OR(($DJ$10+$DL$10)&gt;0,($DO$10+$DK$10+$DL$10)&gt;0,$DM$9&gt;0,0)</formula>
    </cfRule>
  </conditionalFormatting>
  <conditionalFormatting sqref="AN38:AN39">
    <cfRule type="expression" priority="529" aboveAverage="0" equalAverage="0" bottom="0" percent="0" rank="0" text="" dxfId="15">
      <formula>$DM$9&gt;0</formula>
    </cfRule>
  </conditionalFormatting>
  <conditionalFormatting sqref="AP38:AR42">
    <cfRule type="expression" priority="530" aboveAverage="0" equalAverage="0" bottom="0" percent="0" rank="0" text="" dxfId="16">
      <formula>AND($DN$10&gt;0,INDEX(Network!$P$7:$P$28,$DN$10)="")</formula>
    </cfRule>
    <cfRule type="expression" priority="531" aboveAverage="0" equalAverage="0" bottom="0" percent="0" rank="0" text="" dxfId="11">
      <formula>AND($DN$10&gt;0,INDEX(Network!$P$7:$P$28,$DN$10)&lt;&gt;"",INDEX(Network!$P$7:$P$28,$DN$10)&lt;=Setup!$D$31)</formula>
    </cfRule>
    <cfRule type="expression" priority="532" aboveAverage="0" equalAverage="0" bottom="0" percent="0" rank="0" text="" dxfId="12">
      <formula>AND($DN$10&gt;0,INDEX(Network!$P$7:$P$28,$DN$10)&lt;&gt;"",INDEX(Network!$P$7:$P$28,$DN$10)&gt;Setup!$D$31,INDEX(Network!$P$7:$P$28,$DN$10)&lt;=Setup!$D$31+Setup!$D$20)</formula>
    </cfRule>
    <cfRule type="expression" priority="533" aboveAverage="0" equalAverage="0" bottom="0" percent="0" rank="0" text="" dxfId="14">
      <formula>AND($DN$10&gt;0,INDEX(Network!$P$7:$P$28,$DN$10)&lt;&gt;"",INDEX(Network!$P$7:$P$28,$DN$10)&gt;Setup!$D$31+Setup!$D$20)</formula>
    </cfRule>
  </conditionalFormatting>
  <conditionalFormatting sqref="AP40:AR40">
    <cfRule type="expression" priority="534" aboveAverage="0" equalAverage="0" bottom="0" percent="0" rank="0" text="" dxfId="15">
      <formula>AND($DN$10=0,($DO$10+$DL$10)&gt;0)</formula>
    </cfRule>
  </conditionalFormatting>
  <conditionalFormatting sqref="AS40">
    <cfRule type="expression" priority="535" aboveAverage="0" equalAverage="0" bottom="0" percent="0" rank="0" text="" dxfId="15">
      <formula>($DP$10+$DR$10)&gt;0</formula>
    </cfRule>
  </conditionalFormatting>
  <conditionalFormatting sqref="AU40">
    <cfRule type="expression" priority="536" aboveAverage="0" equalAverage="0" bottom="0" percent="0" rank="0" text="" dxfId="15">
      <formula>($DU$10+$DQ$10+$DR$10)&gt;0</formula>
    </cfRule>
  </conditionalFormatting>
  <conditionalFormatting sqref="AT40">
    <cfRule type="expression" priority="537" aboveAverage="0" equalAverage="0" bottom="0" percent="0" rank="0" text="" dxfId="15">
      <formula>OR(($DP$10+$DR$10)&gt;0,($DU$10+$DQ$10+$DR$10)&gt;0,$DS$9&gt;0,0)</formula>
    </cfRule>
  </conditionalFormatting>
  <conditionalFormatting sqref="AT38:AT39">
    <cfRule type="expression" priority="538" aboveAverage="0" equalAverage="0" bottom="0" percent="0" rank="0" text="" dxfId="15">
      <formula>$DS$9&gt;0</formula>
    </cfRule>
  </conditionalFormatting>
  <conditionalFormatting sqref="AV38:AX42">
    <cfRule type="expression" priority="539" aboveAverage="0" equalAverage="0" bottom="0" percent="0" rank="0" text="" dxfId="16">
      <formula>AND($DT$10&gt;0,INDEX(Network!$P$7:$P$28,$DT$10)="")</formula>
    </cfRule>
    <cfRule type="expression" priority="540" aboveAverage="0" equalAverage="0" bottom="0" percent="0" rank="0" text="" dxfId="11">
      <formula>AND($DT$10&gt;0,INDEX(Network!$P$7:$P$28,$DT$10)&lt;&gt;"",INDEX(Network!$P$7:$P$28,$DT$10)&lt;=Setup!$D$31)</formula>
    </cfRule>
    <cfRule type="expression" priority="541" aboveAverage="0" equalAverage="0" bottom="0" percent="0" rank="0" text="" dxfId="12">
      <formula>AND($DT$10&gt;0,INDEX(Network!$P$7:$P$28,$DT$10)&lt;&gt;"",INDEX(Network!$P$7:$P$28,$DT$10)&gt;Setup!$D$31,INDEX(Network!$P$7:$P$28,$DT$10)&lt;=Setup!$D$31+Setup!$D$20)</formula>
    </cfRule>
    <cfRule type="expression" priority="542" aboveAverage="0" equalAverage="0" bottom="0" percent="0" rank="0" text="" dxfId="14">
      <formula>AND($DT$10&gt;0,INDEX(Network!$P$7:$P$28,$DT$10)&lt;&gt;"",INDEX(Network!$P$7:$P$28,$DT$10)&gt;Setup!$D$31+Setup!$D$20)</formula>
    </cfRule>
  </conditionalFormatting>
  <conditionalFormatting sqref="AV40:AX40">
    <cfRule type="expression" priority="543" aboveAverage="0" equalAverage="0" bottom="0" percent="0" rank="0" text="" dxfId="15">
      <formula>AND($DT$10=0,($DU$10+$DR$10)&gt;0)</formula>
    </cfRule>
  </conditionalFormatting>
  <conditionalFormatting sqref="AY40">
    <cfRule type="expression" priority="544" aboveAverage="0" equalAverage="0" bottom="0" percent="0" rank="0" text="" dxfId="15">
      <formula>($DV$10+$DX$10)&gt;0</formula>
    </cfRule>
  </conditionalFormatting>
  <conditionalFormatting sqref="BA40">
    <cfRule type="expression" priority="545" aboveAverage="0" equalAverage="0" bottom="0" percent="0" rank="0" text="" dxfId="15">
      <formula>($EA$10+$DW$10+$DX$10)&gt;0</formula>
    </cfRule>
  </conditionalFormatting>
  <conditionalFormatting sqref="AZ40">
    <cfRule type="expression" priority="546" aboveAverage="0" equalAverage="0" bottom="0" percent="0" rank="0" text="" dxfId="15">
      <formula>OR(($DV$10+$DX$10)&gt;0,($EA$10+$DW$10+$DX$10)&gt;0,$DY$9&gt;0,0)</formula>
    </cfRule>
  </conditionalFormatting>
  <conditionalFormatting sqref="AZ38:AZ39">
    <cfRule type="expression" priority="547" aboveAverage="0" equalAverage="0" bottom="0" percent="0" rank="0" text="" dxfId="15">
      <formula>$DY$9&gt;0</formula>
    </cfRule>
  </conditionalFormatting>
  <conditionalFormatting sqref="BB38:BD42">
    <cfRule type="expression" priority="548" aboveAverage="0" equalAverage="0" bottom="0" percent="0" rank="0" text="" dxfId="16">
      <formula>AND($DZ$10&gt;0,INDEX(Network!$P$7:$P$28,$DZ$10)="")</formula>
    </cfRule>
    <cfRule type="expression" priority="549" aboveAverage="0" equalAverage="0" bottom="0" percent="0" rank="0" text="" dxfId="11">
      <formula>AND($DZ$10&gt;0,INDEX(Network!$P$7:$P$28,$DZ$10)&lt;&gt;"",INDEX(Network!$P$7:$P$28,$DZ$10)&lt;=Setup!$D$31)</formula>
    </cfRule>
    <cfRule type="expression" priority="550" aboveAverage="0" equalAverage="0" bottom="0" percent="0" rank="0" text="" dxfId="12">
      <formula>AND($DZ$10&gt;0,INDEX(Network!$P$7:$P$28,$DZ$10)&lt;&gt;"",INDEX(Network!$P$7:$P$28,$DZ$10)&gt;Setup!$D$31,INDEX(Network!$P$7:$P$28,$DZ$10)&lt;=Setup!$D$31+Setup!$D$20)</formula>
    </cfRule>
    <cfRule type="expression" priority="551" aboveAverage="0" equalAverage="0" bottom="0" percent="0" rank="0" text="" dxfId="14">
      <formula>AND($DZ$10&gt;0,INDEX(Network!$P$7:$P$28,$DZ$10)&lt;&gt;"",INDEX(Network!$P$7:$P$28,$DZ$10)&gt;Setup!$D$31+Setup!$D$20)</formula>
    </cfRule>
  </conditionalFormatting>
  <conditionalFormatting sqref="BB40:BD40">
    <cfRule type="expression" priority="552" aboveAverage="0" equalAverage="0" bottom="0" percent="0" rank="0" text="" dxfId="15">
      <formula>AND($DZ$10=0,($EA$10+$DX$10)&gt;0)</formula>
    </cfRule>
  </conditionalFormatting>
  <conditionalFormatting sqref="BE40">
    <cfRule type="expression" priority="553" aboveAverage="0" equalAverage="0" bottom="0" percent="0" rank="0" text="" dxfId="15">
      <formula>($EB$10+$ED$10)&gt;0</formula>
    </cfRule>
  </conditionalFormatting>
  <conditionalFormatting sqref="BG40">
    <cfRule type="expression" priority="554" aboveAverage="0" equalAverage="0" bottom="0" percent="0" rank="0" text="" dxfId="15">
      <formula>($EG$10+$EC$10+$ED$10)&gt;0</formula>
    </cfRule>
  </conditionalFormatting>
  <conditionalFormatting sqref="BF40">
    <cfRule type="expression" priority="555" aboveAverage="0" equalAverage="0" bottom="0" percent="0" rank="0" text="" dxfId="15">
      <formula>OR(($EB$10+$ED$10)&gt;0,($EG$10+$EC$10+$ED$10)&gt;0,$EE$9&gt;0,0)</formula>
    </cfRule>
  </conditionalFormatting>
  <conditionalFormatting sqref="BF38:BF39">
    <cfRule type="expression" priority="556" aboveAverage="0" equalAverage="0" bottom="0" percent="0" rank="0" text="" dxfId="15">
      <formula>$EE$9&gt;0</formula>
    </cfRule>
  </conditionalFormatting>
  <conditionalFormatting sqref="BH38:BJ42">
    <cfRule type="expression" priority="557" aboveAverage="0" equalAverage="0" bottom="0" percent="0" rank="0" text="" dxfId="16">
      <formula>AND($EF$10&gt;0,INDEX(Network!$P$7:$P$28,$EF$10)="")</formula>
    </cfRule>
    <cfRule type="expression" priority="558" aboveAverage="0" equalAverage="0" bottom="0" percent="0" rank="0" text="" dxfId="11">
      <formula>AND($EF$10&gt;0,INDEX(Network!$P$7:$P$28,$EF$10)&lt;&gt;"",INDEX(Network!$P$7:$P$28,$EF$10)&lt;=Setup!$D$31)</formula>
    </cfRule>
    <cfRule type="expression" priority="559" aboveAverage="0" equalAverage="0" bottom="0" percent="0" rank="0" text="" dxfId="12">
      <formula>AND($EF$10&gt;0,INDEX(Network!$P$7:$P$28,$EF$10)&lt;&gt;"",INDEX(Network!$P$7:$P$28,$EF$10)&gt;Setup!$D$31,INDEX(Network!$P$7:$P$28,$EF$10)&lt;=Setup!$D$31+Setup!$D$20)</formula>
    </cfRule>
    <cfRule type="expression" priority="560" aboveAverage="0" equalAverage="0" bottom="0" percent="0" rank="0" text="" dxfId="14">
      <formula>AND($EF$10&gt;0,INDEX(Network!$P$7:$P$28,$EF$10)&lt;&gt;"",INDEX(Network!$P$7:$P$28,$EF$10)&gt;Setup!$D$31+Setup!$D$20)</formula>
    </cfRule>
  </conditionalFormatting>
  <conditionalFormatting sqref="BH40:BJ40">
    <cfRule type="expression" priority="561" aboveAverage="0" equalAverage="0" bottom="0" percent="0" rank="0" text="" dxfId="15">
      <formula>AND($EF$10=0,($EG$10+$ED$10)&gt;0)</formula>
    </cfRule>
  </conditionalFormatting>
  <conditionalFormatting sqref="BK40">
    <cfRule type="expression" priority="562" aboveAverage="0" equalAverage="0" bottom="0" percent="0" rank="0" text="" dxfId="15">
      <formula>($EH$10+$EJ$10)&gt;0</formula>
    </cfRule>
  </conditionalFormatting>
  <conditionalFormatting sqref="BM40">
    <cfRule type="expression" priority="563" aboveAverage="0" equalAverage="0" bottom="0" percent="0" rank="0" text="" dxfId="15">
      <formula>($EM$10+$EI$10+$EJ$10)&gt;0</formula>
    </cfRule>
  </conditionalFormatting>
  <conditionalFormatting sqref="BL40">
    <cfRule type="expression" priority="564" aboveAverage="0" equalAverage="0" bottom="0" percent="0" rank="0" text="" dxfId="15">
      <formula>OR(($EH$10+$EJ$10)&gt;0,($EM$10+$EI$10+$EJ$10)&gt;0,$EK$9&gt;0,0)</formula>
    </cfRule>
  </conditionalFormatting>
  <conditionalFormatting sqref="BL38:BL39">
    <cfRule type="expression" priority="565" aboveAverage="0" equalAverage="0" bottom="0" percent="0" rank="0" text="" dxfId="15">
      <formula>$EK$9&gt;0</formula>
    </cfRule>
  </conditionalFormatting>
  <conditionalFormatting sqref="BN38:BP42">
    <cfRule type="expression" priority="566" aboveAverage="0" equalAverage="0" bottom="0" percent="0" rank="0" text="" dxfId="16">
      <formula>AND($EL$10&gt;0,INDEX(Network!$P$7:$P$28,$EL$10)="")</formula>
    </cfRule>
    <cfRule type="expression" priority="567" aboveAverage="0" equalAverage="0" bottom="0" percent="0" rank="0" text="" dxfId="11">
      <formula>AND($EL$10&gt;0,INDEX(Network!$P$7:$P$28,$EL$10)&lt;&gt;"",INDEX(Network!$P$7:$P$28,$EL$10)&lt;=Setup!$D$31)</formula>
    </cfRule>
    <cfRule type="expression" priority="568" aboveAverage="0" equalAverage="0" bottom="0" percent="0" rank="0" text="" dxfId="12">
      <formula>AND($EL$10&gt;0,INDEX(Network!$P$7:$P$28,$EL$10)&lt;&gt;"",INDEX(Network!$P$7:$P$28,$EL$10)&gt;Setup!$D$31,INDEX(Network!$P$7:$P$28,$EL$10)&lt;=Setup!$D$31+Setup!$D$20)</formula>
    </cfRule>
    <cfRule type="expression" priority="569" aboveAverage="0" equalAverage="0" bottom="0" percent="0" rank="0" text="" dxfId="14">
      <formula>AND($EL$10&gt;0,INDEX(Network!$P$7:$P$28,$EL$10)&lt;&gt;"",INDEX(Network!$P$7:$P$28,$EL$10)&gt;Setup!$D$31+Setup!$D$20)</formula>
    </cfRule>
  </conditionalFormatting>
  <conditionalFormatting sqref="BN40:BP40">
    <cfRule type="expression" priority="570" aboveAverage="0" equalAverage="0" bottom="0" percent="0" rank="0" text="" dxfId="15">
      <formula>AND($EL$10=0,($EM$10+$EJ$10)&gt;0)</formula>
    </cfRule>
  </conditionalFormatting>
  <conditionalFormatting sqref="BQ40">
    <cfRule type="expression" priority="571" aboveAverage="0" equalAverage="0" bottom="0" percent="0" rank="0" text="" dxfId="15">
      <formula>($EN$10+$EP$10)&gt;0</formula>
    </cfRule>
  </conditionalFormatting>
  <conditionalFormatting sqref="BS40">
    <cfRule type="expression" priority="572" aboveAverage="0" equalAverage="0" bottom="0" percent="0" rank="0" text="" dxfId="15">
      <formula>($ES$10+$EO$10+$EP$10)&gt;0</formula>
    </cfRule>
  </conditionalFormatting>
  <conditionalFormatting sqref="BR40">
    <cfRule type="expression" priority="573" aboveAverage="0" equalAverage="0" bottom="0" percent="0" rank="0" text="" dxfId="15">
      <formula>OR(($EN$10+$EP$10)&gt;0,($ES$10+$EO$10+$EP$10)&gt;0,$EQ$9&gt;0,0)</formula>
    </cfRule>
  </conditionalFormatting>
  <conditionalFormatting sqref="BR38:BR39">
    <cfRule type="expression" priority="574" aboveAverage="0" equalAverage="0" bottom="0" percent="0" rank="0" text="" dxfId="15">
      <formula>$EQ$9&gt;0</formula>
    </cfRule>
  </conditionalFormatting>
  <conditionalFormatting sqref="BT38:BV42">
    <cfRule type="expression" priority="575" aboveAverage="0" equalAverage="0" bottom="0" percent="0" rank="0" text="" dxfId="16">
      <formula>AND($ER$10&gt;0,INDEX(Network!$P$7:$P$28,$ER$10)="")</formula>
    </cfRule>
    <cfRule type="expression" priority="576" aboveAverage="0" equalAverage="0" bottom="0" percent="0" rank="0" text="" dxfId="11">
      <formula>AND($ER$10&gt;0,INDEX(Network!$P$7:$P$28,$ER$10)&lt;&gt;"",INDEX(Network!$P$7:$P$28,$ER$10)&lt;=Setup!$D$31)</formula>
    </cfRule>
    <cfRule type="expression" priority="577" aboveAverage="0" equalAverage="0" bottom="0" percent="0" rank="0" text="" dxfId="12">
      <formula>AND($ER$10&gt;0,INDEX(Network!$P$7:$P$28,$ER$10)&lt;&gt;"",INDEX(Network!$P$7:$P$28,$ER$10)&gt;Setup!$D$31,INDEX(Network!$P$7:$P$28,$ER$10)&lt;=Setup!$D$31+Setup!$D$20)</formula>
    </cfRule>
    <cfRule type="expression" priority="578" aboveAverage="0" equalAverage="0" bottom="0" percent="0" rank="0" text="" dxfId="14">
      <formula>AND($ER$10&gt;0,INDEX(Network!$P$7:$P$28,$ER$10)&lt;&gt;"",INDEX(Network!$P$7:$P$28,$ER$10)&gt;Setup!$D$31+Setup!$D$20)</formula>
    </cfRule>
  </conditionalFormatting>
  <conditionalFormatting sqref="BT40:BV40">
    <cfRule type="expression" priority="579" aboveAverage="0" equalAverage="0" bottom="0" percent="0" rank="0" text="" dxfId="15">
      <formula>AND($ER$10=0,($ES$10+$EP$10)&gt;0)</formula>
    </cfRule>
  </conditionalFormatting>
  <conditionalFormatting sqref="BW40">
    <cfRule type="expression" priority="580" aboveAverage="0" equalAverage="0" bottom="0" percent="0" rank="0" text="" dxfId="15">
      <formula>($ET$10+$EV$10)&gt;0</formula>
    </cfRule>
  </conditionalFormatting>
  <conditionalFormatting sqref="BY40">
    <cfRule type="expression" priority="581" aboveAverage="0" equalAverage="0" bottom="0" percent="0" rank="0" text="" dxfId="15">
      <formula>($EV$10)&gt;0</formula>
    </cfRule>
  </conditionalFormatting>
  <conditionalFormatting sqref="BX40">
    <cfRule type="expression" priority="582" aboveAverage="0" equalAverage="0" bottom="0" percent="0" rank="0" text="" dxfId="15">
      <formula>OR(($ET$10+$EV$10)&gt;0,($EV$10)&gt;0,0,0)</formula>
    </cfRule>
  </conditionalFormatting>
  <conditionalFormatting sqref="BX38:BX39">
    <cfRule type="expression" priority="583" aboveAverage="0" equalAverage="0" bottom="0" percent="0" rank="0" text="" dxfId="15">
      <formula>0</formula>
    </cfRule>
  </conditionalFormatting>
  <hyperlinks>
    <hyperlink ref="B49" r:id="rId1" display="Visit mastt.com"/>
  </hyperlinks>
  <printOptions headings="false" gridLines="false" gridLinesSet="true" horizontalCentered="false" verticalCentered="false"/>
  <pageMargins left="0.3" right="0.3" top="0.4" bottom="0.4" header="0.511811023622047" footer="0.511811023622047"/>
  <pageSetup paperSize="8" scale="100" fitToWidth="2" fitToHeight="0" pageOrder="overThenDown" orientation="landscape" blackAndWhite="false" draft="false" cellComments="none" horizontalDpi="300" verticalDpi="300" copies="1"/>
  <headerFooter differentFirst="false" differentOddEven="false">
    <oddHeader/>
    <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E98A2"/>
    <pageSetUpPr fitToPage="true"/>
  </sheetPr>
  <dimension ref="B1:H3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30"/>
    <col collapsed="false" customWidth="true" hidden="false" outlineLevel="0" max="6" min="3" style="0" width="18"/>
    <col collapsed="false" customWidth="true" hidden="false" outlineLevel="0" max="7" min="7" style="0" width="36"/>
    <col collapsed="false" customWidth="true" hidden="false" outlineLevel="0" max="8" min="8" style="0" width="44"/>
    <col collapsed="false" customWidth="true" hidden="false" outlineLevel="0" max="9" min="9" style="0" width="2.2"/>
  </cols>
  <sheetData>
    <row r="1" customFormat="false" ht="33.75" hidden="false" customHeight="true" outlineLevel="0" collapsed="false">
      <c r="B1" s="13" t="s">
        <v>184</v>
      </c>
      <c r="C1" s="13"/>
      <c r="D1" s="13"/>
      <c r="E1" s="13"/>
      <c r="F1" s="13"/>
      <c r="G1" s="13"/>
      <c r="H1" s="13"/>
    </row>
    <row r="2" customFormat="false" ht="4.5" hidden="false" customHeight="true" outlineLevel="0" collapsed="false">
      <c r="B2" s="82"/>
      <c r="C2" s="82"/>
      <c r="D2" s="82"/>
      <c r="E2" s="82"/>
      <c r="F2" s="82"/>
      <c r="G2" s="82"/>
      <c r="H2" s="82"/>
    </row>
    <row r="4" customFormat="false" ht="25.5" hidden="false" customHeight="true" outlineLevel="0" collapsed="false">
      <c r="B4" s="15" t="s">
        <v>185</v>
      </c>
      <c r="C4" s="15"/>
      <c r="D4" s="15"/>
      <c r="E4" s="15"/>
      <c r="F4" s="15"/>
      <c r="G4" s="15"/>
      <c r="H4" s="15"/>
    </row>
    <row r="6" customFormat="false" ht="21.75" hidden="false" customHeight="true" outlineLevel="0" collapsed="false">
      <c r="B6" s="6" t="s">
        <v>186</v>
      </c>
      <c r="C6" s="6"/>
      <c r="D6" s="6"/>
      <c r="E6" s="6"/>
      <c r="F6" s="6"/>
      <c r="G6" s="6"/>
      <c r="H6" s="6"/>
    </row>
    <row r="7" customFormat="false" ht="19.5" hidden="false" customHeight="true" outlineLevel="0" collapsed="false">
      <c r="B7" s="40" t="s">
        <v>187</v>
      </c>
      <c r="C7" s="40" t="s">
        <v>188</v>
      </c>
      <c r="D7" s="40"/>
      <c r="E7" s="40"/>
      <c r="F7" s="40"/>
      <c r="G7" s="40" t="s">
        <v>189</v>
      </c>
      <c r="H7" s="40"/>
    </row>
    <row r="8" customFormat="false" ht="24" hidden="false" customHeight="true" outlineLevel="0" collapsed="false">
      <c r="B8" s="83" t="s">
        <v>190</v>
      </c>
      <c r="C8" s="84" t="s">
        <v>191</v>
      </c>
      <c r="D8" s="84"/>
      <c r="E8" s="84"/>
      <c r="F8" s="84"/>
      <c r="G8" s="85" t="s">
        <v>192</v>
      </c>
      <c r="H8" s="85"/>
    </row>
    <row r="9" customFormat="false" ht="31.5" hidden="false" customHeight="true" outlineLevel="0" collapsed="false">
      <c r="B9" s="86" t="s">
        <v>193</v>
      </c>
      <c r="C9" s="87" t="s">
        <v>84</v>
      </c>
      <c r="D9" s="87"/>
      <c r="E9" s="87"/>
      <c r="F9" s="87"/>
      <c r="G9" s="85" t="s">
        <v>194</v>
      </c>
      <c r="H9" s="85"/>
    </row>
    <row r="10" customFormat="false" ht="24" hidden="false" customHeight="true" outlineLevel="0" collapsed="false">
      <c r="B10" s="88" t="s">
        <v>195</v>
      </c>
      <c r="C10" s="89" t="s">
        <v>196</v>
      </c>
      <c r="D10" s="89"/>
      <c r="E10" s="89"/>
      <c r="F10" s="89"/>
      <c r="G10" s="85" t="s">
        <v>197</v>
      </c>
      <c r="H10" s="85"/>
    </row>
    <row r="11" customFormat="false" ht="24" hidden="false" customHeight="true" outlineLevel="0" collapsed="false">
      <c r="B11" s="90" t="s">
        <v>198</v>
      </c>
      <c r="C11" s="91" t="s">
        <v>199</v>
      </c>
      <c r="D11" s="91"/>
      <c r="E11" s="91"/>
      <c r="F11" s="91"/>
      <c r="G11" s="85" t="s">
        <v>200</v>
      </c>
      <c r="H11" s="85"/>
    </row>
    <row r="12" customFormat="false" ht="24" hidden="false" customHeight="true" outlineLevel="0" collapsed="false">
      <c r="B12" s="92" t="s">
        <v>201</v>
      </c>
      <c r="C12" s="93" t="s">
        <v>129</v>
      </c>
      <c r="D12" s="93"/>
      <c r="E12" s="93"/>
      <c r="F12" s="93"/>
      <c r="G12" s="85" t="s">
        <v>202</v>
      </c>
      <c r="H12" s="85"/>
    </row>
    <row r="13" customFormat="false" ht="24" hidden="false" customHeight="true" outlineLevel="0" collapsed="false">
      <c r="B13" s="94" t="s">
        <v>203</v>
      </c>
      <c r="C13" s="95" t="s">
        <v>204</v>
      </c>
      <c r="D13" s="95"/>
      <c r="E13" s="95"/>
      <c r="F13" s="95"/>
      <c r="G13" s="85" t="s">
        <v>205</v>
      </c>
      <c r="H13" s="85"/>
    </row>
    <row r="15" customFormat="false" ht="21.75" hidden="false" customHeight="true" outlineLevel="0" collapsed="false">
      <c r="B15" s="6" t="s">
        <v>206</v>
      </c>
      <c r="C15" s="6"/>
      <c r="D15" s="6"/>
      <c r="E15" s="6"/>
      <c r="F15" s="6"/>
      <c r="G15" s="6"/>
      <c r="H15" s="6"/>
    </row>
    <row r="16" customFormat="false" ht="19.5" hidden="false" customHeight="true" outlineLevel="0" collapsed="false">
      <c r="B16" s="96" t="s">
        <v>207</v>
      </c>
      <c r="C16" s="85" t="s">
        <v>208</v>
      </c>
      <c r="D16" s="85"/>
      <c r="E16" s="85"/>
      <c r="F16" s="85"/>
      <c r="G16" s="85"/>
      <c r="H16" s="85"/>
    </row>
    <row r="17" customFormat="false" ht="19.5" hidden="false" customHeight="true" outlineLevel="0" collapsed="false">
      <c r="B17" s="96" t="s">
        <v>209</v>
      </c>
      <c r="C17" s="85" t="s">
        <v>210</v>
      </c>
      <c r="D17" s="85"/>
      <c r="E17" s="85"/>
      <c r="F17" s="85"/>
      <c r="G17" s="85"/>
      <c r="H17" s="85"/>
    </row>
    <row r="18" customFormat="false" ht="19.5" hidden="false" customHeight="true" outlineLevel="0" collapsed="false">
      <c r="B18" s="96" t="s">
        <v>211</v>
      </c>
      <c r="C18" s="85" t="s">
        <v>212</v>
      </c>
      <c r="D18" s="85"/>
      <c r="E18" s="85"/>
      <c r="F18" s="85"/>
      <c r="G18" s="85"/>
      <c r="H18" s="85"/>
    </row>
    <row r="19" customFormat="false" ht="19.5" hidden="false" customHeight="true" outlineLevel="0" collapsed="false">
      <c r="B19" s="96" t="s">
        <v>213</v>
      </c>
      <c r="C19" s="85" t="s">
        <v>214</v>
      </c>
      <c r="D19" s="85"/>
      <c r="E19" s="85"/>
      <c r="F19" s="85"/>
      <c r="G19" s="85"/>
      <c r="H19" s="85"/>
    </row>
    <row r="20" customFormat="false" ht="19.5" hidden="false" customHeight="true" outlineLevel="0" collapsed="false">
      <c r="B20" s="96" t="s">
        <v>215</v>
      </c>
      <c r="C20" s="85" t="s">
        <v>216</v>
      </c>
      <c r="D20" s="85"/>
      <c r="E20" s="85"/>
      <c r="F20" s="85"/>
      <c r="G20" s="85"/>
      <c r="H20" s="85"/>
    </row>
    <row r="22" customFormat="false" ht="21.75" hidden="false" customHeight="true" outlineLevel="0" collapsed="false">
      <c r="B22" s="6" t="s">
        <v>217</v>
      </c>
      <c r="C22" s="6"/>
      <c r="D22" s="6"/>
      <c r="E22" s="6"/>
      <c r="F22" s="6"/>
      <c r="G22" s="6"/>
      <c r="H22" s="6"/>
    </row>
    <row r="23" customFormat="false" ht="33" hidden="false" customHeight="true" outlineLevel="0" collapsed="false">
      <c r="D23" s="97" t="s">
        <v>47</v>
      </c>
      <c r="E23" s="97" t="s">
        <v>125</v>
      </c>
      <c r="F23" s="97" t="s">
        <v>218</v>
      </c>
      <c r="G23" s="97" t="s">
        <v>219</v>
      </c>
      <c r="H23" s="97" t="s">
        <v>42</v>
      </c>
    </row>
    <row r="24" customFormat="false" ht="21.75" hidden="false" customHeight="true" outlineLevel="0" collapsed="false">
      <c r="D24" s="98" t="s">
        <v>48</v>
      </c>
      <c r="E24" s="98" t="s">
        <v>138</v>
      </c>
      <c r="F24" s="98" t="s">
        <v>220</v>
      </c>
      <c r="G24" s="98" t="s">
        <v>221</v>
      </c>
      <c r="H24" s="98" t="s">
        <v>43</v>
      </c>
    </row>
    <row r="25" customFormat="false" ht="21.75" hidden="false" customHeight="true" outlineLevel="0" collapsed="false">
      <c r="D25" s="99" t="s">
        <v>222</v>
      </c>
      <c r="E25" s="99" t="s">
        <v>135</v>
      </c>
      <c r="F25" s="99" t="s">
        <v>223</v>
      </c>
      <c r="G25" s="99" t="s">
        <v>224</v>
      </c>
      <c r="H25" s="99" t="s">
        <v>225</v>
      </c>
    </row>
    <row r="26" customFormat="false" ht="21.75" hidden="false" customHeight="true" outlineLevel="0" collapsed="false">
      <c r="E26" s="98" t="s">
        <v>129</v>
      </c>
      <c r="G26" s="98" t="s">
        <v>226</v>
      </c>
    </row>
    <row r="27" customFormat="false" ht="21.75" hidden="false" customHeight="true" outlineLevel="0" collapsed="false">
      <c r="E27" s="99" t="s">
        <v>227</v>
      </c>
      <c r="G27" s="99" t="s">
        <v>228</v>
      </c>
    </row>
    <row r="28" customFormat="false" ht="21.75" hidden="false" customHeight="true" outlineLevel="0" collapsed="false">
      <c r="G28" s="98" t="s">
        <v>229</v>
      </c>
    </row>
    <row r="29" customFormat="false" ht="21.75" hidden="false" customHeight="true" outlineLevel="0" collapsed="false">
      <c r="G29" s="99" t="s">
        <v>230</v>
      </c>
    </row>
    <row r="30" customFormat="false" ht="21.75" hidden="false" customHeight="true" outlineLevel="0" collapsed="false">
      <c r="G30" s="98" t="s">
        <v>231</v>
      </c>
    </row>
    <row r="31" customFormat="false" ht="21.75" hidden="false" customHeight="true" outlineLevel="0" collapsed="false">
      <c r="G31" s="99" t="s">
        <v>232</v>
      </c>
    </row>
    <row r="32" customFormat="false" ht="21.75" hidden="false" customHeight="true" outlineLevel="0" collapsed="false">
      <c r="G32" s="98" t="s">
        <v>233</v>
      </c>
    </row>
    <row r="34" customFormat="false" ht="18" hidden="false" customHeight="true" outlineLevel="0" collapsed="false">
      <c r="B34" s="25" t="s">
        <v>76</v>
      </c>
      <c r="C34" s="25"/>
      <c r="D34" s="25"/>
      <c r="E34" s="25"/>
      <c r="F34" s="25"/>
      <c r="G34" s="25"/>
      <c r="H34" s="25"/>
    </row>
  </sheetData>
  <mergeCells count="26">
    <mergeCell ref="B1:H1"/>
    <mergeCell ref="B2:H2"/>
    <mergeCell ref="B4:H4"/>
    <mergeCell ref="B6:H6"/>
    <mergeCell ref="C7:F7"/>
    <mergeCell ref="G7:H7"/>
    <mergeCell ref="C8:F8"/>
    <mergeCell ref="G8:H8"/>
    <mergeCell ref="C9:F9"/>
    <mergeCell ref="G9:H9"/>
    <mergeCell ref="C10:F10"/>
    <mergeCell ref="G10:H10"/>
    <mergeCell ref="C11:F11"/>
    <mergeCell ref="G11:H11"/>
    <mergeCell ref="C12:F12"/>
    <mergeCell ref="G12:H12"/>
    <mergeCell ref="C13:F13"/>
    <mergeCell ref="G13:H13"/>
    <mergeCell ref="B15:H15"/>
    <mergeCell ref="C16:H16"/>
    <mergeCell ref="C17:H17"/>
    <mergeCell ref="C18:H18"/>
    <mergeCell ref="C19:H19"/>
    <mergeCell ref="C20:H20"/>
    <mergeCell ref="B22:H22"/>
    <mergeCell ref="B34:H34"/>
  </mergeCells>
  <hyperlinks>
    <hyperlink ref="B34" r:id="rId1" display="Visit mastt.com"/>
  </hyperlinks>
  <printOptions headings="false" gridLines="false" gridLinesSet="true" horizontalCentered="false" verticalCentered="false"/>
  <pageMargins left="0.3" right="0.3" top="0.4" bottom="0.4"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2"/>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2026-08-19T02:01:38Z</dcterms:created>
  <dc:creator>openpyxl</dc:creator>
  <dc:description/>
  <dc:language>en-US</dc:language>
  <cp:lastModifiedBy/>
  <dcterms:modified xsi:type="dcterms:W3CDTF">2026-08-19T02:01:38Z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