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Invoice" sheetId="2" state="visible" r:id="rId2"/>
    <sheet xmlns:r="http://schemas.openxmlformats.org/officeDocument/2006/relationships" name="Schedule of Works Completed" sheetId="3" state="visible" r:id="rId3"/>
    <sheet xmlns:r="http://schemas.openxmlformats.org/officeDocument/2006/relationships" name="Variations &amp; Claims" sheetId="4" state="visible" r:id="rId4"/>
    <sheet xmlns:r="http://schemas.openxmlformats.org/officeDocument/2006/relationships" name="Materials on Site &amp; Off-Site" sheetId="5" state="visible" r:id="rId5"/>
    <sheet xmlns:r="http://schemas.openxmlformats.org/officeDocument/2006/relationships" name="Retention &amp; Payment History" sheetId="6" state="visible" r:id="rId6"/>
    <sheet xmlns:r="http://schemas.openxmlformats.org/officeDocument/2006/relationships" name="Reconciliation Check" sheetId="7" state="visible" r:id="rId7"/>
    <sheet xmlns:r="http://schemas.openxmlformats.org/officeDocument/2006/relationships" name="Lists" sheetId="8" state="visible" r:id="rId8"/>
    <sheet xmlns:r="http://schemas.openxmlformats.org/officeDocument/2006/relationships" name="Notes &amp; Assumptions" sheetId="9" state="visible" r:id="rId9"/>
  </sheets>
  <definedNames>
    <definedName name="Proj_Name">Cover!$C$9</definedName>
    <definedName name="Proj_Number">Cover!$C$10</definedName>
    <definedName name="Proj_Client">Cover!$C$11</definedName>
    <definedName name="Proj_Contractor">Cover!$C$12</definedName>
    <definedName name="Proj_Package">Cover!$C$13</definedName>
    <definedName name="Proj_PreparedBy">Cover!$C$14</definedName>
    <definedName name="Proj_Role">Cover!$F$9</definedName>
    <definedName name="Inv_Date">Cover!$F$10</definedName>
    <definedName name="Proj_Revision">Cover!$F$11</definedName>
    <definedName name="Proj_Currency">Cover!$F$12</definedName>
    <definedName name="Tax_Label">Cover!$F$13</definedName>
    <definedName name="Inv_Vars">Invoice!$G$27</definedName>
    <definedName name="Inv_Adjusted">Invoice!$G$28</definedName>
    <definedName name="Inv_WorkDone">Invoice!$G$29</definedName>
    <definedName name="Inv_Materials">Invoice!$G$30</definedName>
    <definedName name="Inv_Earned">Invoice!$G$31</definedName>
    <definedName name="Inv_Retention">Invoice!$G$32</definedName>
    <definedName name="Inv_Net">Invoice!$G$33</definedName>
    <definedName name="Inv_PrevInv">Invoice!$G$34</definedName>
    <definedName name="Inv_Subtotal">Invoice!$G$35</definedName>
    <definedName name="Inv_Deductions">Invoice!$G$36</definedName>
    <definedName name="Inv_Taxable">Invoice!$G$37</definedName>
    <definedName name="Inv_Tax">Invoice!$G$38</definedName>
    <definedName name="Inv_Total">Invoice!$G$39</definedName>
    <definedName name="Inv_Words">Invoice!$D$40</definedName>
    <definedName name="WC_Contract_Total">'Schedule of Works Completed'!$D$41</definedName>
    <definedName name="WC_ToDate">'Schedule of Works Completed'!$I$41</definedName>
    <definedName name="WC_Prev">'Schedule of Works Completed'!$J$41</definedName>
    <definedName name="WC_This">'Schedule of Works Completed'!$K$41</definedName>
    <definedName name="WC_Ret_This">'Schedule of Works Completed'!$N$41</definedName>
    <definedName name="VO_Approved_Total">'Variations &amp; Claims'!$G$29</definedName>
    <definedName name="VO_Prev">'Variations &amp; Claims'!$H$29</definedName>
    <definedName name="VO_This">'Variations &amp; Claims'!$J$29</definedName>
    <definedName name="VO_ToDate">'Variations &amp; Claims'!$G$30</definedName>
    <definedName name="MOS_Value_Total">'Materials on Site &amp; Off-Site'!$F$29</definedName>
    <definedName name="MOS_Allowed">'Materials on Site &amp; Off-Site'!$H$29</definedName>
    <definedName name="Ret_Gross">'Retention &amp; Payment History'!$D$16</definedName>
    <definedName name="Ret_Cap">'Retention &amp; Payment History'!$D$17</definedName>
    <definedName name="Ret_Held">'Retention &amp; Payment History'!$D$18</definedName>
    <definedName name="Ret_Released">'Retention &amp; Payment History'!$D$21</definedName>
    <definedName name="Ret_Outstanding">'Retention &amp; Payment History'!$D$22</definedName>
    <definedName name="HIST_Claimed">'Retention &amp; Payment History'!$D$49</definedName>
    <definedName name="HIST_Certified">'Retention &amp; Payment History'!$F$49</definedName>
    <definedName name="HIST_Paid">'Retention &amp; Payment History'!$I$49</definedName>
    <definedName name="HIST_Outstanding">'Retention &amp; Payment History'!$J$49</definedName>
    <definedName name="Ded_Applied">'Retention &amp; Payment History'!$K$63</definedName>
    <definedName name="Contract_Sum">Lists!$C$9</definedName>
    <definedName name="Ret_Rate_Works">Lists!$C$10</definedName>
    <definedName name="Ret_Rate_Vars">Lists!$C$11</definedName>
    <definedName name="Ret_Cap_Pct">Lists!$C$12</definedName>
    <definedName name="MOS_Allow_Pct">Lists!$C$13</definedName>
    <definedName name="Tax_Rate">Lists!$C$14</definedName>
    <definedName name="Pay_Terms_Days">Lists!$C$15</definedName>
    <definedName name="Period_From">Lists!$C$16</definedName>
    <definedName name="Period_To">Lists!$C$17</definedName>
    <definedName name="_xlnm.Print_Area" localSheetId="1">'Invoice'!$A$1:$I$59</definedName>
    <definedName name="_xlnm._FilterDatabase" localSheetId="2" hidden="1">'Schedule of Works Completed'!$A$8:$P$40</definedName>
    <definedName name="_xlnm.Print_Titles" localSheetId="2">'Schedule of Works Completed'!$1:$8</definedName>
    <definedName name="_xlnm._FilterDatabase" localSheetId="3" hidden="1">'Variations &amp; Claims'!$A$8:$M$28</definedName>
    <definedName name="_xlnm.Print_Titles" localSheetId="3">'Variations &amp; Claims'!$1:$8</definedName>
    <definedName name="_xlnm._FilterDatabase" localSheetId="4" hidden="1">'Materials on Site &amp; Off-Site'!$A$8:$N$28</definedName>
    <definedName name="_xlnm.Print_Titles" localSheetId="4">'Materials on Site &amp; Off-Site'!$1:$8</definedName>
    <definedName name="_xlnm.Print_Titles" localSheetId="5">'Retention &amp; Payment History'!$1:$7</definedName>
    <definedName name="_xlnm.Print_Area" localSheetId="6">'Reconciliation Check'!$A$1:$E$35</definedName>
  </definedNames>
  <calcPr calcId="124519" fullCalcOnLoad="1"/>
</workbook>
</file>

<file path=xl/styles.xml><?xml version="1.0" encoding="utf-8"?>
<styleSheet xmlns="http://schemas.openxmlformats.org/spreadsheetml/2006/main">
  <numFmts count="3">
    <numFmt numFmtId="164" formatCode="yyyy-mm-dd"/>
    <numFmt numFmtId="165" formatCode="dd-mmm-yy"/>
    <numFmt numFmtId="166" formatCode="0.0%"/>
  </numFmts>
  <fonts count="26">
    <font>
      <name val="Calibri"/>
      <family val="2"/>
      <color theme="1"/>
      <sz val="11"/>
      <scheme val="minor"/>
    </font>
    <font>
      <name val="Inter"/>
      <color rgb="001D3245"/>
      <sz val="1"/>
    </font>
    <font>
      <name val="Inter"/>
      <b val="1"/>
      <color rgb="00FFFFFF"/>
      <sz val="15"/>
    </font>
    <font>
      <name val="Inter"/>
      <color rgb="00D3DEE9"/>
      <sz val="8.5"/>
    </font>
    <font>
      <name val="Inter"/>
      <b val="1"/>
      <color rgb="000D3C61"/>
      <sz val="10.5"/>
    </font>
    <font>
      <name val="Inter"/>
      <b val="1"/>
      <color rgb="008E98A2"/>
      <sz val="8.5"/>
    </font>
    <font>
      <name val="Inter"/>
      <color rgb="000C1628"/>
      <sz val="9"/>
    </font>
    <font>
      <name val="Inter"/>
      <color rgb="008E98A2"/>
      <sz val="10"/>
    </font>
    <font>
      <name val="Inter"/>
      <color rgb="000C1628"/>
      <sz val="10"/>
    </font>
    <font>
      <name val="Inter"/>
      <b val="1"/>
      <color rgb="00FFFFFF"/>
      <sz val="9"/>
    </font>
    <font>
      <name val="Inter"/>
      <i val="1"/>
      <color rgb="008E98A2"/>
      <sz val="8.5"/>
    </font>
    <font>
      <name val="Inter"/>
      <color rgb="FF3480BC"/>
      <sz val="9.5"/>
      <u val="single"/>
    </font>
    <font>
      <name val="Inter"/>
      <b val="1"/>
      <color rgb="000D3C61"/>
      <sz val="20"/>
    </font>
    <font>
      <name val="Inter"/>
      <b val="1"/>
      <color rgb="001D3245"/>
      <sz val="13"/>
    </font>
    <font>
      <name val="Inter"/>
      <i val="1"/>
      <color rgb="008E98A2"/>
      <sz val="8.5"/>
    </font>
    <font>
      <name val="Inter"/>
      <color rgb="000C1628"/>
      <sz val="8.5"/>
    </font>
    <font>
      <name val="Inter"/>
      <b val="1"/>
      <color rgb="000C1628"/>
      <sz val="8.5"/>
    </font>
    <font>
      <name val="Inter"/>
      <color rgb="008E98A2"/>
      <sz val="8.5"/>
    </font>
    <font>
      <name val="Inter"/>
      <b val="1"/>
      <color rgb="001D3245"/>
      <sz val="10"/>
    </font>
    <font>
      <name val="Inter"/>
      <b val="1"/>
      <color rgb="00FFFFFF"/>
      <sz val="11"/>
    </font>
    <font>
      <name val="Inter"/>
      <color rgb="000C1628"/>
      <sz val="8.5"/>
    </font>
    <font>
      <name val="Inter"/>
      <b val="1"/>
      <color rgb="001D3245"/>
      <sz val="8.5"/>
    </font>
    <font>
      <name val="Inter"/>
      <color rgb="002E7D5B"/>
      <sz val="8.5"/>
    </font>
    <font>
      <name val="Inter"/>
      <b val="1"/>
      <color rgb="000C1628"/>
      <sz val="9"/>
    </font>
    <font>
      <name val="Inter"/>
      <b val="1"/>
      <color rgb="00FFFFFF"/>
      <sz val="13"/>
    </font>
    <font>
      <name val="Inter"/>
      <b val="1"/>
      <color rgb="000C1628"/>
      <sz val="9.5"/>
    </font>
  </fonts>
  <fills count="5">
    <fill>
      <patternFill/>
    </fill>
    <fill>
      <patternFill patternType="gray125"/>
    </fill>
    <fill>
      <patternFill patternType="solid">
        <fgColor rgb="001D3245"/>
      </patternFill>
    </fill>
    <fill>
      <patternFill patternType="solid">
        <fgColor rgb="00F6F9FC"/>
      </patternFill>
    </fill>
    <fill>
      <patternFill patternType="solid">
        <fgColor rgb="00E8EEF5"/>
      </patternFill>
    </fill>
  </fills>
  <borders count="13">
    <border>
      <left/>
      <right/>
      <top/>
      <bottom/>
      <diagonal/>
    </border>
    <border>
      <left style="thin">
        <color rgb="00D3DEE9"/>
      </left>
      <right style="thin">
        <color rgb="00D3DEE9"/>
      </right>
      <top style="thin">
        <color rgb="00D3DEE9"/>
      </top>
      <bottom style="thin">
        <color rgb="00D3DEE9"/>
      </bottom>
    </border>
    <border>
      <left style="thin">
        <color rgb="001D3245"/>
      </left>
      <right style="thin">
        <color rgb="001D3245"/>
      </right>
      <top style="thin">
        <color rgb="001D3245"/>
      </top>
      <bottom style="medium">
        <color rgb="003480BC"/>
      </bottom>
    </border>
    <border>
      <left/>
      <right/>
      <top style="thin">
        <color rgb="001D3245"/>
      </top>
      <bottom/>
      <diagonal/>
    </border>
    <border>
      <left/>
      <right style="thin">
        <color rgb="001D3245"/>
      </right>
      <top style="thin">
        <color rgb="001D3245"/>
      </top>
      <bottom/>
      <diagonal/>
    </border>
    <border>
      <left/>
      <right style="thin">
        <color rgb="001D3245"/>
      </right>
      <top style="thin">
        <color rgb="001D3245"/>
      </top>
      <bottom style="medium">
        <color rgb="003480BC"/>
      </bottom>
      <diagonal/>
    </border>
    <border>
      <top style="thin">
        <color rgb="00D3DEE9"/>
      </top>
    </border>
    <border>
      <left style="thin">
        <color rgb="00D3DEE9"/>
      </left>
      <right style="thin">
        <color rgb="00D3DEE9"/>
      </right>
      <top style="medium">
        <color rgb="003480BC"/>
      </top>
      <bottom style="thin">
        <color rgb="00D3DEE9"/>
      </bottom>
    </border>
    <border>
      <left style="thin">
        <color rgb="001D3245"/>
      </left>
      <right style="thin">
        <color rgb="001D3245"/>
      </right>
      <top style="medium">
        <color rgb="003480BC"/>
      </top>
      <bottom style="thin">
        <color rgb="001D3245"/>
      </bottom>
    </border>
    <border>
      <left/>
      <right/>
      <top style="medium">
        <color rgb="003480BC"/>
      </top>
      <bottom/>
      <diagonal/>
    </border>
    <border>
      <left/>
      <right style="thin">
        <color rgb="00D3DEE9"/>
      </right>
      <top style="medium">
        <color rgb="003480BC"/>
      </top>
      <bottom/>
      <diagonal/>
    </border>
    <border>
      <left/>
      <right/>
      <top style="medium">
        <color rgb="003480BC"/>
      </top>
      <bottom style="thin">
        <color rgb="00D3DEE9"/>
      </bottom>
      <diagonal/>
    </border>
    <border>
      <left/>
      <right style="thin">
        <color rgb="00D3DEE9"/>
      </right>
      <top style="medium">
        <color rgb="003480BC"/>
      </top>
      <bottom style="thin">
        <color rgb="00D3DEE9"/>
      </bottom>
      <diagonal/>
    </border>
  </borders>
  <cellStyleXfs count="1">
    <xf numFmtId="0" fontId="0" fillId="0" borderId="0"/>
  </cellStyleXfs>
  <cellXfs count="77">
    <xf numFmtId="0" fontId="0" fillId="0" borderId="0" pivotButton="0" quotePrefix="0" xfId="0"/>
    <xf numFmtId="0" fontId="1" fillId="2" borderId="0" applyAlignment="1" pivotButton="0" quotePrefix="0" xfId="0">
      <alignment vertical="bottom"/>
    </xf>
    <xf numFmtId="0" fontId="0" fillId="2" borderId="0" pivotButton="0" quotePrefix="0" xfId="0"/>
    <xf numFmtId="0" fontId="2" fillId="2" borderId="0" applyAlignment="1" pivotButton="0" quotePrefix="0" xfId="0">
      <alignment horizontal="left" vertical="center"/>
    </xf>
    <xf numFmtId="0" fontId="3" fillId="2" borderId="0" applyAlignment="1" pivotButton="0" quotePrefix="0" xfId="0">
      <alignment horizontal="left" vertical="center"/>
    </xf>
    <xf numFmtId="0" fontId="4" fillId="0" borderId="0" applyAlignment="1" pivotButton="0" quotePrefix="0" xfId="0">
      <alignment horizontal="left" vertical="center"/>
    </xf>
    <xf numFmtId="0" fontId="5" fillId="0" borderId="0" applyAlignment="1" pivotButton="0" quotePrefix="0" xfId="0">
      <alignment horizontal="left" vertical="center"/>
    </xf>
    <xf numFmtId="0" fontId="7" fillId="3" borderId="1" applyAlignment="1" applyProtection="1" pivotButton="0" quotePrefix="0" xfId="0">
      <alignment horizontal="left" vertical="center"/>
      <protection locked="0" hidden="0"/>
    </xf>
    <xf numFmtId="0" fontId="8" fillId="3" borderId="1" applyAlignment="1" applyProtection="1" pivotButton="0" quotePrefix="0" xfId="0">
      <alignment horizontal="left" vertical="center"/>
      <protection locked="0" hidden="0"/>
    </xf>
    <xf numFmtId="165" fontId="8" fillId="3" borderId="1" applyAlignment="1" applyProtection="1" pivotButton="0" quotePrefix="0" xfId="0">
      <alignment horizontal="left" vertical="center"/>
      <protection locked="0" hidden="0"/>
    </xf>
    <xf numFmtId="0" fontId="6" fillId="0" borderId="0" applyAlignment="1" pivotButton="0" quotePrefix="0" xfId="0">
      <alignment horizontal="left" vertical="center" wrapText="1"/>
    </xf>
    <xf numFmtId="0" fontId="9" fillId="2" borderId="2" applyAlignment="1" pivotButton="0" quotePrefix="0" xfId="0">
      <alignment horizontal="left" vertical="center"/>
    </xf>
    <xf numFmtId="0" fontId="0" fillId="0" borderId="5" pivotButton="0" quotePrefix="0" xfId="0"/>
    <xf numFmtId="0" fontId="6" fillId="3" borderId="1" applyAlignment="1" applyProtection="1" pivotButton="0" quotePrefix="0" xfId="0">
      <alignment horizontal="center" vertical="center"/>
      <protection locked="0" hidden="0"/>
    </xf>
    <xf numFmtId="165" fontId="6" fillId="3" borderId="1" applyAlignment="1" applyProtection="1" pivotButton="0" quotePrefix="0" xfId="0">
      <alignment horizontal="center" vertical="center"/>
      <protection locked="0" hidden="0"/>
    </xf>
    <xf numFmtId="0" fontId="6" fillId="3" borderId="1" applyAlignment="1" applyProtection="1" pivotButton="0" quotePrefix="0" xfId="0">
      <alignment horizontal="left" vertical="center"/>
      <protection locked="0" hidden="0"/>
    </xf>
    <xf numFmtId="0" fontId="10" fillId="0" borderId="0" applyAlignment="1" pivotButton="0" quotePrefix="0" xfId="0">
      <alignment horizontal="left" vertical="center" wrapText="1"/>
    </xf>
    <xf numFmtId="0" fontId="11" fillId="0" borderId="6" applyAlignment="1" pivotButton="0" quotePrefix="0" xfId="0">
      <alignment vertical="center" horizontal="right"/>
    </xf>
    <xf numFmtId="0" fontId="0" fillId="0" borderId="6" pivotButton="0" quotePrefix="0" xfId="0"/>
    <xf numFmtId="0" fontId="12" fillId="0" borderId="0" applyAlignment="1" pivotButton="0" quotePrefix="0" xfId="0">
      <alignment horizontal="left" vertical="center"/>
    </xf>
    <xf numFmtId="0" fontId="13" fillId="0" borderId="0" applyAlignment="1" pivotButton="0" quotePrefix="0" xfId="0">
      <alignment horizontal="right" vertical="center"/>
    </xf>
    <xf numFmtId="0" fontId="14" fillId="0" borderId="0" applyAlignment="1" pivotButton="0" quotePrefix="0" xfId="0">
      <alignment horizontal="left" vertical="center"/>
    </xf>
    <xf numFmtId="0" fontId="14" fillId="0" borderId="0" applyAlignment="1" pivotButton="0" quotePrefix="0" xfId="0">
      <alignment horizontal="right" vertical="center"/>
    </xf>
    <xf numFmtId="0" fontId="10" fillId="3" borderId="1" applyAlignment="1" applyProtection="1" pivotButton="0" quotePrefix="0" xfId="0">
      <alignment horizontal="left" vertical="center"/>
      <protection locked="0" hidden="0"/>
    </xf>
    <xf numFmtId="0" fontId="15" fillId="4" borderId="1" applyAlignment="1" pivotButton="0" quotePrefix="0" xfId="0">
      <alignment horizontal="left" vertical="center"/>
    </xf>
    <xf numFmtId="0" fontId="6" fillId="4" borderId="1" applyAlignment="1" pivotButton="0" quotePrefix="0" xfId="0">
      <alignment horizontal="right" vertical="center"/>
    </xf>
    <xf numFmtId="165" fontId="6" fillId="4" borderId="1" applyAlignment="1" pivotButton="0" quotePrefix="0" xfId="0">
      <alignment horizontal="left" vertical="center"/>
    </xf>
    <xf numFmtId="165" fontId="16" fillId="4" borderId="1" applyAlignment="1" pivotButton="0" quotePrefix="0" xfId="0">
      <alignment horizontal="left" vertical="center"/>
    </xf>
    <xf numFmtId="0" fontId="9" fillId="2" borderId="2" applyAlignment="1" pivotButton="0" quotePrefix="0" xfId="0">
      <alignment horizontal="center" vertical="center"/>
    </xf>
    <xf numFmtId="0" fontId="9" fillId="2" borderId="2" applyAlignment="1" pivotButton="0" quotePrefix="0" xfId="0">
      <alignment horizontal="right" vertical="center"/>
    </xf>
    <xf numFmtId="0" fontId="17" fillId="0" borderId="0" applyAlignment="1" pivotButton="0" quotePrefix="0" xfId="0">
      <alignment horizontal="center" vertical="center"/>
    </xf>
    <xf numFmtId="0" fontId="6" fillId="0" borderId="0" applyAlignment="1" pivotButton="0" quotePrefix="0" xfId="0">
      <alignment horizontal="left" vertical="center" indent="1"/>
    </xf>
    <xf numFmtId="0" fontId="6" fillId="0" borderId="0" applyAlignment="1" pivotButton="0" quotePrefix="0" xfId="0">
      <alignment horizontal="left" vertical="center"/>
    </xf>
    <xf numFmtId="4" fontId="6" fillId="4" borderId="1" applyAlignment="1" pivotButton="0" quotePrefix="0" xfId="0">
      <alignment horizontal="right" vertical="center"/>
    </xf>
    <xf numFmtId="0" fontId="18" fillId="4" borderId="7" applyAlignment="1" pivotButton="0" quotePrefix="0" xfId="0">
      <alignment horizontal="center" vertical="center"/>
    </xf>
    <xf numFmtId="0" fontId="18" fillId="4" borderId="7" applyAlignment="1" pivotButton="0" quotePrefix="0" xfId="0">
      <alignment horizontal="left" vertical="center" indent="1"/>
    </xf>
    <xf numFmtId="0" fontId="18" fillId="4" borderId="7" applyAlignment="1" pivotButton="0" quotePrefix="0" xfId="0">
      <alignment horizontal="left" vertical="center"/>
    </xf>
    <xf numFmtId="4" fontId="18" fillId="4" borderId="7" applyAlignment="1" pivotButton="0" quotePrefix="0" xfId="0">
      <alignment horizontal="right" vertical="center"/>
    </xf>
    <xf numFmtId="0" fontId="19" fillId="2" borderId="8" applyAlignment="1" pivotButton="0" quotePrefix="0" xfId="0">
      <alignment horizontal="center" vertical="center"/>
    </xf>
    <xf numFmtId="0" fontId="19" fillId="2" borderId="8" applyAlignment="1" pivotButton="0" quotePrefix="0" xfId="0">
      <alignment horizontal="left" vertical="center" indent="1"/>
    </xf>
    <xf numFmtId="4" fontId="2" fillId="2" borderId="8" applyAlignment="1" pivotButton="0" quotePrefix="0" xfId="0">
      <alignment horizontal="right" vertical="center"/>
    </xf>
    <xf numFmtId="0" fontId="20" fillId="0" borderId="0" applyAlignment="1" pivotButton="0" quotePrefix="0" xfId="0">
      <alignment horizontal="left" vertical="center"/>
    </xf>
    <xf numFmtId="0" fontId="20" fillId="0" borderId="0" applyAlignment="1" pivotButton="0" quotePrefix="0" xfId="0">
      <alignment horizontal="left" vertical="center"/>
    </xf>
    <xf numFmtId="0" fontId="10" fillId="3" borderId="1" applyAlignment="1" applyProtection="1" pivotButton="0" quotePrefix="0" xfId="0">
      <alignment horizontal="center" vertical="center"/>
      <protection locked="0" hidden="0"/>
    </xf>
    <xf numFmtId="0" fontId="16" fillId="4" borderId="1" applyAlignment="1" pivotButton="0" quotePrefix="0" xfId="0">
      <alignment horizontal="left" vertical="center"/>
    </xf>
    <xf numFmtId="0" fontId="10" fillId="0" borderId="0" applyAlignment="1" pivotButton="0" quotePrefix="0" xfId="0">
      <alignment horizontal="left" vertical="top" wrapText="1"/>
    </xf>
    <xf numFmtId="165" fontId="6" fillId="3" borderId="1" applyAlignment="1" applyProtection="1" pivotButton="0" quotePrefix="0" xfId="0">
      <alignment horizontal="left" vertical="center"/>
      <protection locked="0" hidden="0"/>
    </xf>
    <xf numFmtId="0" fontId="21" fillId="0" borderId="0" applyAlignment="1" pivotButton="0" quotePrefix="0" xfId="0">
      <alignment horizontal="left" vertical="center"/>
    </xf>
    <xf numFmtId="0" fontId="10" fillId="0" borderId="0" applyAlignment="1" pivotButton="0" quotePrefix="0" xfId="0">
      <alignment horizontal="right" vertical="center"/>
    </xf>
    <xf numFmtId="0" fontId="9" fillId="2" borderId="2" applyAlignment="1" pivotButton="0" quotePrefix="0" xfId="0">
      <alignment horizontal="left" vertical="center" wrapText="1"/>
    </xf>
    <xf numFmtId="0" fontId="9" fillId="2" borderId="2" applyAlignment="1" pivotButton="0" quotePrefix="0" xfId="0">
      <alignment horizontal="center" vertical="center" wrapText="1"/>
    </xf>
    <xf numFmtId="4" fontId="10" fillId="3" borderId="1" applyAlignment="1" applyProtection="1" pivotButton="0" quotePrefix="0" xfId="0">
      <alignment horizontal="right" vertical="center"/>
      <protection locked="0" hidden="0"/>
    </xf>
    <xf numFmtId="166" fontId="6" fillId="4" borderId="1" applyAlignment="1" pivotButton="0" quotePrefix="0" xfId="0">
      <alignment horizontal="right" vertical="center"/>
    </xf>
    <xf numFmtId="166" fontId="10" fillId="3" borderId="1" applyAlignment="1" applyProtection="1" pivotButton="0" quotePrefix="0" xfId="0">
      <alignment horizontal="right" vertical="center"/>
      <protection locked="0" hidden="0"/>
    </xf>
    <xf numFmtId="166" fontId="6" fillId="3" borderId="1" applyAlignment="1" applyProtection="1" pivotButton="0" quotePrefix="0" xfId="0">
      <alignment horizontal="right" vertical="center"/>
      <protection locked="0" hidden="0"/>
    </xf>
    <xf numFmtId="4" fontId="6" fillId="3" borderId="1" applyAlignment="1" applyProtection="1" pivotButton="0" quotePrefix="0" xfId="0">
      <alignment horizontal="right" vertical="center"/>
      <protection locked="0" hidden="0"/>
    </xf>
    <xf numFmtId="0" fontId="18" fillId="4" borderId="7" applyAlignment="1" pivotButton="0" quotePrefix="0" xfId="0">
      <alignment horizontal="right" vertical="center"/>
    </xf>
    <xf numFmtId="166" fontId="18" fillId="4" borderId="7" applyAlignment="1" pivotButton="0" quotePrefix="0" xfId="0">
      <alignment horizontal="right" vertical="center"/>
    </xf>
    <xf numFmtId="0" fontId="15" fillId="0" borderId="0" applyAlignment="1" pivotButton="0" quotePrefix="0" xfId="0">
      <alignment horizontal="left" vertical="center"/>
    </xf>
    <xf numFmtId="165" fontId="10" fillId="3" borderId="1" applyAlignment="1" applyProtection="1" pivotButton="0" quotePrefix="0" xfId="0">
      <alignment horizontal="center" vertical="center"/>
      <protection locked="0" hidden="0"/>
    </xf>
    <xf numFmtId="1" fontId="10" fillId="3" borderId="1" applyAlignment="1" applyProtection="1" pivotButton="0" quotePrefix="0" xfId="0">
      <alignment horizontal="center" vertical="center"/>
      <protection locked="0" hidden="0"/>
    </xf>
    <xf numFmtId="1" fontId="6" fillId="3" borderId="1" applyAlignment="1" applyProtection="1" pivotButton="0" quotePrefix="0" xfId="0">
      <alignment horizontal="center" vertical="center"/>
      <protection locked="0" hidden="0"/>
    </xf>
    <xf numFmtId="1" fontId="18" fillId="4" borderId="7" applyAlignment="1" pivotButton="0" quotePrefix="0" xfId="0">
      <alignment horizontal="right" vertical="center"/>
    </xf>
    <xf numFmtId="4" fontId="23" fillId="4" borderId="1" applyAlignment="1" pivotButton="0" quotePrefix="0" xfId="0">
      <alignment horizontal="right" vertical="center"/>
    </xf>
    <xf numFmtId="0" fontId="22" fillId="0" borderId="0" applyAlignment="1" pivotButton="0" quotePrefix="0" xfId="0">
      <alignment horizontal="left" vertical="center"/>
    </xf>
    <xf numFmtId="1" fontId="6" fillId="4" borderId="1" applyAlignment="1" pivotButton="0" quotePrefix="0" xfId="0">
      <alignment horizontal="center" vertical="center"/>
    </xf>
    <xf numFmtId="0" fontId="17" fillId="0" borderId="0" applyAlignment="1" pivotButton="0" quotePrefix="0" xfId="0">
      <alignment horizontal="left" vertical="center"/>
    </xf>
    <xf numFmtId="0" fontId="15" fillId="0" borderId="0" applyAlignment="1" pivotButton="0" quotePrefix="0" xfId="0">
      <alignment horizontal="left" vertical="center" wrapText="1"/>
    </xf>
    <xf numFmtId="10" fontId="6" fillId="4" borderId="1" applyAlignment="1" pivotButton="0" quotePrefix="0" xfId="0">
      <alignment horizontal="right" vertical="center"/>
    </xf>
    <xf numFmtId="0" fontId="24" fillId="2" borderId="0" applyAlignment="1" pivotButton="0" quotePrefix="0" xfId="0">
      <alignment horizontal="left" vertical="center" indent="1"/>
    </xf>
    <xf numFmtId="0" fontId="16" fillId="4" borderId="1" applyAlignment="1" pivotButton="0" quotePrefix="0" xfId="0">
      <alignment horizontal="left" vertical="center" wrapText="1"/>
    </xf>
    <xf numFmtId="4" fontId="25" fillId="3" borderId="1" applyAlignment="1" applyProtection="1" pivotButton="0" quotePrefix="0" xfId="0">
      <alignment horizontal="right" vertical="center"/>
      <protection locked="0" hidden="0"/>
    </xf>
    <xf numFmtId="0" fontId="10" fillId="0" borderId="0" applyAlignment="1" pivotButton="0" quotePrefix="0" xfId="0">
      <alignment horizontal="left" vertical="center" indent="1"/>
    </xf>
    <xf numFmtId="10" fontId="25" fillId="3" borderId="1" applyAlignment="1" applyProtection="1" pivotButton="0" quotePrefix="0" xfId="0">
      <alignment horizontal="right" vertical="center"/>
      <protection locked="0" hidden="0"/>
    </xf>
    <xf numFmtId="1" fontId="25" fillId="3" borderId="1" applyAlignment="1" applyProtection="1" pivotButton="0" quotePrefix="0" xfId="0">
      <alignment horizontal="right" vertical="center"/>
      <protection locked="0" hidden="0"/>
    </xf>
    <xf numFmtId="165" fontId="25" fillId="3" borderId="1" applyAlignment="1" applyProtection="1" pivotButton="0" quotePrefix="0" xfId="0">
      <alignment horizontal="right" vertical="center"/>
      <protection locked="0" hidden="0"/>
    </xf>
    <xf numFmtId="165" fontId="6" fillId="4" borderId="1" applyAlignment="1" pivotButton="0" quotePrefix="0" xfId="0">
      <alignment horizontal="right" vertical="center"/>
    </xf>
  </cellXfs>
  <cellStyles count="1">
    <cellStyle name="Normal" xfId="0" builtinId="0" hidden="0"/>
  </cellStyles>
  <dxfs count="12">
    <dxf>
      <font>
        <name val="Inter"/>
        <b val="1"/>
        <color rgb="00B3341F"/>
        <sz val="9"/>
      </font>
      <fill>
        <patternFill patternType="solid">
          <fgColor rgb="00FBE6E2"/>
          <bgColor rgb="00FBE6E2"/>
        </patternFill>
      </fill>
    </dxf>
    <dxf>
      <font>
        <name val="Inter"/>
        <b val="1"/>
        <color rgb="00C98A0E"/>
        <sz val="9"/>
      </font>
      <fill>
        <patternFill patternType="solid">
          <fgColor rgb="00FDF3DC"/>
          <bgColor rgb="00FDF3DC"/>
        </patternFill>
      </fill>
    </dxf>
    <dxf>
      <font>
        <name val="Inter"/>
        <b val="1"/>
        <color rgb="002E7D5B"/>
        <sz val="9"/>
      </font>
    </dxf>
    <dxf>
      <font>
        <name val="Inter"/>
        <b val="1"/>
        <color rgb="003480BC"/>
        <sz val="9"/>
      </font>
    </dxf>
    <dxf>
      <font>
        <name val="Inter"/>
        <b val="1"/>
        <color rgb="00B3341F"/>
        <sz val="9"/>
      </font>
    </dxf>
    <dxf>
      <font>
        <name val="Inter"/>
        <b val="1"/>
        <color rgb="008E98A2"/>
        <sz val="9"/>
      </font>
    </dxf>
    <dxf>
      <font>
        <name val="Inter"/>
        <b val="1"/>
        <color rgb="00C98A0E"/>
        <sz val="9"/>
      </font>
    </dxf>
    <dxf>
      <font>
        <name val="Inter"/>
        <b val="1"/>
        <color rgb="00FFFFFF"/>
        <sz val="13"/>
      </font>
      <fill>
        <patternFill patternType="solid">
          <fgColor rgb="002E7D5B"/>
          <bgColor rgb="002E7D5B"/>
        </patternFill>
      </fill>
    </dxf>
    <dxf>
      <font>
        <name val="Inter"/>
        <b val="1"/>
        <color rgb="00FFFFFF"/>
        <sz val="13"/>
      </font>
      <fill>
        <patternFill patternType="solid">
          <fgColor rgb="00B3341F"/>
          <bgColor rgb="00B3341F"/>
        </patternFill>
      </fill>
    </dxf>
    <dxf>
      <font>
        <name val="Inter"/>
        <b val="1"/>
        <color rgb="002E7D5B"/>
        <sz val="8.5"/>
      </font>
      <fill>
        <patternFill patternType="solid">
          <fgColor rgb="00E4F1EA"/>
          <bgColor rgb="00E4F1EA"/>
        </patternFill>
      </fill>
    </dxf>
    <dxf>
      <font>
        <name val="Inter"/>
        <b val="1"/>
        <color rgb="00B3341F"/>
        <sz val="8.5"/>
      </font>
      <fill>
        <patternFill patternType="solid">
          <fgColor rgb="00FBE6E2"/>
          <bgColor rgb="00FBE6E2"/>
        </patternFill>
      </fill>
    </dxf>
    <dxf>
      <font>
        <name val="Inter"/>
        <b val="1"/>
        <color rgb="00C98A0E"/>
        <sz val="8.5"/>
      </font>
      <fill>
        <patternFill patternType="solid">
          <fgColor rgb="00FDF3DC"/>
          <bgColor rgb="00FDF3D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drawings/_rels/drawing1.xml.rels><Relationships xmlns="http://schemas.openxmlformats.org/package/2006/relationships"><Relationship Type="http://schemas.openxmlformats.org/officeDocument/2006/relationships/image" Target="/xl/media/image1.png" Id="rId1"/><Relationship Id="rId2" Type="http://schemas.openxmlformats.org/officeDocument/2006/relationships/hyperlink" Target="https://www.mastt.com/" TargetMode="External"/></Relationships>
</file>

<file path=xl/drawings/_rels/drawing2.xml.rels><Relationships xmlns="http://schemas.openxmlformats.org/package/2006/relationships"><Relationship Type="http://schemas.openxmlformats.org/officeDocument/2006/relationships/image" Target="/xl/media/image2.png" Id="rId1"/><Relationship Id="rId2" Type="http://schemas.openxmlformats.org/officeDocument/2006/relationships/hyperlink" Target="https://www.mastt.com/" TargetMode="External"/></Relationships>
</file>

<file path=xl/drawings/_rels/drawing3.xml.rels><Relationships xmlns="http://schemas.openxmlformats.org/package/2006/relationships"><Relationship Type="http://schemas.openxmlformats.org/officeDocument/2006/relationships/image" Target="/xl/media/image3.png" Id="rId1"/><Relationship Id="rId2" Type="http://schemas.openxmlformats.org/officeDocument/2006/relationships/hyperlink" Target="https://www.mastt.com/" TargetMode="External"/></Relationships>
</file>

<file path=xl/drawings/_rels/drawing4.xml.rels><Relationships xmlns="http://schemas.openxmlformats.org/package/2006/relationships"><Relationship Type="http://schemas.openxmlformats.org/officeDocument/2006/relationships/image" Target="/xl/media/image4.png" Id="rId1"/><Relationship Id="rId2" Type="http://schemas.openxmlformats.org/officeDocument/2006/relationships/hyperlink" Target="https://www.mastt.com/" TargetMode="External"/></Relationships>
</file>

<file path=xl/drawings/_rels/drawing5.xml.rels><Relationships xmlns="http://schemas.openxmlformats.org/package/2006/relationships"><Relationship Type="http://schemas.openxmlformats.org/officeDocument/2006/relationships/image" Target="/xl/media/image5.png" Id="rId1"/><Relationship Id="rId2" Type="http://schemas.openxmlformats.org/officeDocument/2006/relationships/hyperlink" Target="https://www.mastt.com/" TargetMode="External"/></Relationships>
</file>

<file path=xl/drawings/_rels/drawing6.xml.rels><Relationships xmlns="http://schemas.openxmlformats.org/package/2006/relationships"><Relationship Type="http://schemas.openxmlformats.org/officeDocument/2006/relationships/image" Target="/xl/media/image6.png" Id="rId1"/><Relationship Id="rId2" Type="http://schemas.openxmlformats.org/officeDocument/2006/relationships/hyperlink" Target="https://www.mastt.com/" TargetMode="External"/></Relationships>
</file>

<file path=xl/drawings/_rels/drawing7.xml.rels><Relationships xmlns="http://schemas.openxmlformats.org/package/2006/relationships"><Relationship Type="http://schemas.openxmlformats.org/officeDocument/2006/relationships/image" Target="/xl/media/image7.png" Id="rId1"/><Relationship Id="rId2" Type="http://schemas.openxmlformats.org/officeDocument/2006/relationships/hyperlink" Target="https://www.mastt.com/" TargetMode="External"/></Relationships>
</file>

<file path=xl/drawings/_rels/drawing8.xml.rels><Relationships xmlns="http://schemas.openxmlformats.org/package/2006/relationships"><Relationship Type="http://schemas.openxmlformats.org/officeDocument/2006/relationships/image" Target="/xl/media/image8.png" Id="rId1"/><Relationship Id="rId2" Type="http://schemas.openxmlformats.org/officeDocument/2006/relationships/hyperlink" Target="https://www.mastt.com/" TargetMode="External"/></Relationships>
</file>

<file path=xl/drawings/_rels/drawing9.xml.rels><Relationships xmlns="http://schemas.openxmlformats.org/package/2006/relationships"><Relationship Type="http://schemas.openxmlformats.org/officeDocument/2006/relationships/image" Target="/xl/media/image9.png" Id="rId1"/><Relationship Id="rId2" Type="http://schemas.openxmlformats.org/officeDocument/2006/relationships/hyperlink" Target="https://www.mastt.com/" TargetMode="External"/></Relationships>
</file>

<file path=xl/drawings/drawing1.xml><?xml version="1.0" encoding="utf-8"?>
<wsDr xmlns="http://schemas.openxmlformats.org/drawingml/2006/spreadsheetDrawing">
  <oneCellAnchor>
    <from>
      <col>0</col>
      <colOff>114300</colOff>
      <row>1</row>
      <rowOff>38100</rowOff>
    </from>
    <ext cx="1600200" cy="466725"/>
    <pic>
      <nvPicPr>
        <cNvPr id="1" name="Image 1" descr="Picture">
          <a:hlinkClick xmlns:a="http://schemas.openxmlformats.org/drawingml/2006/main" xmlns:r="http://schemas.openxmlformats.org/officeDocument/2006/relationships" r:id="rId2"/>
        </cNvPr>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2.xml><?xml version="1.0" encoding="utf-8"?>
<wsDr xmlns="http://schemas.openxmlformats.org/drawingml/2006/spreadsheetDrawing">
  <oneCellAnchor>
    <from>
      <col>0</col>
      <colOff>114300</colOff>
      <row>1</row>
      <rowOff>38100</rowOff>
    </from>
    <ext cx="1600200" cy="466725"/>
    <pic>
      <nvPicPr>
        <cNvPr id="1" name="Image 1" descr="Picture">
          <a:hlinkClick xmlns:a="http://schemas.openxmlformats.org/drawingml/2006/main" xmlns:r="http://schemas.openxmlformats.org/officeDocument/2006/relationships" r:id="rId2"/>
        </cNvPr>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3.xml><?xml version="1.0" encoding="utf-8"?>
<wsDr xmlns="http://schemas.openxmlformats.org/drawingml/2006/spreadsheetDrawing">
  <oneCellAnchor>
    <from>
      <col>0</col>
      <colOff>114300</colOff>
      <row>1</row>
      <rowOff>38100</rowOff>
    </from>
    <ext cx="1600200" cy="466725"/>
    <pic>
      <nvPicPr>
        <cNvPr id="1" name="Image 1" descr="Picture">
          <a:hlinkClick xmlns:a="http://schemas.openxmlformats.org/drawingml/2006/main" xmlns:r="http://schemas.openxmlformats.org/officeDocument/2006/relationships" r:id="rId2"/>
        </cNvPr>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4.xml><?xml version="1.0" encoding="utf-8"?>
<wsDr xmlns="http://schemas.openxmlformats.org/drawingml/2006/spreadsheetDrawing">
  <oneCellAnchor>
    <from>
      <col>0</col>
      <colOff>114300</colOff>
      <row>1</row>
      <rowOff>38100</rowOff>
    </from>
    <ext cx="1600200" cy="466725"/>
    <pic>
      <nvPicPr>
        <cNvPr id="1" name="Image 1" descr="Picture">
          <a:hlinkClick xmlns:a="http://schemas.openxmlformats.org/drawingml/2006/main" xmlns:r="http://schemas.openxmlformats.org/officeDocument/2006/relationships" r:id="rId2"/>
        </cNvPr>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5.xml><?xml version="1.0" encoding="utf-8"?>
<wsDr xmlns="http://schemas.openxmlformats.org/drawingml/2006/spreadsheetDrawing">
  <oneCellAnchor>
    <from>
      <col>0</col>
      <colOff>114300</colOff>
      <row>1</row>
      <rowOff>38100</rowOff>
    </from>
    <ext cx="1600200" cy="466725"/>
    <pic>
      <nvPicPr>
        <cNvPr id="1" name="Image 1" descr="Picture">
          <a:hlinkClick xmlns:a="http://schemas.openxmlformats.org/drawingml/2006/main" xmlns:r="http://schemas.openxmlformats.org/officeDocument/2006/relationships" r:id="rId2"/>
        </cNvPr>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6.xml><?xml version="1.0" encoding="utf-8"?>
<wsDr xmlns="http://schemas.openxmlformats.org/drawingml/2006/spreadsheetDrawing">
  <oneCellAnchor>
    <from>
      <col>0</col>
      <colOff>114300</colOff>
      <row>1</row>
      <rowOff>38100</rowOff>
    </from>
    <ext cx="1600200" cy="466725"/>
    <pic>
      <nvPicPr>
        <cNvPr id="1" name="Image 1" descr="Picture">
          <a:hlinkClick xmlns:a="http://schemas.openxmlformats.org/drawingml/2006/main" xmlns:r="http://schemas.openxmlformats.org/officeDocument/2006/relationships" r:id="rId2"/>
        </cNvPr>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7.xml><?xml version="1.0" encoding="utf-8"?>
<wsDr xmlns="http://schemas.openxmlformats.org/drawingml/2006/spreadsheetDrawing">
  <oneCellAnchor>
    <from>
      <col>0</col>
      <colOff>114300</colOff>
      <row>1</row>
      <rowOff>38100</rowOff>
    </from>
    <ext cx="1600200" cy="466725"/>
    <pic>
      <nvPicPr>
        <cNvPr id="1" name="Image 1" descr="Picture">
          <a:hlinkClick xmlns:a="http://schemas.openxmlformats.org/drawingml/2006/main" xmlns:r="http://schemas.openxmlformats.org/officeDocument/2006/relationships" r:id="rId2"/>
        </cNvPr>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8.xml><?xml version="1.0" encoding="utf-8"?>
<wsDr xmlns="http://schemas.openxmlformats.org/drawingml/2006/spreadsheetDrawing">
  <oneCellAnchor>
    <from>
      <col>0</col>
      <colOff>114300</colOff>
      <row>1</row>
      <rowOff>38100</rowOff>
    </from>
    <ext cx="1600200" cy="466725"/>
    <pic>
      <nvPicPr>
        <cNvPr id="1" name="Image 1" descr="Picture">
          <a:hlinkClick xmlns:a="http://schemas.openxmlformats.org/drawingml/2006/main" xmlns:r="http://schemas.openxmlformats.org/officeDocument/2006/relationships" r:id="rId2"/>
        </cNvPr>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9.xml><?xml version="1.0" encoding="utf-8"?>
<wsDr xmlns="http://schemas.openxmlformats.org/drawingml/2006/spreadsheetDrawing">
  <oneCellAnchor>
    <from>
      <col>0</col>
      <colOff>114300</colOff>
      <row>1</row>
      <rowOff>38100</rowOff>
    </from>
    <ext cx="1600200" cy="466725"/>
    <pic>
      <nvPicPr>
        <cNvPr id="1" name="Image 1" descr="Picture">
          <a:hlinkClick xmlns:a="http://schemas.openxmlformats.org/drawingml/2006/main" xmlns:r="http://schemas.openxmlformats.org/officeDocument/2006/relationships" r:id="rId2"/>
        </cNvPr>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www.mastt.com/" TargetMode="External" Id="rId1"/><Relationship Type="http://schemas.openxmlformats.org/officeDocument/2006/relationships/hyperlink" Target="https://www.mastt.com/" TargetMode="External" Id="rId2"/><Relationship Type="http://schemas.openxmlformats.org/officeDocument/2006/relationships/drawing" Target="/xl/drawings/drawing1.xml" Id="rId3"/></Relationships>
</file>

<file path=xl/worksheets/_rels/sheet2.xml.rels><Relationships xmlns="http://schemas.openxmlformats.org/package/2006/relationships"><Relationship Type="http://schemas.openxmlformats.org/officeDocument/2006/relationships/hyperlink" Target="https://www.mastt.com/" TargetMode="External" Id="rId1"/><Relationship Type="http://schemas.openxmlformats.org/officeDocument/2006/relationships/hyperlink" Target="https://www.mastt.com/" TargetMode="External" Id="rId2"/><Relationship Type="http://schemas.openxmlformats.org/officeDocument/2006/relationships/drawing" Target="/xl/drawings/drawing2.xml" Id="rId3"/></Relationships>
</file>

<file path=xl/worksheets/_rels/sheet3.xml.rels><Relationships xmlns="http://schemas.openxmlformats.org/package/2006/relationships"><Relationship Type="http://schemas.openxmlformats.org/officeDocument/2006/relationships/hyperlink" Target="https://www.mastt.com/" TargetMode="External" Id="rId1"/><Relationship Type="http://schemas.openxmlformats.org/officeDocument/2006/relationships/hyperlink" Target="https://www.mastt.com/" TargetMode="External" Id="rId2"/><Relationship Type="http://schemas.openxmlformats.org/officeDocument/2006/relationships/drawing" Target="/xl/drawings/drawing3.xml" Id="rId3"/></Relationships>
</file>

<file path=xl/worksheets/_rels/sheet4.xml.rels><Relationships xmlns="http://schemas.openxmlformats.org/package/2006/relationships"><Relationship Type="http://schemas.openxmlformats.org/officeDocument/2006/relationships/hyperlink" Target="https://www.mastt.com/" TargetMode="External" Id="rId1"/><Relationship Type="http://schemas.openxmlformats.org/officeDocument/2006/relationships/hyperlink" Target="https://www.mastt.com/" TargetMode="External" Id="rId2"/><Relationship Type="http://schemas.openxmlformats.org/officeDocument/2006/relationships/drawing" Target="/xl/drawings/drawing4.xml" Id="rId3"/></Relationships>
</file>

<file path=xl/worksheets/_rels/sheet5.xml.rels><Relationships xmlns="http://schemas.openxmlformats.org/package/2006/relationships"><Relationship Type="http://schemas.openxmlformats.org/officeDocument/2006/relationships/hyperlink" Target="https://www.mastt.com/" TargetMode="External" Id="rId1"/><Relationship Type="http://schemas.openxmlformats.org/officeDocument/2006/relationships/hyperlink" Target="https://www.mastt.com/" TargetMode="External" Id="rId2"/><Relationship Type="http://schemas.openxmlformats.org/officeDocument/2006/relationships/drawing" Target="/xl/drawings/drawing5.xml" Id="rId3"/></Relationships>
</file>

<file path=xl/worksheets/_rels/sheet6.xml.rels><Relationships xmlns="http://schemas.openxmlformats.org/package/2006/relationships"><Relationship Type="http://schemas.openxmlformats.org/officeDocument/2006/relationships/hyperlink" Target="https://www.mastt.com/" TargetMode="External" Id="rId1"/><Relationship Type="http://schemas.openxmlformats.org/officeDocument/2006/relationships/hyperlink" Target="https://www.mastt.com/" TargetMode="External" Id="rId2"/><Relationship Type="http://schemas.openxmlformats.org/officeDocument/2006/relationships/drawing" Target="/xl/drawings/drawing6.xml" Id="rId3"/></Relationships>
</file>

<file path=xl/worksheets/_rels/sheet7.xml.rels><Relationships xmlns="http://schemas.openxmlformats.org/package/2006/relationships"><Relationship Type="http://schemas.openxmlformats.org/officeDocument/2006/relationships/hyperlink" Target="https://www.mastt.com/" TargetMode="External" Id="rId1"/><Relationship Type="http://schemas.openxmlformats.org/officeDocument/2006/relationships/hyperlink" Target="https://www.mastt.com/" TargetMode="External" Id="rId2"/><Relationship Type="http://schemas.openxmlformats.org/officeDocument/2006/relationships/drawing" Target="/xl/drawings/drawing7.xml" Id="rId3"/></Relationships>
</file>

<file path=xl/worksheets/_rels/sheet8.xml.rels><Relationships xmlns="http://schemas.openxmlformats.org/package/2006/relationships"><Relationship Type="http://schemas.openxmlformats.org/officeDocument/2006/relationships/hyperlink" Target="https://www.mastt.com/" TargetMode="External" Id="rId1"/><Relationship Type="http://schemas.openxmlformats.org/officeDocument/2006/relationships/hyperlink" Target="https://www.mastt.com/" TargetMode="External" Id="rId2"/><Relationship Type="http://schemas.openxmlformats.org/officeDocument/2006/relationships/drawing" Target="/xl/drawings/drawing8.xml" Id="rId3"/></Relationships>
</file>

<file path=xl/worksheets/_rels/sheet9.xml.rels><Relationships xmlns="http://schemas.openxmlformats.org/package/2006/relationships"><Relationship Type="http://schemas.openxmlformats.org/officeDocument/2006/relationships/hyperlink" Target="https://www.mastt.com/" TargetMode="External" Id="rId1"/><Relationship Type="http://schemas.openxmlformats.org/officeDocument/2006/relationships/hyperlink" Target="https://www.mastt.com/" TargetMode="External" Id="rId2"/><Relationship Type="http://schemas.openxmlformats.org/officeDocument/2006/relationships/drawing" Target="/xl/drawings/drawing9.xml" Id="rId3"/></Relationships>
</file>

<file path=xl/worksheets/sheet1.xml><?xml version="1.0" encoding="utf-8"?>
<worksheet xmlns="http://schemas.openxmlformats.org/spreadsheetml/2006/main">
  <sheetPr>
    <outlinePr summaryBelow="1" summaryRight="1"/>
    <pageSetUpPr fitToPage="1"/>
  </sheetPr>
  <dimension ref="A2:H35"/>
  <sheetViews>
    <sheetView showGridLines="0" zoomScale="100" workbookViewId="0">
      <selection activeCell="A1" sqref="A1"/>
    </sheetView>
  </sheetViews>
  <sheetFormatPr baseColWidth="8" defaultRowHeight="15"/>
  <cols>
    <col width="2.5" customWidth="1" min="1" max="1"/>
    <col width="18" customWidth="1" min="2" max="2"/>
    <col width="22" customWidth="1" min="3" max="3"/>
    <col width="22" customWidth="1" min="4" max="4"/>
    <col width="18" customWidth="1" min="5" max="5"/>
    <col width="16" customWidth="1" min="6" max="6"/>
    <col width="16" customWidth="1" min="7" max="7"/>
    <col width="2.5" customWidth="1" min="8" max="8"/>
  </cols>
  <sheetData>
    <row r="1" ht="3.75" customHeight="1"/>
    <row r="2" ht="27.75" customHeight="1">
      <c r="A2" s="1" t="inlineStr">
        <is>
          <t xml:space="preserve"> </t>
        </is>
      </c>
      <c r="B2" s="2" t="n"/>
      <c r="C2" s="2" t="n"/>
      <c r="D2" s="3" t="inlineStr">
        <is>
          <t>Construction Billing Invoice</t>
        </is>
      </c>
    </row>
    <row r="3" ht="12.75" customHeight="1">
      <c r="A3" s="2" t="n"/>
      <c r="B3" s="2" t="n"/>
      <c r="C3" s="2" t="n"/>
      <c r="D3" s="4" t="inlineStr">
        <is>
          <t>Global template  ·  a progress billing invoice driven entirely by formulas from the sheets behind it</t>
        </is>
      </c>
    </row>
    <row r="4" ht="6" customHeight="1"/>
    <row r="5" ht="3" customHeight="1"/>
    <row r="6" ht="6.75" customHeight="1"/>
    <row r="7" ht="19.5" customHeight="1">
      <c r="B7" s="5" t="inlineStr">
        <is>
          <t>PROJECT DETAILS</t>
        </is>
      </c>
    </row>
    <row r="9" ht="19.5" customHeight="1">
      <c r="B9" s="6" t="inlineStr">
        <is>
          <t>PROJECT NAME</t>
        </is>
      </c>
      <c r="C9" s="7" t="inlineStr">
        <is>
          <t>e.g. Northbank Health Precinct — Stage 2</t>
        </is>
      </c>
      <c r="E9" s="6" t="inlineStr">
        <is>
          <t>ROLE</t>
        </is>
      </c>
      <c r="F9" s="8" t="inlineStr">
        <is>
          <t>Commercial Manager</t>
        </is>
      </c>
    </row>
    <row r="10" ht="19.5" customHeight="1">
      <c r="B10" s="6" t="inlineStr">
        <is>
          <t>PROJECT NUMBER</t>
        </is>
      </c>
      <c r="C10" s="7" t="inlineStr">
        <is>
          <t>e.g. NBH-2024-017</t>
        </is>
      </c>
      <c r="E10" s="6" t="inlineStr">
        <is>
          <t>INVOICE DATE</t>
        </is>
      </c>
      <c r="F10" s="9" t="n">
        <v>46265</v>
      </c>
    </row>
    <row r="11" ht="19.5" customHeight="1">
      <c r="B11" s="6" t="inlineStr">
        <is>
          <t>CLIENT</t>
        </is>
      </c>
      <c r="C11" s="7" t="inlineStr">
        <is>
          <t>e.g. Riverside Development Group Pty Ltd</t>
        </is>
      </c>
      <c r="E11" s="6" t="inlineStr">
        <is>
          <t>REVISION</t>
        </is>
      </c>
      <c r="F11" s="8" t="inlineStr">
        <is>
          <t>A</t>
        </is>
      </c>
    </row>
    <row r="12" ht="19.5" customHeight="1">
      <c r="B12" s="6" t="inlineStr">
        <is>
          <t>CONTRACTOR</t>
        </is>
      </c>
      <c r="C12" s="7" t="inlineStr">
        <is>
          <t>e.g. Northbank Constructions Pty Ltd</t>
        </is>
      </c>
      <c r="E12" s="6" t="inlineStr">
        <is>
          <t>CURRENCY</t>
        </is>
      </c>
      <c r="F12" s="8" t="inlineStr">
        <is>
          <t>AUD</t>
        </is>
      </c>
    </row>
    <row r="13" ht="19.5" customHeight="1">
      <c r="B13" s="6" t="inlineStr">
        <is>
          <t>PACKAGE / TRADE</t>
        </is>
      </c>
      <c r="C13" s="7" t="inlineStr">
        <is>
          <t>e.g. Main Works Contract</t>
        </is>
      </c>
      <c r="E13" s="6" t="inlineStr">
        <is>
          <t>TAX LABEL</t>
        </is>
      </c>
      <c r="F13" s="8" t="inlineStr">
        <is>
          <t>Tax</t>
        </is>
      </c>
    </row>
    <row r="14" ht="19.5" customHeight="1">
      <c r="B14" s="6" t="inlineStr">
        <is>
          <t>PREPARED BY</t>
        </is>
      </c>
      <c r="C14" s="7" t="inlineStr">
        <is>
          <t>e.g. P. Raman, Commercial Manager</t>
        </is>
      </c>
    </row>
    <row r="16" ht="19.5" customHeight="1">
      <c r="B16" s="5" t="inlineStr">
        <is>
          <t>HOW TO USE THIS TEMPLATE</t>
        </is>
      </c>
    </row>
    <row r="17" ht="25.5" customHeight="1">
      <c r="B17" s="10" t="inlineStr">
        <is>
          <t>1.  Complete the Cover.  The right-hand fields drive the whole workbook — the invoice date sets the due date, the currency code appears on every money column, and the tax label switches the document between “TAX INVOICE”, “GST INVOICE”, “VAT INVOICE” and a plain “INVOICE”.</t>
        </is>
      </c>
    </row>
    <row r="18" ht="25.5" customHeight="1">
      <c r="B18" s="10" t="inlineStr">
        <is>
          <t>2.  Set the contract and retention rules on Lists.  Enter the original contract sum, the retention percentages on works and on variations, the retention cap, the materials-on-site allowance, the tax rate, the payment terms in days and the claim period. Everything else is calculated from these.</t>
        </is>
      </c>
    </row>
    <row r="19" ht="25.5" customHeight="1">
      <c r="B19" s="10" t="inlineStr">
        <is>
          <t>3.  Update the Schedule of Works Completed.  Enter the contract value of each section or trade, the % complete at the end of the previous period and the % complete claimed this period. Value completed, value this period, balance to complete and retention are all calculated.</t>
        </is>
      </c>
    </row>
    <row r="20" ht="25.5" customHeight="1">
      <c r="B20" s="10" t="inlineStr">
        <is>
          <t>4.  Add variations on Variations &amp; Claims and goods on Materials on Site &amp; Off-Site.  Only variations with a status of “Approved” flow into the invoice. Materials drop out of the invoice automatically once you enter the date they were incorporated into the works.</t>
        </is>
      </c>
    </row>
    <row r="21" ht="25.5" customHeight="1">
      <c r="B21" s="10" t="inlineStr">
        <is>
          <t>5.  Record retention, payments and deductions on Retention &amp; Payment History.  The retention cap is enforced by a MIN(). Previously certified amounts and any backcharges, liquidated damages or credits applied to this invoice come from this sheet.</t>
        </is>
      </c>
    </row>
    <row r="22" ht="25.5" customHeight="1">
      <c r="B22" s="10" t="inlineStr">
        <is>
          <t>6.  The Invoice sheet builds itself.  Fill in the From and Bill To blocks, the invoice number, the purchase order and the remittance details — every money figure is a formula. Overtype the grey italic example text; never type over a tinted (calculated) cell.</t>
        </is>
      </c>
    </row>
    <row r="23" ht="25.5" customHeight="1">
      <c r="B23" s="10" t="inlineStr">
        <is>
          <t>7.  Clear the Reconciliation Check before you issue.  Every assertion must read “OK”. The panel confirms the invoice ties to its substantiating schedules, that retention is within the cap, that nothing is over 100% complete and that materials are not double-counted.</t>
        </is>
      </c>
    </row>
    <row r="24" ht="25.5" customHeight="1">
      <c r="B24" s="10" t="inlineStr">
        <is>
          <t>8.  Delete the EXAMPLE rows.  Every illustrative line is grey italic and flagged “EXAMPLE — delete before use” in its Notes column. Delete them all before the workbook goes anywhere near a client.</t>
        </is>
      </c>
    </row>
    <row r="26" ht="19.5" customHeight="1">
      <c r="B26" s="5" t="inlineStr">
        <is>
          <t>REVISION HISTORY</t>
        </is>
      </c>
    </row>
    <row r="27" ht="19.5" customHeight="1">
      <c r="B27" s="11" t="inlineStr">
        <is>
          <t>Rev</t>
        </is>
      </c>
      <c r="C27" s="11" t="inlineStr">
        <is>
          <t>Date</t>
        </is>
      </c>
      <c r="D27" s="11" t="inlineStr">
        <is>
          <t>Description of Change</t>
        </is>
      </c>
      <c r="E27" s="12" t="n"/>
      <c r="F27" s="11" t="inlineStr">
        <is>
          <t>Prepared By</t>
        </is>
      </c>
      <c r="G27" s="11" t="inlineStr">
        <is>
          <t>Approved By</t>
        </is>
      </c>
    </row>
    <row r="28" ht="18" customHeight="1">
      <c r="B28" s="13" t="inlineStr">
        <is>
          <t>A</t>
        </is>
      </c>
      <c r="C28" s="14" t="n"/>
      <c r="D28" s="15" t="inlineStr">
        <is>
          <t>Initial issue for project use</t>
        </is>
      </c>
      <c r="E28" s="15" t="n"/>
      <c r="F28" s="15" t="n"/>
      <c r="G28" s="15" t="n"/>
    </row>
    <row r="29" ht="18" customHeight="1">
      <c r="B29" s="13" t="n"/>
      <c r="C29" s="14" t="n"/>
      <c r="D29" s="15" t="n"/>
      <c r="E29" s="15" t="n"/>
      <c r="F29" s="15" t="n"/>
      <c r="G29" s="15" t="n"/>
    </row>
    <row r="30" ht="18" customHeight="1">
      <c r="B30" s="13" t="n"/>
      <c r="C30" s="14" t="n"/>
      <c r="D30" s="15" t="n"/>
      <c r="E30" s="15" t="n"/>
      <c r="F30" s="15" t="n"/>
      <c r="G30" s="15" t="n"/>
    </row>
    <row r="31" ht="18" customHeight="1">
      <c r="B31" s="13" t="n"/>
      <c r="C31" s="14" t="n"/>
      <c r="D31" s="15" t="n"/>
      <c r="E31" s="15" t="n"/>
      <c r="F31" s="15" t="n"/>
      <c r="G31" s="15" t="n"/>
    </row>
    <row r="32" ht="18" customHeight="1">
      <c r="B32" s="13" t="n"/>
      <c r="C32" s="14" t="n"/>
      <c r="D32" s="15" t="n"/>
      <c r="E32" s="15" t="n"/>
      <c r="F32" s="15" t="n"/>
      <c r="G32" s="15" t="n"/>
    </row>
    <row r="33" ht="18" customHeight="1">
      <c r="B33" s="13" t="n"/>
      <c r="C33" s="14" t="n"/>
      <c r="D33" s="15" t="n"/>
      <c r="E33" s="15" t="n"/>
      <c r="F33" s="15" t="n"/>
      <c r="G33" s="15" t="n"/>
    </row>
    <row r="34">
      <c r="B34" s="16" t="inlineStr">
        <is>
          <t>This template is a commercial tool, not legal or tax advice. An invoice, a payment application / progress claim and a payment certificate are three different documents — read the Notes &amp; Assumptions sheet before you issue anything.</t>
        </is>
      </c>
    </row>
    <row r="35" ht="12.75" customHeight="1">
      <c r="A35" s="17" t="inlineStr">
        <is>
          <t>Visit mastt.com</t>
        </is>
      </c>
      <c r="B35" s="18" t="n"/>
      <c r="C35" s="18" t="n"/>
      <c r="D35" s="18" t="n"/>
      <c r="E35" s="18" t="n"/>
      <c r="F35" s="18" t="n"/>
      <c r="G35" s="18" t="n"/>
      <c r="H35" s="18" t="n"/>
    </row>
  </sheetData>
  <sheetProtection selectLockedCells="0" selectUnlockedCells="0" sheet="1" objects="0" insertRows="0" insertHyperlinks="1" autoFilter="0" scenarios="0" formatColumns="0" deleteColumns="1" insertColumns="0" pivotTables="1" deleteRows="0" formatCells="0" formatRows="0" sort="0"/>
  <mergeCells count="30">
    <mergeCell ref="F11:G11"/>
    <mergeCell ref="F10:G10"/>
    <mergeCell ref="B17:G17"/>
    <mergeCell ref="B23:G23"/>
    <mergeCell ref="C14:D14"/>
    <mergeCell ref="D31:E31"/>
    <mergeCell ref="B19:G19"/>
    <mergeCell ref="B34:G34"/>
    <mergeCell ref="F12:G12"/>
    <mergeCell ref="C10:D10"/>
    <mergeCell ref="D2:H2"/>
    <mergeCell ref="D27:E27"/>
    <mergeCell ref="D32:E32"/>
    <mergeCell ref="C9:D9"/>
    <mergeCell ref="B24:G24"/>
    <mergeCell ref="C12:D12"/>
    <mergeCell ref="B20:G20"/>
    <mergeCell ref="C11:D11"/>
    <mergeCell ref="D28:E28"/>
    <mergeCell ref="F13:G13"/>
    <mergeCell ref="F9:G9"/>
    <mergeCell ref="D3:H3"/>
    <mergeCell ref="D30:E30"/>
    <mergeCell ref="A35:H35"/>
    <mergeCell ref="B22:G22"/>
    <mergeCell ref="D33:E33"/>
    <mergeCell ref="D29:E29"/>
    <mergeCell ref="C13:D13"/>
    <mergeCell ref="B18:G18"/>
    <mergeCell ref="B21:G21"/>
  </mergeCells>
  <dataValidations count="2">
    <dataValidation sqref="F12:G12" showDropDown="0" showInputMessage="0" showErrorMessage="1" allowBlank="1" errorTitle="Invalid entry" error="Choose a value from the drop-down list." type="list">
      <formula1>Lists!$I$26:$I$35</formula1>
    </dataValidation>
    <dataValidation sqref="F13:G13" showDropDown="0" showInputMessage="0" showErrorMessage="1" allowBlank="1" errorTitle="Invalid entry" error="Choose a value from the drop-down list." type="list">
      <formula1>Lists!$G$26:$G$31</formula1>
    </dataValidation>
  </dataValidations>
  <hyperlinks>
    <hyperlink xmlns:r="http://schemas.openxmlformats.org/officeDocument/2006/relationships" ref="A2" r:id="rId1"/>
    <hyperlink xmlns:r="http://schemas.openxmlformats.org/officeDocument/2006/relationships" ref="A35" r:id="rId2"/>
  </hyperlinks>
  <pageMargins left="0.3" right="0.3" top="0.4" bottom="0.4" header="0.2" footer="0.2"/>
  <pageSetup orientation="portrait" paperSize="9" fitToHeight="0" fitToWidth="1"/>
  <drawing xmlns:r="http://schemas.openxmlformats.org/officeDocument/2006/relationships" r:id="rId3"/>
</worksheet>
</file>

<file path=xl/worksheets/sheet2.xml><?xml version="1.0" encoding="utf-8"?>
<worksheet xmlns="http://schemas.openxmlformats.org/spreadsheetml/2006/main">
  <sheetPr>
    <outlinePr summaryBelow="1" summaryRight="1"/>
    <pageSetUpPr fitToPage="1"/>
  </sheetPr>
  <dimension ref="A2:I59"/>
  <sheetViews>
    <sheetView showGridLines="0" zoomScale="100" workbookViewId="0">
      <selection activeCell="A1" sqref="A1"/>
    </sheetView>
  </sheetViews>
  <sheetFormatPr baseColWidth="8" defaultRowHeight="15"/>
  <cols>
    <col width="2.2" customWidth="1" min="1" max="1"/>
    <col width="5" customWidth="1" min="2" max="2"/>
    <col width="18" customWidth="1" min="3" max="3"/>
    <col width="12.5" customWidth="1" min="4" max="4"/>
    <col width="12" customWidth="1" min="5" max="5"/>
    <col width="17" customWidth="1" min="6" max="6"/>
    <col width="15" customWidth="1" min="7" max="7"/>
    <col width="14" customWidth="1" min="8" max="8"/>
    <col width="2.2" customWidth="1" min="9" max="9"/>
  </cols>
  <sheetData>
    <row r="1" ht="3.75" customHeight="1"/>
    <row r="2" ht="27.75" customHeight="1">
      <c r="A2" s="1" t="inlineStr">
        <is>
          <t xml:space="preserve"> </t>
        </is>
      </c>
      <c r="B2" s="2" t="n"/>
      <c r="C2" s="2" t="n"/>
      <c r="D2" s="3" t="inlineStr">
        <is>
          <t>Construction Billing Invoice</t>
        </is>
      </c>
    </row>
    <row r="3" ht="12.75" customHeight="1">
      <c r="A3" s="2" t="n"/>
      <c r="B3" s="2" t="n"/>
      <c r="C3" s="2" t="n"/>
      <c r="D3" s="4" t="inlineStr">
        <is>
          <t>Invoice  ·  one page  ·  every figure is calculated from the sheets behind it</t>
        </is>
      </c>
    </row>
    <row r="4" ht="6" customHeight="1"/>
    <row r="5" ht="3" customHeight="1"/>
    <row r="6" ht="24" customHeight="1">
      <c r="B6" s="19">
        <f>IF(N(Tax_Rate)&gt;0,UPPER(IF(Tax_Label="","Tax",Tax_Label))&amp;" INVOICE","INVOICE")</f>
        <v/>
      </c>
      <c r="F6" s="20">
        <f>IF(N($G$39)=0,"","AMOUNT DUE   "&amp;IF(Proj_Currency="","",Proj_Currency&amp;"  ")&amp;TEXT($G$39,"#,##0.00"))</f>
        <v/>
      </c>
    </row>
    <row r="7" ht="12" customHeight="1">
      <c r="B7" s="21">
        <f>"All amounts in "&amp;IF(Proj_Currency="","the contract currency",Proj_Currency)&amp;"  ·  grey italic text is example content — overtype it"</f>
        <v/>
      </c>
      <c r="F7" s="22">
        <f>IF(N(Tax_Rate)&gt;0,IF(Tax_Label="","Tax",Tax_Label)&amp;" charged at "&amp;TEXT(Tax_Rate,"0.00%")&amp;" — see the Conditions of Contract","No "&amp;IF(Tax_Label="","tax",LOWER(Tax_Label))&amp;" charged on this invoice")</f>
        <v/>
      </c>
    </row>
    <row r="8" ht="16" customHeight="1">
      <c r="B8" s="5" t="inlineStr">
        <is>
          <t>FROM  (CONTRACTOR / PAYEE)</t>
        </is>
      </c>
      <c r="C8" s="5" t="n"/>
      <c r="D8" s="5" t="n"/>
      <c r="E8" s="5" t="n"/>
      <c r="F8" s="5" t="inlineStr">
        <is>
          <t>BILL TO  (CLIENT / PAYER)</t>
        </is>
      </c>
      <c r="G8" s="5" t="n"/>
      <c r="H8" s="5" t="n"/>
    </row>
    <row r="9" ht="14" customHeight="1">
      <c r="B9" s="6" t="inlineStr">
        <is>
          <t>Legal entity name</t>
        </is>
      </c>
      <c r="C9" s="6" t="n"/>
      <c r="D9" s="23" t="inlineStr">
        <is>
          <t>Northbank Constructions Pty Ltd</t>
        </is>
      </c>
      <c r="E9" s="15" t="n"/>
      <c r="F9" s="6" t="inlineStr">
        <is>
          <t>Client legal entity</t>
        </is>
      </c>
      <c r="G9" s="24">
        <f>IF(Proj_Client="","Enter the client legal entity on the Cover",Proj_Client)</f>
        <v/>
      </c>
      <c r="H9" s="15" t="n"/>
    </row>
    <row r="10" ht="14" customHeight="1">
      <c r="B10" s="6" t="inlineStr">
        <is>
          <t>Trading name</t>
        </is>
      </c>
      <c r="C10" s="6" t="n"/>
      <c r="D10" s="23" t="inlineStr">
        <is>
          <t>Northbank Build</t>
        </is>
      </c>
      <c r="E10" s="15" t="n"/>
      <c r="F10" s="6" t="inlineStr">
        <is>
          <t>Attention</t>
        </is>
      </c>
      <c r="G10" s="23" t="inlineStr">
        <is>
          <t>Ms J. Alvarez, Development Director</t>
        </is>
      </c>
      <c r="H10" s="15" t="n"/>
    </row>
    <row r="11" ht="14" customHeight="1">
      <c r="B11" s="6" t="inlineStr">
        <is>
          <t>Address</t>
        </is>
      </c>
      <c r="C11" s="6" t="n"/>
      <c r="D11" s="23" t="inlineStr">
        <is>
          <t>Level 4, 118 Harbour Street</t>
        </is>
      </c>
      <c r="E11" s="15" t="n"/>
      <c r="F11" s="6" t="inlineStr">
        <is>
          <t>Address</t>
        </is>
      </c>
      <c r="G11" s="23" t="inlineStr">
        <is>
          <t>Suite 12, 300 Riverside Avenue</t>
        </is>
      </c>
      <c r="H11" s="15" t="n"/>
    </row>
    <row r="12" ht="14" customHeight="1">
      <c r="B12" s="6" t="n"/>
      <c r="C12" s="6" t="n"/>
      <c r="D12" s="23" t="inlineStr">
        <is>
          <t>Sydney NSW 2000, Australia</t>
        </is>
      </c>
      <c r="E12" s="15" t="n"/>
      <c r="F12" s="6" t="inlineStr">
        <is>
          <t xml:space="preserve"> </t>
        </is>
      </c>
      <c r="G12" s="23" t="inlineStr">
        <is>
          <t>Sydney NSW 2000, Australia</t>
        </is>
      </c>
      <c r="H12" s="15" t="n"/>
    </row>
    <row r="13" ht="14" customHeight="1">
      <c r="B13" s="6" t="inlineStr">
        <is>
          <t>Tax registration no.</t>
        </is>
      </c>
      <c r="C13" s="6" t="n"/>
      <c r="D13" s="23" t="inlineStr">
        <is>
          <t>ABN / VAT / TRN 12 345 678 901</t>
        </is>
      </c>
      <c r="E13" s="15" t="n"/>
      <c r="F13" s="6" t="inlineStr">
        <is>
          <t>Tax registration no.</t>
        </is>
      </c>
      <c r="G13" s="23" t="inlineStr">
        <is>
          <t>ABN / VAT / TRN 98 765 432 109</t>
        </is>
      </c>
      <c r="H13" s="15" t="n"/>
    </row>
    <row r="14" ht="14" customHeight="1">
      <c r="B14" s="6" t="inlineStr">
        <is>
          <t>Contact</t>
        </is>
      </c>
      <c r="C14" s="6" t="n"/>
      <c r="D14" s="23" t="inlineStr">
        <is>
          <t>Priya Raman, Commercial Mgr</t>
        </is>
      </c>
      <c r="E14" s="15" t="n"/>
      <c r="F14" s="6" t="inlineStr">
        <is>
          <t>Email for invoices</t>
        </is>
      </c>
      <c r="G14" s="23" t="inlineStr">
        <is>
          <t>ap@riversidedev.example</t>
        </is>
      </c>
      <c r="H14" s="15" t="n"/>
    </row>
    <row r="15" ht="14" customHeight="1">
      <c r="B15" s="6" t="inlineStr">
        <is>
          <t>Phone</t>
        </is>
      </c>
      <c r="C15" s="6" t="n"/>
      <c r="D15" s="23" t="inlineStr">
        <is>
          <t>+61 2 9000 1234</t>
        </is>
      </c>
      <c r="E15" s="15" t="n"/>
      <c r="F15" s="6" t="inlineStr">
        <is>
          <t>Phone</t>
        </is>
      </c>
      <c r="G15" s="23" t="inlineStr">
        <is>
          <t>+61 2 9555 6789</t>
        </is>
      </c>
      <c r="H15" s="15" t="n"/>
    </row>
    <row r="16" ht="14" customHeight="1">
      <c r="B16" s="6" t="inlineStr">
        <is>
          <t>Email</t>
        </is>
      </c>
      <c r="C16" s="6" t="n"/>
      <c r="D16" s="23" t="inlineStr">
        <is>
          <t>accounts@northbank.example</t>
        </is>
      </c>
      <c r="E16" s="15" t="n"/>
      <c r="F16" s="6" t="inlineStr">
        <is>
          <t>Project</t>
        </is>
      </c>
      <c r="G16" s="24">
        <f>IF(Proj_Name="","Enter the project name on the Cover",Proj_Name)</f>
        <v/>
      </c>
      <c r="H16" s="15" t="n"/>
    </row>
    <row r="17" ht="5" customHeight="1"/>
    <row r="18" ht="16" customHeight="1">
      <c r="B18" s="5" t="inlineStr">
        <is>
          <t>INVOICE DETAILS</t>
        </is>
      </c>
      <c r="C18" s="5" t="n"/>
      <c r="D18" s="5" t="n"/>
      <c r="E18" s="5" t="n"/>
      <c r="F18" s="5" t="n"/>
      <c r="G18" s="5" t="n"/>
      <c r="H18" s="5" t="n"/>
    </row>
    <row r="19" ht="14" customHeight="1">
      <c r="B19" s="6" t="inlineStr">
        <is>
          <t>Invoice No.</t>
        </is>
      </c>
      <c r="C19" s="6" t="n"/>
      <c r="D19" s="23" t="inlineStr">
        <is>
          <t>INV-2026-014</t>
        </is>
      </c>
      <c r="E19" s="15" t="n"/>
      <c r="F19" s="6" t="inlineStr">
        <is>
          <t>Contract No. / Name</t>
        </is>
      </c>
      <c r="G19" s="24">
        <f>IF(Proj_Number&lt;&gt;"",Proj_Number,IF(Proj_Name&lt;&gt;"",Proj_Name,"Enter the contract number on the Cover"))</f>
        <v/>
      </c>
      <c r="H19" s="25" t="n"/>
    </row>
    <row r="20" ht="14" customHeight="1">
      <c r="B20" s="6" t="inlineStr">
        <is>
          <t>Invoice Date</t>
        </is>
      </c>
      <c r="C20" s="6" t="n"/>
      <c r="D20" s="26">
        <f>IF(Inv_Date="","",Inv_Date)</f>
        <v/>
      </c>
      <c r="E20" s="25" t="n"/>
      <c r="F20" s="6" t="inlineStr">
        <is>
          <t>Purchase Order No.</t>
        </is>
      </c>
      <c r="G20" s="23" t="inlineStr">
        <is>
          <t>PO-4471-08</t>
        </is>
      </c>
      <c r="H20" s="15" t="n"/>
    </row>
    <row r="21" ht="14" customHeight="1">
      <c r="B21" s="6" t="inlineStr">
        <is>
          <t>Claim / Payment App. No.</t>
        </is>
      </c>
      <c r="C21" s="6" t="n"/>
      <c r="D21" s="23" t="inlineStr">
        <is>
          <t>PC-14</t>
        </is>
      </c>
      <c r="E21" s="15" t="n"/>
      <c r="F21" s="6" t="inlineStr">
        <is>
          <t>Payment Terms</t>
        </is>
      </c>
      <c r="G21" s="24">
        <f>IF(N(Pay_Terms_Days)=0,"Set the payment terms on Lists",TEXT(Pay_Terms_Days,"0")&amp;" days from invoice date")</f>
        <v/>
      </c>
      <c r="H21" s="25" t="n"/>
    </row>
    <row r="22" ht="14" customHeight="1">
      <c r="B22" s="6" t="inlineStr">
        <is>
          <t>Period From</t>
        </is>
      </c>
      <c r="C22" s="6" t="n"/>
      <c r="D22" s="26">
        <f>IF(Period_From="","",Period_From)</f>
        <v/>
      </c>
      <c r="E22" s="25" t="n"/>
      <c r="F22" s="6" t="inlineStr">
        <is>
          <t>Due Date</t>
        </is>
      </c>
      <c r="G22" s="27">
        <f>IF(OR(Inv_Date="",N(Pay_Terms_Days)=0),"",Inv_Date+Pay_Terms_Days)</f>
        <v/>
      </c>
      <c r="H22" s="25" t="n"/>
    </row>
    <row r="23" ht="14" customHeight="1">
      <c r="B23" s="6" t="inlineStr">
        <is>
          <t>Period To</t>
        </is>
      </c>
      <c r="C23" s="6" t="n"/>
      <c r="D23" s="26">
        <f>IF(Period_To="","",Period_To)</f>
        <v/>
      </c>
      <c r="E23" s="25" t="n"/>
      <c r="F23" s="6" t="inlineStr">
        <is>
          <t>Reference / Cost Code</t>
        </is>
      </c>
      <c r="G23" s="23" t="inlineStr">
        <is>
          <t>CC-2200-BUILD</t>
        </is>
      </c>
      <c r="H23" s="15" t="n"/>
    </row>
    <row r="24" ht="17" customHeight="1">
      <c r="B24" s="5" t="inlineStr">
        <is>
          <t>SUMMARY OF AMOUNTS  ·  every line below is calculated — see the sheet named in the description</t>
        </is>
      </c>
      <c r="C24" s="5" t="n"/>
      <c r="D24" s="5" t="n"/>
      <c r="E24" s="5" t="n"/>
      <c r="F24" s="5" t="n"/>
      <c r="G24" s="5" t="n"/>
      <c r="H24" s="5" t="n"/>
    </row>
    <row r="25" ht="15" customHeight="1">
      <c r="B25" s="28" t="inlineStr">
        <is>
          <t>Ref</t>
        </is>
      </c>
      <c r="C25" s="11" t="inlineStr">
        <is>
          <t>Description</t>
        </is>
      </c>
      <c r="D25" s="11" t="n"/>
      <c r="E25" s="11" t="n"/>
      <c r="F25" s="11" t="n"/>
      <c r="G25" s="29">
        <f>"Amount ("&amp;IF(Proj_Currency="","CUR",Proj_Currency)&amp;")"</f>
        <v/>
      </c>
      <c r="H25" s="29" t="n"/>
    </row>
    <row r="26" ht="14" customHeight="1">
      <c r="B26" s="30" t="inlineStr">
        <is>
          <t>A</t>
        </is>
      </c>
      <c r="C26" s="31" t="inlineStr">
        <is>
          <t>Original Contract Sum  —  Lists</t>
        </is>
      </c>
      <c r="D26" s="32" t="n"/>
      <c r="E26" s="32" t="n"/>
      <c r="F26" s="32" t="n"/>
      <c r="G26" s="33">
        <f>ROUND(N(Contract_Sum),2)</f>
        <v/>
      </c>
      <c r="H26" s="33" t="n"/>
    </row>
    <row r="27" ht="14" customHeight="1">
      <c r="B27" s="30" t="inlineStr">
        <is>
          <t>B</t>
        </is>
      </c>
      <c r="C27" s="31" t="inlineStr">
        <is>
          <t>Approved Variations to Date  —  Variations &amp; Claims</t>
        </is>
      </c>
      <c r="D27" s="32" t="n"/>
      <c r="E27" s="32" t="n"/>
      <c r="F27" s="32" t="n"/>
      <c r="G27" s="33">
        <f>ROUND(N(VO_Approved_Total),2)</f>
        <v/>
      </c>
      <c r="H27" s="33" t="n"/>
    </row>
    <row r="28" ht="14" customHeight="1">
      <c r="B28" s="34" t="inlineStr">
        <is>
          <t>C</t>
        </is>
      </c>
      <c r="C28" s="35" t="inlineStr">
        <is>
          <t>Adjusted Contract Sum  (A + B)</t>
        </is>
      </c>
      <c r="D28" s="36" t="n"/>
      <c r="E28" s="36" t="n"/>
      <c r="F28" s="36" t="n"/>
      <c r="G28" s="37">
        <f>ROUND(N($G$26)+N($G$27),2)</f>
        <v/>
      </c>
      <c r="H28" s="37" t="n"/>
    </row>
    <row r="29" ht="14" customHeight="1">
      <c r="B29" s="30" t="inlineStr">
        <is>
          <t>D</t>
        </is>
      </c>
      <c r="C29" s="31" t="inlineStr">
        <is>
          <t>Value of Work Completed to Date  —  works + approved variations</t>
        </is>
      </c>
      <c r="D29" s="32" t="n"/>
      <c r="E29" s="32" t="n"/>
      <c r="F29" s="32" t="n"/>
      <c r="G29" s="33">
        <f>ROUND(N(WC_ToDate)+N(VO_ToDate),2)</f>
        <v/>
      </c>
      <c r="H29" s="33" t="n"/>
    </row>
    <row r="30" ht="14" customHeight="1">
      <c r="B30" s="30" t="inlineStr">
        <is>
          <t>E</t>
        </is>
      </c>
      <c r="C30" s="31" t="inlineStr">
        <is>
          <t>Materials on Site / Off-Site  —  net of items incorporated</t>
        </is>
      </c>
      <c r="D30" s="32" t="n"/>
      <c r="E30" s="32" t="n"/>
      <c r="F30" s="32" t="n"/>
      <c r="G30" s="33">
        <f>ROUND(N(MOS_Allowed),2)</f>
        <v/>
      </c>
      <c r="H30" s="33" t="n"/>
    </row>
    <row r="31" ht="14" customHeight="1">
      <c r="B31" s="34" t="inlineStr">
        <is>
          <t>F</t>
        </is>
      </c>
      <c r="C31" s="35" t="inlineStr">
        <is>
          <t>Total Value Earned to Date  (D + E)</t>
        </is>
      </c>
      <c r="D31" s="36" t="n"/>
      <c r="E31" s="36" t="n"/>
      <c r="F31" s="36" t="n"/>
      <c r="G31" s="37">
        <f>ROUND(N($G$29)+N($G$30),2)</f>
        <v/>
      </c>
      <c r="H31" s="37" t="n"/>
    </row>
    <row r="32" ht="14" customHeight="1">
      <c r="B32" s="30" t="inlineStr">
        <is>
          <t>G</t>
        </is>
      </c>
      <c r="C32" s="31" t="inlineStr">
        <is>
          <t>Less Retention Held to Date  —  capped, net of releases</t>
        </is>
      </c>
      <c r="D32" s="32" t="n"/>
      <c r="E32" s="32" t="n"/>
      <c r="F32" s="32" t="n"/>
      <c r="G32" s="33">
        <f>-ROUND(N(Ret_Outstanding),2)</f>
        <v/>
      </c>
      <c r="H32" s="33" t="n"/>
    </row>
    <row r="33" ht="14" customHeight="1">
      <c r="B33" s="34" t="inlineStr">
        <is>
          <t>H</t>
        </is>
      </c>
      <c r="C33" s="35" t="inlineStr">
        <is>
          <t>Net Value Earned to Date  (F − G)</t>
        </is>
      </c>
      <c r="D33" s="36" t="n"/>
      <c r="E33" s="36" t="n"/>
      <c r="F33" s="36" t="n"/>
      <c r="G33" s="37">
        <f>ROUND(N($G$31)+N($G$32),2)</f>
        <v/>
      </c>
      <c r="H33" s="37" t="n"/>
    </row>
    <row r="34" ht="14" customHeight="1">
      <c r="B34" s="30" t="inlineStr">
        <is>
          <t>I</t>
        </is>
      </c>
      <c r="C34" s="31" t="inlineStr">
        <is>
          <t>Less Previously Certified / Invoiced  —  payment history</t>
        </is>
      </c>
      <c r="D34" s="32" t="n"/>
      <c r="E34" s="32" t="n"/>
      <c r="F34" s="32" t="n"/>
      <c r="G34" s="33">
        <f>-ROUND(N(HIST_Certified),2)</f>
        <v/>
      </c>
      <c r="H34" s="33" t="n"/>
    </row>
    <row r="35" ht="14" customHeight="1">
      <c r="B35" s="34" t="inlineStr">
        <is>
          <t>J</t>
        </is>
      </c>
      <c r="C35" s="35" t="inlineStr">
        <is>
          <t>Subtotal This Invoice  (H − I)</t>
        </is>
      </c>
      <c r="D35" s="36" t="n"/>
      <c r="E35" s="36" t="n"/>
      <c r="F35" s="36" t="n"/>
      <c r="G35" s="37">
        <f>ROUND(N($G$33)+N($G$34),2)</f>
        <v/>
      </c>
      <c r="H35" s="37" t="n"/>
    </row>
    <row r="36" ht="14" customHeight="1">
      <c r="B36" s="30" t="inlineStr">
        <is>
          <t>K</t>
        </is>
      </c>
      <c r="C36" s="31" t="inlineStr">
        <is>
          <t>Less Adjustments &amp; Deductions  —  backcharges, LDs, credits</t>
        </is>
      </c>
      <c r="D36" s="32" t="n"/>
      <c r="E36" s="32" t="n"/>
      <c r="F36" s="32" t="n"/>
      <c r="G36" s="33">
        <f>-ROUND(N(Ded_Applied),2)</f>
        <v/>
      </c>
      <c r="H36" s="33" t="n"/>
    </row>
    <row r="37" ht="14" customHeight="1">
      <c r="B37" s="34" t="inlineStr">
        <is>
          <t>L</t>
        </is>
      </c>
      <c r="C37" s="35" t="inlineStr">
        <is>
          <t>Taxable Amount  (J − K)</t>
        </is>
      </c>
      <c r="D37" s="36" t="n"/>
      <c r="E37" s="36" t="n"/>
      <c r="F37" s="36" t="n"/>
      <c r="G37" s="37">
        <f>ROUND(N($G$35)+N($G$36),2)</f>
        <v/>
      </c>
      <c r="H37" s="37" t="n"/>
    </row>
    <row r="38" ht="14" customHeight="1">
      <c r="B38" s="30" t="inlineStr">
        <is>
          <t>M</t>
        </is>
      </c>
      <c r="C38" s="31">
        <f>IF(N(Tax_Rate)=0,IF(Tax_Label="","Tax",Tax_Label)&amp;"  —  zero-rated / not applicable",IF(Tax_Label="","Tax",Tax_Label)&amp;" @ "&amp;TEXT(Tax_Rate,"0.00%")&amp;"  on the Taxable Amount (L)")</f>
        <v/>
      </c>
      <c r="D38" s="32" t="n"/>
      <c r="E38" s="32" t="n"/>
      <c r="F38" s="32" t="n"/>
      <c r="G38" s="33">
        <f>ROUND(N($G$37)*N(Tax_Rate),2)</f>
        <v/>
      </c>
      <c r="H38" s="33" t="n"/>
    </row>
    <row r="39" ht="24" customHeight="1">
      <c r="B39" s="38" t="inlineStr">
        <is>
          <t>N</t>
        </is>
      </c>
      <c r="C39" s="39">
        <f>"TOTAL AMOUNT DUE  (L + M)   —   payable in "&amp;IF(Proj_Currency="","the contract currency",Proj_Currency)</f>
        <v/>
      </c>
      <c r="D39" s="39" t="n"/>
      <c r="E39" s="39" t="n"/>
      <c r="F39" s="39" t="n"/>
      <c r="G39" s="40">
        <f>ROUND(N($G$37)+N($G$38),2)</f>
        <v/>
      </c>
      <c r="H39" s="40" t="n"/>
    </row>
    <row r="40" ht="16" customHeight="1">
      <c r="B40" s="6" t="inlineStr">
        <is>
          <t>Amount in words</t>
        </is>
      </c>
      <c r="C40" s="6" t="n"/>
      <c r="D40" s="23" t="inlineStr">
        <is>
          <t>Two hundred and eighty-three thousand four hundred and seventy-nine dollars and thirty-five cents</t>
        </is>
      </c>
      <c r="E40" s="15" t="n"/>
      <c r="F40" s="15" t="n"/>
      <c r="G40" s="15" t="n"/>
      <c r="H40" s="15" t="n"/>
    </row>
    <row r="41" ht="5" customHeight="1"/>
    <row r="42" ht="16" customHeight="1">
      <c r="B42" s="5" t="inlineStr">
        <is>
          <t>REMITTANCE DETAILS</t>
        </is>
      </c>
      <c r="C42" s="5" t="n"/>
      <c r="D42" s="5" t="n"/>
      <c r="E42" s="5" t="n"/>
      <c r="F42" s="5" t="inlineStr">
        <is>
          <t>SUPPORTING DOCUMENTS ATTACHED</t>
        </is>
      </c>
      <c r="G42" s="5" t="n"/>
      <c r="H42" s="5" t="n"/>
    </row>
    <row r="43" ht="14" customHeight="1">
      <c r="B43" s="6" t="inlineStr">
        <is>
          <t>Bank name</t>
        </is>
      </c>
      <c r="C43" s="6" t="n"/>
      <c r="D43" s="23" t="inlineStr">
        <is>
          <t>Commonwealth Bank of Australia</t>
        </is>
      </c>
      <c r="E43" s="15" t="n"/>
      <c r="F43" s="41" t="inlineStr">
        <is>
          <t>Signed schedule of works completed</t>
        </is>
      </c>
      <c r="G43" s="42" t="n"/>
      <c r="H43" s="43" t="inlineStr">
        <is>
          <t>Y</t>
        </is>
      </c>
    </row>
    <row r="44" ht="14" customHeight="1">
      <c r="B44" s="6" t="inlineStr">
        <is>
          <t>Account name</t>
        </is>
      </c>
      <c r="C44" s="6" t="n"/>
      <c r="D44" s="23" t="inlineStr">
        <is>
          <t>Northbank Constructions Pty Ltd</t>
        </is>
      </c>
      <c r="E44" s="15" t="n"/>
      <c r="F44" s="41" t="inlineStr">
        <is>
          <t>Approved variation instructions</t>
        </is>
      </c>
      <c r="G44" s="42" t="n"/>
      <c r="H44" s="43" t="inlineStr">
        <is>
          <t>Y</t>
        </is>
      </c>
    </row>
    <row r="45" ht="14" customHeight="1">
      <c r="B45" s="6" t="inlineStr">
        <is>
          <t>Account no. / IBAN</t>
        </is>
      </c>
      <c r="C45" s="6" t="n"/>
      <c r="D45" s="23" t="inlineStr">
        <is>
          <t>10 2345 6789 0123</t>
        </is>
      </c>
      <c r="E45" s="15" t="n"/>
      <c r="F45" s="41" t="inlineStr">
        <is>
          <t>Delivery dockets &amp; vesting certificates</t>
        </is>
      </c>
      <c r="G45" s="42" t="n"/>
      <c r="H45" s="43" t="inlineStr">
        <is>
          <t>Y</t>
        </is>
      </c>
    </row>
    <row r="46" ht="14" customHeight="1">
      <c r="B46" s="6" t="inlineStr">
        <is>
          <t>SWIFT / BIC</t>
        </is>
      </c>
      <c r="C46" s="6" t="n"/>
      <c r="D46" s="23" t="inlineStr">
        <is>
          <t>CTBAAU2S</t>
        </is>
      </c>
      <c r="E46" s="15" t="n"/>
      <c r="F46" s="41" t="inlineStr">
        <is>
          <t>Statutory declaration (where required)</t>
        </is>
      </c>
      <c r="G46" s="42" t="n"/>
      <c r="H46" s="43" t="inlineStr">
        <is>
          <t>Y</t>
        </is>
      </c>
    </row>
    <row r="47" ht="14" customHeight="1">
      <c r="B47" s="6" t="inlineStr">
        <is>
          <t>Routing / Sort / BSB</t>
        </is>
      </c>
      <c r="C47" s="6" t="n"/>
      <c r="D47" s="23" t="inlineStr">
        <is>
          <t>062-000</t>
        </is>
      </c>
      <c r="E47" s="15" t="n"/>
      <c r="F47" s="41" t="inlineStr">
        <is>
          <t>Certificates of currency — insurances</t>
        </is>
      </c>
      <c r="G47" s="42" t="n"/>
      <c r="H47" s="43" t="inlineStr">
        <is>
          <t>Y</t>
        </is>
      </c>
    </row>
    <row r="48" ht="14" customHeight="1">
      <c r="B48" s="6" t="inlineStr">
        <is>
          <t>Payment reference</t>
        </is>
      </c>
      <c r="C48" s="6" t="n"/>
      <c r="D48" s="44">
        <f>IF($D$19="","Quote the invoice number on your remittance","Quote invoice "&amp;$D$19)</f>
        <v/>
      </c>
      <c r="E48" s="15" t="n"/>
      <c r="F48" s="41" t="inlineStr">
        <is>
          <t>Site records, photographs &amp; report</t>
        </is>
      </c>
      <c r="G48" s="42" t="n"/>
      <c r="H48" s="43" t="inlineStr">
        <is>
          <t>N</t>
        </is>
      </c>
    </row>
    <row r="49" ht="4" customHeight="1"/>
    <row r="50" ht="42" customHeight="1">
      <c r="B50" s="45">
        <f>"Payment is due by the Due Date shown above — "&amp;IF(N(Pay_Terms_Days)=0,"the payment terms recorded on the Lists sheet",TEXT(Pay_Terms_Days,"0")&amp;" days from the invoice date")&amp;" — in accordance with the payment terms and the Conditions of Contract. Amounts outstanding after the due date may attract interest at the rate provided for in the Conditions of Contract. Quote the invoice number on every remittance. Disputed amounts must be notified in writing within the time the Conditions of Contract allow; undisputed amounts remain payable."</f>
        <v/>
      </c>
      <c r="C50" s="16" t="n"/>
      <c r="D50" s="16" t="n"/>
      <c r="E50" s="16" t="n"/>
      <c r="F50" s="16" t="n"/>
      <c r="G50" s="16" t="n"/>
      <c r="H50" s="16" t="n"/>
    </row>
    <row r="51" ht="4" customHeight="1"/>
    <row r="52" ht="16" customHeight="1">
      <c r="B52" s="5" t="inlineStr">
        <is>
          <t>AUTHORISATION</t>
        </is>
      </c>
      <c r="C52" s="5" t="n"/>
      <c r="D52" s="5" t="n"/>
      <c r="E52" s="5" t="n"/>
      <c r="F52" s="5" t="n"/>
      <c r="G52" s="5" t="n"/>
      <c r="H52" s="5" t="n"/>
    </row>
    <row r="53" ht="14" customHeight="1">
      <c r="B53" s="6" t="inlineStr">
        <is>
          <t>APPROVED BY  —  CONTRACTOR / PAYEE</t>
        </is>
      </c>
      <c r="C53" s="6" t="n"/>
      <c r="D53" s="6" t="n"/>
      <c r="E53" s="6" t="n"/>
      <c r="F53" s="6" t="inlineStr">
        <is>
          <t>RECEIVED / CERTIFIED BY  —  CLIENT / PAYER</t>
        </is>
      </c>
      <c r="G53" s="6" t="n"/>
      <c r="H53" s="6" t="n"/>
    </row>
    <row r="54" ht="14" customHeight="1">
      <c r="B54" s="6" t="inlineStr">
        <is>
          <t>Name</t>
        </is>
      </c>
      <c r="C54" s="6" t="n"/>
      <c r="D54" s="15" t="n"/>
      <c r="E54" s="15" t="n"/>
      <c r="F54" s="6" t="inlineStr">
        <is>
          <t>Name</t>
        </is>
      </c>
      <c r="G54" s="15" t="n"/>
      <c r="H54" s="15" t="n"/>
    </row>
    <row r="55" ht="14" customHeight="1">
      <c r="B55" s="6" t="inlineStr">
        <is>
          <t>Position</t>
        </is>
      </c>
      <c r="C55" s="6" t="n"/>
      <c r="D55" s="15" t="n"/>
      <c r="E55" s="15" t="n"/>
      <c r="F55" s="6" t="inlineStr">
        <is>
          <t>Position</t>
        </is>
      </c>
      <c r="G55" s="15" t="n"/>
      <c r="H55" s="15" t="n"/>
    </row>
    <row r="56" ht="14" customHeight="1">
      <c r="B56" s="6" t="inlineStr">
        <is>
          <t>Signature</t>
        </is>
      </c>
      <c r="C56" s="6" t="n"/>
      <c r="D56" s="15" t="n"/>
      <c r="E56" s="15" t="n"/>
      <c r="F56" s="6" t="inlineStr">
        <is>
          <t>Signature</t>
        </is>
      </c>
      <c r="G56" s="15" t="n"/>
      <c r="H56" s="15" t="n"/>
    </row>
    <row r="57" ht="14" customHeight="1">
      <c r="B57" s="6" t="inlineStr">
        <is>
          <t>Date</t>
        </is>
      </c>
      <c r="C57" s="6" t="n"/>
      <c r="D57" s="46" t="n"/>
      <c r="E57" s="15" t="n"/>
      <c r="F57" s="6" t="inlineStr">
        <is>
          <t>Date</t>
        </is>
      </c>
      <c r="G57" s="46" t="n"/>
      <c r="H57" s="15" t="n"/>
    </row>
    <row r="58" ht="4" customHeight="1"/>
    <row r="59" ht="12.75" customHeight="1">
      <c r="A59" s="17" t="inlineStr">
        <is>
          <t>Visit mastt.com</t>
        </is>
      </c>
      <c r="B59" s="18" t="n"/>
      <c r="C59" s="18" t="n"/>
      <c r="D59" s="18" t="n"/>
      <c r="E59" s="18" t="n"/>
      <c r="F59" s="18" t="n"/>
      <c r="G59" s="18" t="n"/>
      <c r="H59" s="18" t="n"/>
      <c r="I59" s="18" t="n"/>
    </row>
  </sheetData>
  <sheetProtection selectLockedCells="0" selectUnlockedCells="0" sheet="1" objects="0" insertRows="0" insertHyperlinks="1" autoFilter="0" scenarios="0" formatColumns="0" deleteColumns="1" insertColumns="0" pivotTables="1" deleteRows="0" formatCells="0" formatRows="0" sort="0"/>
  <mergeCells count="118">
    <mergeCell ref="D20:E20"/>
    <mergeCell ref="G21:H21"/>
    <mergeCell ref="C39:F39"/>
    <mergeCell ref="F8:H8"/>
    <mergeCell ref="B22:C22"/>
    <mergeCell ref="B24:H24"/>
    <mergeCell ref="D22:E22"/>
    <mergeCell ref="G23:H23"/>
    <mergeCell ref="C32:F32"/>
    <mergeCell ref="C37:F37"/>
    <mergeCell ref="D45:E45"/>
    <mergeCell ref="B12:C12"/>
    <mergeCell ref="B21:C21"/>
    <mergeCell ref="D13:E13"/>
    <mergeCell ref="G57:H57"/>
    <mergeCell ref="B14:C14"/>
    <mergeCell ref="D3:I3"/>
    <mergeCell ref="D48:E48"/>
    <mergeCell ref="B13:C13"/>
    <mergeCell ref="G34:H34"/>
    <mergeCell ref="B18:H18"/>
    <mergeCell ref="B52:H52"/>
    <mergeCell ref="C26:F26"/>
    <mergeCell ref="B40:C40"/>
    <mergeCell ref="D56:E56"/>
    <mergeCell ref="F43:G43"/>
    <mergeCell ref="B55:C55"/>
    <mergeCell ref="A59:I59"/>
    <mergeCell ref="G20:H20"/>
    <mergeCell ref="G22:H22"/>
    <mergeCell ref="F7:H7"/>
    <mergeCell ref="C27:F27"/>
    <mergeCell ref="C36:F36"/>
    <mergeCell ref="G12:H12"/>
    <mergeCell ref="B16:C16"/>
    <mergeCell ref="D10:E10"/>
    <mergeCell ref="D19:E19"/>
    <mergeCell ref="C28:F28"/>
    <mergeCell ref="B11:C11"/>
    <mergeCell ref="G38:H38"/>
    <mergeCell ref="D11:E11"/>
    <mergeCell ref="C30:F30"/>
    <mergeCell ref="F45:G45"/>
    <mergeCell ref="D47:E47"/>
    <mergeCell ref="F47:G47"/>
    <mergeCell ref="G33:H33"/>
    <mergeCell ref="F46:G46"/>
    <mergeCell ref="D9:E9"/>
    <mergeCell ref="G26:H26"/>
    <mergeCell ref="G35:H35"/>
    <mergeCell ref="B15:C15"/>
    <mergeCell ref="F48:G48"/>
    <mergeCell ref="B53:E53"/>
    <mergeCell ref="D15:E15"/>
    <mergeCell ref="G16:H16"/>
    <mergeCell ref="G25:H25"/>
    <mergeCell ref="D23:E23"/>
    <mergeCell ref="G9:H9"/>
    <mergeCell ref="B54:C54"/>
    <mergeCell ref="B6:E6"/>
    <mergeCell ref="G11:H11"/>
    <mergeCell ref="B56:C56"/>
    <mergeCell ref="D40:H40"/>
    <mergeCell ref="G39:H39"/>
    <mergeCell ref="B43:C43"/>
    <mergeCell ref="C34:F34"/>
    <mergeCell ref="G37:H37"/>
    <mergeCell ref="B7:E7"/>
    <mergeCell ref="G13:H13"/>
    <mergeCell ref="B57:C57"/>
    <mergeCell ref="B44:C44"/>
    <mergeCell ref="G15:H15"/>
    <mergeCell ref="B19:C19"/>
    <mergeCell ref="C29:F29"/>
    <mergeCell ref="F53:H53"/>
    <mergeCell ref="B9:C9"/>
    <mergeCell ref="B42:E42"/>
    <mergeCell ref="D12:E12"/>
    <mergeCell ref="C31:F31"/>
    <mergeCell ref="F6:H6"/>
    <mergeCell ref="D55:E55"/>
    <mergeCell ref="G54:H54"/>
    <mergeCell ref="G32:H32"/>
    <mergeCell ref="B20:C20"/>
    <mergeCell ref="B45:C45"/>
    <mergeCell ref="D14:E14"/>
    <mergeCell ref="D54:E54"/>
    <mergeCell ref="G56:H56"/>
    <mergeCell ref="B47:C47"/>
    <mergeCell ref="D2:I2"/>
    <mergeCell ref="F42:H42"/>
    <mergeCell ref="G27:H27"/>
    <mergeCell ref="B46:C46"/>
    <mergeCell ref="C38:F38"/>
    <mergeCell ref="G36:H36"/>
    <mergeCell ref="D46:E46"/>
    <mergeCell ref="D21:E21"/>
    <mergeCell ref="B48:C48"/>
    <mergeCell ref="B50:H50"/>
    <mergeCell ref="D57:E57"/>
    <mergeCell ref="G10:H10"/>
    <mergeCell ref="G19:H19"/>
    <mergeCell ref="B23:C23"/>
    <mergeCell ref="G28:H28"/>
    <mergeCell ref="C33:F33"/>
    <mergeCell ref="D16:E16"/>
    <mergeCell ref="G30:H30"/>
    <mergeCell ref="C35:F35"/>
    <mergeCell ref="D43:E43"/>
    <mergeCell ref="B10:C10"/>
    <mergeCell ref="G14:H14"/>
    <mergeCell ref="C25:F25"/>
    <mergeCell ref="G55:H55"/>
    <mergeCell ref="G29:H29"/>
    <mergeCell ref="B8:E8"/>
    <mergeCell ref="G31:H31"/>
    <mergeCell ref="D44:E44"/>
    <mergeCell ref="F44:G44"/>
  </mergeCells>
  <dataValidations count="1">
    <dataValidation sqref="H43:H48" showDropDown="0" showInputMessage="0" showErrorMessage="1" allowBlank="1" errorTitle="Invalid entry" error="Choose a value from the drop-down list." type="list">
      <formula1>Lists!$F$26:$F$27</formula1>
    </dataValidation>
  </dataValidations>
  <hyperlinks>
    <hyperlink xmlns:r="http://schemas.openxmlformats.org/officeDocument/2006/relationships" ref="A2" r:id="rId1"/>
    <hyperlink xmlns:r="http://schemas.openxmlformats.org/officeDocument/2006/relationships" ref="A59" r:id="rId2"/>
  </hyperlinks>
  <pageMargins left="0.3" right="0.3" top="0.4" bottom="0.4" header="0.2" footer="0.2"/>
  <pageSetup orientation="portrait" paperSize="9" fitToHeight="1" fitToWidth="1"/>
  <drawing xmlns:r="http://schemas.openxmlformats.org/officeDocument/2006/relationships" r:id="rId3"/>
</worksheet>
</file>

<file path=xl/worksheets/sheet3.xml><?xml version="1.0" encoding="utf-8"?>
<worksheet xmlns="http://schemas.openxmlformats.org/spreadsheetml/2006/main">
  <sheetPr>
    <outlinePr summaryBelow="1" summaryRight="1"/>
    <pageSetUpPr fitToPage="1"/>
  </sheetPr>
  <dimension ref="A2:P65"/>
  <sheetViews>
    <sheetView showGridLines="0" zoomScale="100" workbookViewId="0">
      <pane xSplit="3" ySplit="8" topLeftCell="D9" activePane="bottomRight" state="frozen"/>
      <selection pane="topRight"/>
      <selection pane="bottomLeft"/>
      <selection pane="bottomRight" activeCell="A1" sqref="A1"/>
    </sheetView>
  </sheetViews>
  <sheetFormatPr baseColWidth="8" defaultRowHeight="15"/>
  <cols>
    <col width="10" customWidth="1" min="1" max="1"/>
    <col width="25" customWidth="1" min="2" max="2"/>
    <col width="42" customWidth="1" min="3" max="3"/>
    <col width="14" customWidth="1" min="4" max="4"/>
    <col width="10" customWidth="1" min="5" max="5"/>
    <col width="11.5" customWidth="1" min="6" max="6"/>
    <col width="11.5" customWidth="1" min="7" max="7"/>
    <col width="11.5" customWidth="1" min="8" max="8"/>
    <col width="15" customWidth="1" min="9" max="9"/>
    <col width="15" customWidth="1" min="10" max="10"/>
    <col width="14" customWidth="1" min="11" max="11"/>
    <col width="15" customWidth="1" min="12" max="12"/>
    <col width="11.5" customWidth="1" min="13" max="13"/>
    <col width="13" customWidth="1" min="14" max="14"/>
    <col width="14" customWidth="1" min="15" max="15"/>
    <col width="28" customWidth="1" min="16" max="16"/>
  </cols>
  <sheetData>
    <row r="1" ht="3.75" customHeight="1"/>
    <row r="2" ht="27.75" customHeight="1">
      <c r="A2" s="1" t="inlineStr">
        <is>
          <t xml:space="preserve"> </t>
        </is>
      </c>
      <c r="B2" s="2" t="n"/>
      <c r="C2" s="3" t="inlineStr">
        <is>
          <t>Construction Billing Invoice</t>
        </is>
      </c>
    </row>
    <row r="3" ht="12.75" customHeight="1">
      <c r="A3" s="2" t="n"/>
      <c r="B3" s="2" t="n"/>
      <c r="C3" s="4" t="inlineStr">
        <is>
          <t>Schedule of Works Completed  ·  the substantiation behind the invoice — measure it here, never on the invoice</t>
        </is>
      </c>
    </row>
    <row r="4" ht="6" customHeight="1"/>
    <row r="7" ht="15" customHeight="1">
      <c r="A7" s="47">
        <f>IF(Proj_Name="","Project: —  |  complete the Cover sheet","Project:  "&amp;Proj_Name&amp;IF(Proj_Number="",""," · "&amp;Proj_Number))</f>
        <v/>
      </c>
      <c r="J7" s="48" t="inlineStr">
        <is>
          <t>Shaded cells = your input.   Tinted cells = auto-calculated, do not type over them.</t>
        </is>
      </c>
    </row>
    <row r="8" ht="34" customHeight="1">
      <c r="A8" s="49" t="inlineStr">
        <is>
          <t>Item No.</t>
        </is>
      </c>
      <c r="B8" s="49" t="inlineStr">
        <is>
          <t>Section / Trade</t>
        </is>
      </c>
      <c r="C8" s="49" t="inlineStr">
        <is>
          <t>Description of Works</t>
        </is>
      </c>
      <c r="D8" s="50" t="inlineStr">
        <is>
          <t>Contract Value</t>
        </is>
      </c>
      <c r="E8" s="50" t="inlineStr">
        <is>
          <t>% of Contract</t>
        </is>
      </c>
      <c r="F8" s="50" t="inlineStr">
        <is>
          <t>% Complete Previous</t>
        </is>
      </c>
      <c r="G8" s="50" t="inlineStr">
        <is>
          <t>% Complete This Period</t>
        </is>
      </c>
      <c r="H8" s="50" t="inlineStr">
        <is>
          <t>% Complete to Date</t>
        </is>
      </c>
      <c r="I8" s="50" t="inlineStr">
        <is>
          <t>Value Completed to Date</t>
        </is>
      </c>
      <c r="J8" s="50" t="inlineStr">
        <is>
          <t>Value Previously Claimed</t>
        </is>
      </c>
      <c r="K8" s="50" t="inlineStr">
        <is>
          <t>Value This Period</t>
        </is>
      </c>
      <c r="L8" s="50" t="inlineStr">
        <is>
          <t>Balance to Complete</t>
        </is>
      </c>
      <c r="M8" s="50" t="inlineStr">
        <is>
          <t>Retention % (blank = Lists)</t>
        </is>
      </c>
      <c r="N8" s="50" t="inlineStr">
        <is>
          <t>Retention This Period</t>
        </is>
      </c>
      <c r="O8" s="49" t="inlineStr">
        <is>
          <t>Status</t>
        </is>
      </c>
      <c r="P8" s="49" t="inlineStr">
        <is>
          <t>Notes</t>
        </is>
      </c>
    </row>
    <row r="9" ht="13.5" customHeight="1">
      <c r="A9" s="23" t="inlineStr">
        <is>
          <t>PRE-01</t>
        </is>
      </c>
      <c r="B9" s="23" t="inlineStr">
        <is>
          <t>Preliminaries &amp; Site Establishment</t>
        </is>
      </c>
      <c r="C9" s="23" t="inlineStr">
        <is>
          <t>Site establishment, sheds, hoarding &amp; temporary services</t>
        </is>
      </c>
      <c r="D9" s="51" t="n">
        <v>620000</v>
      </c>
      <c r="E9" s="52">
        <f>IF(OR($D9="",N(Contract_Sum)=0),"",$D9/Contract_Sum)</f>
        <v/>
      </c>
      <c r="F9" s="53" t="n">
        <v>0.62</v>
      </c>
      <c r="G9" s="53" t="n">
        <v>0.05</v>
      </c>
      <c r="H9" s="52">
        <f>IF($D9="","",N($F9)+N($G9))</f>
        <v/>
      </c>
      <c r="I9" s="33">
        <f>IF($D9="","",ROUND($D9*N($H9),2))</f>
        <v/>
      </c>
      <c r="J9" s="33">
        <f>IF($D9="","",ROUND($D9*N($F9),2))</f>
        <v/>
      </c>
      <c r="K9" s="33">
        <f>IF($D9="","",ROUND($D9*N($G9),2))</f>
        <v/>
      </c>
      <c r="L9" s="33">
        <f>IF($D9="","",ROUND($D9-$D9*N($H9),2))</f>
        <v/>
      </c>
      <c r="M9" s="54" t="n"/>
      <c r="N9" s="33">
        <f>IF($D9="","",ROUND($D9*N($G9)*IF($M9="",N(Ret_Rate_Works),$M9),2))</f>
        <v/>
      </c>
      <c r="O9" s="23" t="inlineStr">
        <is>
          <t>In progress</t>
        </is>
      </c>
      <c r="P9" s="23" t="inlineStr">
        <is>
          <t>EXAMPLE — delete before use</t>
        </is>
      </c>
    </row>
    <row r="10" ht="13.5" customHeight="1">
      <c r="A10" s="23" t="inlineStr">
        <is>
          <t>PRE-02</t>
        </is>
      </c>
      <c r="B10" s="23" t="inlineStr">
        <is>
          <t>Preliminaries &amp; Site Establishment</t>
        </is>
      </c>
      <c r="C10" s="23" t="inlineStr">
        <is>
          <t>Project management, supervision &amp; site staff</t>
        </is>
      </c>
      <c r="D10" s="51" t="n">
        <v>480000</v>
      </c>
      <c r="E10" s="52">
        <f>IF(OR($D10="",N(Contract_Sum)=0),"",$D10/Contract_Sum)</f>
        <v/>
      </c>
      <c r="F10" s="53" t="n">
        <v>0.6</v>
      </c>
      <c r="G10" s="53" t="n">
        <v>0.06</v>
      </c>
      <c r="H10" s="52">
        <f>IF($D10="","",N($F10)+N($G10))</f>
        <v/>
      </c>
      <c r="I10" s="33">
        <f>IF($D10="","",ROUND($D10*N($H10),2))</f>
        <v/>
      </c>
      <c r="J10" s="33">
        <f>IF($D10="","",ROUND($D10*N($F10),2))</f>
        <v/>
      </c>
      <c r="K10" s="33">
        <f>IF($D10="","",ROUND($D10*N($G10),2))</f>
        <v/>
      </c>
      <c r="L10" s="33">
        <f>IF($D10="","",ROUND($D10-$D10*N($H10),2))</f>
        <v/>
      </c>
      <c r="M10" s="54" t="n"/>
      <c r="N10" s="33">
        <f>IF($D10="","",ROUND($D10*N($G10)*IF($M10="",N(Ret_Rate_Works),$M10),2))</f>
        <v/>
      </c>
      <c r="O10" s="23" t="inlineStr">
        <is>
          <t>In progress</t>
        </is>
      </c>
      <c r="P10" s="23" t="inlineStr">
        <is>
          <t>EXAMPLE — delete before use</t>
        </is>
      </c>
    </row>
    <row r="11" ht="13.5" customHeight="1">
      <c r="A11" s="23" t="inlineStr">
        <is>
          <t>DEM-01</t>
        </is>
      </c>
      <c r="B11" s="23" t="inlineStr">
        <is>
          <t>Demolition &amp; Earthworks</t>
        </is>
      </c>
      <c r="C11" s="23" t="inlineStr">
        <is>
          <t>Demolition of existing structures &amp; offsite disposal</t>
        </is>
      </c>
      <c r="D11" s="51" t="n">
        <v>265000</v>
      </c>
      <c r="E11" s="52">
        <f>IF(OR($D11="",N(Contract_Sum)=0),"",$D11/Contract_Sum)</f>
        <v/>
      </c>
      <c r="F11" s="53" t="n">
        <v>1</v>
      </c>
      <c r="G11" s="53" t="n">
        <v>0</v>
      </c>
      <c r="H11" s="52">
        <f>IF($D11="","",N($F11)+N($G11))</f>
        <v/>
      </c>
      <c r="I11" s="33">
        <f>IF($D11="","",ROUND($D11*N($H11),2))</f>
        <v/>
      </c>
      <c r="J11" s="33">
        <f>IF($D11="","",ROUND($D11*N($F11),2))</f>
        <v/>
      </c>
      <c r="K11" s="33">
        <f>IF($D11="","",ROUND($D11*N($G11),2))</f>
        <v/>
      </c>
      <c r="L11" s="33">
        <f>IF($D11="","",ROUND($D11-$D11*N($H11),2))</f>
        <v/>
      </c>
      <c r="M11" s="54" t="n"/>
      <c r="N11" s="33">
        <f>IF($D11="","",ROUND($D11*N($G11)*IF($M11="",N(Ret_Rate_Works),$M11),2))</f>
        <v/>
      </c>
      <c r="O11" s="23" t="inlineStr">
        <is>
          <t>Complete</t>
        </is>
      </c>
      <c r="P11" s="23" t="inlineStr">
        <is>
          <t>EXAMPLE — delete before use</t>
        </is>
      </c>
    </row>
    <row r="12" ht="13.5" customHeight="1">
      <c r="A12" s="23" t="inlineStr">
        <is>
          <t>DEM-02</t>
        </is>
      </c>
      <c r="B12" s="23" t="inlineStr">
        <is>
          <t>Demolition &amp; Earthworks</t>
        </is>
      </c>
      <c r="C12" s="23" t="inlineStr">
        <is>
          <t>Bulk &amp; detailed excavation, shoring and retention system</t>
        </is>
      </c>
      <c r="D12" s="51" t="n">
        <v>410000</v>
      </c>
      <c r="E12" s="52">
        <f>IF(OR($D12="",N(Contract_Sum)=0),"",$D12/Contract_Sum)</f>
        <v/>
      </c>
      <c r="F12" s="53" t="n">
        <v>0.95</v>
      </c>
      <c r="G12" s="53" t="n">
        <v>0.05</v>
      </c>
      <c r="H12" s="52">
        <f>IF($D12="","",N($F12)+N($G12))</f>
        <v/>
      </c>
      <c r="I12" s="33">
        <f>IF($D12="","",ROUND($D12*N($H12),2))</f>
        <v/>
      </c>
      <c r="J12" s="33">
        <f>IF($D12="","",ROUND($D12*N($F12),2))</f>
        <v/>
      </c>
      <c r="K12" s="33">
        <f>IF($D12="","",ROUND($D12*N($G12),2))</f>
        <v/>
      </c>
      <c r="L12" s="33">
        <f>IF($D12="","",ROUND($D12-$D12*N($H12),2))</f>
        <v/>
      </c>
      <c r="M12" s="54" t="n"/>
      <c r="N12" s="33">
        <f>IF($D12="","",ROUND($D12*N($G12)*IF($M12="",N(Ret_Rate_Works),$M12),2))</f>
        <v/>
      </c>
      <c r="O12" s="23" t="inlineStr">
        <is>
          <t>Complete</t>
        </is>
      </c>
      <c r="P12" s="23" t="inlineStr">
        <is>
          <t>EXAMPLE — delete before use</t>
        </is>
      </c>
    </row>
    <row r="13" ht="13.5" customHeight="1">
      <c r="A13" s="23" t="inlineStr">
        <is>
          <t>SUB-01</t>
        </is>
      </c>
      <c r="B13" s="23" t="inlineStr">
        <is>
          <t>Substructure &amp; Piling</t>
        </is>
      </c>
      <c r="C13" s="23" t="inlineStr">
        <is>
          <t>Bored piles, pile caps &amp; ground beams</t>
        </is>
      </c>
      <c r="D13" s="51" t="n">
        <v>780000</v>
      </c>
      <c r="E13" s="52">
        <f>IF(OR($D13="",N(Contract_Sum)=0),"",$D13/Contract_Sum)</f>
        <v/>
      </c>
      <c r="F13" s="53" t="n">
        <v>1</v>
      </c>
      <c r="G13" s="53" t="n">
        <v>0</v>
      </c>
      <c r="H13" s="52">
        <f>IF($D13="","",N($F13)+N($G13))</f>
        <v/>
      </c>
      <c r="I13" s="33">
        <f>IF($D13="","",ROUND($D13*N($H13),2))</f>
        <v/>
      </c>
      <c r="J13" s="33">
        <f>IF($D13="","",ROUND($D13*N($F13),2))</f>
        <v/>
      </c>
      <c r="K13" s="33">
        <f>IF($D13="","",ROUND($D13*N($G13),2))</f>
        <v/>
      </c>
      <c r="L13" s="33">
        <f>IF($D13="","",ROUND($D13-$D13*N($H13),2))</f>
        <v/>
      </c>
      <c r="M13" s="54" t="n"/>
      <c r="N13" s="33">
        <f>IF($D13="","",ROUND($D13*N($G13)*IF($M13="",N(Ret_Rate_Works),$M13),2))</f>
        <v/>
      </c>
      <c r="O13" s="23" t="inlineStr">
        <is>
          <t>Complete</t>
        </is>
      </c>
      <c r="P13" s="23" t="inlineStr">
        <is>
          <t>EXAMPLE — delete before use</t>
        </is>
      </c>
    </row>
    <row r="14" ht="13.5" customHeight="1">
      <c r="A14" s="23" t="inlineStr">
        <is>
          <t>SUB-02</t>
        </is>
      </c>
      <c r="B14" s="23" t="inlineStr">
        <is>
          <t>Substructure &amp; Piling</t>
        </is>
      </c>
      <c r="C14" s="23" t="inlineStr">
        <is>
          <t>Ground slab, footings &amp; below-ground waterproofing</t>
        </is>
      </c>
      <c r="D14" s="51" t="n">
        <v>540000</v>
      </c>
      <c r="E14" s="52">
        <f>IF(OR($D14="",N(Contract_Sum)=0),"",$D14/Contract_Sum)</f>
        <v/>
      </c>
      <c r="F14" s="53" t="n">
        <v>0.88</v>
      </c>
      <c r="G14" s="53" t="n">
        <v>0.1</v>
      </c>
      <c r="H14" s="52">
        <f>IF($D14="","",N($F14)+N($G14))</f>
        <v/>
      </c>
      <c r="I14" s="33">
        <f>IF($D14="","",ROUND($D14*N($H14),2))</f>
        <v/>
      </c>
      <c r="J14" s="33">
        <f>IF($D14="","",ROUND($D14*N($F14),2))</f>
        <v/>
      </c>
      <c r="K14" s="33">
        <f>IF($D14="","",ROUND($D14*N($G14),2))</f>
        <v/>
      </c>
      <c r="L14" s="33">
        <f>IF($D14="","",ROUND($D14-$D14*N($H14),2))</f>
        <v/>
      </c>
      <c r="M14" s="54" t="n"/>
      <c r="N14" s="33">
        <f>IF($D14="","",ROUND($D14*N($G14)*IF($M14="",N(Ret_Rate_Works),$M14),2))</f>
        <v/>
      </c>
      <c r="O14" s="23" t="inlineStr">
        <is>
          <t>In progress</t>
        </is>
      </c>
      <c r="P14" s="23" t="inlineStr">
        <is>
          <t>EXAMPLE — delete before use</t>
        </is>
      </c>
    </row>
    <row r="15" ht="13.5" customHeight="1">
      <c r="A15" s="23" t="inlineStr">
        <is>
          <t>STR-01</t>
        </is>
      </c>
      <c r="B15" s="23" t="inlineStr">
        <is>
          <t>Concrete Structure</t>
        </is>
      </c>
      <c r="C15" s="23" t="inlineStr">
        <is>
          <t>Suspended slabs, columns &amp; core walls, Levels 1–6</t>
        </is>
      </c>
      <c r="D15" s="51" t="n">
        <v>2150000</v>
      </c>
      <c r="E15" s="52">
        <f>IF(OR($D15="",N(Contract_Sum)=0),"",$D15/Contract_Sum)</f>
        <v/>
      </c>
      <c r="F15" s="53" t="n">
        <v>0.72</v>
      </c>
      <c r="G15" s="53" t="n">
        <v>0.09</v>
      </c>
      <c r="H15" s="52">
        <f>IF($D15="","",N($F15)+N($G15))</f>
        <v/>
      </c>
      <c r="I15" s="33">
        <f>IF($D15="","",ROUND($D15*N($H15),2))</f>
        <v/>
      </c>
      <c r="J15" s="33">
        <f>IF($D15="","",ROUND($D15*N($F15),2))</f>
        <v/>
      </c>
      <c r="K15" s="33">
        <f>IF($D15="","",ROUND($D15*N($G15),2))</f>
        <v/>
      </c>
      <c r="L15" s="33">
        <f>IF($D15="","",ROUND($D15-$D15*N($H15),2))</f>
        <v/>
      </c>
      <c r="M15" s="54" t="n"/>
      <c r="N15" s="33">
        <f>IF($D15="","",ROUND($D15*N($G15)*IF($M15="",N(Ret_Rate_Works),$M15),2))</f>
        <v/>
      </c>
      <c r="O15" s="23" t="inlineStr">
        <is>
          <t>In progress</t>
        </is>
      </c>
      <c r="P15" s="23" t="inlineStr">
        <is>
          <t>EXAMPLE — delete before use</t>
        </is>
      </c>
    </row>
    <row r="16" ht="13.5" customHeight="1">
      <c r="A16" s="23" t="inlineStr">
        <is>
          <t>STR-02</t>
        </is>
      </c>
      <c r="B16" s="23" t="inlineStr">
        <is>
          <t>Concrete Structure</t>
        </is>
      </c>
      <c r="C16" s="23" t="inlineStr">
        <is>
          <t>Post-tensioning, grouting &amp; concrete finishing</t>
        </is>
      </c>
      <c r="D16" s="51" t="n">
        <v>385000</v>
      </c>
      <c r="E16" s="52">
        <f>IF(OR($D16="",N(Contract_Sum)=0),"",$D16/Contract_Sum)</f>
        <v/>
      </c>
      <c r="F16" s="53" t="n">
        <v>0.65</v>
      </c>
      <c r="G16" s="53" t="n">
        <v>0.08</v>
      </c>
      <c r="H16" s="52">
        <f>IF($D16="","",N($F16)+N($G16))</f>
        <v/>
      </c>
      <c r="I16" s="33">
        <f>IF($D16="","",ROUND($D16*N($H16),2))</f>
        <v/>
      </c>
      <c r="J16" s="33">
        <f>IF($D16="","",ROUND($D16*N($F16),2))</f>
        <v/>
      </c>
      <c r="K16" s="33">
        <f>IF($D16="","",ROUND($D16*N($G16),2))</f>
        <v/>
      </c>
      <c r="L16" s="33">
        <f>IF($D16="","",ROUND($D16-$D16*N($H16),2))</f>
        <v/>
      </c>
      <c r="M16" s="54" t="n"/>
      <c r="N16" s="33">
        <f>IF($D16="","",ROUND($D16*N($G16)*IF($M16="",N(Ret_Rate_Works),$M16),2))</f>
        <v/>
      </c>
      <c r="O16" s="23" t="inlineStr">
        <is>
          <t>In progress</t>
        </is>
      </c>
      <c r="P16" s="23" t="inlineStr">
        <is>
          <t>EXAMPLE — delete before use</t>
        </is>
      </c>
    </row>
    <row r="17" ht="13.5" customHeight="1">
      <c r="A17" s="23" t="inlineStr">
        <is>
          <t>STL-01</t>
        </is>
      </c>
      <c r="B17" s="23" t="inlineStr">
        <is>
          <t>Structural Steel</t>
        </is>
      </c>
      <c r="C17" s="23" t="inlineStr">
        <is>
          <t>Structural steelwork — supply, fabricate &amp; erect</t>
        </is>
      </c>
      <c r="D17" s="51" t="n">
        <v>690000</v>
      </c>
      <c r="E17" s="52">
        <f>IF(OR($D17="",N(Contract_Sum)=0),"",$D17/Contract_Sum)</f>
        <v/>
      </c>
      <c r="F17" s="53" t="n">
        <v>0.55</v>
      </c>
      <c r="G17" s="53" t="n">
        <v>0.12</v>
      </c>
      <c r="H17" s="52">
        <f>IF($D17="","",N($F17)+N($G17))</f>
        <v/>
      </c>
      <c r="I17" s="33">
        <f>IF($D17="","",ROUND($D17*N($H17),2))</f>
        <v/>
      </c>
      <c r="J17" s="33">
        <f>IF($D17="","",ROUND($D17*N($F17),2))</f>
        <v/>
      </c>
      <c r="K17" s="33">
        <f>IF($D17="","",ROUND($D17*N($G17),2))</f>
        <v/>
      </c>
      <c r="L17" s="33">
        <f>IF($D17="","",ROUND($D17-$D17*N($H17),2))</f>
        <v/>
      </c>
      <c r="M17" s="54" t="n"/>
      <c r="N17" s="33">
        <f>IF($D17="","",ROUND($D17*N($G17)*IF($M17="",N(Ret_Rate_Works),$M17),2))</f>
        <v/>
      </c>
      <c r="O17" s="23" t="inlineStr">
        <is>
          <t>In progress</t>
        </is>
      </c>
      <c r="P17" s="23" t="inlineStr">
        <is>
          <t>EXAMPLE — delete before use</t>
        </is>
      </c>
    </row>
    <row r="18" ht="13.5" customHeight="1">
      <c r="A18" s="23" t="inlineStr">
        <is>
          <t>ROF-01</t>
        </is>
      </c>
      <c r="B18" s="23" t="inlineStr">
        <is>
          <t>Roofing &amp; Waterproofing</t>
        </is>
      </c>
      <c r="C18" s="23" t="inlineStr">
        <is>
          <t>Roof membrane, insulation, flashings &amp; rainwater goods</t>
        </is>
      </c>
      <c r="D18" s="51" t="n">
        <v>320000</v>
      </c>
      <c r="E18" s="52">
        <f>IF(OR($D18="",N(Contract_Sum)=0),"",$D18/Contract_Sum)</f>
        <v/>
      </c>
      <c r="F18" s="53" t="n">
        <v>0.3</v>
      </c>
      <c r="G18" s="53" t="n">
        <v>0.15</v>
      </c>
      <c r="H18" s="52">
        <f>IF($D18="","",N($F18)+N($G18))</f>
        <v/>
      </c>
      <c r="I18" s="33">
        <f>IF($D18="","",ROUND($D18*N($H18),2))</f>
        <v/>
      </c>
      <c r="J18" s="33">
        <f>IF($D18="","",ROUND($D18*N($F18),2))</f>
        <v/>
      </c>
      <c r="K18" s="33">
        <f>IF($D18="","",ROUND($D18*N($G18),2))</f>
        <v/>
      </c>
      <c r="L18" s="33">
        <f>IF($D18="","",ROUND($D18-$D18*N($H18),2))</f>
        <v/>
      </c>
      <c r="M18" s="54" t="n"/>
      <c r="N18" s="33">
        <f>IF($D18="","",ROUND($D18*N($G18)*IF($M18="",N(Ret_Rate_Works),$M18),2))</f>
        <v/>
      </c>
      <c r="O18" s="23" t="inlineStr">
        <is>
          <t>In progress</t>
        </is>
      </c>
      <c r="P18" s="23" t="inlineStr">
        <is>
          <t>EXAMPLE — delete before use</t>
        </is>
      </c>
    </row>
    <row r="19" ht="13.5" customHeight="1">
      <c r="A19" s="23" t="inlineStr">
        <is>
          <t>FAC-01</t>
        </is>
      </c>
      <c r="B19" s="23" t="inlineStr">
        <is>
          <t>Façade &amp; Cladding</t>
        </is>
      </c>
      <c r="C19" s="23" t="inlineStr">
        <is>
          <t>Unitised curtain wall — supply &amp; install</t>
        </is>
      </c>
      <c r="D19" s="51" t="n">
        <v>1480000</v>
      </c>
      <c r="E19" s="52">
        <f>IF(OR($D19="",N(Contract_Sum)=0),"",$D19/Contract_Sum)</f>
        <v/>
      </c>
      <c r="F19" s="53" t="n">
        <v>0.35</v>
      </c>
      <c r="G19" s="53" t="n">
        <v>0.1</v>
      </c>
      <c r="H19" s="52">
        <f>IF($D19="","",N($F19)+N($G19))</f>
        <v/>
      </c>
      <c r="I19" s="33">
        <f>IF($D19="","",ROUND($D19*N($H19),2))</f>
        <v/>
      </c>
      <c r="J19" s="33">
        <f>IF($D19="","",ROUND($D19*N($F19),2))</f>
        <v/>
      </c>
      <c r="K19" s="33">
        <f>IF($D19="","",ROUND($D19*N($G19),2))</f>
        <v/>
      </c>
      <c r="L19" s="33">
        <f>IF($D19="","",ROUND($D19-$D19*N($H19),2))</f>
        <v/>
      </c>
      <c r="M19" s="54" t="n"/>
      <c r="N19" s="33">
        <f>IF($D19="","",ROUND($D19*N($G19)*IF($M19="",N(Ret_Rate_Works),$M19),2))</f>
        <v/>
      </c>
      <c r="O19" s="23" t="inlineStr">
        <is>
          <t>In progress</t>
        </is>
      </c>
      <c r="P19" s="23" t="inlineStr">
        <is>
          <t>EXAMPLE — delete before use</t>
        </is>
      </c>
    </row>
    <row r="20" ht="13.5" customHeight="1">
      <c r="A20" s="23" t="inlineStr">
        <is>
          <t>FAC-02</t>
        </is>
      </c>
      <c r="B20" s="23" t="inlineStr">
        <is>
          <t>Façade &amp; Cladding</t>
        </is>
      </c>
      <c r="C20" s="23" t="inlineStr">
        <is>
          <t>Architectural precast panels &amp; metal cladding</t>
        </is>
      </c>
      <c r="D20" s="51" t="n">
        <v>615000</v>
      </c>
      <c r="E20" s="52">
        <f>IF(OR($D20="",N(Contract_Sum)=0),"",$D20/Contract_Sum)</f>
        <v/>
      </c>
      <c r="F20" s="53" t="n">
        <v>0.4</v>
      </c>
      <c r="G20" s="53" t="n">
        <v>0.08</v>
      </c>
      <c r="H20" s="52">
        <f>IF($D20="","",N($F20)+N($G20))</f>
        <v/>
      </c>
      <c r="I20" s="33">
        <f>IF($D20="","",ROUND($D20*N($H20),2))</f>
        <v/>
      </c>
      <c r="J20" s="33">
        <f>IF($D20="","",ROUND($D20*N($F20),2))</f>
        <v/>
      </c>
      <c r="K20" s="33">
        <f>IF($D20="","",ROUND($D20*N($G20),2))</f>
        <v/>
      </c>
      <c r="L20" s="33">
        <f>IF($D20="","",ROUND($D20-$D20*N($H20),2))</f>
        <v/>
      </c>
      <c r="M20" s="54" t="n"/>
      <c r="N20" s="33">
        <f>IF($D20="","",ROUND($D20*N($G20)*IF($M20="",N(Ret_Rate_Works),$M20),2))</f>
        <v/>
      </c>
      <c r="O20" s="23" t="inlineStr">
        <is>
          <t>In progress</t>
        </is>
      </c>
      <c r="P20" s="23" t="inlineStr">
        <is>
          <t>EXAMPLE — delete before use</t>
        </is>
      </c>
    </row>
    <row r="21" ht="13.5" customHeight="1">
      <c r="A21" s="23" t="inlineStr">
        <is>
          <t>WDR-01</t>
        </is>
      </c>
      <c r="B21" s="23" t="inlineStr">
        <is>
          <t>Windows &amp; Doors</t>
        </is>
      </c>
      <c r="C21" s="23" t="inlineStr">
        <is>
          <t>External windows, louvres &amp; entrance door sets</t>
        </is>
      </c>
      <c r="D21" s="51" t="n">
        <v>295000</v>
      </c>
      <c r="E21" s="52">
        <f>IF(OR($D21="",N(Contract_Sum)=0),"",$D21/Contract_Sum)</f>
        <v/>
      </c>
      <c r="F21" s="53" t="n">
        <v>0.2</v>
      </c>
      <c r="G21" s="53" t="n">
        <v>0.1</v>
      </c>
      <c r="H21" s="52">
        <f>IF($D21="","",N($F21)+N($G21))</f>
        <v/>
      </c>
      <c r="I21" s="33">
        <f>IF($D21="","",ROUND($D21*N($H21),2))</f>
        <v/>
      </c>
      <c r="J21" s="33">
        <f>IF($D21="","",ROUND($D21*N($F21),2))</f>
        <v/>
      </c>
      <c r="K21" s="33">
        <f>IF($D21="","",ROUND($D21*N($G21),2))</f>
        <v/>
      </c>
      <c r="L21" s="33">
        <f>IF($D21="","",ROUND($D21-$D21*N($H21),2))</f>
        <v/>
      </c>
      <c r="M21" s="54" t="n"/>
      <c r="N21" s="33">
        <f>IF($D21="","",ROUND($D21*N($G21)*IF($M21="",N(Ret_Rate_Works),$M21),2))</f>
        <v/>
      </c>
      <c r="O21" s="23" t="inlineStr">
        <is>
          <t>In progress</t>
        </is>
      </c>
      <c r="P21" s="23" t="inlineStr">
        <is>
          <t>EXAMPLE — delete before use</t>
        </is>
      </c>
    </row>
    <row r="22" ht="13.5" customHeight="1">
      <c r="A22" s="23" t="inlineStr">
        <is>
          <t>INT-01</t>
        </is>
      </c>
      <c r="B22" s="23" t="inlineStr">
        <is>
          <t>Internal Walls &amp; Partitions</t>
        </is>
      </c>
      <c r="C22" s="23" t="inlineStr">
        <is>
          <t>Framed partitions, wall linings &amp; suspended ceilings</t>
        </is>
      </c>
      <c r="D22" s="51" t="n">
        <v>720000</v>
      </c>
      <c r="E22" s="52">
        <f>IF(OR($D22="",N(Contract_Sum)=0),"",$D22/Contract_Sum)</f>
        <v/>
      </c>
      <c r="F22" s="53" t="n">
        <v>0.15</v>
      </c>
      <c r="G22" s="53" t="n">
        <v>0.12</v>
      </c>
      <c r="H22" s="52">
        <f>IF($D22="","",N($F22)+N($G22))</f>
        <v/>
      </c>
      <c r="I22" s="33">
        <f>IF($D22="","",ROUND($D22*N($H22),2))</f>
        <v/>
      </c>
      <c r="J22" s="33">
        <f>IF($D22="","",ROUND($D22*N($F22),2))</f>
        <v/>
      </c>
      <c r="K22" s="33">
        <f>IF($D22="","",ROUND($D22*N($G22),2))</f>
        <v/>
      </c>
      <c r="L22" s="33">
        <f>IF($D22="","",ROUND($D22-$D22*N($H22),2))</f>
        <v/>
      </c>
      <c r="M22" s="54" t="n"/>
      <c r="N22" s="33">
        <f>IF($D22="","",ROUND($D22*N($G22)*IF($M22="",N(Ret_Rate_Works),$M22),2))</f>
        <v/>
      </c>
      <c r="O22" s="23" t="inlineStr">
        <is>
          <t>In progress</t>
        </is>
      </c>
      <c r="P22" s="23" t="inlineStr">
        <is>
          <t>EXAMPLE — delete before use</t>
        </is>
      </c>
    </row>
    <row r="23" ht="13.5" customHeight="1">
      <c r="A23" s="23" t="inlineStr">
        <is>
          <t>FIN-01</t>
        </is>
      </c>
      <c r="B23" s="23" t="inlineStr">
        <is>
          <t>Internal Finishes</t>
        </is>
      </c>
      <c r="C23" s="23" t="inlineStr">
        <is>
          <t>Floor, wall &amp; ceiling finishes, tiling and painting</t>
        </is>
      </c>
      <c r="D23" s="51" t="n">
        <v>640000</v>
      </c>
      <c r="E23" s="52">
        <f>IF(OR($D23="",N(Contract_Sum)=0),"",$D23/Contract_Sum)</f>
        <v/>
      </c>
      <c r="F23" s="53" t="n">
        <v>0.05</v>
      </c>
      <c r="G23" s="53" t="n">
        <v>0.08</v>
      </c>
      <c r="H23" s="52">
        <f>IF($D23="","",N($F23)+N($G23))</f>
        <v/>
      </c>
      <c r="I23" s="33">
        <f>IF($D23="","",ROUND($D23*N($H23),2))</f>
        <v/>
      </c>
      <c r="J23" s="33">
        <f>IF($D23="","",ROUND($D23*N($F23),2))</f>
        <v/>
      </c>
      <c r="K23" s="33">
        <f>IF($D23="","",ROUND($D23*N($G23),2))</f>
        <v/>
      </c>
      <c r="L23" s="33">
        <f>IF($D23="","",ROUND($D23-$D23*N($H23),2))</f>
        <v/>
      </c>
      <c r="M23" s="54" t="n"/>
      <c r="N23" s="33">
        <f>IF($D23="","",ROUND($D23*N($G23)*IF($M23="",N(Ret_Rate_Works),$M23),2))</f>
        <v/>
      </c>
      <c r="O23" s="23" t="inlineStr">
        <is>
          <t>In progress</t>
        </is>
      </c>
      <c r="P23" s="23" t="inlineStr">
        <is>
          <t>EXAMPLE — delete before use</t>
        </is>
      </c>
    </row>
    <row r="24" ht="13.5" customHeight="1">
      <c r="A24" s="23" t="inlineStr">
        <is>
          <t>JOI-01</t>
        </is>
      </c>
      <c r="B24" s="23" t="inlineStr">
        <is>
          <t>Joinery &amp; Fitout</t>
        </is>
      </c>
      <c r="C24" s="23" t="inlineStr">
        <is>
          <t>Joinery, benchtops, fixed furniture &amp; signage</t>
        </is>
      </c>
      <c r="D24" s="51" t="n">
        <v>380000</v>
      </c>
      <c r="E24" s="52">
        <f>IF(OR($D24="",N(Contract_Sum)=0),"",$D24/Contract_Sum)</f>
        <v/>
      </c>
      <c r="F24" s="53" t="n">
        <v>0</v>
      </c>
      <c r="G24" s="53" t="n">
        <v>0.05</v>
      </c>
      <c r="H24" s="52">
        <f>IF($D24="","",N($F24)+N($G24))</f>
        <v/>
      </c>
      <c r="I24" s="33">
        <f>IF($D24="","",ROUND($D24*N($H24),2))</f>
        <v/>
      </c>
      <c r="J24" s="33">
        <f>IF($D24="","",ROUND($D24*N($F24),2))</f>
        <v/>
      </c>
      <c r="K24" s="33">
        <f>IF($D24="","",ROUND($D24*N($G24),2))</f>
        <v/>
      </c>
      <c r="L24" s="33">
        <f>IF($D24="","",ROUND($D24-$D24*N($H24),2))</f>
        <v/>
      </c>
      <c r="M24" s="54" t="n"/>
      <c r="N24" s="33">
        <f>IF($D24="","",ROUND($D24*N($G24)*IF($M24="",N(Ret_Rate_Works),$M24),2))</f>
        <v/>
      </c>
      <c r="O24" s="23" t="inlineStr">
        <is>
          <t>In progress</t>
        </is>
      </c>
      <c r="P24" s="23" t="inlineStr">
        <is>
          <t>EXAMPLE — delete before use</t>
        </is>
      </c>
    </row>
    <row r="25" ht="13.5" customHeight="1">
      <c r="A25" s="23" t="inlineStr">
        <is>
          <t>MEC-01</t>
        </is>
      </c>
      <c r="B25" s="23" t="inlineStr">
        <is>
          <t>Mechanical Services</t>
        </is>
      </c>
      <c r="C25" s="23" t="inlineStr">
        <is>
          <t>HVAC plant, ductwork, pipework &amp; controls</t>
        </is>
      </c>
      <c r="D25" s="51" t="n">
        <v>1240000</v>
      </c>
      <c r="E25" s="52">
        <f>IF(OR($D25="",N(Contract_Sum)=0),"",$D25/Contract_Sum)</f>
        <v/>
      </c>
      <c r="F25" s="53" t="n">
        <v>0.42</v>
      </c>
      <c r="G25" s="53" t="n">
        <v>0.09</v>
      </c>
      <c r="H25" s="52">
        <f>IF($D25="","",N($F25)+N($G25))</f>
        <v/>
      </c>
      <c r="I25" s="33">
        <f>IF($D25="","",ROUND($D25*N($H25),2))</f>
        <v/>
      </c>
      <c r="J25" s="33">
        <f>IF($D25="","",ROUND($D25*N($F25),2))</f>
        <v/>
      </c>
      <c r="K25" s="33">
        <f>IF($D25="","",ROUND($D25*N($G25),2))</f>
        <v/>
      </c>
      <c r="L25" s="33">
        <f>IF($D25="","",ROUND($D25-$D25*N($H25),2))</f>
        <v/>
      </c>
      <c r="M25" s="54" t="n"/>
      <c r="N25" s="33">
        <f>IF($D25="","",ROUND($D25*N($G25)*IF($M25="",N(Ret_Rate_Works),$M25),2))</f>
        <v/>
      </c>
      <c r="O25" s="23" t="inlineStr">
        <is>
          <t>In progress</t>
        </is>
      </c>
      <c r="P25" s="23" t="inlineStr">
        <is>
          <t>EXAMPLE — delete before use</t>
        </is>
      </c>
    </row>
    <row r="26" ht="13.5" customHeight="1">
      <c r="A26" s="23" t="inlineStr">
        <is>
          <t>ELE-01</t>
        </is>
      </c>
      <c r="B26" s="23" t="inlineStr">
        <is>
          <t>Electrical Services</t>
        </is>
      </c>
      <c r="C26" s="23" t="inlineStr">
        <is>
          <t>Main switchboard, distribution, lighting, power &amp; data</t>
        </is>
      </c>
      <c r="D26" s="51" t="n">
        <v>980000</v>
      </c>
      <c r="E26" s="52">
        <f>IF(OR($D26="",N(Contract_Sum)=0),"",$D26/Contract_Sum)</f>
        <v/>
      </c>
      <c r="F26" s="53" t="n">
        <v>0.45</v>
      </c>
      <c r="G26" s="53" t="n">
        <v>0.08</v>
      </c>
      <c r="H26" s="52">
        <f>IF($D26="","",N($F26)+N($G26))</f>
        <v/>
      </c>
      <c r="I26" s="33">
        <f>IF($D26="","",ROUND($D26*N($H26),2))</f>
        <v/>
      </c>
      <c r="J26" s="33">
        <f>IF($D26="","",ROUND($D26*N($F26),2))</f>
        <v/>
      </c>
      <c r="K26" s="33">
        <f>IF($D26="","",ROUND($D26*N($G26),2))</f>
        <v/>
      </c>
      <c r="L26" s="33">
        <f>IF($D26="","",ROUND($D26-$D26*N($H26),2))</f>
        <v/>
      </c>
      <c r="M26" s="54" t="n"/>
      <c r="N26" s="33">
        <f>IF($D26="","",ROUND($D26*N($G26)*IF($M26="",N(Ret_Rate_Works),$M26),2))</f>
        <v/>
      </c>
      <c r="O26" s="23" t="inlineStr">
        <is>
          <t>In progress</t>
        </is>
      </c>
      <c r="P26" s="23" t="inlineStr">
        <is>
          <t>EXAMPLE — delete before use</t>
        </is>
      </c>
    </row>
    <row r="27" ht="13.5" customHeight="1">
      <c r="A27" s="23" t="inlineStr">
        <is>
          <t>HYD-01</t>
        </is>
      </c>
      <c r="B27" s="23" t="inlineStr">
        <is>
          <t>Hydraulic Services</t>
        </is>
      </c>
      <c r="C27" s="23" t="inlineStr">
        <is>
          <t>Sanitary, cold &amp; hot water, gas and stormwater</t>
        </is>
      </c>
      <c r="D27" s="51" t="n">
        <v>560000</v>
      </c>
      <c r="E27" s="52">
        <f>IF(OR($D27="",N(Contract_Sum)=0),"",$D27/Contract_Sum)</f>
        <v/>
      </c>
      <c r="F27" s="53" t="n">
        <v>0.48</v>
      </c>
      <c r="G27" s="53" t="n">
        <v>0.07000000000000001</v>
      </c>
      <c r="H27" s="52">
        <f>IF($D27="","",N($F27)+N($G27))</f>
        <v/>
      </c>
      <c r="I27" s="33">
        <f>IF($D27="","",ROUND($D27*N($H27),2))</f>
        <v/>
      </c>
      <c r="J27" s="33">
        <f>IF($D27="","",ROUND($D27*N($F27),2))</f>
        <v/>
      </c>
      <c r="K27" s="33">
        <f>IF($D27="","",ROUND($D27*N($G27),2))</f>
        <v/>
      </c>
      <c r="L27" s="33">
        <f>IF($D27="","",ROUND($D27-$D27*N($H27),2))</f>
        <v/>
      </c>
      <c r="M27" s="54" t="n"/>
      <c r="N27" s="33">
        <f>IF($D27="","",ROUND($D27*N($G27)*IF($M27="",N(Ret_Rate_Works),$M27),2))</f>
        <v/>
      </c>
      <c r="O27" s="23" t="inlineStr">
        <is>
          <t>In progress</t>
        </is>
      </c>
      <c r="P27" s="23" t="inlineStr">
        <is>
          <t>EXAMPLE — delete before use</t>
        </is>
      </c>
    </row>
    <row r="28" ht="13.5" customHeight="1">
      <c r="A28" s="23" t="inlineStr">
        <is>
          <t>FIR-01</t>
        </is>
      </c>
      <c r="B28" s="23" t="inlineStr">
        <is>
          <t>Fire Services</t>
        </is>
      </c>
      <c r="C28" s="23" t="inlineStr">
        <is>
          <t>Sprinklers, hydrants, detection, EWIS &amp; passive fire</t>
        </is>
      </c>
      <c r="D28" s="51" t="n">
        <v>470000</v>
      </c>
      <c r="E28" s="52">
        <f>IF(OR($D28="",N(Contract_Sum)=0),"",$D28/Contract_Sum)</f>
        <v/>
      </c>
      <c r="F28" s="53" t="n">
        <v>0.38</v>
      </c>
      <c r="G28" s="53" t="n">
        <v>0.09</v>
      </c>
      <c r="H28" s="52">
        <f>IF($D28="","",N($F28)+N($G28))</f>
        <v/>
      </c>
      <c r="I28" s="33">
        <f>IF($D28="","",ROUND($D28*N($H28),2))</f>
        <v/>
      </c>
      <c r="J28" s="33">
        <f>IF($D28="","",ROUND($D28*N($F28),2))</f>
        <v/>
      </c>
      <c r="K28" s="33">
        <f>IF($D28="","",ROUND($D28*N($G28),2))</f>
        <v/>
      </c>
      <c r="L28" s="33">
        <f>IF($D28="","",ROUND($D28-$D28*N($H28),2))</f>
        <v/>
      </c>
      <c r="M28" s="54" t="n"/>
      <c r="N28" s="33">
        <f>IF($D28="","",ROUND($D28*N($G28)*IF($M28="",N(Ret_Rate_Works),$M28),2))</f>
        <v/>
      </c>
      <c r="O28" s="23" t="inlineStr">
        <is>
          <t>In progress</t>
        </is>
      </c>
      <c r="P28" s="23" t="inlineStr">
        <is>
          <t>EXAMPLE — delete before use</t>
        </is>
      </c>
    </row>
    <row r="29" ht="13.5" customHeight="1">
      <c r="A29" s="23" t="inlineStr">
        <is>
          <t>VER-01</t>
        </is>
      </c>
      <c r="B29" s="23" t="inlineStr">
        <is>
          <t>Vertical Transportation</t>
        </is>
      </c>
      <c r="C29" s="23" t="inlineStr">
        <is>
          <t>Passenger &amp; goods lifts — supply, install, commission</t>
        </is>
      </c>
      <c r="D29" s="51" t="n">
        <v>520000</v>
      </c>
      <c r="E29" s="52">
        <f>IF(OR($D29="",N(Contract_Sum)=0),"",$D29/Contract_Sum)</f>
        <v/>
      </c>
      <c r="F29" s="53" t="n">
        <v>0.25</v>
      </c>
      <c r="G29" s="53" t="n">
        <v>0.1</v>
      </c>
      <c r="H29" s="52">
        <f>IF($D29="","",N($F29)+N($G29))</f>
        <v/>
      </c>
      <c r="I29" s="33">
        <f>IF($D29="","",ROUND($D29*N($H29),2))</f>
        <v/>
      </c>
      <c r="J29" s="33">
        <f>IF($D29="","",ROUND($D29*N($F29),2))</f>
        <v/>
      </c>
      <c r="K29" s="33">
        <f>IF($D29="","",ROUND($D29*N($G29),2))</f>
        <v/>
      </c>
      <c r="L29" s="33">
        <f>IF($D29="","",ROUND($D29-$D29*N($H29),2))</f>
        <v/>
      </c>
      <c r="M29" s="54" t="n"/>
      <c r="N29" s="33">
        <f>IF($D29="","",ROUND($D29*N($G29)*IF($M29="",N(Ret_Rate_Works),$M29),2))</f>
        <v/>
      </c>
      <c r="O29" s="23" t="inlineStr">
        <is>
          <t>In progress</t>
        </is>
      </c>
      <c r="P29" s="23" t="inlineStr">
        <is>
          <t>EXAMPLE — delete before use</t>
        </is>
      </c>
    </row>
    <row r="30" ht="13.5" customHeight="1">
      <c r="A30" s="23" t="inlineStr">
        <is>
          <t>EXT-01</t>
        </is>
      </c>
      <c r="B30" s="23" t="inlineStr">
        <is>
          <t>External Works &amp; Landscaping</t>
        </is>
      </c>
      <c r="C30" s="23" t="inlineStr">
        <is>
          <t>Pavements, soft landscaping &amp; external lighting</t>
        </is>
      </c>
      <c r="D30" s="51" t="n">
        <v>340000</v>
      </c>
      <c r="E30" s="52">
        <f>IF(OR($D30="",N(Contract_Sum)=0),"",$D30/Contract_Sum)</f>
        <v/>
      </c>
      <c r="F30" s="53" t="n">
        <v>0</v>
      </c>
      <c r="G30" s="53" t="n">
        <v>0.03</v>
      </c>
      <c r="H30" s="52">
        <f>IF($D30="","",N($F30)+N($G30))</f>
        <v/>
      </c>
      <c r="I30" s="33">
        <f>IF($D30="","",ROUND($D30*N($H30),2))</f>
        <v/>
      </c>
      <c r="J30" s="33">
        <f>IF($D30="","",ROUND($D30*N($F30),2))</f>
        <v/>
      </c>
      <c r="K30" s="33">
        <f>IF($D30="","",ROUND($D30*N($G30),2))</f>
        <v/>
      </c>
      <c r="L30" s="33">
        <f>IF($D30="","",ROUND($D30-$D30*N($H30),2))</f>
        <v/>
      </c>
      <c r="M30" s="54" t="n"/>
      <c r="N30" s="33">
        <f>IF($D30="","",ROUND($D30*N($G30)*IF($M30="",N(Ret_Rate_Works),$M30),2))</f>
        <v/>
      </c>
      <c r="O30" s="23" t="inlineStr">
        <is>
          <t>Not started</t>
        </is>
      </c>
      <c r="P30" s="23" t="inlineStr">
        <is>
          <t>EXAMPLE — delete before use</t>
        </is>
      </c>
    </row>
    <row r="31" ht="13.5" customHeight="1">
      <c r="A31" s="23" t="inlineStr">
        <is>
          <t>COM-01</t>
        </is>
      </c>
      <c r="B31" s="23" t="inlineStr">
        <is>
          <t>Commissioning &amp; Handover</t>
        </is>
      </c>
      <c r="C31" s="23" t="inlineStr">
        <is>
          <t>Commissioning, training, O&amp;M manuals &amp; as-builts</t>
        </is>
      </c>
      <c r="D31" s="51" t="n">
        <v>120000</v>
      </c>
      <c r="E31" s="52">
        <f>IF(OR($D31="",N(Contract_Sum)=0),"",$D31/Contract_Sum)</f>
        <v/>
      </c>
      <c r="F31" s="53" t="n">
        <v>0</v>
      </c>
      <c r="G31" s="53" t="n">
        <v>0</v>
      </c>
      <c r="H31" s="52">
        <f>IF($D31="","",N($F31)+N($G31))</f>
        <v/>
      </c>
      <c r="I31" s="33">
        <f>IF($D31="","",ROUND($D31*N($H31),2))</f>
        <v/>
      </c>
      <c r="J31" s="33">
        <f>IF($D31="","",ROUND($D31*N($F31),2))</f>
        <v/>
      </c>
      <c r="K31" s="33">
        <f>IF($D31="","",ROUND($D31*N($G31),2))</f>
        <v/>
      </c>
      <c r="L31" s="33">
        <f>IF($D31="","",ROUND($D31-$D31*N($H31),2))</f>
        <v/>
      </c>
      <c r="M31" s="54" t="n"/>
      <c r="N31" s="33">
        <f>IF($D31="","",ROUND($D31*N($G31)*IF($M31="",N(Ret_Rate_Works),$M31),2))</f>
        <v/>
      </c>
      <c r="O31" s="23" t="inlineStr">
        <is>
          <t>Not started</t>
        </is>
      </c>
      <c r="P31" s="23" t="inlineStr">
        <is>
          <t>EXAMPLE — delete before use</t>
        </is>
      </c>
    </row>
    <row r="32" ht="13.5" customHeight="1">
      <c r="A32" s="15" t="n"/>
      <c r="B32" s="15" t="n"/>
      <c r="C32" s="15" t="n"/>
      <c r="D32" s="55" t="n"/>
      <c r="E32" s="52">
        <f>IF(OR($D32="",N(Contract_Sum)=0),"",$D32/Contract_Sum)</f>
        <v/>
      </c>
      <c r="F32" s="54" t="n"/>
      <c r="G32" s="54" t="n"/>
      <c r="H32" s="52">
        <f>IF($D32="","",N($F32)+N($G32))</f>
        <v/>
      </c>
      <c r="I32" s="33">
        <f>IF($D32="","",ROUND($D32*N($H32),2))</f>
        <v/>
      </c>
      <c r="J32" s="33">
        <f>IF($D32="","",ROUND($D32*N($F32),2))</f>
        <v/>
      </c>
      <c r="K32" s="33">
        <f>IF($D32="","",ROUND($D32*N($G32),2))</f>
        <v/>
      </c>
      <c r="L32" s="33">
        <f>IF($D32="","",ROUND($D32-$D32*N($H32),2))</f>
        <v/>
      </c>
      <c r="M32" s="54" t="n"/>
      <c r="N32" s="33">
        <f>IF($D32="","",ROUND($D32*N($G32)*IF($M32="",N(Ret_Rate_Works),$M32),2))</f>
        <v/>
      </c>
      <c r="O32" s="15" t="n"/>
      <c r="P32" s="15" t="n"/>
    </row>
    <row r="33" ht="13.5" customHeight="1">
      <c r="A33" s="15" t="n"/>
      <c r="B33" s="15" t="n"/>
      <c r="C33" s="15" t="n"/>
      <c r="D33" s="55" t="n"/>
      <c r="E33" s="52">
        <f>IF(OR($D33="",N(Contract_Sum)=0),"",$D33/Contract_Sum)</f>
        <v/>
      </c>
      <c r="F33" s="54" t="n"/>
      <c r="G33" s="54" t="n"/>
      <c r="H33" s="52">
        <f>IF($D33="","",N($F33)+N($G33))</f>
        <v/>
      </c>
      <c r="I33" s="33">
        <f>IF($D33="","",ROUND($D33*N($H33),2))</f>
        <v/>
      </c>
      <c r="J33" s="33">
        <f>IF($D33="","",ROUND($D33*N($F33),2))</f>
        <v/>
      </c>
      <c r="K33" s="33">
        <f>IF($D33="","",ROUND($D33*N($G33),2))</f>
        <v/>
      </c>
      <c r="L33" s="33">
        <f>IF($D33="","",ROUND($D33-$D33*N($H33),2))</f>
        <v/>
      </c>
      <c r="M33" s="54" t="n"/>
      <c r="N33" s="33">
        <f>IF($D33="","",ROUND($D33*N($G33)*IF($M33="",N(Ret_Rate_Works),$M33),2))</f>
        <v/>
      </c>
      <c r="O33" s="15" t="n"/>
      <c r="P33" s="15" t="n"/>
    </row>
    <row r="34" ht="13.5" customHeight="1">
      <c r="A34" s="15" t="n"/>
      <c r="B34" s="15" t="n"/>
      <c r="C34" s="15" t="n"/>
      <c r="D34" s="55" t="n"/>
      <c r="E34" s="52">
        <f>IF(OR($D34="",N(Contract_Sum)=0),"",$D34/Contract_Sum)</f>
        <v/>
      </c>
      <c r="F34" s="54" t="n"/>
      <c r="G34" s="54" t="n"/>
      <c r="H34" s="52">
        <f>IF($D34="","",N($F34)+N($G34))</f>
        <v/>
      </c>
      <c r="I34" s="33">
        <f>IF($D34="","",ROUND($D34*N($H34),2))</f>
        <v/>
      </c>
      <c r="J34" s="33">
        <f>IF($D34="","",ROUND($D34*N($F34),2))</f>
        <v/>
      </c>
      <c r="K34" s="33">
        <f>IF($D34="","",ROUND($D34*N($G34),2))</f>
        <v/>
      </c>
      <c r="L34" s="33">
        <f>IF($D34="","",ROUND($D34-$D34*N($H34),2))</f>
        <v/>
      </c>
      <c r="M34" s="54" t="n"/>
      <c r="N34" s="33">
        <f>IF($D34="","",ROUND($D34*N($G34)*IF($M34="",N(Ret_Rate_Works),$M34),2))</f>
        <v/>
      </c>
      <c r="O34" s="15" t="n"/>
      <c r="P34" s="15" t="n"/>
    </row>
    <row r="35" ht="13.5" customHeight="1">
      <c r="A35" s="15" t="n"/>
      <c r="B35" s="15" t="n"/>
      <c r="C35" s="15" t="n"/>
      <c r="D35" s="55" t="n"/>
      <c r="E35" s="52">
        <f>IF(OR($D35="",N(Contract_Sum)=0),"",$D35/Contract_Sum)</f>
        <v/>
      </c>
      <c r="F35" s="54" t="n"/>
      <c r="G35" s="54" t="n"/>
      <c r="H35" s="52">
        <f>IF($D35="","",N($F35)+N($G35))</f>
        <v/>
      </c>
      <c r="I35" s="33">
        <f>IF($D35="","",ROUND($D35*N($H35),2))</f>
        <v/>
      </c>
      <c r="J35" s="33">
        <f>IF($D35="","",ROUND($D35*N($F35),2))</f>
        <v/>
      </c>
      <c r="K35" s="33">
        <f>IF($D35="","",ROUND($D35*N($G35),2))</f>
        <v/>
      </c>
      <c r="L35" s="33">
        <f>IF($D35="","",ROUND($D35-$D35*N($H35),2))</f>
        <v/>
      </c>
      <c r="M35" s="54" t="n"/>
      <c r="N35" s="33">
        <f>IF($D35="","",ROUND($D35*N($G35)*IF($M35="",N(Ret_Rate_Works),$M35),2))</f>
        <v/>
      </c>
      <c r="O35" s="15" t="n"/>
      <c r="P35" s="15" t="n"/>
    </row>
    <row r="36" ht="13.5" customHeight="1">
      <c r="A36" s="15" t="n"/>
      <c r="B36" s="15" t="n"/>
      <c r="C36" s="15" t="n"/>
      <c r="D36" s="55" t="n"/>
      <c r="E36" s="52">
        <f>IF(OR($D36="",N(Contract_Sum)=0),"",$D36/Contract_Sum)</f>
        <v/>
      </c>
      <c r="F36" s="54" t="n"/>
      <c r="G36" s="54" t="n"/>
      <c r="H36" s="52">
        <f>IF($D36="","",N($F36)+N($G36))</f>
        <v/>
      </c>
      <c r="I36" s="33">
        <f>IF($D36="","",ROUND($D36*N($H36),2))</f>
        <v/>
      </c>
      <c r="J36" s="33">
        <f>IF($D36="","",ROUND($D36*N($F36),2))</f>
        <v/>
      </c>
      <c r="K36" s="33">
        <f>IF($D36="","",ROUND($D36*N($G36),2))</f>
        <v/>
      </c>
      <c r="L36" s="33">
        <f>IF($D36="","",ROUND($D36-$D36*N($H36),2))</f>
        <v/>
      </c>
      <c r="M36" s="54" t="n"/>
      <c r="N36" s="33">
        <f>IF($D36="","",ROUND($D36*N($G36)*IF($M36="",N(Ret_Rate_Works),$M36),2))</f>
        <v/>
      </c>
      <c r="O36" s="15" t="n"/>
      <c r="P36" s="15" t="n"/>
    </row>
    <row r="37" ht="13.5" customHeight="1">
      <c r="A37" s="15" t="n"/>
      <c r="B37" s="15" t="n"/>
      <c r="C37" s="15" t="n"/>
      <c r="D37" s="55" t="n"/>
      <c r="E37" s="52">
        <f>IF(OR($D37="",N(Contract_Sum)=0),"",$D37/Contract_Sum)</f>
        <v/>
      </c>
      <c r="F37" s="54" t="n"/>
      <c r="G37" s="54" t="n"/>
      <c r="H37" s="52">
        <f>IF($D37="","",N($F37)+N($G37))</f>
        <v/>
      </c>
      <c r="I37" s="33">
        <f>IF($D37="","",ROUND($D37*N($H37),2))</f>
        <v/>
      </c>
      <c r="J37" s="33">
        <f>IF($D37="","",ROUND($D37*N($F37),2))</f>
        <v/>
      </c>
      <c r="K37" s="33">
        <f>IF($D37="","",ROUND($D37*N($G37),2))</f>
        <v/>
      </c>
      <c r="L37" s="33">
        <f>IF($D37="","",ROUND($D37-$D37*N($H37),2))</f>
        <v/>
      </c>
      <c r="M37" s="54" t="n"/>
      <c r="N37" s="33">
        <f>IF($D37="","",ROUND($D37*N($G37)*IF($M37="",N(Ret_Rate_Works),$M37),2))</f>
        <v/>
      </c>
      <c r="O37" s="15" t="n"/>
      <c r="P37" s="15" t="n"/>
    </row>
    <row r="38" ht="13.5" customHeight="1">
      <c r="A38" s="15" t="n"/>
      <c r="B38" s="15" t="n"/>
      <c r="C38" s="15" t="n"/>
      <c r="D38" s="55" t="n"/>
      <c r="E38" s="52">
        <f>IF(OR($D38="",N(Contract_Sum)=0),"",$D38/Contract_Sum)</f>
        <v/>
      </c>
      <c r="F38" s="54" t="n"/>
      <c r="G38" s="54" t="n"/>
      <c r="H38" s="52">
        <f>IF($D38="","",N($F38)+N($G38))</f>
        <v/>
      </c>
      <c r="I38" s="33">
        <f>IF($D38="","",ROUND($D38*N($H38),2))</f>
        <v/>
      </c>
      <c r="J38" s="33">
        <f>IF($D38="","",ROUND($D38*N($F38),2))</f>
        <v/>
      </c>
      <c r="K38" s="33">
        <f>IF($D38="","",ROUND($D38*N($G38),2))</f>
        <v/>
      </c>
      <c r="L38" s="33">
        <f>IF($D38="","",ROUND($D38-$D38*N($H38),2))</f>
        <v/>
      </c>
      <c r="M38" s="54" t="n"/>
      <c r="N38" s="33">
        <f>IF($D38="","",ROUND($D38*N($G38)*IF($M38="",N(Ret_Rate_Works),$M38),2))</f>
        <v/>
      </c>
      <c r="O38" s="15" t="n"/>
      <c r="P38" s="15" t="n"/>
    </row>
    <row r="39" ht="13.5" customHeight="1">
      <c r="A39" s="15" t="n"/>
      <c r="B39" s="15" t="n"/>
      <c r="C39" s="15" t="n"/>
      <c r="D39" s="55" t="n"/>
      <c r="E39" s="52">
        <f>IF(OR($D39="",N(Contract_Sum)=0),"",$D39/Contract_Sum)</f>
        <v/>
      </c>
      <c r="F39" s="54" t="n"/>
      <c r="G39" s="54" t="n"/>
      <c r="H39" s="52">
        <f>IF($D39="","",N($F39)+N($G39))</f>
        <v/>
      </c>
      <c r="I39" s="33">
        <f>IF($D39="","",ROUND($D39*N($H39),2))</f>
        <v/>
      </c>
      <c r="J39" s="33">
        <f>IF($D39="","",ROUND($D39*N($F39),2))</f>
        <v/>
      </c>
      <c r="K39" s="33">
        <f>IF($D39="","",ROUND($D39*N($G39),2))</f>
        <v/>
      </c>
      <c r="L39" s="33">
        <f>IF($D39="","",ROUND($D39-$D39*N($H39),2))</f>
        <v/>
      </c>
      <c r="M39" s="54" t="n"/>
      <c r="N39" s="33">
        <f>IF($D39="","",ROUND($D39*N($G39)*IF($M39="",N(Ret_Rate_Works),$M39),2))</f>
        <v/>
      </c>
      <c r="O39" s="15" t="n"/>
      <c r="P39" s="15" t="n"/>
    </row>
    <row r="40" ht="13.5" customHeight="1">
      <c r="A40" s="15" t="n"/>
      <c r="B40" s="15" t="n"/>
      <c r="C40" s="15" t="n"/>
      <c r="D40" s="55" t="n"/>
      <c r="E40" s="52">
        <f>IF(OR($D40="",N(Contract_Sum)=0),"",$D40/Contract_Sum)</f>
        <v/>
      </c>
      <c r="F40" s="54" t="n"/>
      <c r="G40" s="54" t="n"/>
      <c r="H40" s="52">
        <f>IF($D40="","",N($F40)+N($G40))</f>
        <v/>
      </c>
      <c r="I40" s="33">
        <f>IF($D40="","",ROUND($D40*N($H40),2))</f>
        <v/>
      </c>
      <c r="J40" s="33">
        <f>IF($D40="","",ROUND($D40*N($F40),2))</f>
        <v/>
      </c>
      <c r="K40" s="33">
        <f>IF($D40="","",ROUND($D40*N($G40),2))</f>
        <v/>
      </c>
      <c r="L40" s="33">
        <f>IF($D40="","",ROUND($D40-$D40*N($H40),2))</f>
        <v/>
      </c>
      <c r="M40" s="54" t="n"/>
      <c r="N40" s="33">
        <f>IF($D40="","",ROUND($D40*N($G40)*IF($M40="",N(Ret_Rate_Works),$M40),2))</f>
        <v/>
      </c>
      <c r="O40" s="15" t="n"/>
      <c r="P40" s="15" t="n"/>
    </row>
    <row r="41" ht="18" customHeight="1">
      <c r="A41" s="36" t="inlineStr">
        <is>
          <t>TOTAL</t>
        </is>
      </c>
      <c r="B41" s="56" t="n"/>
      <c r="C41" s="56" t="n"/>
      <c r="D41" s="37">
        <f>ROUND(SUM($D$9:$D$40),2)</f>
        <v/>
      </c>
      <c r="E41" s="57">
        <f>IF(N(Contract_Sum)=0,"",SUM($D$9:$D$40)/Contract_Sum)</f>
        <v/>
      </c>
      <c r="F41" s="56" t="n"/>
      <c r="G41" s="56" t="n"/>
      <c r="H41" s="57">
        <f>IF(SUM($D$9:$D$40)=0,"",SUM($I$9:$I$40)/SUM($D$9:$D$40))</f>
        <v/>
      </c>
      <c r="I41" s="37">
        <f>ROUND(SUM($I$9:$I$40),2)</f>
        <v/>
      </c>
      <c r="J41" s="37">
        <f>ROUND(SUM($J$9:$J$40),2)</f>
        <v/>
      </c>
      <c r="K41" s="37">
        <f>ROUND(SUM($K$9:$K$40),2)</f>
        <v/>
      </c>
      <c r="L41" s="37">
        <f>ROUND(SUM($L$9:$L$40),2)</f>
        <v/>
      </c>
      <c r="M41" s="56" t="n"/>
      <c r="N41" s="37">
        <f>ROUND(SUM($N$9:$N$40),2)</f>
        <v/>
      </c>
      <c r="O41" s="56" t="n"/>
      <c r="P41" s="56" t="n"/>
    </row>
    <row r="43" ht="18" customHeight="1">
      <c r="A43" s="5" t="inlineStr">
        <is>
          <t>SECTION SUBTOTALS  ·  SUMIF over the Section / Trade column above — add a section by inserting a row inside the list on Lists</t>
        </is>
      </c>
    </row>
    <row r="44" ht="26" customHeight="1">
      <c r="A44" s="50" t="inlineStr"/>
      <c r="B44" s="49" t="inlineStr">
        <is>
          <t>Section / Trade</t>
        </is>
      </c>
      <c r="C44" s="50" t="inlineStr"/>
      <c r="D44" s="50" t="inlineStr">
        <is>
          <t>Contract Value</t>
        </is>
      </c>
      <c r="E44" s="50" t="inlineStr">
        <is>
          <t>% of Contract</t>
        </is>
      </c>
      <c r="F44" s="50" t="inlineStr"/>
      <c r="G44" s="50" t="inlineStr"/>
      <c r="H44" s="50" t="inlineStr">
        <is>
          <t>% Complete to Date</t>
        </is>
      </c>
      <c r="I44" s="50" t="inlineStr">
        <is>
          <t>Value Completed to Date</t>
        </is>
      </c>
      <c r="J44" s="50" t="inlineStr">
        <is>
          <t>Value Previously Claimed</t>
        </is>
      </c>
      <c r="K44" s="50" t="inlineStr">
        <is>
          <t>Value This Period</t>
        </is>
      </c>
      <c r="L44" s="50" t="inlineStr">
        <is>
          <t>Balance to Complete</t>
        </is>
      </c>
      <c r="M44" s="50" t="inlineStr"/>
      <c r="N44" s="50" t="inlineStr">
        <is>
          <t>Retention This Period</t>
        </is>
      </c>
      <c r="O44" s="50" t="inlineStr"/>
      <c r="P44" s="50" t="inlineStr"/>
    </row>
    <row r="45" ht="13.5" customHeight="1">
      <c r="B45" s="58" t="inlineStr">
        <is>
          <t>Preliminaries &amp; Site Establishment</t>
        </is>
      </c>
      <c r="D45" s="33">
        <f>IF(COUNTIF($B$9:$B$40,$B45)=0,"",ROUND(SUMIF($B$9:$B$40,$B45,$D$9:$D$40),2))</f>
        <v/>
      </c>
      <c r="E45" s="52">
        <f>IF(OR($D45="",N(Contract_Sum)=0),"",$D45/Contract_Sum)</f>
        <v/>
      </c>
      <c r="H45" s="52">
        <f>IF(OR($D45="",$D45=0),"",$I45/$D45)</f>
        <v/>
      </c>
      <c r="I45" s="33">
        <f>IF($D45="","",ROUND(SUMIF($B$9:$B$40,$B45,$I$9:$I$40),2))</f>
        <v/>
      </c>
      <c r="J45" s="33">
        <f>IF($D45="","",ROUND(SUMIF($B$9:$B$40,$B45,$J$9:$J$40),2))</f>
        <v/>
      </c>
      <c r="K45" s="33">
        <f>IF($D45="","",ROUND(SUMIF($B$9:$B$40,$B45,$K$9:$K$40),2))</f>
        <v/>
      </c>
      <c r="L45" s="33">
        <f>IF($D45="","",ROUND(SUMIF($B$9:$B$40,$B45,$L$9:$L$40),2))</f>
        <v/>
      </c>
      <c r="N45" s="33">
        <f>IF($D45="","",ROUND(SUMIF($B$9:$B$40,$B45,$N$9:$N$40),2))</f>
        <v/>
      </c>
    </row>
    <row r="46" ht="13.5" customHeight="1">
      <c r="B46" s="58" t="inlineStr">
        <is>
          <t>Demolition &amp; Earthworks</t>
        </is>
      </c>
      <c r="D46" s="33">
        <f>IF(COUNTIF($B$9:$B$40,$B46)=0,"",ROUND(SUMIF($B$9:$B$40,$B46,$D$9:$D$40),2))</f>
        <v/>
      </c>
      <c r="E46" s="52">
        <f>IF(OR($D46="",N(Contract_Sum)=0),"",$D46/Contract_Sum)</f>
        <v/>
      </c>
      <c r="H46" s="52">
        <f>IF(OR($D46="",$D46=0),"",$I46/$D46)</f>
        <v/>
      </c>
      <c r="I46" s="33">
        <f>IF($D46="","",ROUND(SUMIF($B$9:$B$40,$B46,$I$9:$I$40),2))</f>
        <v/>
      </c>
      <c r="J46" s="33">
        <f>IF($D46="","",ROUND(SUMIF($B$9:$B$40,$B46,$J$9:$J$40),2))</f>
        <v/>
      </c>
      <c r="K46" s="33">
        <f>IF($D46="","",ROUND(SUMIF($B$9:$B$40,$B46,$K$9:$K$40),2))</f>
        <v/>
      </c>
      <c r="L46" s="33">
        <f>IF($D46="","",ROUND(SUMIF($B$9:$B$40,$B46,$L$9:$L$40),2))</f>
        <v/>
      </c>
      <c r="N46" s="33">
        <f>IF($D46="","",ROUND(SUMIF($B$9:$B$40,$B46,$N$9:$N$40),2))</f>
        <v/>
      </c>
    </row>
    <row r="47" ht="13.5" customHeight="1">
      <c r="B47" s="58" t="inlineStr">
        <is>
          <t>Substructure &amp; Piling</t>
        </is>
      </c>
      <c r="D47" s="33">
        <f>IF(COUNTIF($B$9:$B$40,$B47)=0,"",ROUND(SUMIF($B$9:$B$40,$B47,$D$9:$D$40),2))</f>
        <v/>
      </c>
      <c r="E47" s="52">
        <f>IF(OR($D47="",N(Contract_Sum)=0),"",$D47/Contract_Sum)</f>
        <v/>
      </c>
      <c r="H47" s="52">
        <f>IF(OR($D47="",$D47=0),"",$I47/$D47)</f>
        <v/>
      </c>
      <c r="I47" s="33">
        <f>IF($D47="","",ROUND(SUMIF($B$9:$B$40,$B47,$I$9:$I$40),2))</f>
        <v/>
      </c>
      <c r="J47" s="33">
        <f>IF($D47="","",ROUND(SUMIF($B$9:$B$40,$B47,$J$9:$J$40),2))</f>
        <v/>
      </c>
      <c r="K47" s="33">
        <f>IF($D47="","",ROUND(SUMIF($B$9:$B$40,$B47,$K$9:$K$40),2))</f>
        <v/>
      </c>
      <c r="L47" s="33">
        <f>IF($D47="","",ROUND(SUMIF($B$9:$B$40,$B47,$L$9:$L$40),2))</f>
        <v/>
      </c>
      <c r="N47" s="33">
        <f>IF($D47="","",ROUND(SUMIF($B$9:$B$40,$B47,$N$9:$N$40),2))</f>
        <v/>
      </c>
    </row>
    <row r="48" ht="13.5" customHeight="1">
      <c r="B48" s="58" t="inlineStr">
        <is>
          <t>Concrete Structure</t>
        </is>
      </c>
      <c r="D48" s="33">
        <f>IF(COUNTIF($B$9:$B$40,$B48)=0,"",ROUND(SUMIF($B$9:$B$40,$B48,$D$9:$D$40),2))</f>
        <v/>
      </c>
      <c r="E48" s="52">
        <f>IF(OR($D48="",N(Contract_Sum)=0),"",$D48/Contract_Sum)</f>
        <v/>
      </c>
      <c r="H48" s="52">
        <f>IF(OR($D48="",$D48=0),"",$I48/$D48)</f>
        <v/>
      </c>
      <c r="I48" s="33">
        <f>IF($D48="","",ROUND(SUMIF($B$9:$B$40,$B48,$I$9:$I$40),2))</f>
        <v/>
      </c>
      <c r="J48" s="33">
        <f>IF($D48="","",ROUND(SUMIF($B$9:$B$40,$B48,$J$9:$J$40),2))</f>
        <v/>
      </c>
      <c r="K48" s="33">
        <f>IF($D48="","",ROUND(SUMIF($B$9:$B$40,$B48,$K$9:$K$40),2))</f>
        <v/>
      </c>
      <c r="L48" s="33">
        <f>IF($D48="","",ROUND(SUMIF($B$9:$B$40,$B48,$L$9:$L$40),2))</f>
        <v/>
      </c>
      <c r="N48" s="33">
        <f>IF($D48="","",ROUND(SUMIF($B$9:$B$40,$B48,$N$9:$N$40),2))</f>
        <v/>
      </c>
    </row>
    <row r="49" ht="13.5" customHeight="1">
      <c r="B49" s="58" t="inlineStr">
        <is>
          <t>Structural Steel</t>
        </is>
      </c>
      <c r="D49" s="33">
        <f>IF(COUNTIF($B$9:$B$40,$B49)=0,"",ROUND(SUMIF($B$9:$B$40,$B49,$D$9:$D$40),2))</f>
        <v/>
      </c>
      <c r="E49" s="52">
        <f>IF(OR($D49="",N(Contract_Sum)=0),"",$D49/Contract_Sum)</f>
        <v/>
      </c>
      <c r="H49" s="52">
        <f>IF(OR($D49="",$D49=0),"",$I49/$D49)</f>
        <v/>
      </c>
      <c r="I49" s="33">
        <f>IF($D49="","",ROUND(SUMIF($B$9:$B$40,$B49,$I$9:$I$40),2))</f>
        <v/>
      </c>
      <c r="J49" s="33">
        <f>IF($D49="","",ROUND(SUMIF($B$9:$B$40,$B49,$J$9:$J$40),2))</f>
        <v/>
      </c>
      <c r="K49" s="33">
        <f>IF($D49="","",ROUND(SUMIF($B$9:$B$40,$B49,$K$9:$K$40),2))</f>
        <v/>
      </c>
      <c r="L49" s="33">
        <f>IF($D49="","",ROUND(SUMIF($B$9:$B$40,$B49,$L$9:$L$40),2))</f>
        <v/>
      </c>
      <c r="N49" s="33">
        <f>IF($D49="","",ROUND(SUMIF($B$9:$B$40,$B49,$N$9:$N$40),2))</f>
        <v/>
      </c>
    </row>
    <row r="50" ht="13.5" customHeight="1">
      <c r="B50" s="58" t="inlineStr">
        <is>
          <t>Roofing &amp; Waterproofing</t>
        </is>
      </c>
      <c r="D50" s="33">
        <f>IF(COUNTIF($B$9:$B$40,$B50)=0,"",ROUND(SUMIF($B$9:$B$40,$B50,$D$9:$D$40),2))</f>
        <v/>
      </c>
      <c r="E50" s="52">
        <f>IF(OR($D50="",N(Contract_Sum)=0),"",$D50/Contract_Sum)</f>
        <v/>
      </c>
      <c r="H50" s="52">
        <f>IF(OR($D50="",$D50=0),"",$I50/$D50)</f>
        <v/>
      </c>
      <c r="I50" s="33">
        <f>IF($D50="","",ROUND(SUMIF($B$9:$B$40,$B50,$I$9:$I$40),2))</f>
        <v/>
      </c>
      <c r="J50" s="33">
        <f>IF($D50="","",ROUND(SUMIF($B$9:$B$40,$B50,$J$9:$J$40),2))</f>
        <v/>
      </c>
      <c r="K50" s="33">
        <f>IF($D50="","",ROUND(SUMIF($B$9:$B$40,$B50,$K$9:$K$40),2))</f>
        <v/>
      </c>
      <c r="L50" s="33">
        <f>IF($D50="","",ROUND(SUMIF($B$9:$B$40,$B50,$L$9:$L$40),2))</f>
        <v/>
      </c>
      <c r="N50" s="33">
        <f>IF($D50="","",ROUND(SUMIF($B$9:$B$40,$B50,$N$9:$N$40),2))</f>
        <v/>
      </c>
    </row>
    <row r="51" ht="13.5" customHeight="1">
      <c r="B51" s="58" t="inlineStr">
        <is>
          <t>Façade &amp; Cladding</t>
        </is>
      </c>
      <c r="D51" s="33">
        <f>IF(COUNTIF($B$9:$B$40,$B51)=0,"",ROUND(SUMIF($B$9:$B$40,$B51,$D$9:$D$40),2))</f>
        <v/>
      </c>
      <c r="E51" s="52">
        <f>IF(OR($D51="",N(Contract_Sum)=0),"",$D51/Contract_Sum)</f>
        <v/>
      </c>
      <c r="H51" s="52">
        <f>IF(OR($D51="",$D51=0),"",$I51/$D51)</f>
        <v/>
      </c>
      <c r="I51" s="33">
        <f>IF($D51="","",ROUND(SUMIF($B$9:$B$40,$B51,$I$9:$I$40),2))</f>
        <v/>
      </c>
      <c r="J51" s="33">
        <f>IF($D51="","",ROUND(SUMIF($B$9:$B$40,$B51,$J$9:$J$40),2))</f>
        <v/>
      </c>
      <c r="K51" s="33">
        <f>IF($D51="","",ROUND(SUMIF($B$9:$B$40,$B51,$K$9:$K$40),2))</f>
        <v/>
      </c>
      <c r="L51" s="33">
        <f>IF($D51="","",ROUND(SUMIF($B$9:$B$40,$B51,$L$9:$L$40),2))</f>
        <v/>
      </c>
      <c r="N51" s="33">
        <f>IF($D51="","",ROUND(SUMIF($B$9:$B$40,$B51,$N$9:$N$40),2))</f>
        <v/>
      </c>
    </row>
    <row r="52" ht="13.5" customHeight="1">
      <c r="B52" s="58" t="inlineStr">
        <is>
          <t>Windows &amp; Doors</t>
        </is>
      </c>
      <c r="D52" s="33">
        <f>IF(COUNTIF($B$9:$B$40,$B52)=0,"",ROUND(SUMIF($B$9:$B$40,$B52,$D$9:$D$40),2))</f>
        <v/>
      </c>
      <c r="E52" s="52">
        <f>IF(OR($D52="",N(Contract_Sum)=0),"",$D52/Contract_Sum)</f>
        <v/>
      </c>
      <c r="H52" s="52">
        <f>IF(OR($D52="",$D52=0),"",$I52/$D52)</f>
        <v/>
      </c>
      <c r="I52" s="33">
        <f>IF($D52="","",ROUND(SUMIF($B$9:$B$40,$B52,$I$9:$I$40),2))</f>
        <v/>
      </c>
      <c r="J52" s="33">
        <f>IF($D52="","",ROUND(SUMIF($B$9:$B$40,$B52,$J$9:$J$40),2))</f>
        <v/>
      </c>
      <c r="K52" s="33">
        <f>IF($D52="","",ROUND(SUMIF($B$9:$B$40,$B52,$K$9:$K$40),2))</f>
        <v/>
      </c>
      <c r="L52" s="33">
        <f>IF($D52="","",ROUND(SUMIF($B$9:$B$40,$B52,$L$9:$L$40),2))</f>
        <v/>
      </c>
      <c r="N52" s="33">
        <f>IF($D52="","",ROUND(SUMIF($B$9:$B$40,$B52,$N$9:$N$40),2))</f>
        <v/>
      </c>
    </row>
    <row r="53" ht="13.5" customHeight="1">
      <c r="B53" s="58" t="inlineStr">
        <is>
          <t>Internal Walls &amp; Partitions</t>
        </is>
      </c>
      <c r="D53" s="33">
        <f>IF(COUNTIF($B$9:$B$40,$B53)=0,"",ROUND(SUMIF($B$9:$B$40,$B53,$D$9:$D$40),2))</f>
        <v/>
      </c>
      <c r="E53" s="52">
        <f>IF(OR($D53="",N(Contract_Sum)=0),"",$D53/Contract_Sum)</f>
        <v/>
      </c>
      <c r="H53" s="52">
        <f>IF(OR($D53="",$D53=0),"",$I53/$D53)</f>
        <v/>
      </c>
      <c r="I53" s="33">
        <f>IF($D53="","",ROUND(SUMIF($B$9:$B$40,$B53,$I$9:$I$40),2))</f>
        <v/>
      </c>
      <c r="J53" s="33">
        <f>IF($D53="","",ROUND(SUMIF($B$9:$B$40,$B53,$J$9:$J$40),2))</f>
        <v/>
      </c>
      <c r="K53" s="33">
        <f>IF($D53="","",ROUND(SUMIF($B$9:$B$40,$B53,$K$9:$K$40),2))</f>
        <v/>
      </c>
      <c r="L53" s="33">
        <f>IF($D53="","",ROUND(SUMIF($B$9:$B$40,$B53,$L$9:$L$40),2))</f>
        <v/>
      </c>
      <c r="N53" s="33">
        <f>IF($D53="","",ROUND(SUMIF($B$9:$B$40,$B53,$N$9:$N$40),2))</f>
        <v/>
      </c>
    </row>
    <row r="54" ht="13.5" customHeight="1">
      <c r="B54" s="58" t="inlineStr">
        <is>
          <t>Internal Finishes</t>
        </is>
      </c>
      <c r="D54" s="33">
        <f>IF(COUNTIF($B$9:$B$40,$B54)=0,"",ROUND(SUMIF($B$9:$B$40,$B54,$D$9:$D$40),2))</f>
        <v/>
      </c>
      <c r="E54" s="52">
        <f>IF(OR($D54="",N(Contract_Sum)=0),"",$D54/Contract_Sum)</f>
        <v/>
      </c>
      <c r="H54" s="52">
        <f>IF(OR($D54="",$D54=0),"",$I54/$D54)</f>
        <v/>
      </c>
      <c r="I54" s="33">
        <f>IF($D54="","",ROUND(SUMIF($B$9:$B$40,$B54,$I$9:$I$40),2))</f>
        <v/>
      </c>
      <c r="J54" s="33">
        <f>IF($D54="","",ROUND(SUMIF($B$9:$B$40,$B54,$J$9:$J$40),2))</f>
        <v/>
      </c>
      <c r="K54" s="33">
        <f>IF($D54="","",ROUND(SUMIF($B$9:$B$40,$B54,$K$9:$K$40),2))</f>
        <v/>
      </c>
      <c r="L54" s="33">
        <f>IF($D54="","",ROUND(SUMIF($B$9:$B$40,$B54,$L$9:$L$40),2))</f>
        <v/>
      </c>
      <c r="N54" s="33">
        <f>IF($D54="","",ROUND(SUMIF($B$9:$B$40,$B54,$N$9:$N$40),2))</f>
        <v/>
      </c>
    </row>
    <row r="55" ht="13.5" customHeight="1">
      <c r="B55" s="58" t="inlineStr">
        <is>
          <t>Joinery &amp; Fitout</t>
        </is>
      </c>
      <c r="D55" s="33">
        <f>IF(COUNTIF($B$9:$B$40,$B55)=0,"",ROUND(SUMIF($B$9:$B$40,$B55,$D$9:$D$40),2))</f>
        <v/>
      </c>
      <c r="E55" s="52">
        <f>IF(OR($D55="",N(Contract_Sum)=0),"",$D55/Contract_Sum)</f>
        <v/>
      </c>
      <c r="H55" s="52">
        <f>IF(OR($D55="",$D55=0),"",$I55/$D55)</f>
        <v/>
      </c>
      <c r="I55" s="33">
        <f>IF($D55="","",ROUND(SUMIF($B$9:$B$40,$B55,$I$9:$I$40),2))</f>
        <v/>
      </c>
      <c r="J55" s="33">
        <f>IF($D55="","",ROUND(SUMIF($B$9:$B$40,$B55,$J$9:$J$40),2))</f>
        <v/>
      </c>
      <c r="K55" s="33">
        <f>IF($D55="","",ROUND(SUMIF($B$9:$B$40,$B55,$K$9:$K$40),2))</f>
        <v/>
      </c>
      <c r="L55" s="33">
        <f>IF($D55="","",ROUND(SUMIF($B$9:$B$40,$B55,$L$9:$L$40),2))</f>
        <v/>
      </c>
      <c r="N55" s="33">
        <f>IF($D55="","",ROUND(SUMIF($B$9:$B$40,$B55,$N$9:$N$40),2))</f>
        <v/>
      </c>
    </row>
    <row r="56" ht="13.5" customHeight="1">
      <c r="B56" s="58" t="inlineStr">
        <is>
          <t>Mechanical Services</t>
        </is>
      </c>
      <c r="D56" s="33">
        <f>IF(COUNTIF($B$9:$B$40,$B56)=0,"",ROUND(SUMIF($B$9:$B$40,$B56,$D$9:$D$40),2))</f>
        <v/>
      </c>
      <c r="E56" s="52">
        <f>IF(OR($D56="",N(Contract_Sum)=0),"",$D56/Contract_Sum)</f>
        <v/>
      </c>
      <c r="H56" s="52">
        <f>IF(OR($D56="",$D56=0),"",$I56/$D56)</f>
        <v/>
      </c>
      <c r="I56" s="33">
        <f>IF($D56="","",ROUND(SUMIF($B$9:$B$40,$B56,$I$9:$I$40),2))</f>
        <v/>
      </c>
      <c r="J56" s="33">
        <f>IF($D56="","",ROUND(SUMIF($B$9:$B$40,$B56,$J$9:$J$40),2))</f>
        <v/>
      </c>
      <c r="K56" s="33">
        <f>IF($D56="","",ROUND(SUMIF($B$9:$B$40,$B56,$K$9:$K$40),2))</f>
        <v/>
      </c>
      <c r="L56" s="33">
        <f>IF($D56="","",ROUND(SUMIF($B$9:$B$40,$B56,$L$9:$L$40),2))</f>
        <v/>
      </c>
      <c r="N56" s="33">
        <f>IF($D56="","",ROUND(SUMIF($B$9:$B$40,$B56,$N$9:$N$40),2))</f>
        <v/>
      </c>
    </row>
    <row r="57" ht="13.5" customHeight="1">
      <c r="B57" s="58" t="inlineStr">
        <is>
          <t>Electrical Services</t>
        </is>
      </c>
      <c r="D57" s="33">
        <f>IF(COUNTIF($B$9:$B$40,$B57)=0,"",ROUND(SUMIF($B$9:$B$40,$B57,$D$9:$D$40),2))</f>
        <v/>
      </c>
      <c r="E57" s="52">
        <f>IF(OR($D57="",N(Contract_Sum)=0),"",$D57/Contract_Sum)</f>
        <v/>
      </c>
      <c r="H57" s="52">
        <f>IF(OR($D57="",$D57=0),"",$I57/$D57)</f>
        <v/>
      </c>
      <c r="I57" s="33">
        <f>IF($D57="","",ROUND(SUMIF($B$9:$B$40,$B57,$I$9:$I$40),2))</f>
        <v/>
      </c>
      <c r="J57" s="33">
        <f>IF($D57="","",ROUND(SUMIF($B$9:$B$40,$B57,$J$9:$J$40),2))</f>
        <v/>
      </c>
      <c r="K57" s="33">
        <f>IF($D57="","",ROUND(SUMIF($B$9:$B$40,$B57,$K$9:$K$40),2))</f>
        <v/>
      </c>
      <c r="L57" s="33">
        <f>IF($D57="","",ROUND(SUMIF($B$9:$B$40,$B57,$L$9:$L$40),2))</f>
        <v/>
      </c>
      <c r="N57" s="33">
        <f>IF($D57="","",ROUND(SUMIF($B$9:$B$40,$B57,$N$9:$N$40),2))</f>
        <v/>
      </c>
    </row>
    <row r="58" ht="13.5" customHeight="1">
      <c r="B58" s="58" t="inlineStr">
        <is>
          <t>Hydraulic Services</t>
        </is>
      </c>
      <c r="D58" s="33">
        <f>IF(COUNTIF($B$9:$B$40,$B58)=0,"",ROUND(SUMIF($B$9:$B$40,$B58,$D$9:$D$40),2))</f>
        <v/>
      </c>
      <c r="E58" s="52">
        <f>IF(OR($D58="",N(Contract_Sum)=0),"",$D58/Contract_Sum)</f>
        <v/>
      </c>
      <c r="H58" s="52">
        <f>IF(OR($D58="",$D58=0),"",$I58/$D58)</f>
        <v/>
      </c>
      <c r="I58" s="33">
        <f>IF($D58="","",ROUND(SUMIF($B$9:$B$40,$B58,$I$9:$I$40),2))</f>
        <v/>
      </c>
      <c r="J58" s="33">
        <f>IF($D58="","",ROUND(SUMIF($B$9:$B$40,$B58,$J$9:$J$40),2))</f>
        <v/>
      </c>
      <c r="K58" s="33">
        <f>IF($D58="","",ROUND(SUMIF($B$9:$B$40,$B58,$K$9:$K$40),2))</f>
        <v/>
      </c>
      <c r="L58" s="33">
        <f>IF($D58="","",ROUND(SUMIF($B$9:$B$40,$B58,$L$9:$L$40),2))</f>
        <v/>
      </c>
      <c r="N58" s="33">
        <f>IF($D58="","",ROUND(SUMIF($B$9:$B$40,$B58,$N$9:$N$40),2))</f>
        <v/>
      </c>
    </row>
    <row r="59" ht="13.5" customHeight="1">
      <c r="B59" s="58" t="inlineStr">
        <is>
          <t>Fire Services</t>
        </is>
      </c>
      <c r="D59" s="33">
        <f>IF(COUNTIF($B$9:$B$40,$B59)=0,"",ROUND(SUMIF($B$9:$B$40,$B59,$D$9:$D$40),2))</f>
        <v/>
      </c>
      <c r="E59" s="52">
        <f>IF(OR($D59="",N(Contract_Sum)=0),"",$D59/Contract_Sum)</f>
        <v/>
      </c>
      <c r="H59" s="52">
        <f>IF(OR($D59="",$D59=0),"",$I59/$D59)</f>
        <v/>
      </c>
      <c r="I59" s="33">
        <f>IF($D59="","",ROUND(SUMIF($B$9:$B$40,$B59,$I$9:$I$40),2))</f>
        <v/>
      </c>
      <c r="J59" s="33">
        <f>IF($D59="","",ROUND(SUMIF($B$9:$B$40,$B59,$J$9:$J$40),2))</f>
        <v/>
      </c>
      <c r="K59" s="33">
        <f>IF($D59="","",ROUND(SUMIF($B$9:$B$40,$B59,$K$9:$K$40),2))</f>
        <v/>
      </c>
      <c r="L59" s="33">
        <f>IF($D59="","",ROUND(SUMIF($B$9:$B$40,$B59,$L$9:$L$40),2))</f>
        <v/>
      </c>
      <c r="N59" s="33">
        <f>IF($D59="","",ROUND(SUMIF($B$9:$B$40,$B59,$N$9:$N$40),2))</f>
        <v/>
      </c>
    </row>
    <row r="60" ht="13.5" customHeight="1">
      <c r="B60" s="58" t="inlineStr">
        <is>
          <t>Vertical Transportation</t>
        </is>
      </c>
      <c r="D60" s="33">
        <f>IF(COUNTIF($B$9:$B$40,$B60)=0,"",ROUND(SUMIF($B$9:$B$40,$B60,$D$9:$D$40),2))</f>
        <v/>
      </c>
      <c r="E60" s="52">
        <f>IF(OR($D60="",N(Contract_Sum)=0),"",$D60/Contract_Sum)</f>
        <v/>
      </c>
      <c r="H60" s="52">
        <f>IF(OR($D60="",$D60=0),"",$I60/$D60)</f>
        <v/>
      </c>
      <c r="I60" s="33">
        <f>IF($D60="","",ROUND(SUMIF($B$9:$B$40,$B60,$I$9:$I$40),2))</f>
        <v/>
      </c>
      <c r="J60" s="33">
        <f>IF($D60="","",ROUND(SUMIF($B$9:$B$40,$B60,$J$9:$J$40),2))</f>
        <v/>
      </c>
      <c r="K60" s="33">
        <f>IF($D60="","",ROUND(SUMIF($B$9:$B$40,$B60,$K$9:$K$40),2))</f>
        <v/>
      </c>
      <c r="L60" s="33">
        <f>IF($D60="","",ROUND(SUMIF($B$9:$B$40,$B60,$L$9:$L$40),2))</f>
        <v/>
      </c>
      <c r="N60" s="33">
        <f>IF($D60="","",ROUND(SUMIF($B$9:$B$40,$B60,$N$9:$N$40),2))</f>
        <v/>
      </c>
    </row>
    <row r="61" ht="13.5" customHeight="1">
      <c r="B61" s="58" t="inlineStr">
        <is>
          <t>External Works &amp; Landscaping</t>
        </is>
      </c>
      <c r="D61" s="33">
        <f>IF(COUNTIF($B$9:$B$40,$B61)=0,"",ROUND(SUMIF($B$9:$B$40,$B61,$D$9:$D$40),2))</f>
        <v/>
      </c>
      <c r="E61" s="52">
        <f>IF(OR($D61="",N(Contract_Sum)=0),"",$D61/Contract_Sum)</f>
        <v/>
      </c>
      <c r="H61" s="52">
        <f>IF(OR($D61="",$D61=0),"",$I61/$D61)</f>
        <v/>
      </c>
      <c r="I61" s="33">
        <f>IF($D61="","",ROUND(SUMIF($B$9:$B$40,$B61,$I$9:$I$40),2))</f>
        <v/>
      </c>
      <c r="J61" s="33">
        <f>IF($D61="","",ROUND(SUMIF($B$9:$B$40,$B61,$J$9:$J$40),2))</f>
        <v/>
      </c>
      <c r="K61" s="33">
        <f>IF($D61="","",ROUND(SUMIF($B$9:$B$40,$B61,$K$9:$K$40),2))</f>
        <v/>
      </c>
      <c r="L61" s="33">
        <f>IF($D61="","",ROUND(SUMIF($B$9:$B$40,$B61,$L$9:$L$40),2))</f>
        <v/>
      </c>
      <c r="N61" s="33">
        <f>IF($D61="","",ROUND(SUMIF($B$9:$B$40,$B61,$N$9:$N$40),2))</f>
        <v/>
      </c>
    </row>
    <row r="62" ht="13.5" customHeight="1">
      <c r="B62" s="58" t="inlineStr">
        <is>
          <t>Commissioning &amp; Handover</t>
        </is>
      </c>
      <c r="D62" s="33">
        <f>IF(COUNTIF($B$9:$B$40,$B62)=0,"",ROUND(SUMIF($B$9:$B$40,$B62,$D$9:$D$40),2))</f>
        <v/>
      </c>
      <c r="E62" s="52">
        <f>IF(OR($D62="",N(Contract_Sum)=0),"",$D62/Contract_Sum)</f>
        <v/>
      </c>
      <c r="H62" s="52">
        <f>IF(OR($D62="",$D62=0),"",$I62/$D62)</f>
        <v/>
      </c>
      <c r="I62" s="33">
        <f>IF($D62="","",ROUND(SUMIF($B$9:$B$40,$B62,$I$9:$I$40),2))</f>
        <v/>
      </c>
      <c r="J62" s="33">
        <f>IF($D62="","",ROUND(SUMIF($B$9:$B$40,$B62,$J$9:$J$40),2))</f>
        <v/>
      </c>
      <c r="K62" s="33">
        <f>IF($D62="","",ROUND(SUMIF($B$9:$B$40,$B62,$K$9:$K$40),2))</f>
        <v/>
      </c>
      <c r="L62" s="33">
        <f>IF($D62="","",ROUND(SUMIF($B$9:$B$40,$B62,$L$9:$L$40),2))</f>
        <v/>
      </c>
      <c r="N62" s="33">
        <f>IF($D62="","",ROUND(SUMIF($B$9:$B$40,$B62,$N$9:$N$40),2))</f>
        <v/>
      </c>
    </row>
    <row r="63" ht="18" customHeight="1">
      <c r="A63" s="56" t="n"/>
      <c r="B63" s="36" t="inlineStr">
        <is>
          <t>SUBTOTALS — must equal the grand total above</t>
        </is>
      </c>
      <c r="C63" s="56" t="n"/>
      <c r="D63" s="37">
        <f>ROUND(SUM($D$45:$D$62),2)</f>
        <v/>
      </c>
      <c r="E63" s="56" t="n"/>
      <c r="F63" s="56" t="n"/>
      <c r="G63" s="56" t="n"/>
      <c r="H63" s="56" t="n"/>
      <c r="I63" s="37">
        <f>ROUND(SUM($I$45:$I$62),2)</f>
        <v/>
      </c>
      <c r="J63" s="37">
        <f>ROUND(SUM($J$45:$J$62),2)</f>
        <v/>
      </c>
      <c r="K63" s="37">
        <f>ROUND(SUM($K$45:$K$62),2)</f>
        <v/>
      </c>
      <c r="L63" s="37">
        <f>ROUND(SUM($L$45:$L$62),2)</f>
        <v/>
      </c>
      <c r="M63" s="56" t="n"/>
      <c r="N63" s="37">
        <f>ROUND(SUM($N$45:$N$62),2)</f>
        <v/>
      </c>
      <c r="O63" s="34">
        <f>IF(ABS(N($D$63)-N($D$41))&lt;0.5,"TIES","CHECK")</f>
        <v/>
      </c>
      <c r="P63" s="56" t="n"/>
    </row>
    <row r="65" ht="12.75" customHeight="1">
      <c r="A65" s="17" t="inlineStr">
        <is>
          <t>Visit mastt.com</t>
        </is>
      </c>
      <c r="B65" s="18" t="n"/>
      <c r="C65" s="18" t="n"/>
      <c r="D65" s="18" t="n"/>
      <c r="E65" s="18" t="n"/>
      <c r="F65" s="18" t="n"/>
      <c r="G65" s="18" t="n"/>
      <c r="H65" s="18" t="n"/>
      <c r="I65" s="18" t="n"/>
      <c r="J65" s="18" t="n"/>
      <c r="K65" s="18" t="n"/>
      <c r="L65" s="18" t="n"/>
      <c r="M65" s="18" t="n"/>
      <c r="N65" s="18" t="n"/>
      <c r="O65" s="18" t="n"/>
      <c r="P65" s="18" t="n"/>
    </row>
  </sheetData>
  <sheetProtection selectLockedCells="0" selectUnlockedCells="0" sheet="1" objects="0" insertRows="0" insertHyperlinks="1" autoFilter="0" scenarios="0" formatColumns="0" deleteColumns="1" insertColumns="0" pivotTables="1" deleteRows="0" formatCells="0" formatRows="0" sort="0"/>
  <autoFilter ref="A8:P40"/>
  <mergeCells count="5">
    <mergeCell ref="C3:P3"/>
    <mergeCell ref="C2:P2"/>
    <mergeCell ref="J7:P7"/>
    <mergeCell ref="A65:P65"/>
    <mergeCell ref="A43:P43"/>
  </mergeCells>
  <conditionalFormatting sqref="G9:G40">
    <cfRule type="expression" priority="1" dxfId="0" stopIfTrue="0">
      <formula>=AND($G9&lt;&gt;"",N($G9)&lt;0)</formula>
    </cfRule>
  </conditionalFormatting>
  <conditionalFormatting sqref="H9:H40">
    <cfRule type="expression" priority="2" dxfId="0" stopIfTrue="0">
      <formula>=AND($H9&lt;&gt;"",N($H9)&gt;1.0001)</formula>
    </cfRule>
  </conditionalFormatting>
  <conditionalFormatting sqref="K9:K40">
    <cfRule type="expression" priority="3" dxfId="1" stopIfTrue="0">
      <formula>=AND($D9&lt;&gt;"",N($K9)&gt;N($D9)-N($J9)+0.005)</formula>
    </cfRule>
  </conditionalFormatting>
  <conditionalFormatting sqref="O9:O40">
    <cfRule type="expression" priority="4" dxfId="2" stopIfTrue="0">
      <formula>$O9="Complete"</formula>
    </cfRule>
    <cfRule type="expression" priority="5" dxfId="3" stopIfTrue="0">
      <formula>$O9="In progress"</formula>
    </cfRule>
    <cfRule type="expression" priority="6" dxfId="4" stopIfTrue="0">
      <formula>$O9="On hold"</formula>
    </cfRule>
    <cfRule type="expression" priority="7" dxfId="5" stopIfTrue="0">
      <formula>$O9="Not started"</formula>
    </cfRule>
    <cfRule type="expression" priority="8" dxfId="6" stopIfTrue="0">
      <formula>$O9="Superseded"</formula>
    </cfRule>
  </conditionalFormatting>
  <dataValidations count="3">
    <dataValidation sqref="B9:B40" showDropDown="0" showInputMessage="0" showErrorMessage="1" allowBlank="1" errorTitle="Invalid entry" error="Choose a value from the drop-down list." type="list">
      <formula1>Lists!$B$26:$B$43</formula1>
    </dataValidation>
    <dataValidation sqref="O9:O40" showDropDown="0" showInputMessage="0" showErrorMessage="1" allowBlank="1" errorTitle="Invalid entry" error="Choose a value from the drop-down list." type="list">
      <formula1>Lists!$C$26:$C$30</formula1>
    </dataValidation>
    <dataValidation sqref="D9:D40" showDropDown="0" showInputMessage="0" showErrorMessage="1" allowBlank="1" errorTitle="Invalid entry" error="Enter a number." type="decimal" operator="greaterThanOrEqual">
      <formula1>0</formula1>
    </dataValidation>
  </dataValidations>
  <hyperlinks>
    <hyperlink xmlns:r="http://schemas.openxmlformats.org/officeDocument/2006/relationships" ref="A2" r:id="rId1"/>
    <hyperlink xmlns:r="http://schemas.openxmlformats.org/officeDocument/2006/relationships" ref="A65" r:id="rId2"/>
  </hyperlinks>
  <pageMargins left="0.3" right="0.3" top="0.4" bottom="0.4" header="0.2" footer="0.2"/>
  <pageSetup orientation="landscape" paperSize="9" fitToHeight="0" fitToWidth="1"/>
  <drawing xmlns:r="http://schemas.openxmlformats.org/officeDocument/2006/relationships" r:id="rId3"/>
</worksheet>
</file>

<file path=xl/worksheets/sheet4.xml><?xml version="1.0" encoding="utf-8"?>
<worksheet xmlns="http://schemas.openxmlformats.org/spreadsheetml/2006/main">
  <sheetPr>
    <outlinePr summaryBelow="1" summaryRight="1"/>
    <pageSetUpPr fitToPage="1"/>
  </sheetPr>
  <dimension ref="A2:M40"/>
  <sheetViews>
    <sheetView showGridLines="0" zoomScale="100" workbookViewId="0">
      <pane xSplit="2" ySplit="8" topLeftCell="C9" activePane="bottomRight" state="frozen"/>
      <selection pane="topRight"/>
      <selection pane="bottomLeft"/>
      <selection pane="bottomRight" activeCell="A1" sqref="A1"/>
    </sheetView>
  </sheetViews>
  <sheetFormatPr baseColWidth="8" defaultRowHeight="15"/>
  <cols>
    <col width="14" customWidth="1" min="1" max="1"/>
    <col width="34" customWidth="1" min="2" max="2"/>
    <col width="18" customWidth="1" min="3" max="3"/>
    <col width="13" customWidth="1" min="4" max="4"/>
    <col width="13" customWidth="1" min="5" max="5"/>
    <col width="17" customWidth="1" min="6" max="6"/>
    <col width="15" customWidth="1" min="7" max="7"/>
    <col width="15" customWidth="1" min="8" max="8"/>
    <col width="12" customWidth="1" min="9" max="9"/>
    <col width="15" customWidth="1" min="10" max="10"/>
    <col width="11" customWidth="1" min="11" max="11"/>
    <col width="28" customWidth="1" min="12" max="12"/>
    <col width="30" customWidth="1" min="13" max="13"/>
  </cols>
  <sheetData>
    <row r="1" ht="3.75" customHeight="1"/>
    <row r="2" ht="27.75" customHeight="1">
      <c r="A2" s="1" t="inlineStr">
        <is>
          <t xml:space="preserve"> </t>
        </is>
      </c>
      <c r="B2" s="2" t="n"/>
      <c r="C2" s="3" t="inlineStr">
        <is>
          <t>Construction Billing Invoice</t>
        </is>
      </c>
    </row>
    <row r="3" ht="12.75" customHeight="1">
      <c r="A3" s="2" t="n"/>
      <c r="B3" s="2" t="n"/>
      <c r="C3" s="4" t="inlineStr">
        <is>
          <t>Variations &amp; Claims  ·  only variations with a status of “Approved” are picked up by the invoice — SUMIFS does the filtering</t>
        </is>
      </c>
    </row>
    <row r="4" ht="6" customHeight="1"/>
    <row r="7" ht="15" customHeight="1">
      <c r="A7" s="47">
        <f>IF(Proj_Name="","Project: —  |  complete the Cover sheet","Project:  "&amp;Proj_Name&amp;IF(Proj_Number="",""," · "&amp;Proj_Number))</f>
        <v/>
      </c>
      <c r="G7" s="48" t="inlineStr">
        <is>
          <t>Shaded cells = your input.   Tinted cells = auto-calculated, do not type over them.</t>
        </is>
      </c>
    </row>
    <row r="8" ht="34" customHeight="1">
      <c r="A8" s="49" t="inlineStr">
        <is>
          <t>Ref</t>
        </is>
      </c>
      <c r="B8" s="49" t="inlineStr">
        <is>
          <t>Description of Variation</t>
        </is>
      </c>
      <c r="C8" s="49" t="inlineStr">
        <is>
          <t>Originator</t>
        </is>
      </c>
      <c r="D8" s="50" t="inlineStr">
        <is>
          <t>Date Submitted</t>
        </is>
      </c>
      <c r="E8" s="50" t="inlineStr">
        <is>
          <t>Date Approved</t>
        </is>
      </c>
      <c r="F8" s="49" t="inlineStr">
        <is>
          <t>Status</t>
        </is>
      </c>
      <c r="G8" s="50" t="inlineStr">
        <is>
          <t>Value Approved</t>
        </is>
      </c>
      <c r="H8" s="50" t="inlineStr">
        <is>
          <t>Value Claimed Previously</t>
        </is>
      </c>
      <c r="I8" s="50" t="inlineStr">
        <is>
          <t>% Complete This Period</t>
        </is>
      </c>
      <c r="J8" s="50" t="inlineStr">
        <is>
          <t>Value This Period</t>
        </is>
      </c>
      <c r="K8" s="50" t="inlineStr">
        <is>
          <t>Time Impact (days)</t>
        </is>
      </c>
      <c r="L8" s="49" t="inlineStr">
        <is>
          <t>Contract Reference</t>
        </is>
      </c>
      <c r="M8" s="49" t="inlineStr">
        <is>
          <t>Notes</t>
        </is>
      </c>
    </row>
    <row r="9" ht="13.5" customHeight="1">
      <c r="A9" s="23" t="inlineStr">
        <is>
          <t>VO-001</t>
        </is>
      </c>
      <c r="B9" s="23" t="inlineStr">
        <is>
          <t>Additional in-ground services diversion — Telstra &amp; water main</t>
        </is>
      </c>
      <c r="C9" s="23" t="inlineStr">
        <is>
          <t>Client</t>
        </is>
      </c>
      <c r="D9" s="59" t="n">
        <v>46093</v>
      </c>
      <c r="E9" s="59" t="n">
        <v>46108</v>
      </c>
      <c r="F9" s="23" t="inlineStr">
        <is>
          <t>Approved</t>
        </is>
      </c>
      <c r="G9" s="51" t="n">
        <v>148500</v>
      </c>
      <c r="H9" s="53" t="n">
        <v>0.9</v>
      </c>
      <c r="I9" s="53" t="n">
        <v>0.1</v>
      </c>
      <c r="J9" s="33">
        <f>IF($G9="","",IF($F9&lt;&gt;"Approved",0,ROUND($G9*N($I9),2)))</f>
        <v/>
      </c>
      <c r="K9" s="60" t="n">
        <v>0</v>
      </c>
      <c r="L9" s="23" t="inlineStr">
        <is>
          <t>Clause 36.1 — Superintendent's Instruction SI-018</t>
        </is>
      </c>
      <c r="M9" s="23" t="inlineStr">
        <is>
          <t>EXAMPLE — delete before use</t>
        </is>
      </c>
    </row>
    <row r="10" ht="13.5" customHeight="1">
      <c r="A10" s="23" t="inlineStr">
        <is>
          <t>VO-002</t>
        </is>
      </c>
      <c r="B10" s="23" t="inlineStr">
        <is>
          <t>Upgrade to Level 3 lift lobby finishes (client-elected)</t>
        </is>
      </c>
      <c r="C10" s="23" t="inlineStr">
        <is>
          <t>Client</t>
        </is>
      </c>
      <c r="D10" s="59" t="n">
        <v>46114</v>
      </c>
      <c r="E10" s="59" t="n">
        <v>46133</v>
      </c>
      <c r="F10" s="23" t="inlineStr">
        <is>
          <t>Approved</t>
        </is>
      </c>
      <c r="G10" s="51" t="n">
        <v>96200</v>
      </c>
      <c r="H10" s="53" t="n">
        <v>0.4</v>
      </c>
      <c r="I10" s="53" t="n">
        <v>0.25</v>
      </c>
      <c r="J10" s="33">
        <f>IF($G10="","",IF($F10&lt;&gt;"Approved",0,ROUND($G10*N($I10),2)))</f>
        <v/>
      </c>
      <c r="K10" s="60" t="n">
        <v>5</v>
      </c>
      <c r="L10" s="23" t="inlineStr">
        <is>
          <t>SI-024 / Design Change Notice DCN-07</t>
        </is>
      </c>
      <c r="M10" s="23" t="inlineStr">
        <is>
          <t>EXAMPLE — delete before use</t>
        </is>
      </c>
    </row>
    <row r="11" ht="13.5" customHeight="1">
      <c r="A11" s="23" t="inlineStr">
        <is>
          <t>VO-003</t>
        </is>
      </c>
      <c r="B11" s="23" t="inlineStr">
        <is>
          <t>Latent condition — rock removal at pile locations P12–P19</t>
        </is>
      </c>
      <c r="C11" s="23" t="inlineStr">
        <is>
          <t>Contractor</t>
        </is>
      </c>
      <c r="D11" s="59" t="n">
        <v>46130</v>
      </c>
      <c r="E11" s="59" t="n">
        <v>46148</v>
      </c>
      <c r="F11" s="23" t="inlineStr">
        <is>
          <t>Approved</t>
        </is>
      </c>
      <c r="G11" s="51" t="n">
        <v>212750</v>
      </c>
      <c r="H11" s="53" t="n">
        <v>1</v>
      </c>
      <c r="I11" s="53" t="n">
        <v>0</v>
      </c>
      <c r="J11" s="33">
        <f>IF($G11="","",IF($F11&lt;&gt;"Approved",0,ROUND($G11*N($I11),2)))</f>
        <v/>
      </c>
      <c r="K11" s="60" t="n">
        <v>14</v>
      </c>
      <c r="L11" s="23" t="inlineStr">
        <is>
          <t>Clause 25 — Latent Conditions</t>
        </is>
      </c>
      <c r="M11" s="23" t="inlineStr">
        <is>
          <t>EXAMPLE — delete before use</t>
        </is>
      </c>
    </row>
    <row r="12" ht="13.5" customHeight="1">
      <c r="A12" s="23" t="inlineStr">
        <is>
          <t>VO-004</t>
        </is>
      </c>
      <c r="B12" s="23" t="inlineStr">
        <is>
          <t>Substitution of façade spandrel panel to alternative supplier</t>
        </is>
      </c>
      <c r="C12" s="23" t="inlineStr">
        <is>
          <t>Contractor</t>
        </is>
      </c>
      <c r="D12" s="59" t="n">
        <v>46171</v>
      </c>
      <c r="E12" s="59" t="n">
        <v>46190</v>
      </c>
      <c r="F12" s="23" t="inlineStr">
        <is>
          <t>Approved</t>
        </is>
      </c>
      <c r="G12" s="51" t="n">
        <v>-38400</v>
      </c>
      <c r="H12" s="53" t="n">
        <v>0.5</v>
      </c>
      <c r="I12" s="53" t="n">
        <v>0.5</v>
      </c>
      <c r="J12" s="33">
        <f>IF($G12="","",IF($F12&lt;&gt;"Approved",0,ROUND($G12*N($I12),2)))</f>
        <v/>
      </c>
      <c r="K12" s="60" t="n">
        <v>0</v>
      </c>
      <c r="L12" s="23" t="inlineStr">
        <is>
          <t>Value engineering proposal VEP-03 (credit)</t>
        </is>
      </c>
      <c r="M12" s="23" t="inlineStr">
        <is>
          <t>EXAMPLE — delete before use</t>
        </is>
      </c>
    </row>
    <row r="13" ht="13.5" customHeight="1">
      <c r="A13" s="23" t="inlineStr">
        <is>
          <t>VO-005</t>
        </is>
      </c>
      <c r="B13" s="23" t="inlineStr">
        <is>
          <t>Additional mechanical plant for tenancy fitout provision</t>
        </is>
      </c>
      <c r="C13" s="23" t="inlineStr">
        <is>
          <t>Client</t>
        </is>
      </c>
      <c r="D13" s="59" t="n">
        <v>46197</v>
      </c>
      <c r="E13" s="59" t="n"/>
      <c r="F13" s="23" t="inlineStr">
        <is>
          <t>Under assessment</t>
        </is>
      </c>
      <c r="G13" s="51" t="n">
        <v>174900</v>
      </c>
      <c r="H13" s="53" t="n">
        <v>0</v>
      </c>
      <c r="I13" s="53" t="n">
        <v>0</v>
      </c>
      <c r="J13" s="33">
        <f>IF($G13="","",IF($F13&lt;&gt;"Approved",0,ROUND($G13*N($I13),2)))</f>
        <v/>
      </c>
      <c r="K13" s="60" t="n">
        <v>10</v>
      </c>
      <c r="L13" s="23" t="inlineStr">
        <is>
          <t>SI-031 — priced, awaiting determination</t>
        </is>
      </c>
      <c r="M13" s="23" t="inlineStr">
        <is>
          <t>EXAMPLE — delete before use</t>
        </is>
      </c>
    </row>
    <row r="14" ht="13.5" customHeight="1">
      <c r="A14" s="23" t="inlineStr">
        <is>
          <t>VO-006</t>
        </is>
      </c>
      <c r="B14" s="23" t="inlineStr">
        <is>
          <t>Acceleration of façade programme to recover 3 weeks</t>
        </is>
      </c>
      <c r="C14" s="23" t="inlineStr">
        <is>
          <t>Client</t>
        </is>
      </c>
      <c r="D14" s="59" t="n">
        <v>46212</v>
      </c>
      <c r="E14" s="59" t="n"/>
      <c r="F14" s="23" t="inlineStr">
        <is>
          <t>Submitted</t>
        </is>
      </c>
      <c r="G14" s="51" t="n">
        <v>265000</v>
      </c>
      <c r="H14" s="53" t="n">
        <v>0</v>
      </c>
      <c r="I14" s="53" t="n">
        <v>0</v>
      </c>
      <c r="J14" s="33">
        <f>IF($G14="","",IF($F14&lt;&gt;"Approved",0,ROUND($G14*N($I14),2)))</f>
        <v/>
      </c>
      <c r="K14" s="60" t="n">
        <v>-15</v>
      </c>
      <c r="L14" s="23" t="inlineStr">
        <is>
          <t>Clause 34.5 — acceleration direction pending</t>
        </is>
      </c>
      <c r="M14" s="23" t="inlineStr">
        <is>
          <t>EXAMPLE — delete before use</t>
        </is>
      </c>
    </row>
    <row r="15" ht="13.5" customHeight="1">
      <c r="A15" s="23" t="inlineStr">
        <is>
          <t>VO-007</t>
        </is>
      </c>
      <c r="B15" s="23" t="inlineStr">
        <is>
          <t>Rework of Level 2 slab set-down — defective survey</t>
        </is>
      </c>
      <c r="C15" s="23" t="inlineStr">
        <is>
          <t>Client</t>
        </is>
      </c>
      <c r="D15" s="59" t="n">
        <v>46218</v>
      </c>
      <c r="E15" s="59" t="n"/>
      <c r="F15" s="23" t="inlineStr">
        <is>
          <t>Disputed</t>
        </is>
      </c>
      <c r="G15" s="51" t="n">
        <v>41800</v>
      </c>
      <c r="H15" s="53" t="n">
        <v>0</v>
      </c>
      <c r="I15" s="53" t="n">
        <v>0</v>
      </c>
      <c r="J15" s="33">
        <f>IF($G15="","",IF($F15&lt;&gt;"Approved",0,ROUND($G15*N($I15),2)))</f>
        <v/>
      </c>
      <c r="K15" s="60" t="n">
        <v>3</v>
      </c>
      <c r="L15" s="23" t="inlineStr">
        <is>
          <t>Liability in dispute — see correspondence L-221</t>
        </is>
      </c>
      <c r="M15" s="23" t="inlineStr">
        <is>
          <t>EXAMPLE — delete before use</t>
        </is>
      </c>
    </row>
    <row r="16" ht="13.5" customHeight="1">
      <c r="A16" s="23" t="inlineStr">
        <is>
          <t>VO-008</t>
        </is>
      </c>
      <c r="B16" s="23" t="inlineStr">
        <is>
          <t>Additional landscaping to eastern boundary</t>
        </is>
      </c>
      <c r="C16" s="23" t="inlineStr">
        <is>
          <t>Client</t>
        </is>
      </c>
      <c r="D16" s="59" t="n">
        <v>46237</v>
      </c>
      <c r="E16" s="59" t="n"/>
      <c r="F16" s="23" t="inlineStr">
        <is>
          <t>Withdrawn</t>
        </is>
      </c>
      <c r="G16" s="51" t="n">
        <v>58000</v>
      </c>
      <c r="H16" s="53" t="n">
        <v>0</v>
      </c>
      <c r="I16" s="53" t="n">
        <v>0</v>
      </c>
      <c r="J16" s="33">
        <f>IF($G16="","",IF($F16&lt;&gt;"Approved",0,ROUND($G16*N($I16),2)))</f>
        <v/>
      </c>
      <c r="K16" s="60" t="n">
        <v>0</v>
      </c>
      <c r="L16" s="23" t="inlineStr">
        <is>
          <t>Withdrawn by the client 12-Aug-26</t>
        </is>
      </c>
      <c r="M16" s="23" t="inlineStr">
        <is>
          <t>EXAMPLE — delete before use</t>
        </is>
      </c>
    </row>
    <row r="17" ht="13.5" customHeight="1">
      <c r="A17" s="15" t="n"/>
      <c r="B17" s="15" t="n"/>
      <c r="C17" s="15" t="n"/>
      <c r="D17" s="14" t="n"/>
      <c r="E17" s="14" t="n"/>
      <c r="F17" s="15" t="n"/>
      <c r="G17" s="55" t="n"/>
      <c r="H17" s="54" t="n"/>
      <c r="I17" s="54" t="n"/>
      <c r="J17" s="33">
        <f>IF($G17="","",IF($F17&lt;&gt;"Approved",0,ROUND($G17*N($I17),2)))</f>
        <v/>
      </c>
      <c r="K17" s="61" t="n"/>
      <c r="L17" s="15" t="n"/>
      <c r="M17" s="15" t="n"/>
    </row>
    <row r="18" ht="13.5" customHeight="1">
      <c r="A18" s="15" t="n"/>
      <c r="B18" s="15" t="n"/>
      <c r="C18" s="15" t="n"/>
      <c r="D18" s="14" t="n"/>
      <c r="E18" s="14" t="n"/>
      <c r="F18" s="15" t="n"/>
      <c r="G18" s="55" t="n"/>
      <c r="H18" s="54" t="n"/>
      <c r="I18" s="54" t="n"/>
      <c r="J18" s="33">
        <f>IF($G18="","",IF($F18&lt;&gt;"Approved",0,ROUND($G18*N($I18),2)))</f>
        <v/>
      </c>
      <c r="K18" s="61" t="n"/>
      <c r="L18" s="15" t="n"/>
      <c r="M18" s="15" t="n"/>
    </row>
    <row r="19" ht="13.5" customHeight="1">
      <c r="A19" s="15" t="n"/>
      <c r="B19" s="15" t="n"/>
      <c r="C19" s="15" t="n"/>
      <c r="D19" s="14" t="n"/>
      <c r="E19" s="14" t="n"/>
      <c r="F19" s="15" t="n"/>
      <c r="G19" s="55" t="n"/>
      <c r="H19" s="54" t="n"/>
      <c r="I19" s="54" t="n"/>
      <c r="J19" s="33">
        <f>IF($G19="","",IF($F19&lt;&gt;"Approved",0,ROUND($G19*N($I19),2)))</f>
        <v/>
      </c>
      <c r="K19" s="61" t="n"/>
      <c r="L19" s="15" t="n"/>
      <c r="M19" s="15" t="n"/>
    </row>
    <row r="20" ht="13.5" customHeight="1">
      <c r="A20" s="15" t="n"/>
      <c r="B20" s="15" t="n"/>
      <c r="C20" s="15" t="n"/>
      <c r="D20" s="14" t="n"/>
      <c r="E20" s="14" t="n"/>
      <c r="F20" s="15" t="n"/>
      <c r="G20" s="55" t="n"/>
      <c r="H20" s="54" t="n"/>
      <c r="I20" s="54" t="n"/>
      <c r="J20" s="33">
        <f>IF($G20="","",IF($F20&lt;&gt;"Approved",0,ROUND($G20*N($I20),2)))</f>
        <v/>
      </c>
      <c r="K20" s="61" t="n"/>
      <c r="L20" s="15" t="n"/>
      <c r="M20" s="15" t="n"/>
    </row>
    <row r="21" ht="13.5" customHeight="1">
      <c r="A21" s="15" t="n"/>
      <c r="B21" s="15" t="n"/>
      <c r="C21" s="15" t="n"/>
      <c r="D21" s="14" t="n"/>
      <c r="E21" s="14" t="n"/>
      <c r="F21" s="15" t="n"/>
      <c r="G21" s="55" t="n"/>
      <c r="H21" s="54" t="n"/>
      <c r="I21" s="54" t="n"/>
      <c r="J21" s="33">
        <f>IF($G21="","",IF($F21&lt;&gt;"Approved",0,ROUND($G21*N($I21),2)))</f>
        <v/>
      </c>
      <c r="K21" s="61" t="n"/>
      <c r="L21" s="15" t="n"/>
      <c r="M21" s="15" t="n"/>
    </row>
    <row r="22" ht="13.5" customHeight="1">
      <c r="A22" s="15" t="n"/>
      <c r="B22" s="15" t="n"/>
      <c r="C22" s="15" t="n"/>
      <c r="D22" s="14" t="n"/>
      <c r="E22" s="14" t="n"/>
      <c r="F22" s="15" t="n"/>
      <c r="G22" s="55" t="n"/>
      <c r="H22" s="54" t="n"/>
      <c r="I22" s="54" t="n"/>
      <c r="J22" s="33">
        <f>IF($G22="","",IF($F22&lt;&gt;"Approved",0,ROUND($G22*N($I22),2)))</f>
        <v/>
      </c>
      <c r="K22" s="61" t="n"/>
      <c r="L22" s="15" t="n"/>
      <c r="M22" s="15" t="n"/>
    </row>
    <row r="23" ht="13.5" customHeight="1">
      <c r="A23" s="15" t="n"/>
      <c r="B23" s="15" t="n"/>
      <c r="C23" s="15" t="n"/>
      <c r="D23" s="14" t="n"/>
      <c r="E23" s="14" t="n"/>
      <c r="F23" s="15" t="n"/>
      <c r="G23" s="55" t="n"/>
      <c r="H23" s="54" t="n"/>
      <c r="I23" s="54" t="n"/>
      <c r="J23" s="33">
        <f>IF($G23="","",IF($F23&lt;&gt;"Approved",0,ROUND($G23*N($I23),2)))</f>
        <v/>
      </c>
      <c r="K23" s="61" t="n"/>
      <c r="L23" s="15" t="n"/>
      <c r="M23" s="15" t="n"/>
    </row>
    <row r="24" ht="13.5" customHeight="1">
      <c r="A24" s="15" t="n"/>
      <c r="B24" s="15" t="n"/>
      <c r="C24" s="15" t="n"/>
      <c r="D24" s="14" t="n"/>
      <c r="E24" s="14" t="n"/>
      <c r="F24" s="15" t="n"/>
      <c r="G24" s="55" t="n"/>
      <c r="H24" s="54" t="n"/>
      <c r="I24" s="54" t="n"/>
      <c r="J24" s="33">
        <f>IF($G24="","",IF($F24&lt;&gt;"Approved",0,ROUND($G24*N($I24),2)))</f>
        <v/>
      </c>
      <c r="K24" s="61" t="n"/>
      <c r="L24" s="15" t="n"/>
      <c r="M24" s="15" t="n"/>
    </row>
    <row r="25" ht="13.5" customHeight="1">
      <c r="A25" s="15" t="n"/>
      <c r="B25" s="15" t="n"/>
      <c r="C25" s="15" t="n"/>
      <c r="D25" s="14" t="n"/>
      <c r="E25" s="14" t="n"/>
      <c r="F25" s="15" t="n"/>
      <c r="G25" s="55" t="n"/>
      <c r="H25" s="54" t="n"/>
      <c r="I25" s="54" t="n"/>
      <c r="J25" s="33">
        <f>IF($G25="","",IF($F25&lt;&gt;"Approved",0,ROUND($G25*N($I25),2)))</f>
        <v/>
      </c>
      <c r="K25" s="61" t="n"/>
      <c r="L25" s="15" t="n"/>
      <c r="M25" s="15" t="n"/>
    </row>
    <row r="26" ht="13.5" customHeight="1">
      <c r="A26" s="15" t="n"/>
      <c r="B26" s="15" t="n"/>
      <c r="C26" s="15" t="n"/>
      <c r="D26" s="14" t="n"/>
      <c r="E26" s="14" t="n"/>
      <c r="F26" s="15" t="n"/>
      <c r="G26" s="55" t="n"/>
      <c r="H26" s="54" t="n"/>
      <c r="I26" s="54" t="n"/>
      <c r="J26" s="33">
        <f>IF($G26="","",IF($F26&lt;&gt;"Approved",0,ROUND($G26*N($I26),2)))</f>
        <v/>
      </c>
      <c r="K26" s="61" t="n"/>
      <c r="L26" s="15" t="n"/>
      <c r="M26" s="15" t="n"/>
    </row>
    <row r="27" ht="13.5" customHeight="1">
      <c r="A27" s="15" t="n"/>
      <c r="B27" s="15" t="n"/>
      <c r="C27" s="15" t="n"/>
      <c r="D27" s="14" t="n"/>
      <c r="E27" s="14" t="n"/>
      <c r="F27" s="15" t="n"/>
      <c r="G27" s="55" t="n"/>
      <c r="H27" s="54" t="n"/>
      <c r="I27" s="54" t="n"/>
      <c r="J27" s="33">
        <f>IF($G27="","",IF($F27&lt;&gt;"Approved",0,ROUND($G27*N($I27),2)))</f>
        <v/>
      </c>
      <c r="K27" s="61" t="n"/>
      <c r="L27" s="15" t="n"/>
      <c r="M27" s="15" t="n"/>
    </row>
    <row r="28" ht="13.5" customHeight="1">
      <c r="A28" s="15" t="n"/>
      <c r="B28" s="15" t="n"/>
      <c r="C28" s="15" t="n"/>
      <c r="D28" s="14" t="n"/>
      <c r="E28" s="14" t="n"/>
      <c r="F28" s="15" t="n"/>
      <c r="G28" s="55" t="n"/>
      <c r="H28" s="54" t="n"/>
      <c r="I28" s="54" t="n"/>
      <c r="J28" s="33">
        <f>IF($G28="","",IF($F28&lt;&gt;"Approved",0,ROUND($G28*N($I28),2)))</f>
        <v/>
      </c>
      <c r="K28" s="61" t="n"/>
      <c r="L28" s="15" t="n"/>
      <c r="M28" s="15" t="n"/>
    </row>
    <row r="29" ht="18" customHeight="1">
      <c r="A29" s="36" t="inlineStr">
        <is>
          <t>TOTAL</t>
        </is>
      </c>
      <c r="B29" s="36" t="inlineStr">
        <is>
          <t>APPROVED variations only — these are the figures the invoice uses</t>
        </is>
      </c>
      <c r="C29" s="56" t="n"/>
      <c r="D29" s="56" t="n"/>
      <c r="E29" s="56" t="n"/>
      <c r="F29" s="56" t="n"/>
      <c r="G29" s="37">
        <f>ROUND(SUMIF($F$9:$F$28,"Approved",$G$9:$G$28),2)</f>
        <v/>
      </c>
      <c r="H29" s="37">
        <f>ROUND(SUMPRODUCT(($F$9:$F$28="Approved")*N($G$9:$G$28)*N($H$9:$H$28)),2)</f>
        <v/>
      </c>
      <c r="I29" s="56" t="n"/>
      <c r="J29" s="37">
        <f>ROUND(SUMIF($F$9:$F$28,"Approved",$J$9:$J$28),2)</f>
        <v/>
      </c>
      <c r="K29" s="62">
        <f>SUMIF($F$9:$F$28,"Approved",$K$9:$K$28)</f>
        <v/>
      </c>
      <c r="L29" s="56" t="n"/>
      <c r="M29" s="56" t="n"/>
    </row>
    <row r="30" ht="14" customHeight="1">
      <c r="B30" s="58" t="inlineStr">
        <is>
          <t>Approved variations COMPLETED to date  (previously claimed + this period) — invoice line D</t>
        </is>
      </c>
      <c r="G30" s="63">
        <f>ROUND(N($H$29)+N($J$29),2)</f>
        <v/>
      </c>
    </row>
    <row r="31" ht="18" customHeight="1">
      <c r="A31" s="5" t="inlineStr">
        <is>
          <t>STATUS SUMMARY  ·  what is in the invoice and what is not</t>
        </is>
      </c>
    </row>
    <row r="32" ht="26" customHeight="1">
      <c r="A32" s="49" t="inlineStr">
        <is>
          <t>Status</t>
        </is>
      </c>
      <c r="B32" s="49" t="inlineStr">
        <is>
          <t>In the invoice?</t>
        </is>
      </c>
      <c r="C32" s="50" t="inlineStr"/>
      <c r="D32" s="50" t="inlineStr"/>
      <c r="E32" s="50" t="inlineStr"/>
      <c r="F32" s="50" t="inlineStr"/>
      <c r="G32" s="50" t="inlineStr">
        <is>
          <t>Value</t>
        </is>
      </c>
      <c r="H32" s="50" t="inlineStr"/>
      <c r="I32" s="50" t="inlineStr">
        <is>
          <t>Count</t>
        </is>
      </c>
      <c r="J32" s="50" t="inlineStr"/>
      <c r="K32" s="50" t="inlineStr"/>
      <c r="L32" s="50" t="inlineStr"/>
      <c r="M32" s="50" t="inlineStr"/>
    </row>
    <row r="33" ht="13.5" customHeight="1">
      <c r="A33" s="58" t="inlineStr">
        <is>
          <t>Approved</t>
        </is>
      </c>
      <c r="B33" s="64" t="inlineStr">
        <is>
          <t>Yes — flows to invoice lines B and D</t>
        </is>
      </c>
      <c r="G33" s="33">
        <f>ROUND(SUMIF($F$9:$F$28,$A33,$G$9:$G$28),2)</f>
        <v/>
      </c>
      <c r="I33" s="65">
        <f>COUNTIF($F$9:$F$28,$A33)</f>
        <v/>
      </c>
    </row>
    <row r="34" ht="13.5" customHeight="1">
      <c r="A34" s="58" t="inlineStr">
        <is>
          <t>Under assessment</t>
        </is>
      </c>
      <c r="B34" s="66" t="inlineStr">
        <is>
          <t>No — excluded from the invoice</t>
        </is>
      </c>
      <c r="G34" s="33">
        <f>ROUND(SUMIF($F$9:$F$28,$A34,$G$9:$G$28),2)</f>
        <v/>
      </c>
      <c r="I34" s="65">
        <f>COUNTIF($F$9:$F$28,$A34)</f>
        <v/>
      </c>
    </row>
    <row r="35" ht="13.5" customHeight="1">
      <c r="A35" s="58" t="inlineStr">
        <is>
          <t>Submitted</t>
        </is>
      </c>
      <c r="B35" s="66" t="inlineStr">
        <is>
          <t>No — excluded from the invoice</t>
        </is>
      </c>
      <c r="G35" s="33">
        <f>ROUND(SUMIF($F$9:$F$28,$A35,$G$9:$G$28),2)</f>
        <v/>
      </c>
      <c r="I35" s="65">
        <f>COUNTIF($F$9:$F$28,$A35)</f>
        <v/>
      </c>
    </row>
    <row r="36" ht="13.5" customHeight="1">
      <c r="A36" s="58" t="inlineStr">
        <is>
          <t>Disputed</t>
        </is>
      </c>
      <c r="B36" s="66" t="inlineStr">
        <is>
          <t>No — excluded from the invoice</t>
        </is>
      </c>
      <c r="G36" s="33">
        <f>ROUND(SUMIF($F$9:$F$28,$A36,$G$9:$G$28),2)</f>
        <v/>
      </c>
      <c r="I36" s="65">
        <f>COUNTIF($F$9:$F$28,$A36)</f>
        <v/>
      </c>
    </row>
    <row r="37" ht="13.5" customHeight="1">
      <c r="A37" s="58" t="inlineStr">
        <is>
          <t>Rejected</t>
        </is>
      </c>
      <c r="B37" s="66" t="inlineStr">
        <is>
          <t>No — excluded from the invoice</t>
        </is>
      </c>
      <c r="G37" s="33">
        <f>ROUND(SUMIF($F$9:$F$28,$A37,$G$9:$G$28),2)</f>
        <v/>
      </c>
      <c r="I37" s="65">
        <f>COUNTIF($F$9:$F$28,$A37)</f>
        <v/>
      </c>
    </row>
    <row r="38" ht="13.5" customHeight="1">
      <c r="A38" s="58" t="inlineStr">
        <is>
          <t>Withdrawn</t>
        </is>
      </c>
      <c r="B38" s="66" t="inlineStr">
        <is>
          <t>No — excluded from the invoice</t>
        </is>
      </c>
      <c r="G38" s="33">
        <f>ROUND(SUMIF($F$9:$F$28,$A38,$G$9:$G$28),2)</f>
        <v/>
      </c>
      <c r="I38" s="65">
        <f>COUNTIF($F$9:$F$28,$A38)</f>
        <v/>
      </c>
    </row>
    <row r="40" ht="12.75" customHeight="1">
      <c r="A40" s="17" t="inlineStr">
        <is>
          <t>Visit mastt.com</t>
        </is>
      </c>
      <c r="B40" s="18" t="n"/>
      <c r="C40" s="18" t="n"/>
      <c r="D40" s="18" t="n"/>
      <c r="E40" s="18" t="n"/>
      <c r="F40" s="18" t="n"/>
      <c r="G40" s="18" t="n"/>
      <c r="H40" s="18" t="n"/>
      <c r="I40" s="18" t="n"/>
      <c r="J40" s="18" t="n"/>
      <c r="K40" s="18" t="n"/>
      <c r="L40" s="18" t="n"/>
      <c r="M40" s="18" t="n"/>
    </row>
  </sheetData>
  <sheetProtection selectLockedCells="0" selectUnlockedCells="0" sheet="1" objects="0" insertRows="0" insertHyperlinks="1" autoFilter="0" scenarios="0" formatColumns="0" deleteColumns="1" insertColumns="0" pivotTables="1" deleteRows="0" formatCells="0" formatRows="0" sort="0"/>
  <autoFilter ref="A8:M28"/>
  <mergeCells count="5">
    <mergeCell ref="C3:M3"/>
    <mergeCell ref="A31:M31"/>
    <mergeCell ref="A40:M40"/>
    <mergeCell ref="G7:M7"/>
    <mergeCell ref="C2:M2"/>
  </mergeCells>
  <conditionalFormatting sqref="F9:F28">
    <cfRule type="expression" priority="1" dxfId="2" stopIfTrue="0">
      <formula>$F9="Approved"</formula>
    </cfRule>
    <cfRule type="expression" priority="2" dxfId="6" stopIfTrue="0">
      <formula>$F9="Under assessment"</formula>
    </cfRule>
    <cfRule type="expression" priority="3" dxfId="3" stopIfTrue="0">
      <formula>$F9="Submitted"</formula>
    </cfRule>
    <cfRule type="expression" priority="4" dxfId="4" stopIfTrue="0">
      <formula>$F9="Rejected"</formula>
    </cfRule>
    <cfRule type="expression" priority="5" dxfId="4" stopIfTrue="0">
      <formula>$F9="Disputed"</formula>
    </cfRule>
    <cfRule type="expression" priority="6" dxfId="5" stopIfTrue="0">
      <formula>$F9="Withdrawn"</formula>
    </cfRule>
  </conditionalFormatting>
  <conditionalFormatting sqref="I9:I28">
    <cfRule type="expression" priority="7" dxfId="0" stopIfTrue="0">
      <formula>=AND($I9&lt;&gt;"",N($H9)+N($I9)&gt;1.0001)</formula>
    </cfRule>
  </conditionalFormatting>
  <conditionalFormatting sqref="E9:E28">
    <cfRule type="expression" priority="8" dxfId="1" stopIfTrue="0">
      <formula>=AND($F9="Approved",$E9="")</formula>
    </cfRule>
  </conditionalFormatting>
  <dataValidations count="2">
    <dataValidation sqref="F9:F28" showDropDown="0" showInputMessage="0" showErrorMessage="1" allowBlank="1" errorTitle="Invalid entry" error="Choose a value from the drop-down list." type="list">
      <formula1>Lists!$D$26:$D$31</formula1>
    </dataValidation>
    <dataValidation sqref="C9:C28" showDropDown="0" showInputMessage="0" showErrorMessage="1" allowBlank="1" errorTitle="Invalid entry" error="Choose a value from the drop-down list." type="list">
      <formula1>Lists!$J$26:$J$30</formula1>
    </dataValidation>
  </dataValidations>
  <hyperlinks>
    <hyperlink xmlns:r="http://schemas.openxmlformats.org/officeDocument/2006/relationships" ref="A2" r:id="rId1"/>
    <hyperlink xmlns:r="http://schemas.openxmlformats.org/officeDocument/2006/relationships" ref="A40" r:id="rId2"/>
  </hyperlinks>
  <pageMargins left="0.3" right="0.3" top="0.4" bottom="0.4" header="0.2" footer="0.2"/>
  <pageSetup orientation="landscape" paperSize="9" fitToHeight="0" fitToWidth="1"/>
  <drawing xmlns:r="http://schemas.openxmlformats.org/officeDocument/2006/relationships" r:id="rId3"/>
</worksheet>
</file>

<file path=xl/worksheets/sheet5.xml><?xml version="1.0" encoding="utf-8"?>
<worksheet xmlns="http://schemas.openxmlformats.org/spreadsheetml/2006/main">
  <sheetPr>
    <outlinePr summaryBelow="1" summaryRight="1"/>
    <pageSetUpPr fitToPage="1"/>
  </sheetPr>
  <dimension ref="A2:N36"/>
  <sheetViews>
    <sheetView showGridLines="0" zoomScale="100" workbookViewId="0">
      <pane xSplit="2" ySplit="8" topLeftCell="C9" activePane="bottomRight" state="frozen"/>
      <selection pane="topRight"/>
      <selection pane="bottomLeft"/>
      <selection pane="bottomRight" activeCell="A1" sqref="A1"/>
    </sheetView>
  </sheetViews>
  <sheetFormatPr baseColWidth="8" defaultRowHeight="15"/>
  <cols>
    <col width="10" customWidth="1" min="1" max="1"/>
    <col width="34" customWidth="1" min="2" max="2"/>
    <col width="13" customWidth="1" min="3" max="3"/>
    <col width="22" customWidth="1" min="4" max="4"/>
    <col width="17" customWidth="1" min="5" max="5"/>
    <col width="14" customWidth="1" min="6" max="6"/>
    <col width="11" customWidth="1" min="7" max="7"/>
    <col width="15" customWidth="1" min="8" max="8"/>
    <col width="12" customWidth="1" min="9" max="9"/>
    <col width="10" customWidth="1" min="10" max="10"/>
    <col width="13" customWidth="1" min="11" max="11"/>
    <col width="15" customWidth="1" min="12" max="12"/>
    <col width="38" customWidth="1" min="13" max="13"/>
    <col width="26" customWidth="1" min="14" max="14"/>
  </cols>
  <sheetData>
    <row r="1" ht="3.75" customHeight="1"/>
    <row r="2" ht="27.75" customHeight="1">
      <c r="A2" s="1" t="inlineStr">
        <is>
          <t xml:space="preserve"> </t>
        </is>
      </c>
      <c r="B2" s="2" t="n"/>
      <c r="C2" s="3" t="inlineStr">
        <is>
          <t>Construction Billing Invoice</t>
        </is>
      </c>
    </row>
    <row r="3" ht="12.75" customHeight="1">
      <c r="A3" s="2" t="n"/>
      <c r="B3" s="2" t="n"/>
      <c r="C3" s="4" t="inlineStr">
        <is>
          <t>Materials on Site &amp; Off-Site  ·  unfixed goods — automatically removed from the invoice once incorporated into the works</t>
        </is>
      </c>
    </row>
    <row r="4" ht="6" customHeight="1"/>
    <row r="7" ht="15" customHeight="1">
      <c r="A7" s="47">
        <f>IF(Proj_Name="","Project: —  |  complete the Cover sheet","Project:  "&amp;Proj_Name&amp;IF(Proj_Number="",""," · "&amp;Proj_Number))</f>
        <v/>
      </c>
      <c r="H7" s="48" t="inlineStr">
        <is>
          <t>Shaded cells = your input.   Tinted cells = auto-calculated, do not type over them.</t>
        </is>
      </c>
    </row>
    <row r="8" ht="34" customHeight="1">
      <c r="A8" s="49" t="inlineStr">
        <is>
          <t>Item No.</t>
        </is>
      </c>
      <c r="B8" s="49" t="inlineStr">
        <is>
          <t>Description of Goods</t>
        </is>
      </c>
      <c r="C8" s="50" t="inlineStr">
        <is>
          <t>Location</t>
        </is>
      </c>
      <c r="D8" s="49" t="inlineStr">
        <is>
          <t>Supplier</t>
        </is>
      </c>
      <c r="E8" s="49" t="inlineStr">
        <is>
          <t>Invoice / Delivery Ref</t>
        </is>
      </c>
      <c r="F8" s="50" t="inlineStr">
        <is>
          <t>Value</t>
        </is>
      </c>
      <c r="G8" s="50" t="inlineStr">
        <is>
          <t>% Allowed (blank = Lists)</t>
        </is>
      </c>
      <c r="H8" s="50" t="inlineStr">
        <is>
          <t>Value Allowed</t>
        </is>
      </c>
      <c r="I8" s="50" t="inlineStr">
        <is>
          <t>Vesting Certificate Held</t>
        </is>
      </c>
      <c r="J8" s="50" t="inlineStr">
        <is>
          <t>Insured</t>
        </is>
      </c>
      <c r="K8" s="50" t="inlineStr">
        <is>
          <t>Date Delivered</t>
        </is>
      </c>
      <c r="L8" s="50" t="inlineStr">
        <is>
          <t>Date Incorporated</t>
        </is>
      </c>
      <c r="M8" s="49" t="inlineStr">
        <is>
          <t>Claim Status</t>
        </is>
      </c>
      <c r="N8" s="49" t="inlineStr">
        <is>
          <t>Notes</t>
        </is>
      </c>
    </row>
    <row r="9" ht="13.5" customHeight="1">
      <c r="A9" s="23" t="inlineStr">
        <is>
          <t>MAT-01</t>
        </is>
      </c>
      <c r="B9" s="23" t="inlineStr">
        <is>
          <t>Curtain wall units — Zone A, 84 no. unitised panels</t>
        </is>
      </c>
      <c r="C9" s="23" t="inlineStr">
        <is>
          <t>On site</t>
        </is>
      </c>
      <c r="D9" s="23" t="inlineStr">
        <is>
          <t>Facadex Systems Pty Ltd</t>
        </is>
      </c>
      <c r="E9" s="23" t="inlineStr">
        <is>
          <t>DN-11284</t>
        </is>
      </c>
      <c r="F9" s="51" t="n">
        <v>268000</v>
      </c>
      <c r="G9" s="54" t="n"/>
      <c r="H9" s="33">
        <f>IF($F9="","",IF($L9&lt;&gt;"",0,IF(AND($C9&lt;&gt;"On site",$C9&lt;&gt;"",$I9&lt;&gt;"Yes"),0,ROUND($F9*IF($G9="",N(MOS_Allow_Pct),$G9),2))))</f>
        <v/>
      </c>
      <c r="I9" s="43" t="inlineStr">
        <is>
          <t>Yes</t>
        </is>
      </c>
      <c r="J9" s="43" t="inlineStr">
        <is>
          <t>Yes</t>
        </is>
      </c>
      <c r="K9" s="59" t="n">
        <v>46240</v>
      </c>
      <c r="L9" s="59" t="n"/>
      <c r="M9" s="24">
        <f>IF($F9="","",IF($L9&lt;&gt;"","Excluded — incorporated into the works",IF(AND($C9&lt;&gt;"On site",$C9&lt;&gt;"",$I9&lt;&gt;"Yes"),"Excluded — no vesting certificate",IF($J9&lt;&gt;"Yes","Included — WARNING: not insured","Included in this invoice"))))</f>
        <v/>
      </c>
      <c r="N9" s="23" t="inlineStr">
        <is>
          <t>EXAMPLE — delete before use</t>
        </is>
      </c>
    </row>
    <row r="10" ht="13.5" customHeight="1">
      <c r="A10" s="23" t="inlineStr">
        <is>
          <t>MAT-02</t>
        </is>
      </c>
      <c r="B10" s="23" t="inlineStr">
        <is>
          <t>Lift cars, machines &amp; controllers — 3 no.</t>
        </is>
      </c>
      <c r="C10" s="23" t="inlineStr">
        <is>
          <t>Off site</t>
        </is>
      </c>
      <c r="D10" s="23" t="inlineStr">
        <is>
          <t>Vertica Lifts</t>
        </is>
      </c>
      <c r="E10" s="23" t="inlineStr">
        <is>
          <t>INV-7741</t>
        </is>
      </c>
      <c r="F10" s="51" t="n">
        <v>312000</v>
      </c>
      <c r="G10" s="54" t="n"/>
      <c r="H10" s="33">
        <f>IF($F10="","",IF($L10&lt;&gt;"",0,IF(AND($C10&lt;&gt;"On site",$C10&lt;&gt;"",$I10&lt;&gt;"Yes"),0,ROUND($F10*IF($G10="",N(MOS_Allow_Pct),$G10),2))))</f>
        <v/>
      </c>
      <c r="I10" s="43" t="inlineStr">
        <is>
          <t>Yes</t>
        </is>
      </c>
      <c r="J10" s="43" t="inlineStr">
        <is>
          <t>Yes</t>
        </is>
      </c>
      <c r="K10" s="59" t="n">
        <v>46231</v>
      </c>
      <c r="L10" s="59" t="n"/>
      <c r="M10" s="24">
        <f>IF($F10="","",IF($L10&lt;&gt;"","Excluded — incorporated into the works",IF(AND($C10&lt;&gt;"On site",$C10&lt;&gt;"",$I10&lt;&gt;"Yes"),"Excluded — no vesting certificate",IF($J10&lt;&gt;"Yes","Included — WARNING: not insured","Included in this invoice"))))</f>
        <v/>
      </c>
      <c r="N10" s="23" t="inlineStr">
        <is>
          <t>EXAMPLE — delete before use</t>
        </is>
      </c>
    </row>
    <row r="11" ht="13.5" customHeight="1">
      <c r="A11" s="23" t="inlineStr">
        <is>
          <t>MAT-03</t>
        </is>
      </c>
      <c r="B11" s="23" t="inlineStr">
        <is>
          <t>Chillers &amp; air handling units — Level 7 plant</t>
        </is>
      </c>
      <c r="C11" s="23" t="inlineStr">
        <is>
          <t>On site</t>
        </is>
      </c>
      <c r="D11" s="23" t="inlineStr">
        <is>
          <t>ThermAir Mechanical</t>
        </is>
      </c>
      <c r="E11" s="23" t="inlineStr">
        <is>
          <t>DN-3392</t>
        </is>
      </c>
      <c r="F11" s="51" t="n">
        <v>186500</v>
      </c>
      <c r="G11" s="54" t="n"/>
      <c r="H11" s="33">
        <f>IF($F11="","",IF($L11&lt;&gt;"",0,IF(AND($C11&lt;&gt;"On site",$C11&lt;&gt;"",$I11&lt;&gt;"Yes"),0,ROUND($F11*IF($G11="",N(MOS_Allow_Pct),$G11),2))))</f>
        <v/>
      </c>
      <c r="I11" s="43" t="inlineStr">
        <is>
          <t>Yes</t>
        </is>
      </c>
      <c r="J11" s="43" t="inlineStr">
        <is>
          <t>Yes</t>
        </is>
      </c>
      <c r="K11" s="59" t="n">
        <v>46246</v>
      </c>
      <c r="L11" s="59" t="n"/>
      <c r="M11" s="24">
        <f>IF($F11="","",IF($L11&lt;&gt;"","Excluded — incorporated into the works",IF(AND($C11&lt;&gt;"On site",$C11&lt;&gt;"",$I11&lt;&gt;"Yes"),"Excluded — no vesting certificate",IF($J11&lt;&gt;"Yes","Included — WARNING: not insured","Included in this invoice"))))</f>
        <v/>
      </c>
      <c r="N11" s="23" t="inlineStr">
        <is>
          <t>EXAMPLE — delete before use</t>
        </is>
      </c>
    </row>
    <row r="12" ht="13.5" customHeight="1">
      <c r="A12" s="23" t="inlineStr">
        <is>
          <t>MAT-04</t>
        </is>
      </c>
      <c r="B12" s="23" t="inlineStr">
        <is>
          <t>Main switchboard &amp; distribution boards</t>
        </is>
      </c>
      <c r="C12" s="23" t="inlineStr">
        <is>
          <t>On site</t>
        </is>
      </c>
      <c r="D12" s="23" t="inlineStr">
        <is>
          <t>Voltus Electrical</t>
        </is>
      </c>
      <c r="E12" s="23" t="inlineStr">
        <is>
          <t>DN-5510</t>
        </is>
      </c>
      <c r="F12" s="51" t="n">
        <v>94200</v>
      </c>
      <c r="G12" s="54" t="n"/>
      <c r="H12" s="33">
        <f>IF($F12="","",IF($L12&lt;&gt;"",0,IF(AND($C12&lt;&gt;"On site",$C12&lt;&gt;"",$I12&lt;&gt;"Yes"),0,ROUND($F12*IF($G12="",N(MOS_Allow_Pct),$G12),2))))</f>
        <v/>
      </c>
      <c r="I12" s="43" t="inlineStr">
        <is>
          <t>Yes</t>
        </is>
      </c>
      <c r="J12" s="43" t="inlineStr">
        <is>
          <t>Yes</t>
        </is>
      </c>
      <c r="K12" s="59" t="n">
        <v>46222</v>
      </c>
      <c r="L12" s="59" t="n">
        <v>46252</v>
      </c>
      <c r="M12" s="24">
        <f>IF($F12="","",IF($L12&lt;&gt;"","Excluded — incorporated into the works",IF(AND($C12&lt;&gt;"On site",$C12&lt;&gt;"",$I12&lt;&gt;"Yes"),"Excluded — no vesting certificate",IF($J12&lt;&gt;"Yes","Included — WARNING: not insured","Included in this invoice"))))</f>
        <v/>
      </c>
      <c r="N12" s="23" t="inlineStr">
        <is>
          <t>EXAMPLE — delete before use</t>
        </is>
      </c>
    </row>
    <row r="13" ht="13.5" customHeight="1">
      <c r="A13" s="23" t="inlineStr">
        <is>
          <t>MAT-05</t>
        </is>
      </c>
      <c r="B13" s="23" t="inlineStr">
        <is>
          <t>Structural steel — Zone C fabricated sections</t>
        </is>
      </c>
      <c r="C13" s="23" t="inlineStr">
        <is>
          <t>In transit</t>
        </is>
      </c>
      <c r="D13" s="23" t="inlineStr">
        <is>
          <t>SteelCo Fabrication</t>
        </is>
      </c>
      <c r="E13" s="23" t="inlineStr">
        <is>
          <t>INV-2208</t>
        </is>
      </c>
      <c r="F13" s="51" t="n">
        <v>76400</v>
      </c>
      <c r="G13" s="54" t="n"/>
      <c r="H13" s="33">
        <f>IF($F13="","",IF($L13&lt;&gt;"",0,IF(AND($C13&lt;&gt;"On site",$C13&lt;&gt;"",$I13&lt;&gt;"Yes"),0,ROUND($F13*IF($G13="",N(MOS_Allow_Pct),$G13),2))))</f>
        <v/>
      </c>
      <c r="I13" s="43" t="inlineStr">
        <is>
          <t>Yes</t>
        </is>
      </c>
      <c r="J13" s="43" t="inlineStr">
        <is>
          <t>Yes</t>
        </is>
      </c>
      <c r="K13" s="59" t="n"/>
      <c r="L13" s="59" t="n"/>
      <c r="M13" s="24">
        <f>IF($F13="","",IF($L13&lt;&gt;"","Excluded — incorporated into the works",IF(AND($C13&lt;&gt;"On site",$C13&lt;&gt;"",$I13&lt;&gt;"Yes"),"Excluded — no vesting certificate",IF($J13&lt;&gt;"Yes","Included — WARNING: not insured","Included in this invoice"))))</f>
        <v/>
      </c>
      <c r="N13" s="23" t="inlineStr">
        <is>
          <t>EXAMPLE — delete before use</t>
        </is>
      </c>
    </row>
    <row r="14" ht="13.5" customHeight="1">
      <c r="A14" s="23" t="inlineStr">
        <is>
          <t>MAT-06</t>
        </is>
      </c>
      <c r="B14" s="23" t="inlineStr">
        <is>
          <t>Sanitary ware &amp; tapware — Levels 1–4</t>
        </is>
      </c>
      <c r="C14" s="23" t="inlineStr">
        <is>
          <t>Off site</t>
        </is>
      </c>
      <c r="D14" s="23" t="inlineStr">
        <is>
          <t>Hydroline Supplies</t>
        </is>
      </c>
      <c r="E14" s="23" t="inlineStr">
        <is>
          <t>INV-9017</t>
        </is>
      </c>
      <c r="F14" s="51" t="n">
        <v>42800</v>
      </c>
      <c r="G14" s="54" t="n"/>
      <c r="H14" s="33">
        <f>IF($F14="","",IF($L14&lt;&gt;"",0,IF(AND($C14&lt;&gt;"On site",$C14&lt;&gt;"",$I14&lt;&gt;"Yes"),0,ROUND($F14*IF($G14="",N(MOS_Allow_Pct),$G14),2))))</f>
        <v/>
      </c>
      <c r="I14" s="43" t="inlineStr">
        <is>
          <t>Yes</t>
        </is>
      </c>
      <c r="J14" s="43" t="inlineStr">
        <is>
          <t>Yes</t>
        </is>
      </c>
      <c r="K14" s="59" t="n">
        <v>46244</v>
      </c>
      <c r="L14" s="59" t="n"/>
      <c r="M14" s="24">
        <f>IF($F14="","",IF($L14&lt;&gt;"","Excluded — incorporated into the works",IF(AND($C14&lt;&gt;"On site",$C14&lt;&gt;"",$I14&lt;&gt;"Yes"),"Excluded — no vesting certificate",IF($J14&lt;&gt;"Yes","Included — WARNING: not insured","Included in this invoice"))))</f>
        <v/>
      </c>
      <c r="N14" s="23" t="inlineStr">
        <is>
          <t>EXAMPLE — delete before use</t>
        </is>
      </c>
    </row>
    <row r="15" ht="13.5" customHeight="1">
      <c r="A15" s="15" t="n"/>
      <c r="B15" s="15" t="n"/>
      <c r="C15" s="15" t="n"/>
      <c r="D15" s="15" t="n"/>
      <c r="E15" s="15" t="n"/>
      <c r="F15" s="55" t="n"/>
      <c r="G15" s="54" t="n"/>
      <c r="H15" s="33">
        <f>IF($F15="","",IF($L15&lt;&gt;"",0,IF(AND($C15&lt;&gt;"On site",$C15&lt;&gt;"",$I15&lt;&gt;"Yes"),0,ROUND($F15*IF($G15="",N(MOS_Allow_Pct),$G15),2))))</f>
        <v/>
      </c>
      <c r="I15" s="13" t="n"/>
      <c r="J15" s="13" t="n"/>
      <c r="K15" s="14" t="n"/>
      <c r="L15" s="14" t="n"/>
      <c r="M15" s="24">
        <f>IF($F15="","",IF($L15&lt;&gt;"","Excluded — incorporated into the works",IF(AND($C15&lt;&gt;"On site",$C15&lt;&gt;"",$I15&lt;&gt;"Yes"),"Excluded — no vesting certificate",IF($J15&lt;&gt;"Yes","Included — WARNING: not insured","Included in this invoice"))))</f>
        <v/>
      </c>
      <c r="N15" s="15" t="n"/>
    </row>
    <row r="16" ht="13.5" customHeight="1">
      <c r="A16" s="15" t="n"/>
      <c r="B16" s="15" t="n"/>
      <c r="C16" s="15" t="n"/>
      <c r="D16" s="15" t="n"/>
      <c r="E16" s="15" t="n"/>
      <c r="F16" s="55" t="n"/>
      <c r="G16" s="54" t="n"/>
      <c r="H16" s="33">
        <f>IF($F16="","",IF($L16&lt;&gt;"",0,IF(AND($C16&lt;&gt;"On site",$C16&lt;&gt;"",$I16&lt;&gt;"Yes"),0,ROUND($F16*IF($G16="",N(MOS_Allow_Pct),$G16),2))))</f>
        <v/>
      </c>
      <c r="I16" s="13" t="n"/>
      <c r="J16" s="13" t="n"/>
      <c r="K16" s="14" t="n"/>
      <c r="L16" s="14" t="n"/>
      <c r="M16" s="24">
        <f>IF($F16="","",IF($L16&lt;&gt;"","Excluded — incorporated into the works",IF(AND($C16&lt;&gt;"On site",$C16&lt;&gt;"",$I16&lt;&gt;"Yes"),"Excluded — no vesting certificate",IF($J16&lt;&gt;"Yes","Included — WARNING: not insured","Included in this invoice"))))</f>
        <v/>
      </c>
      <c r="N16" s="15" t="n"/>
    </row>
    <row r="17" ht="13.5" customHeight="1">
      <c r="A17" s="15" t="n"/>
      <c r="B17" s="15" t="n"/>
      <c r="C17" s="15" t="n"/>
      <c r="D17" s="15" t="n"/>
      <c r="E17" s="15" t="n"/>
      <c r="F17" s="55" t="n"/>
      <c r="G17" s="54" t="n"/>
      <c r="H17" s="33">
        <f>IF($F17="","",IF($L17&lt;&gt;"",0,IF(AND($C17&lt;&gt;"On site",$C17&lt;&gt;"",$I17&lt;&gt;"Yes"),0,ROUND($F17*IF($G17="",N(MOS_Allow_Pct),$G17),2))))</f>
        <v/>
      </c>
      <c r="I17" s="13" t="n"/>
      <c r="J17" s="13" t="n"/>
      <c r="K17" s="14" t="n"/>
      <c r="L17" s="14" t="n"/>
      <c r="M17" s="24">
        <f>IF($F17="","",IF($L17&lt;&gt;"","Excluded — incorporated into the works",IF(AND($C17&lt;&gt;"On site",$C17&lt;&gt;"",$I17&lt;&gt;"Yes"),"Excluded — no vesting certificate",IF($J17&lt;&gt;"Yes","Included — WARNING: not insured","Included in this invoice"))))</f>
        <v/>
      </c>
      <c r="N17" s="15" t="n"/>
    </row>
    <row r="18" ht="13.5" customHeight="1">
      <c r="A18" s="15" t="n"/>
      <c r="B18" s="15" t="n"/>
      <c r="C18" s="15" t="n"/>
      <c r="D18" s="15" t="n"/>
      <c r="E18" s="15" t="n"/>
      <c r="F18" s="55" t="n"/>
      <c r="G18" s="54" t="n"/>
      <c r="H18" s="33">
        <f>IF($F18="","",IF($L18&lt;&gt;"",0,IF(AND($C18&lt;&gt;"On site",$C18&lt;&gt;"",$I18&lt;&gt;"Yes"),0,ROUND($F18*IF($G18="",N(MOS_Allow_Pct),$G18),2))))</f>
        <v/>
      </c>
      <c r="I18" s="13" t="n"/>
      <c r="J18" s="13" t="n"/>
      <c r="K18" s="14" t="n"/>
      <c r="L18" s="14" t="n"/>
      <c r="M18" s="24">
        <f>IF($F18="","",IF($L18&lt;&gt;"","Excluded — incorporated into the works",IF(AND($C18&lt;&gt;"On site",$C18&lt;&gt;"",$I18&lt;&gt;"Yes"),"Excluded — no vesting certificate",IF($J18&lt;&gt;"Yes","Included — WARNING: not insured","Included in this invoice"))))</f>
        <v/>
      </c>
      <c r="N18" s="15" t="n"/>
    </row>
    <row r="19" ht="13.5" customHeight="1">
      <c r="A19" s="15" t="n"/>
      <c r="B19" s="15" t="n"/>
      <c r="C19" s="15" t="n"/>
      <c r="D19" s="15" t="n"/>
      <c r="E19" s="15" t="n"/>
      <c r="F19" s="55" t="n"/>
      <c r="G19" s="54" t="n"/>
      <c r="H19" s="33">
        <f>IF($F19="","",IF($L19&lt;&gt;"",0,IF(AND($C19&lt;&gt;"On site",$C19&lt;&gt;"",$I19&lt;&gt;"Yes"),0,ROUND($F19*IF($G19="",N(MOS_Allow_Pct),$G19),2))))</f>
        <v/>
      </c>
      <c r="I19" s="13" t="n"/>
      <c r="J19" s="13" t="n"/>
      <c r="K19" s="14" t="n"/>
      <c r="L19" s="14" t="n"/>
      <c r="M19" s="24">
        <f>IF($F19="","",IF($L19&lt;&gt;"","Excluded — incorporated into the works",IF(AND($C19&lt;&gt;"On site",$C19&lt;&gt;"",$I19&lt;&gt;"Yes"),"Excluded — no vesting certificate",IF($J19&lt;&gt;"Yes","Included — WARNING: not insured","Included in this invoice"))))</f>
        <v/>
      </c>
      <c r="N19" s="15" t="n"/>
    </row>
    <row r="20" ht="13.5" customHeight="1">
      <c r="A20" s="15" t="n"/>
      <c r="B20" s="15" t="n"/>
      <c r="C20" s="15" t="n"/>
      <c r="D20" s="15" t="n"/>
      <c r="E20" s="15" t="n"/>
      <c r="F20" s="55" t="n"/>
      <c r="G20" s="54" t="n"/>
      <c r="H20" s="33">
        <f>IF($F20="","",IF($L20&lt;&gt;"",0,IF(AND($C20&lt;&gt;"On site",$C20&lt;&gt;"",$I20&lt;&gt;"Yes"),0,ROUND($F20*IF($G20="",N(MOS_Allow_Pct),$G20),2))))</f>
        <v/>
      </c>
      <c r="I20" s="13" t="n"/>
      <c r="J20" s="13" t="n"/>
      <c r="K20" s="14" t="n"/>
      <c r="L20" s="14" t="n"/>
      <c r="M20" s="24">
        <f>IF($F20="","",IF($L20&lt;&gt;"","Excluded — incorporated into the works",IF(AND($C20&lt;&gt;"On site",$C20&lt;&gt;"",$I20&lt;&gt;"Yes"),"Excluded — no vesting certificate",IF($J20&lt;&gt;"Yes","Included — WARNING: not insured","Included in this invoice"))))</f>
        <v/>
      </c>
      <c r="N20" s="15" t="n"/>
    </row>
    <row r="21" ht="13.5" customHeight="1">
      <c r="A21" s="15" t="n"/>
      <c r="B21" s="15" t="n"/>
      <c r="C21" s="15" t="n"/>
      <c r="D21" s="15" t="n"/>
      <c r="E21" s="15" t="n"/>
      <c r="F21" s="55" t="n"/>
      <c r="G21" s="54" t="n"/>
      <c r="H21" s="33">
        <f>IF($F21="","",IF($L21&lt;&gt;"",0,IF(AND($C21&lt;&gt;"On site",$C21&lt;&gt;"",$I21&lt;&gt;"Yes"),0,ROUND($F21*IF($G21="",N(MOS_Allow_Pct),$G21),2))))</f>
        <v/>
      </c>
      <c r="I21" s="13" t="n"/>
      <c r="J21" s="13" t="n"/>
      <c r="K21" s="14" t="n"/>
      <c r="L21" s="14" t="n"/>
      <c r="M21" s="24">
        <f>IF($F21="","",IF($L21&lt;&gt;"","Excluded — incorporated into the works",IF(AND($C21&lt;&gt;"On site",$C21&lt;&gt;"",$I21&lt;&gt;"Yes"),"Excluded — no vesting certificate",IF($J21&lt;&gt;"Yes","Included — WARNING: not insured","Included in this invoice"))))</f>
        <v/>
      </c>
      <c r="N21" s="15" t="n"/>
    </row>
    <row r="22" ht="13.5" customHeight="1">
      <c r="A22" s="15" t="n"/>
      <c r="B22" s="15" t="n"/>
      <c r="C22" s="15" t="n"/>
      <c r="D22" s="15" t="n"/>
      <c r="E22" s="15" t="n"/>
      <c r="F22" s="55" t="n"/>
      <c r="G22" s="54" t="n"/>
      <c r="H22" s="33">
        <f>IF($F22="","",IF($L22&lt;&gt;"",0,IF(AND($C22&lt;&gt;"On site",$C22&lt;&gt;"",$I22&lt;&gt;"Yes"),0,ROUND($F22*IF($G22="",N(MOS_Allow_Pct),$G22),2))))</f>
        <v/>
      </c>
      <c r="I22" s="13" t="n"/>
      <c r="J22" s="13" t="n"/>
      <c r="K22" s="14" t="n"/>
      <c r="L22" s="14" t="n"/>
      <c r="M22" s="24">
        <f>IF($F22="","",IF($L22&lt;&gt;"","Excluded — incorporated into the works",IF(AND($C22&lt;&gt;"On site",$C22&lt;&gt;"",$I22&lt;&gt;"Yes"),"Excluded — no vesting certificate",IF($J22&lt;&gt;"Yes","Included — WARNING: not insured","Included in this invoice"))))</f>
        <v/>
      </c>
      <c r="N22" s="15" t="n"/>
    </row>
    <row r="23" ht="13.5" customHeight="1">
      <c r="A23" s="15" t="n"/>
      <c r="B23" s="15" t="n"/>
      <c r="C23" s="15" t="n"/>
      <c r="D23" s="15" t="n"/>
      <c r="E23" s="15" t="n"/>
      <c r="F23" s="55" t="n"/>
      <c r="G23" s="54" t="n"/>
      <c r="H23" s="33">
        <f>IF($F23="","",IF($L23&lt;&gt;"",0,IF(AND($C23&lt;&gt;"On site",$C23&lt;&gt;"",$I23&lt;&gt;"Yes"),0,ROUND($F23*IF($G23="",N(MOS_Allow_Pct),$G23),2))))</f>
        <v/>
      </c>
      <c r="I23" s="13" t="n"/>
      <c r="J23" s="13" t="n"/>
      <c r="K23" s="14" t="n"/>
      <c r="L23" s="14" t="n"/>
      <c r="M23" s="24">
        <f>IF($F23="","",IF($L23&lt;&gt;"","Excluded — incorporated into the works",IF(AND($C23&lt;&gt;"On site",$C23&lt;&gt;"",$I23&lt;&gt;"Yes"),"Excluded — no vesting certificate",IF($J23&lt;&gt;"Yes","Included — WARNING: not insured","Included in this invoice"))))</f>
        <v/>
      </c>
      <c r="N23" s="15" t="n"/>
    </row>
    <row r="24" ht="13.5" customHeight="1">
      <c r="A24" s="15" t="n"/>
      <c r="B24" s="15" t="n"/>
      <c r="C24" s="15" t="n"/>
      <c r="D24" s="15" t="n"/>
      <c r="E24" s="15" t="n"/>
      <c r="F24" s="55" t="n"/>
      <c r="G24" s="54" t="n"/>
      <c r="H24" s="33">
        <f>IF($F24="","",IF($L24&lt;&gt;"",0,IF(AND($C24&lt;&gt;"On site",$C24&lt;&gt;"",$I24&lt;&gt;"Yes"),0,ROUND($F24*IF($G24="",N(MOS_Allow_Pct),$G24),2))))</f>
        <v/>
      </c>
      <c r="I24" s="13" t="n"/>
      <c r="J24" s="13" t="n"/>
      <c r="K24" s="14" t="n"/>
      <c r="L24" s="14" t="n"/>
      <c r="M24" s="24">
        <f>IF($F24="","",IF($L24&lt;&gt;"","Excluded — incorporated into the works",IF(AND($C24&lt;&gt;"On site",$C24&lt;&gt;"",$I24&lt;&gt;"Yes"),"Excluded — no vesting certificate",IF($J24&lt;&gt;"Yes","Included — WARNING: not insured","Included in this invoice"))))</f>
        <v/>
      </c>
      <c r="N24" s="15" t="n"/>
    </row>
    <row r="25" ht="13.5" customHeight="1">
      <c r="A25" s="15" t="n"/>
      <c r="B25" s="15" t="n"/>
      <c r="C25" s="15" t="n"/>
      <c r="D25" s="15" t="n"/>
      <c r="E25" s="15" t="n"/>
      <c r="F25" s="55" t="n"/>
      <c r="G25" s="54" t="n"/>
      <c r="H25" s="33">
        <f>IF($F25="","",IF($L25&lt;&gt;"",0,IF(AND($C25&lt;&gt;"On site",$C25&lt;&gt;"",$I25&lt;&gt;"Yes"),0,ROUND($F25*IF($G25="",N(MOS_Allow_Pct),$G25),2))))</f>
        <v/>
      </c>
      <c r="I25" s="13" t="n"/>
      <c r="J25" s="13" t="n"/>
      <c r="K25" s="14" t="n"/>
      <c r="L25" s="14" t="n"/>
      <c r="M25" s="24">
        <f>IF($F25="","",IF($L25&lt;&gt;"","Excluded — incorporated into the works",IF(AND($C25&lt;&gt;"On site",$C25&lt;&gt;"",$I25&lt;&gt;"Yes"),"Excluded — no vesting certificate",IF($J25&lt;&gt;"Yes","Included — WARNING: not insured","Included in this invoice"))))</f>
        <v/>
      </c>
      <c r="N25" s="15" t="n"/>
    </row>
    <row r="26" ht="13.5" customHeight="1">
      <c r="A26" s="15" t="n"/>
      <c r="B26" s="15" t="n"/>
      <c r="C26" s="15" t="n"/>
      <c r="D26" s="15" t="n"/>
      <c r="E26" s="15" t="n"/>
      <c r="F26" s="55" t="n"/>
      <c r="G26" s="54" t="n"/>
      <c r="H26" s="33">
        <f>IF($F26="","",IF($L26&lt;&gt;"",0,IF(AND($C26&lt;&gt;"On site",$C26&lt;&gt;"",$I26&lt;&gt;"Yes"),0,ROUND($F26*IF($G26="",N(MOS_Allow_Pct),$G26),2))))</f>
        <v/>
      </c>
      <c r="I26" s="13" t="n"/>
      <c r="J26" s="13" t="n"/>
      <c r="K26" s="14" t="n"/>
      <c r="L26" s="14" t="n"/>
      <c r="M26" s="24">
        <f>IF($F26="","",IF($L26&lt;&gt;"","Excluded — incorporated into the works",IF(AND($C26&lt;&gt;"On site",$C26&lt;&gt;"",$I26&lt;&gt;"Yes"),"Excluded — no vesting certificate",IF($J26&lt;&gt;"Yes","Included — WARNING: not insured","Included in this invoice"))))</f>
        <v/>
      </c>
      <c r="N26" s="15" t="n"/>
    </row>
    <row r="27" ht="13.5" customHeight="1">
      <c r="A27" s="15" t="n"/>
      <c r="B27" s="15" t="n"/>
      <c r="C27" s="15" t="n"/>
      <c r="D27" s="15" t="n"/>
      <c r="E27" s="15" t="n"/>
      <c r="F27" s="55" t="n"/>
      <c r="G27" s="54" t="n"/>
      <c r="H27" s="33">
        <f>IF($F27="","",IF($L27&lt;&gt;"",0,IF(AND($C27&lt;&gt;"On site",$C27&lt;&gt;"",$I27&lt;&gt;"Yes"),0,ROUND($F27*IF($G27="",N(MOS_Allow_Pct),$G27),2))))</f>
        <v/>
      </c>
      <c r="I27" s="13" t="n"/>
      <c r="J27" s="13" t="n"/>
      <c r="K27" s="14" t="n"/>
      <c r="L27" s="14" t="n"/>
      <c r="M27" s="24">
        <f>IF($F27="","",IF($L27&lt;&gt;"","Excluded — incorporated into the works",IF(AND($C27&lt;&gt;"On site",$C27&lt;&gt;"",$I27&lt;&gt;"Yes"),"Excluded — no vesting certificate",IF($J27&lt;&gt;"Yes","Included — WARNING: not insured","Included in this invoice"))))</f>
        <v/>
      </c>
      <c r="N27" s="15" t="n"/>
    </row>
    <row r="28" ht="13.5" customHeight="1">
      <c r="A28" s="15" t="n"/>
      <c r="B28" s="15" t="n"/>
      <c r="C28" s="15" t="n"/>
      <c r="D28" s="15" t="n"/>
      <c r="E28" s="15" t="n"/>
      <c r="F28" s="55" t="n"/>
      <c r="G28" s="54" t="n"/>
      <c r="H28" s="33">
        <f>IF($F28="","",IF($L28&lt;&gt;"",0,IF(AND($C28&lt;&gt;"On site",$C28&lt;&gt;"",$I28&lt;&gt;"Yes"),0,ROUND($F28*IF($G28="",N(MOS_Allow_Pct),$G28),2))))</f>
        <v/>
      </c>
      <c r="I28" s="13" t="n"/>
      <c r="J28" s="13" t="n"/>
      <c r="K28" s="14" t="n"/>
      <c r="L28" s="14" t="n"/>
      <c r="M28" s="24">
        <f>IF($F28="","",IF($L28&lt;&gt;"","Excluded — incorporated into the works",IF(AND($C28&lt;&gt;"On site",$C28&lt;&gt;"",$I28&lt;&gt;"Yes"),"Excluded — no vesting certificate",IF($J28&lt;&gt;"Yes","Included — WARNING: not insured","Included in this invoice"))))</f>
        <v/>
      </c>
      <c r="N28" s="15" t="n"/>
    </row>
    <row r="29" ht="18" customHeight="1">
      <c r="A29" s="36" t="inlineStr">
        <is>
          <t>TOTAL</t>
        </is>
      </c>
      <c r="B29" s="36" t="inlineStr">
        <is>
          <t>Value Allowed is the figure carried to invoice line E</t>
        </is>
      </c>
      <c r="C29" s="56" t="n"/>
      <c r="D29" s="56" t="n"/>
      <c r="E29" s="56" t="n"/>
      <c r="F29" s="37">
        <f>ROUND(SUM($F$9:$F$28),2)</f>
        <v/>
      </c>
      <c r="G29" s="56" t="n"/>
      <c r="H29" s="37">
        <f>ROUND(SUM($H$9:$H$28),2)</f>
        <v/>
      </c>
      <c r="I29" s="56" t="n"/>
      <c r="J29" s="56" t="n"/>
      <c r="K29" s="56" t="n"/>
      <c r="L29" s="56" t="n"/>
      <c r="M29" s="56" t="n"/>
      <c r="N29" s="56" t="n"/>
    </row>
    <row r="31" ht="18" customHeight="1">
      <c r="A31" s="5" t="inlineStr">
        <is>
          <t>THE DOUBLE-COUNT TRAP</t>
        </is>
      </c>
    </row>
    <row r="32" ht="24" customHeight="1">
      <c r="A32" s="67" t="inlineStr">
        <is>
          <t>Unfixed goods are paid for before they are built in. The moment they are incorporated into the works, their value is captured by the % complete on the Schedule of Works Completed — so if they are still sitting in this register they are being paid for twice.</t>
        </is>
      </c>
    </row>
    <row r="33" ht="24" customHeight="1">
      <c r="A33" s="67" t="inlineStr">
        <is>
          <t>Enter the Date Incorporated and this sheet drops the item to nil automatically. The Reconciliation Check re-tests it: any row with a Date Incorporated and a value still allowed is reported as a failure.</t>
        </is>
      </c>
    </row>
    <row r="34" ht="24" customHeight="1">
      <c r="A34" s="67" t="inlineStr">
        <is>
          <t>Off-site and in-transit goods are only allowed where a vesting certificate (or equivalent transfer of title) is held and the goods are insured, separately stored and clearly marked as the client's property. Without the certificate this sheet allows nil — check the Conditions of Contract for what your contract requires.</t>
        </is>
      </c>
    </row>
    <row r="36" ht="12.75" customHeight="1">
      <c r="A36" s="17" t="inlineStr">
        <is>
          <t>Visit mastt.com</t>
        </is>
      </c>
      <c r="B36" s="18" t="n"/>
      <c r="C36" s="18" t="n"/>
      <c r="D36" s="18" t="n"/>
      <c r="E36" s="18" t="n"/>
      <c r="F36" s="18" t="n"/>
      <c r="G36" s="18" t="n"/>
      <c r="H36" s="18" t="n"/>
      <c r="I36" s="18" t="n"/>
      <c r="J36" s="18" t="n"/>
      <c r="K36" s="18" t="n"/>
      <c r="L36" s="18" t="n"/>
      <c r="M36" s="18" t="n"/>
      <c r="N36" s="18" t="n"/>
    </row>
  </sheetData>
  <sheetProtection selectLockedCells="0" selectUnlockedCells="0" sheet="1" objects="0" insertRows="0" insertHyperlinks="1" autoFilter="0" scenarios="0" formatColumns="0" deleteColumns="1" insertColumns="0" pivotTables="1" deleteRows="0" formatCells="0" formatRows="0" sort="0"/>
  <autoFilter ref="A8:N28"/>
  <mergeCells count="8">
    <mergeCell ref="A31:N31"/>
    <mergeCell ref="C2:N2"/>
    <mergeCell ref="A34:N34"/>
    <mergeCell ref="H7:N7"/>
    <mergeCell ref="A33:N33"/>
    <mergeCell ref="C3:N3"/>
    <mergeCell ref="A32:N32"/>
    <mergeCell ref="A36:N36"/>
  </mergeCells>
  <conditionalFormatting sqref="H9:H28">
    <cfRule type="expression" priority="1" dxfId="0" stopIfTrue="0">
      <formula>=AND($L9&lt;&gt;"",ISNUMBER($H9),N($H9)&gt;0)</formula>
    </cfRule>
  </conditionalFormatting>
  <conditionalFormatting sqref="I9:I28">
    <cfRule type="expression" priority="2" dxfId="1" stopIfTrue="0">
      <formula>=AND($F9&lt;&gt;"",$C9&lt;&gt;"On site",$C9&lt;&gt;"",$I9&lt;&gt;"Yes")</formula>
    </cfRule>
  </conditionalFormatting>
  <conditionalFormatting sqref="J9:J28">
    <cfRule type="expression" priority="3" dxfId="1" stopIfTrue="0">
      <formula>=AND($F9&lt;&gt;"",$J9&lt;&gt;"Yes")</formula>
    </cfRule>
  </conditionalFormatting>
  <dataValidations count="3">
    <dataValidation sqref="C9:C28" showDropDown="0" showInputMessage="0" showErrorMessage="1" allowBlank="1" errorTitle="Invalid entry" error="Choose a value from the drop-down list." type="list">
      <formula1>Lists!$E$26:$E$28</formula1>
    </dataValidation>
    <dataValidation sqref="I9:I28" showDropDown="0" showInputMessage="0" showErrorMessage="1" allowBlank="1" errorTitle="Invalid entry" error="Choose a value from the drop-down list." type="list">
      <formula1>Lists!$F$26:$F$27</formula1>
    </dataValidation>
    <dataValidation sqref="J9:J28" showDropDown="0" showInputMessage="0" showErrorMessage="1" allowBlank="1" errorTitle="Invalid entry" error="Choose a value from the drop-down list." type="list">
      <formula1>Lists!$F$26:$F$27</formula1>
    </dataValidation>
  </dataValidations>
  <hyperlinks>
    <hyperlink xmlns:r="http://schemas.openxmlformats.org/officeDocument/2006/relationships" ref="A2" r:id="rId1"/>
    <hyperlink xmlns:r="http://schemas.openxmlformats.org/officeDocument/2006/relationships" ref="A36" r:id="rId2"/>
  </hyperlinks>
  <pageMargins left="0.3" right="0.3" top="0.4" bottom="0.4" header="0.2" footer="0.2"/>
  <pageSetup orientation="landscape" paperSize="9" fitToHeight="0" fitToWidth="1"/>
  <drawing xmlns:r="http://schemas.openxmlformats.org/officeDocument/2006/relationships" r:id="rId3"/>
</worksheet>
</file>

<file path=xl/worksheets/sheet6.xml><?xml version="1.0" encoding="utf-8"?>
<worksheet xmlns="http://schemas.openxmlformats.org/spreadsheetml/2006/main">
  <sheetPr>
    <outlinePr summaryBelow="1" summaryRight="1"/>
    <pageSetUpPr fitToPage="1"/>
  </sheetPr>
  <dimension ref="A2:L67"/>
  <sheetViews>
    <sheetView showGridLines="0" zoomScale="100" workbookViewId="0">
      <selection activeCell="A1" sqref="A1"/>
    </sheetView>
  </sheetViews>
  <sheetFormatPr baseColWidth="8" defaultRowHeight="15"/>
  <cols>
    <col width="15" customWidth="1" min="1" max="1"/>
    <col width="26" customWidth="1" min="2" max="2"/>
    <col width="15" customWidth="1" min="3" max="3"/>
    <col width="16" customWidth="1" min="4" max="4"/>
    <col width="15" customWidth="1" min="5" max="5"/>
    <col width="16" customWidth="1" min="6" max="6"/>
    <col width="14" customWidth="1" min="7" max="7"/>
    <col width="14" customWidth="1" min="8" max="8"/>
    <col width="16" customWidth="1" min="9" max="9"/>
    <col width="16" customWidth="1" min="10" max="10"/>
    <col width="13" customWidth="1" min="11" max="11"/>
    <col width="30" customWidth="1" min="12" max="12"/>
  </cols>
  <sheetData>
    <row r="1" ht="3.75" customHeight="1"/>
    <row r="2" ht="27.75" customHeight="1">
      <c r="A2" s="1" t="inlineStr">
        <is>
          <t xml:space="preserve"> </t>
        </is>
      </c>
      <c r="B2" s="2" t="n"/>
      <c r="C2" s="3" t="inlineStr">
        <is>
          <t>Construction Billing Invoice</t>
        </is>
      </c>
    </row>
    <row r="3" ht="12.75" customHeight="1">
      <c r="A3" s="2" t="n"/>
      <c r="B3" s="2" t="n"/>
      <c r="C3" s="4" t="inlineStr">
        <is>
          <t>Retention &amp; Payment History  ·  the retention cap is enforced by MIN() — payment history drives the “previously invoiced” line</t>
        </is>
      </c>
    </row>
    <row r="4" ht="6" customHeight="1"/>
    <row r="7" ht="15" customHeight="1">
      <c r="A7" s="47">
        <f>IF(Proj_Name="","Project: —  |  complete the Cover sheet","Project:  "&amp;Proj_Name&amp;IF(Proj_Number="",""," · "&amp;Proj_Number))</f>
        <v/>
      </c>
      <c r="F7" s="48" t="inlineStr">
        <is>
          <t>Shaded cells = your input.   Tinted cells = auto-calculated, do not type over them.</t>
        </is>
      </c>
    </row>
    <row r="8" ht="18" customHeight="1">
      <c r="A8" s="5" t="inlineStr">
        <is>
          <t>A ·  RETENTION</t>
        </is>
      </c>
    </row>
    <row r="9" ht="14" customHeight="1">
      <c r="A9" s="6" t="inlineStr">
        <is>
          <t>Retention % on works</t>
        </is>
      </c>
      <c r="B9" s="6" t="n"/>
      <c r="C9" s="6" t="n"/>
      <c r="D9" s="68">
        <f>N(Ret_Rate_Works)</f>
        <v/>
      </c>
      <c r="E9" s="16" t="inlineStr">
        <is>
          <t>Set on Lists. Applied to the value of work completed to date.</t>
        </is>
      </c>
      <c r="F9" s="16" t="n"/>
      <c r="G9" s="16" t="n"/>
      <c r="H9" s="16" t="n"/>
      <c r="I9" s="16" t="n"/>
      <c r="J9" s="16" t="n"/>
      <c r="K9" s="16" t="n"/>
      <c r="L9" s="16" t="n"/>
    </row>
    <row r="10" ht="14" customHeight="1">
      <c r="A10" s="6" t="inlineStr">
        <is>
          <t>Retention % on variations</t>
        </is>
      </c>
      <c r="B10" s="6" t="n"/>
      <c r="C10" s="6" t="n"/>
      <c r="D10" s="68">
        <f>N(Ret_Rate_Vars)</f>
        <v/>
      </c>
      <c r="E10" s="16" t="inlineStr">
        <is>
          <t>Set on Lists. Some contracts apply a different rate to variations — most apply the same.</t>
        </is>
      </c>
      <c r="F10" s="16" t="n"/>
      <c r="G10" s="16" t="n"/>
      <c r="H10" s="16" t="n"/>
      <c r="I10" s="16" t="n"/>
      <c r="J10" s="16" t="n"/>
      <c r="K10" s="16" t="n"/>
      <c r="L10" s="16" t="n"/>
    </row>
    <row r="11" ht="14" customHeight="1">
      <c r="A11" s="6" t="inlineStr">
        <is>
          <t>Retention cap  (% of adjusted contract sum)</t>
        </is>
      </c>
      <c r="B11" s="6" t="n"/>
      <c r="C11" s="6" t="n"/>
      <c r="D11" s="68">
        <f>N(Ret_Cap_Pct)</f>
        <v/>
      </c>
      <c r="E11" s="16" t="inlineStr">
        <is>
          <t>Set on Lists. The maximum retention the client may hold, expressed as a percentage of the adjusted contract sum.</t>
        </is>
      </c>
      <c r="F11" s="16" t="n"/>
      <c r="G11" s="16" t="n"/>
      <c r="H11" s="16" t="n"/>
      <c r="I11" s="16" t="n"/>
      <c r="J11" s="16" t="n"/>
      <c r="K11" s="16" t="n"/>
      <c r="L11" s="16" t="n"/>
    </row>
    <row r="12" ht="14" customHeight="1">
      <c r="A12" s="6" t="inlineStr">
        <is>
          <t>Base — value of works completed to date</t>
        </is>
      </c>
      <c r="B12" s="6" t="n"/>
      <c r="C12" s="6" t="n"/>
      <c r="D12" s="33">
        <f>ROUND(N(WC_ToDate),2)</f>
        <v/>
      </c>
      <c r="E12" s="16" t="inlineStr">
        <is>
          <t>From the Schedule of Works Completed. Materials on site are NOT in the retention base in this template — check your contract.</t>
        </is>
      </c>
      <c r="F12" s="16" t="n"/>
      <c r="G12" s="16" t="n"/>
      <c r="H12" s="16" t="n"/>
      <c r="I12" s="16" t="n"/>
      <c r="J12" s="16" t="n"/>
      <c r="K12" s="16" t="n"/>
      <c r="L12" s="16" t="n"/>
    </row>
    <row r="13" ht="14" customHeight="1">
      <c r="A13" s="6" t="inlineStr">
        <is>
          <t>Base — approved variations completed to date</t>
        </is>
      </c>
      <c r="B13" s="6" t="n"/>
      <c r="C13" s="6" t="n"/>
      <c r="D13" s="33">
        <f>ROUND(N(VO_ToDate),2)</f>
        <v/>
      </c>
      <c r="E13" s="16" t="inlineStr">
        <is>
          <t>From Variations &amp; Claims — approved variations only.</t>
        </is>
      </c>
      <c r="F13" s="16" t="n"/>
      <c r="G13" s="16" t="n"/>
      <c r="H13" s="16" t="n"/>
      <c r="I13" s="16" t="n"/>
      <c r="J13" s="16" t="n"/>
      <c r="K13" s="16" t="n"/>
      <c r="L13" s="16" t="n"/>
    </row>
    <row r="14" ht="14" customHeight="1">
      <c r="A14" s="6" t="inlineStr">
        <is>
          <t>Retention on works</t>
        </is>
      </c>
      <c r="B14" s="6" t="n"/>
      <c r="C14" s="6" t="n"/>
      <c r="D14" s="33">
        <f>ROUND(N($D$12)*N($D$9),2)</f>
        <v/>
      </c>
      <c r="E14" s="16" t="inlineStr">
        <is>
          <t>Base x rate.</t>
        </is>
      </c>
      <c r="F14" s="16" t="n"/>
      <c r="G14" s="16" t="n"/>
      <c r="H14" s="16" t="n"/>
      <c r="I14" s="16" t="n"/>
      <c r="J14" s="16" t="n"/>
      <c r="K14" s="16" t="n"/>
      <c r="L14" s="16" t="n"/>
    </row>
    <row r="15" ht="14" customHeight="1">
      <c r="A15" s="6" t="inlineStr">
        <is>
          <t>Retention on variations</t>
        </is>
      </c>
      <c r="B15" s="6" t="n"/>
      <c r="C15" s="6" t="n"/>
      <c r="D15" s="33">
        <f>ROUND(N($D$13)*N($D$10),2)</f>
        <v/>
      </c>
      <c r="E15" s="16" t="inlineStr">
        <is>
          <t>Base x rate.</t>
        </is>
      </c>
      <c r="F15" s="16" t="n"/>
      <c r="G15" s="16" t="n"/>
      <c r="H15" s="16" t="n"/>
      <c r="I15" s="16" t="n"/>
      <c r="J15" s="16" t="n"/>
      <c r="K15" s="16" t="n"/>
      <c r="L15" s="16" t="n"/>
    </row>
    <row r="16" ht="14" customHeight="1">
      <c r="A16" s="6" t="inlineStr">
        <is>
          <t>Gross retention before the cap</t>
        </is>
      </c>
      <c r="B16" s="6" t="n"/>
      <c r="C16" s="6" t="n"/>
      <c r="D16" s="33">
        <f>ROUND(N($D$14)+N($D$15),2)</f>
        <v/>
      </c>
      <c r="E16" s="16" t="inlineStr">
        <is>
          <t>The arithmetic result before the contract cap is applied.</t>
        </is>
      </c>
      <c r="F16" s="16" t="n"/>
      <c r="G16" s="16" t="n"/>
      <c r="H16" s="16" t="n"/>
      <c r="I16" s="16" t="n"/>
      <c r="J16" s="16" t="n"/>
      <c r="K16" s="16" t="n"/>
      <c r="L16" s="16" t="n"/>
    </row>
    <row r="17" ht="14" customHeight="1">
      <c r="A17" s="6" t="inlineStr">
        <is>
          <t>Retention cap amount</t>
        </is>
      </c>
      <c r="B17" s="6" t="n"/>
      <c r="C17" s="6" t="n"/>
      <c r="D17" s="33">
        <f>ROUND((N(Contract_Sum)+N(VO_Approved_Total))*N($D$11),2)</f>
        <v/>
      </c>
      <c r="E17" s="16" t="inlineStr">
        <is>
          <t>Adjusted contract sum x cap %. This is the ceiling.</t>
        </is>
      </c>
      <c r="F17" s="16" t="n"/>
      <c r="G17" s="16" t="n"/>
      <c r="H17" s="16" t="n"/>
      <c r="I17" s="16" t="n"/>
      <c r="J17" s="16" t="n"/>
      <c r="K17" s="16" t="n"/>
      <c r="L17" s="16" t="n"/>
    </row>
    <row r="18" ht="14" customHeight="1">
      <c r="A18" s="6" t="inlineStr">
        <is>
          <t>Retention held to date  (capped)</t>
        </is>
      </c>
      <c r="B18" s="6" t="n"/>
      <c r="C18" s="6" t="n"/>
      <c r="D18" s="37">
        <f>ROUND(MIN(N($D$16),N($D$17)),2)</f>
        <v/>
      </c>
      <c r="E18" s="16" t="inlineStr">
        <is>
          <t>MIN(gross, cap). The cap is genuinely enforced here.</t>
        </is>
      </c>
      <c r="F18" s="16" t="n"/>
      <c r="G18" s="16" t="n"/>
      <c r="H18" s="16" t="n"/>
      <c r="I18" s="16" t="n"/>
      <c r="J18" s="16" t="n"/>
      <c r="K18" s="16" t="n"/>
      <c r="L18" s="16" t="n"/>
    </row>
    <row r="19" ht="14" customHeight="1">
      <c r="A19" s="6" t="inlineStr">
        <is>
          <t>Retention released at completion</t>
        </is>
      </c>
      <c r="B19" s="6" t="n"/>
      <c r="C19" s="6" t="n"/>
      <c r="D19" s="55" t="n">
        <v>0</v>
      </c>
      <c r="E19" s="16" t="inlineStr">
        <is>
          <t>Amount actually released on certification of practical / substantial completion — usually half. Enter 0 until it is released.</t>
        </is>
      </c>
      <c r="F19" s="16" t="n"/>
      <c r="G19" s="16" t="n"/>
      <c r="H19" s="16" t="n"/>
      <c r="I19" s="16" t="n"/>
      <c r="J19" s="16" t="n"/>
      <c r="K19" s="16" t="n"/>
      <c r="L19" s="16" t="n"/>
    </row>
    <row r="20" ht="14" customHeight="1">
      <c r="A20" s="6" t="inlineStr">
        <is>
          <t>Retention released at end of the defects period</t>
        </is>
      </c>
      <c r="B20" s="6" t="n"/>
      <c r="C20" s="6" t="n"/>
      <c r="D20" s="55" t="n">
        <v>0</v>
      </c>
      <c r="E20" s="16" t="inlineStr">
        <is>
          <t>The balance, released after the defects liability / maintenance period expires and defects are made good.</t>
        </is>
      </c>
      <c r="F20" s="16" t="n"/>
      <c r="G20" s="16" t="n"/>
      <c r="H20" s="16" t="n"/>
      <c r="I20" s="16" t="n"/>
      <c r="J20" s="16" t="n"/>
      <c r="K20" s="16" t="n"/>
      <c r="L20" s="16" t="n"/>
    </row>
    <row r="21" ht="14" customHeight="1">
      <c r="A21" s="6" t="inlineStr">
        <is>
          <t>Retention released to date  (total)</t>
        </is>
      </c>
      <c r="B21" s="6" t="n"/>
      <c r="C21" s="6" t="n"/>
      <c r="D21" s="33">
        <f>ROUND(N($D$19)+N($D$20),2)</f>
        <v/>
      </c>
      <c r="E21" s="16" t="inlineStr">
        <is>
          <t>Sum of the two release lines above.</t>
        </is>
      </c>
      <c r="F21" s="16" t="n"/>
      <c r="G21" s="16" t="n"/>
      <c r="H21" s="16" t="n"/>
      <c r="I21" s="16" t="n"/>
      <c r="J21" s="16" t="n"/>
      <c r="K21" s="16" t="n"/>
      <c r="L21" s="16" t="n"/>
    </row>
    <row r="22" ht="14" customHeight="1">
      <c r="A22" s="6" t="inlineStr">
        <is>
          <t>RETENTION OUTSTANDING  (still held)</t>
        </is>
      </c>
      <c r="B22" s="6" t="n"/>
      <c r="C22" s="6" t="n"/>
      <c r="D22" s="37">
        <f>ROUND(MAX(N($D$18)-N($D$21),0),2)</f>
        <v/>
      </c>
      <c r="E22" s="16" t="inlineStr">
        <is>
          <t>Held to date less released. This is the figure deducted on invoice line G.</t>
        </is>
      </c>
      <c r="F22" s="16" t="n"/>
      <c r="G22" s="16" t="n"/>
      <c r="H22" s="16" t="n"/>
      <c r="I22" s="16" t="n"/>
      <c r="J22" s="16" t="n"/>
      <c r="K22" s="16" t="n"/>
      <c r="L22" s="16" t="n"/>
    </row>
    <row r="23" ht="14" customHeight="1">
      <c r="A23" s="6" t="inlineStr">
        <is>
          <t>Retention remaining to the cap</t>
        </is>
      </c>
      <c r="B23" s="6" t="n"/>
      <c r="C23" s="6" t="n"/>
      <c r="D23" s="33">
        <f>ROUND(MAX(N($D$17)-N($D$18),0),2)</f>
        <v/>
      </c>
      <c r="E23" s="16" t="inlineStr">
        <is>
          <t>Headroom before no further retention may be deducted.</t>
        </is>
      </c>
      <c r="F23" s="16" t="n"/>
      <c r="G23" s="16" t="n"/>
      <c r="H23" s="16" t="n"/>
      <c r="I23" s="16" t="n"/>
      <c r="J23" s="16" t="n"/>
      <c r="K23" s="16" t="n"/>
      <c r="L23" s="16" t="n"/>
    </row>
    <row r="24" ht="14" customHeight="1">
      <c r="A24" s="6" t="inlineStr">
        <is>
          <t>Retention deducted this period</t>
        </is>
      </c>
      <c r="B24" s="6" t="n"/>
      <c r="C24" s="6" t="n"/>
      <c r="D24" s="33">
        <f>ROUND(N(WC_Ret_This)+ROUND(N(VO_This)*N($D$10),2),2)</f>
        <v/>
      </c>
      <c r="E24" s="16" t="inlineStr">
        <is>
          <t>Indicative: retention on the value claimed this period, before the cap. Compare with the movement in the outstanding balance.</t>
        </is>
      </c>
      <c r="F24" s="16" t="n"/>
      <c r="G24" s="16" t="n"/>
      <c r="H24" s="16" t="n"/>
      <c r="I24" s="16" t="n"/>
      <c r="J24" s="16" t="n"/>
      <c r="K24" s="16" t="n"/>
      <c r="L24" s="16" t="n"/>
    </row>
    <row r="25" ht="26" customHeight="1">
      <c r="A25" s="45">
        <f>IF(N($D$16)&gt;N($D$17)+0.005,"RETENTION CAP REACHED — gross retention exceeds the contract cap, so retention has been limited to the cap amount. No further retention may be deducted.","Retention is within the contract cap.")&amp;"   Where the contract or local law requires retention to be held in a trust account, or allows it to be replaced by a bank guarantee or unconditional undertaking, record that arrangement with the contract file and set the rates to nil here."</f>
        <v/>
      </c>
      <c r="B25" s="16" t="n"/>
      <c r="C25" s="16" t="n"/>
      <c r="D25" s="16" t="n"/>
      <c r="E25" s="16" t="n"/>
      <c r="F25" s="16" t="n"/>
      <c r="G25" s="16" t="n"/>
      <c r="H25" s="16" t="n"/>
      <c r="I25" s="16" t="n"/>
      <c r="J25" s="16" t="n"/>
      <c r="K25" s="16" t="n"/>
      <c r="L25" s="16" t="n"/>
    </row>
    <row r="27" ht="18" customHeight="1">
      <c r="A27" s="5" t="inlineStr">
        <is>
          <t>B ·  PAYMENT HISTORY  ·  do NOT enter this invoice here until it has been issued — it would be counted twice</t>
        </is>
      </c>
    </row>
    <row r="28" ht="30" customHeight="1">
      <c r="A28" s="49" t="inlineStr">
        <is>
          <t>Claim / Invoice No.</t>
        </is>
      </c>
      <c r="B28" s="49" t="inlineStr">
        <is>
          <t>Period</t>
        </is>
      </c>
      <c r="C28" s="50" t="inlineStr">
        <is>
          <t>Date Claimed</t>
        </is>
      </c>
      <c r="D28" s="50" t="inlineStr">
        <is>
          <t>Amount Claimed</t>
        </is>
      </c>
      <c r="E28" s="50" t="inlineStr">
        <is>
          <t>Date Certified</t>
        </is>
      </c>
      <c r="F28" s="50" t="inlineStr">
        <is>
          <t>Amount Certified</t>
        </is>
      </c>
      <c r="G28" s="50" t="inlineStr">
        <is>
          <t>Variance</t>
        </is>
      </c>
      <c r="H28" s="50" t="inlineStr">
        <is>
          <t>Date Paid</t>
        </is>
      </c>
      <c r="I28" s="50" t="inlineStr">
        <is>
          <t>Amount Paid</t>
        </is>
      </c>
      <c r="J28" s="50" t="inlineStr">
        <is>
          <t>Outstanding</t>
        </is>
      </c>
      <c r="K28" s="50" t="inlineStr">
        <is>
          <t>Days Overdue</t>
        </is>
      </c>
      <c r="L28" s="49" t="inlineStr">
        <is>
          <t>Notes</t>
        </is>
      </c>
    </row>
    <row r="29" ht="13.5" customHeight="1">
      <c r="A29" s="23" t="inlineStr">
        <is>
          <t>INV-2026-009</t>
        </is>
      </c>
      <c r="B29" s="23" t="inlineStr">
        <is>
          <t>Mar 2026</t>
        </is>
      </c>
      <c r="C29" s="59" t="n">
        <v>46112</v>
      </c>
      <c r="D29" s="51" t="n">
        <v>1842300</v>
      </c>
      <c r="E29" s="59" t="n">
        <v>46122</v>
      </c>
      <c r="F29" s="51" t="n">
        <v>1842300</v>
      </c>
      <c r="G29" s="33">
        <f>IF(OR($D29="",$F29=""),"",ROUND(N($F29)-N($D29),2))</f>
        <v/>
      </c>
      <c r="H29" s="59" t="n">
        <v>46140</v>
      </c>
      <c r="I29" s="51" t="n">
        <v>1842300</v>
      </c>
      <c r="J29" s="33">
        <f>IF(AND($D29="",$F29=""),"",ROUND(IF($F29="",N($D29),N($F29))-N($I29),2))</f>
        <v/>
      </c>
      <c r="K29" s="65">
        <f>IF(OR($J29="",N($J29)&lt;=0),"",IF(AND($E29="",$C29=""),"",MAX(TODAY()-(IF($E29="",$C29,$E29)+N(Pay_Terms_Days)),0)))</f>
        <v/>
      </c>
      <c r="L29" s="23" t="inlineStr">
        <is>
          <t>EXAMPLE — delete before use</t>
        </is>
      </c>
    </row>
    <row r="30" ht="13.5" customHeight="1">
      <c r="A30" s="23" t="inlineStr">
        <is>
          <t>INV-2026-010</t>
        </is>
      </c>
      <c r="B30" s="23" t="inlineStr">
        <is>
          <t>Apr 2026</t>
        </is>
      </c>
      <c r="C30" s="59" t="n">
        <v>46142</v>
      </c>
      <c r="D30" s="51" t="n">
        <v>2107650</v>
      </c>
      <c r="E30" s="59" t="n">
        <v>46153</v>
      </c>
      <c r="F30" s="51" t="n">
        <v>2064180</v>
      </c>
      <c r="G30" s="33">
        <f>IF(OR($D30="",$F30=""),"",ROUND(N($F30)-N($D30),2))</f>
        <v/>
      </c>
      <c r="H30" s="59" t="n">
        <v>46171</v>
      </c>
      <c r="I30" s="51" t="n">
        <v>2064180</v>
      </c>
      <c r="J30" s="33">
        <f>IF(AND($D30="",$F30=""),"",ROUND(IF($F30="",N($D30),N($F30))-N($I30),2))</f>
        <v/>
      </c>
      <c r="K30" s="65">
        <f>IF(OR($J30="",N($J30)&lt;=0),"",IF(AND($E30="",$C30=""),"",MAX(TODAY()-(IF($E30="",$C30,$E30)+N(Pay_Terms_Days)),0)))</f>
        <v/>
      </c>
      <c r="L30" s="23" t="inlineStr">
        <is>
          <t>EXAMPLE — delete before use</t>
        </is>
      </c>
    </row>
    <row r="31" ht="13.5" customHeight="1">
      <c r="A31" s="23" t="inlineStr">
        <is>
          <t>INV-2026-011</t>
        </is>
      </c>
      <c r="B31" s="23" t="inlineStr">
        <is>
          <t>May 2026</t>
        </is>
      </c>
      <c r="C31" s="59" t="n">
        <v>46173</v>
      </c>
      <c r="D31" s="51" t="n">
        <v>1963400</v>
      </c>
      <c r="E31" s="59" t="n">
        <v>46182</v>
      </c>
      <c r="F31" s="51" t="n">
        <v>1963400</v>
      </c>
      <c r="G31" s="33">
        <f>IF(OR($D31="",$F31=""),"",ROUND(N($F31)-N($D31),2))</f>
        <v/>
      </c>
      <c r="H31" s="59" t="n">
        <v>46199</v>
      </c>
      <c r="I31" s="51" t="n">
        <v>1963400</v>
      </c>
      <c r="J31" s="33">
        <f>IF(AND($D31="",$F31=""),"",ROUND(IF($F31="",N($D31),N($F31))-N($I31),2))</f>
        <v/>
      </c>
      <c r="K31" s="65">
        <f>IF(OR($J31="",N($J31)&lt;=0),"",IF(AND($E31="",$C31=""),"",MAX(TODAY()-(IF($E31="",$C31,$E31)+N(Pay_Terms_Days)),0)))</f>
        <v/>
      </c>
      <c r="L31" s="23" t="inlineStr">
        <is>
          <t>EXAMPLE — delete before use</t>
        </is>
      </c>
    </row>
    <row r="32" ht="13.5" customHeight="1">
      <c r="A32" s="23" t="inlineStr">
        <is>
          <t>INV-2026-012</t>
        </is>
      </c>
      <c r="B32" s="23" t="inlineStr">
        <is>
          <t>Jun 2026</t>
        </is>
      </c>
      <c r="C32" s="59" t="n">
        <v>46203</v>
      </c>
      <c r="D32" s="51" t="n">
        <v>1755900</v>
      </c>
      <c r="E32" s="59" t="n">
        <v>46213</v>
      </c>
      <c r="F32" s="51" t="n">
        <v>1698250</v>
      </c>
      <c r="G32" s="33">
        <f>IF(OR($D32="",$F32=""),"",ROUND(N($F32)-N($D32),2))</f>
        <v/>
      </c>
      <c r="H32" s="59" t="n">
        <v>46233</v>
      </c>
      <c r="I32" s="51" t="n">
        <v>1698250</v>
      </c>
      <c r="J32" s="33">
        <f>IF(AND($D32="",$F32=""),"",ROUND(IF($F32="",N($D32),N($F32))-N($I32),2))</f>
        <v/>
      </c>
      <c r="K32" s="65">
        <f>IF(OR($J32="",N($J32)&lt;=0),"",IF(AND($E32="",$C32=""),"",MAX(TODAY()-(IF($E32="",$C32,$E32)+N(Pay_Terms_Days)),0)))</f>
        <v/>
      </c>
      <c r="L32" s="23" t="inlineStr">
        <is>
          <t>EXAMPLE — delete before use</t>
        </is>
      </c>
    </row>
    <row r="33" ht="13.5" customHeight="1">
      <c r="A33" s="23" t="inlineStr">
        <is>
          <t>INV-2026-013</t>
        </is>
      </c>
      <c r="B33" s="23" t="inlineStr">
        <is>
          <t>Jul 2026</t>
        </is>
      </c>
      <c r="C33" s="59" t="n">
        <v>46234</v>
      </c>
      <c r="D33" s="51" t="n">
        <v>1489200</v>
      </c>
      <c r="E33" s="59" t="n">
        <v>46245</v>
      </c>
      <c r="F33" s="51" t="n">
        <v>1489200</v>
      </c>
      <c r="G33" s="33">
        <f>IF(OR($D33="",$F33=""),"",ROUND(N($F33)-N($D33),2))</f>
        <v/>
      </c>
      <c r="H33" s="59" t="n"/>
      <c r="I33" s="51" t="n">
        <v>0</v>
      </c>
      <c r="J33" s="33">
        <f>IF(AND($D33="",$F33=""),"",ROUND(IF($F33="",N($D33),N($F33))-N($I33),2))</f>
        <v/>
      </c>
      <c r="K33" s="65">
        <f>IF(OR($J33="",N($J33)&lt;=0),"",IF(AND($E33="",$C33=""),"",MAX(TODAY()-(IF($E33="",$C33,$E33)+N(Pay_Terms_Days)),0)))</f>
        <v/>
      </c>
      <c r="L33" s="23" t="inlineStr">
        <is>
          <t>EXAMPLE — delete before use</t>
        </is>
      </c>
    </row>
    <row r="34" ht="13.5" customHeight="1">
      <c r="A34" s="15" t="n"/>
      <c r="B34" s="15" t="n"/>
      <c r="C34" s="14" t="n"/>
      <c r="D34" s="55" t="n"/>
      <c r="E34" s="14" t="n"/>
      <c r="F34" s="55" t="n"/>
      <c r="G34" s="33">
        <f>IF(OR($D34="",$F34=""),"",ROUND(N($F34)-N($D34),2))</f>
        <v/>
      </c>
      <c r="H34" s="14" t="n"/>
      <c r="I34" s="55" t="n"/>
      <c r="J34" s="33">
        <f>IF(AND($D34="",$F34=""),"",ROUND(IF($F34="",N($D34),N($F34))-N($I34),2))</f>
        <v/>
      </c>
      <c r="K34" s="65">
        <f>IF(OR($J34="",N($J34)&lt;=0),"",IF(AND($E34="",$C34=""),"",MAX(TODAY()-(IF($E34="",$C34,$E34)+N(Pay_Terms_Days)),0)))</f>
        <v/>
      </c>
      <c r="L34" s="15" t="n"/>
    </row>
    <row r="35" ht="13.5" customHeight="1">
      <c r="A35" s="15" t="n"/>
      <c r="B35" s="15" t="n"/>
      <c r="C35" s="14" t="n"/>
      <c r="D35" s="55" t="n"/>
      <c r="E35" s="14" t="n"/>
      <c r="F35" s="55" t="n"/>
      <c r="G35" s="33">
        <f>IF(OR($D35="",$F35=""),"",ROUND(N($F35)-N($D35),2))</f>
        <v/>
      </c>
      <c r="H35" s="14" t="n"/>
      <c r="I35" s="55" t="n"/>
      <c r="J35" s="33">
        <f>IF(AND($D35="",$F35=""),"",ROUND(IF($F35="",N($D35),N($F35))-N($I35),2))</f>
        <v/>
      </c>
      <c r="K35" s="65">
        <f>IF(OR($J35="",N($J35)&lt;=0),"",IF(AND($E35="",$C35=""),"",MAX(TODAY()-(IF($E35="",$C35,$E35)+N(Pay_Terms_Days)),0)))</f>
        <v/>
      </c>
      <c r="L35" s="15" t="n"/>
    </row>
    <row r="36" ht="13.5" customHeight="1">
      <c r="A36" s="15" t="n"/>
      <c r="B36" s="15" t="n"/>
      <c r="C36" s="14" t="n"/>
      <c r="D36" s="55" t="n"/>
      <c r="E36" s="14" t="n"/>
      <c r="F36" s="55" t="n"/>
      <c r="G36" s="33">
        <f>IF(OR($D36="",$F36=""),"",ROUND(N($F36)-N($D36),2))</f>
        <v/>
      </c>
      <c r="H36" s="14" t="n"/>
      <c r="I36" s="55" t="n"/>
      <c r="J36" s="33">
        <f>IF(AND($D36="",$F36=""),"",ROUND(IF($F36="",N($D36),N($F36))-N($I36),2))</f>
        <v/>
      </c>
      <c r="K36" s="65">
        <f>IF(OR($J36="",N($J36)&lt;=0),"",IF(AND($E36="",$C36=""),"",MAX(TODAY()-(IF($E36="",$C36,$E36)+N(Pay_Terms_Days)),0)))</f>
        <v/>
      </c>
      <c r="L36" s="15" t="n"/>
    </row>
    <row r="37" ht="13.5" customHeight="1">
      <c r="A37" s="15" t="n"/>
      <c r="B37" s="15" t="n"/>
      <c r="C37" s="14" t="n"/>
      <c r="D37" s="55" t="n"/>
      <c r="E37" s="14" t="n"/>
      <c r="F37" s="55" t="n"/>
      <c r="G37" s="33">
        <f>IF(OR($D37="",$F37=""),"",ROUND(N($F37)-N($D37),2))</f>
        <v/>
      </c>
      <c r="H37" s="14" t="n"/>
      <c r="I37" s="55" t="n"/>
      <c r="J37" s="33">
        <f>IF(AND($D37="",$F37=""),"",ROUND(IF($F37="",N($D37),N($F37))-N($I37),2))</f>
        <v/>
      </c>
      <c r="K37" s="65">
        <f>IF(OR($J37="",N($J37)&lt;=0),"",IF(AND($E37="",$C37=""),"",MAX(TODAY()-(IF($E37="",$C37,$E37)+N(Pay_Terms_Days)),0)))</f>
        <v/>
      </c>
      <c r="L37" s="15" t="n"/>
    </row>
    <row r="38" ht="13.5" customHeight="1">
      <c r="A38" s="15" t="n"/>
      <c r="B38" s="15" t="n"/>
      <c r="C38" s="14" t="n"/>
      <c r="D38" s="55" t="n"/>
      <c r="E38" s="14" t="n"/>
      <c r="F38" s="55" t="n"/>
      <c r="G38" s="33">
        <f>IF(OR($D38="",$F38=""),"",ROUND(N($F38)-N($D38),2))</f>
        <v/>
      </c>
      <c r="H38" s="14" t="n"/>
      <c r="I38" s="55" t="n"/>
      <c r="J38" s="33">
        <f>IF(AND($D38="",$F38=""),"",ROUND(IF($F38="",N($D38),N($F38))-N($I38),2))</f>
        <v/>
      </c>
      <c r="K38" s="65">
        <f>IF(OR($J38="",N($J38)&lt;=0),"",IF(AND($E38="",$C38=""),"",MAX(TODAY()-(IF($E38="",$C38,$E38)+N(Pay_Terms_Days)),0)))</f>
        <v/>
      </c>
      <c r="L38" s="15" t="n"/>
    </row>
    <row r="39" ht="13.5" customHeight="1">
      <c r="A39" s="15" t="n"/>
      <c r="B39" s="15" t="n"/>
      <c r="C39" s="14" t="n"/>
      <c r="D39" s="55" t="n"/>
      <c r="E39" s="14" t="n"/>
      <c r="F39" s="55" t="n"/>
      <c r="G39" s="33">
        <f>IF(OR($D39="",$F39=""),"",ROUND(N($F39)-N($D39),2))</f>
        <v/>
      </c>
      <c r="H39" s="14" t="n"/>
      <c r="I39" s="55" t="n"/>
      <c r="J39" s="33">
        <f>IF(AND($D39="",$F39=""),"",ROUND(IF($F39="",N($D39),N($F39))-N($I39),2))</f>
        <v/>
      </c>
      <c r="K39" s="65">
        <f>IF(OR($J39="",N($J39)&lt;=0),"",IF(AND($E39="",$C39=""),"",MAX(TODAY()-(IF($E39="",$C39,$E39)+N(Pay_Terms_Days)),0)))</f>
        <v/>
      </c>
      <c r="L39" s="15" t="n"/>
    </row>
    <row r="40" ht="13.5" customHeight="1">
      <c r="A40" s="15" t="n"/>
      <c r="B40" s="15" t="n"/>
      <c r="C40" s="14" t="n"/>
      <c r="D40" s="55" t="n"/>
      <c r="E40" s="14" t="n"/>
      <c r="F40" s="55" t="n"/>
      <c r="G40" s="33">
        <f>IF(OR($D40="",$F40=""),"",ROUND(N($F40)-N($D40),2))</f>
        <v/>
      </c>
      <c r="H40" s="14" t="n"/>
      <c r="I40" s="55" t="n"/>
      <c r="J40" s="33">
        <f>IF(AND($D40="",$F40=""),"",ROUND(IF($F40="",N($D40),N($F40))-N($I40),2))</f>
        <v/>
      </c>
      <c r="K40" s="65">
        <f>IF(OR($J40="",N($J40)&lt;=0),"",IF(AND($E40="",$C40=""),"",MAX(TODAY()-(IF($E40="",$C40,$E40)+N(Pay_Terms_Days)),0)))</f>
        <v/>
      </c>
      <c r="L40" s="15" t="n"/>
    </row>
    <row r="41" ht="13.5" customHeight="1">
      <c r="A41" s="15" t="n"/>
      <c r="B41" s="15" t="n"/>
      <c r="C41" s="14" t="n"/>
      <c r="D41" s="55" t="n"/>
      <c r="E41" s="14" t="n"/>
      <c r="F41" s="55" t="n"/>
      <c r="G41" s="33">
        <f>IF(OR($D41="",$F41=""),"",ROUND(N($F41)-N($D41),2))</f>
        <v/>
      </c>
      <c r="H41" s="14" t="n"/>
      <c r="I41" s="55" t="n"/>
      <c r="J41" s="33">
        <f>IF(AND($D41="",$F41=""),"",ROUND(IF($F41="",N($D41),N($F41))-N($I41),2))</f>
        <v/>
      </c>
      <c r="K41" s="65">
        <f>IF(OR($J41="",N($J41)&lt;=0),"",IF(AND($E41="",$C41=""),"",MAX(TODAY()-(IF($E41="",$C41,$E41)+N(Pay_Terms_Days)),0)))</f>
        <v/>
      </c>
      <c r="L41" s="15" t="n"/>
    </row>
    <row r="42" ht="13.5" customHeight="1">
      <c r="A42" s="15" t="n"/>
      <c r="B42" s="15" t="n"/>
      <c r="C42" s="14" t="n"/>
      <c r="D42" s="55" t="n"/>
      <c r="E42" s="14" t="n"/>
      <c r="F42" s="55" t="n"/>
      <c r="G42" s="33">
        <f>IF(OR($D42="",$F42=""),"",ROUND(N($F42)-N($D42),2))</f>
        <v/>
      </c>
      <c r="H42" s="14" t="n"/>
      <c r="I42" s="55" t="n"/>
      <c r="J42" s="33">
        <f>IF(AND($D42="",$F42=""),"",ROUND(IF($F42="",N($D42),N($F42))-N($I42),2))</f>
        <v/>
      </c>
      <c r="K42" s="65">
        <f>IF(OR($J42="",N($J42)&lt;=0),"",IF(AND($E42="",$C42=""),"",MAX(TODAY()-(IF($E42="",$C42,$E42)+N(Pay_Terms_Days)),0)))</f>
        <v/>
      </c>
      <c r="L42" s="15" t="n"/>
    </row>
    <row r="43" ht="13.5" customHeight="1">
      <c r="A43" s="15" t="n"/>
      <c r="B43" s="15" t="n"/>
      <c r="C43" s="14" t="n"/>
      <c r="D43" s="55" t="n"/>
      <c r="E43" s="14" t="n"/>
      <c r="F43" s="55" t="n"/>
      <c r="G43" s="33">
        <f>IF(OR($D43="",$F43=""),"",ROUND(N($F43)-N($D43),2))</f>
        <v/>
      </c>
      <c r="H43" s="14" t="n"/>
      <c r="I43" s="55" t="n"/>
      <c r="J43" s="33">
        <f>IF(AND($D43="",$F43=""),"",ROUND(IF($F43="",N($D43),N($F43))-N($I43),2))</f>
        <v/>
      </c>
      <c r="K43" s="65">
        <f>IF(OR($J43="",N($J43)&lt;=0),"",IF(AND($E43="",$C43=""),"",MAX(TODAY()-(IF($E43="",$C43,$E43)+N(Pay_Terms_Days)),0)))</f>
        <v/>
      </c>
      <c r="L43" s="15" t="n"/>
    </row>
    <row r="44" ht="13.5" customHeight="1">
      <c r="A44" s="15" t="n"/>
      <c r="B44" s="15" t="n"/>
      <c r="C44" s="14" t="n"/>
      <c r="D44" s="55" t="n"/>
      <c r="E44" s="14" t="n"/>
      <c r="F44" s="55" t="n"/>
      <c r="G44" s="33">
        <f>IF(OR($D44="",$F44=""),"",ROUND(N($F44)-N($D44),2))</f>
        <v/>
      </c>
      <c r="H44" s="14" t="n"/>
      <c r="I44" s="55" t="n"/>
      <c r="J44" s="33">
        <f>IF(AND($D44="",$F44=""),"",ROUND(IF($F44="",N($D44),N($F44))-N($I44),2))</f>
        <v/>
      </c>
      <c r="K44" s="65">
        <f>IF(OR($J44="",N($J44)&lt;=0),"",IF(AND($E44="",$C44=""),"",MAX(TODAY()-(IF($E44="",$C44,$E44)+N(Pay_Terms_Days)),0)))</f>
        <v/>
      </c>
      <c r="L44" s="15" t="n"/>
    </row>
    <row r="45" ht="13.5" customHeight="1">
      <c r="A45" s="15" t="n"/>
      <c r="B45" s="15" t="n"/>
      <c r="C45" s="14" t="n"/>
      <c r="D45" s="55" t="n"/>
      <c r="E45" s="14" t="n"/>
      <c r="F45" s="55" t="n"/>
      <c r="G45" s="33">
        <f>IF(OR($D45="",$F45=""),"",ROUND(N($F45)-N($D45),2))</f>
        <v/>
      </c>
      <c r="H45" s="14" t="n"/>
      <c r="I45" s="55" t="n"/>
      <c r="J45" s="33">
        <f>IF(AND($D45="",$F45=""),"",ROUND(IF($F45="",N($D45),N($F45))-N($I45),2))</f>
        <v/>
      </c>
      <c r="K45" s="65">
        <f>IF(OR($J45="",N($J45)&lt;=0),"",IF(AND($E45="",$C45=""),"",MAX(TODAY()-(IF($E45="",$C45,$E45)+N(Pay_Terms_Days)),0)))</f>
        <v/>
      </c>
      <c r="L45" s="15" t="n"/>
    </row>
    <row r="46" ht="13.5" customHeight="1">
      <c r="A46" s="15" t="n"/>
      <c r="B46" s="15" t="n"/>
      <c r="C46" s="14" t="n"/>
      <c r="D46" s="55" t="n"/>
      <c r="E46" s="14" t="n"/>
      <c r="F46" s="55" t="n"/>
      <c r="G46" s="33">
        <f>IF(OR($D46="",$F46=""),"",ROUND(N($F46)-N($D46),2))</f>
        <v/>
      </c>
      <c r="H46" s="14" t="n"/>
      <c r="I46" s="55" t="n"/>
      <c r="J46" s="33">
        <f>IF(AND($D46="",$F46=""),"",ROUND(IF($F46="",N($D46),N($F46))-N($I46),2))</f>
        <v/>
      </c>
      <c r="K46" s="65">
        <f>IF(OR($J46="",N($J46)&lt;=0),"",IF(AND($E46="",$C46=""),"",MAX(TODAY()-(IF($E46="",$C46,$E46)+N(Pay_Terms_Days)),0)))</f>
        <v/>
      </c>
      <c r="L46" s="15" t="n"/>
    </row>
    <row r="47" ht="13.5" customHeight="1">
      <c r="A47" s="15" t="n"/>
      <c r="B47" s="15" t="n"/>
      <c r="C47" s="14" t="n"/>
      <c r="D47" s="55" t="n"/>
      <c r="E47" s="14" t="n"/>
      <c r="F47" s="55" t="n"/>
      <c r="G47" s="33">
        <f>IF(OR($D47="",$F47=""),"",ROUND(N($F47)-N($D47),2))</f>
        <v/>
      </c>
      <c r="H47" s="14" t="n"/>
      <c r="I47" s="55" t="n"/>
      <c r="J47" s="33">
        <f>IF(AND($D47="",$F47=""),"",ROUND(IF($F47="",N($D47),N($F47))-N($I47),2))</f>
        <v/>
      </c>
      <c r="K47" s="65">
        <f>IF(OR($J47="",N($J47)&lt;=0),"",IF(AND($E47="",$C47=""),"",MAX(TODAY()-(IF($E47="",$C47,$E47)+N(Pay_Terms_Days)),0)))</f>
        <v/>
      </c>
      <c r="L47" s="15" t="n"/>
    </row>
    <row r="48" ht="13.5" customHeight="1">
      <c r="A48" s="15" t="n"/>
      <c r="B48" s="15" t="n"/>
      <c r="C48" s="14" t="n"/>
      <c r="D48" s="55" t="n"/>
      <c r="E48" s="14" t="n"/>
      <c r="F48" s="55" t="n"/>
      <c r="G48" s="33">
        <f>IF(OR($D48="",$F48=""),"",ROUND(N($F48)-N($D48),2))</f>
        <v/>
      </c>
      <c r="H48" s="14" t="n"/>
      <c r="I48" s="55" t="n"/>
      <c r="J48" s="33">
        <f>IF(AND($D48="",$F48=""),"",ROUND(IF($F48="",N($D48),N($F48))-N($I48),2))</f>
        <v/>
      </c>
      <c r="K48" s="65">
        <f>IF(OR($J48="",N($J48)&lt;=0),"",IF(AND($E48="",$C48=""),"",MAX(TODAY()-(IF($E48="",$C48,$E48)+N(Pay_Terms_Days)),0)))</f>
        <v/>
      </c>
      <c r="L48" s="15" t="n"/>
    </row>
    <row r="49" ht="18" customHeight="1">
      <c r="A49" s="36" t="inlineStr">
        <is>
          <t>TOTAL</t>
        </is>
      </c>
      <c r="B49" s="36" t="inlineStr">
        <is>
          <t>Certified = previously invoiced</t>
        </is>
      </c>
      <c r="C49" s="56" t="n"/>
      <c r="D49" s="37">
        <f>ROUND(SUM($D$29:$D$48),2)</f>
        <v/>
      </c>
      <c r="E49" s="56" t="n"/>
      <c r="F49" s="37">
        <f>ROUND(SUM($F$29:$F$48),2)</f>
        <v/>
      </c>
      <c r="G49" s="37">
        <f>ROUND(SUM($G$29:$G$48),2)</f>
        <v/>
      </c>
      <c r="H49" s="56" t="n"/>
      <c r="I49" s="37">
        <f>ROUND(SUM($I$29:$I$48),2)</f>
        <v/>
      </c>
      <c r="J49" s="37">
        <f>ROUND(SUM($J$29:$J$48),2)</f>
        <v/>
      </c>
      <c r="K49" s="56" t="n"/>
      <c r="L49" s="56" t="n"/>
    </row>
    <row r="51" ht="18" customHeight="1">
      <c r="A51" s="5" t="inlineStr">
        <is>
          <t>C ·  ADJUSTMENTS &amp; DEDUCTIONS  ·  only lines marked “Yes” are applied to this invoice (line K)</t>
        </is>
      </c>
    </row>
    <row r="52" ht="30" customHeight="1">
      <c r="A52" s="49" t="inlineStr">
        <is>
          <t>Ref</t>
        </is>
      </c>
      <c r="B52" s="49" t="inlineStr">
        <is>
          <t>Type</t>
        </is>
      </c>
      <c r="C52" s="49" t="inlineStr">
        <is>
          <t>Description</t>
        </is>
      </c>
      <c r="D52" s="49" t="n"/>
      <c r="E52" s="49" t="n"/>
      <c r="F52" s="49" t="n"/>
      <c r="G52" s="49" t="inlineStr">
        <is>
          <t>Contract Reference</t>
        </is>
      </c>
      <c r="H52" s="49" t="n"/>
      <c r="I52" s="50" t="inlineStr">
        <is>
          <t>Amount</t>
        </is>
      </c>
      <c r="J52" s="50" t="inlineStr">
        <is>
          <t>Applied to This Invoice</t>
        </is>
      </c>
      <c r="K52" s="49" t="inlineStr">
        <is>
          <t>Notes</t>
        </is>
      </c>
      <c r="L52" s="49" t="n"/>
    </row>
    <row r="53" ht="13.5" customHeight="1">
      <c r="A53" s="23" t="inlineStr">
        <is>
          <t>ADJ-01</t>
        </is>
      </c>
      <c r="B53" s="23" t="inlineStr">
        <is>
          <t>Backcharge</t>
        </is>
      </c>
      <c r="C53" s="23" t="inlineStr">
        <is>
          <t>Rectification of damage to client's finished ground-floor slab</t>
        </is>
      </c>
      <c r="D53" s="15" t="n"/>
      <c r="E53" s="15" t="n"/>
      <c r="F53" s="15" t="n"/>
      <c r="G53" s="23" t="inlineStr">
        <is>
          <t>Clause 30.3 — notice N-014</t>
        </is>
      </c>
      <c r="H53" s="15" t="n"/>
      <c r="I53" s="51" t="n">
        <v>18400</v>
      </c>
      <c r="J53" s="43" t="inlineStr">
        <is>
          <t>Yes</t>
        </is>
      </c>
      <c r="K53" s="23" t="inlineStr">
        <is>
          <t>EXAMPLE — delete before use</t>
        </is>
      </c>
      <c r="L53" s="15" t="n"/>
    </row>
    <row r="54" ht="13.5" customHeight="1">
      <c r="A54" s="23" t="inlineStr">
        <is>
          <t>ADJ-02</t>
        </is>
      </c>
      <c r="B54" s="23" t="inlineStr">
        <is>
          <t>Liquidated damages</t>
        </is>
      </c>
      <c r="C54" s="23" t="inlineStr">
        <is>
          <t>Delay to Separable Portion 1 — 6 days at the contract rate</t>
        </is>
      </c>
      <c r="D54" s="15" t="n"/>
      <c r="E54" s="15" t="n"/>
      <c r="F54" s="15" t="n"/>
      <c r="G54" s="23" t="inlineStr">
        <is>
          <t>Clause 34.7 — certificate LD-01</t>
        </is>
      </c>
      <c r="H54" s="15" t="n"/>
      <c r="I54" s="51" t="n">
        <v>42000</v>
      </c>
      <c r="J54" s="43" t="inlineStr">
        <is>
          <t>Yes</t>
        </is>
      </c>
      <c r="K54" s="23" t="inlineStr">
        <is>
          <t>EXAMPLE — delete before use</t>
        </is>
      </c>
      <c r="L54" s="15" t="n"/>
    </row>
    <row r="55" ht="13.5" customHeight="1">
      <c r="A55" s="23" t="inlineStr">
        <is>
          <t>ADJ-03</t>
        </is>
      </c>
      <c r="B55" s="23" t="inlineStr">
        <is>
          <t>Credit note</t>
        </is>
      </c>
      <c r="C55" s="23" t="inlineStr">
        <is>
          <t>Credit for unused provisional sum — external signage</t>
        </is>
      </c>
      <c r="D55" s="15" t="n"/>
      <c r="E55" s="15" t="n"/>
      <c r="F55" s="15" t="n"/>
      <c r="G55" s="23" t="inlineStr">
        <is>
          <t>PS-04 adjustment</t>
        </is>
      </c>
      <c r="H55" s="15" t="n"/>
      <c r="I55" s="51" t="n">
        <v>12600</v>
      </c>
      <c r="J55" s="43" t="inlineStr">
        <is>
          <t>Yes</t>
        </is>
      </c>
      <c r="K55" s="23" t="inlineStr">
        <is>
          <t>EXAMPLE — delete before use</t>
        </is>
      </c>
      <c r="L55" s="15" t="n"/>
    </row>
    <row r="56" ht="13.5" customHeight="1">
      <c r="A56" s="23" t="inlineStr">
        <is>
          <t>ADJ-04</t>
        </is>
      </c>
      <c r="B56" s="23" t="inlineStr">
        <is>
          <t>Contra charge</t>
        </is>
      </c>
      <c r="C56" s="23" t="inlineStr">
        <is>
          <t>Client-supplied crane hire recharged to the contractor</t>
        </is>
      </c>
      <c r="D56" s="15" t="n"/>
      <c r="E56" s="15" t="n"/>
      <c r="F56" s="15" t="n"/>
      <c r="G56" s="23" t="inlineStr">
        <is>
          <t>Site instruction SI-029</t>
        </is>
      </c>
      <c r="H56" s="15" t="n"/>
      <c r="I56" s="51" t="n">
        <v>7850</v>
      </c>
      <c r="J56" s="43" t="inlineStr">
        <is>
          <t>No</t>
        </is>
      </c>
      <c r="K56" s="23" t="inlineStr">
        <is>
          <t>EXAMPLE — delete before use</t>
        </is>
      </c>
      <c r="L56" s="15" t="n"/>
    </row>
    <row r="57" ht="13.5" customHeight="1">
      <c r="A57" s="15" t="n"/>
      <c r="B57" s="15" t="n"/>
      <c r="C57" s="15" t="n"/>
      <c r="D57" s="15" t="n"/>
      <c r="E57" s="15" t="n"/>
      <c r="F57" s="15" t="n"/>
      <c r="G57" s="15" t="n"/>
      <c r="H57" s="15" t="n"/>
      <c r="I57" s="55" t="n"/>
      <c r="J57" s="13" t="n"/>
      <c r="K57" s="15" t="n"/>
      <c r="L57" s="15" t="n"/>
    </row>
    <row r="58" ht="13.5" customHeight="1">
      <c r="A58" s="15" t="n"/>
      <c r="B58" s="15" t="n"/>
      <c r="C58" s="15" t="n"/>
      <c r="D58" s="15" t="n"/>
      <c r="E58" s="15" t="n"/>
      <c r="F58" s="15" t="n"/>
      <c r="G58" s="15" t="n"/>
      <c r="H58" s="15" t="n"/>
      <c r="I58" s="55" t="n"/>
      <c r="J58" s="13" t="n"/>
      <c r="K58" s="15" t="n"/>
      <c r="L58" s="15" t="n"/>
    </row>
    <row r="59" ht="13.5" customHeight="1">
      <c r="A59" s="15" t="n"/>
      <c r="B59" s="15" t="n"/>
      <c r="C59" s="15" t="n"/>
      <c r="D59" s="15" t="n"/>
      <c r="E59" s="15" t="n"/>
      <c r="F59" s="15" t="n"/>
      <c r="G59" s="15" t="n"/>
      <c r="H59" s="15" t="n"/>
      <c r="I59" s="55" t="n"/>
      <c r="J59" s="13" t="n"/>
      <c r="K59" s="15" t="n"/>
      <c r="L59" s="15" t="n"/>
    </row>
    <row r="60" ht="13.5" customHeight="1">
      <c r="A60" s="15" t="n"/>
      <c r="B60" s="15" t="n"/>
      <c r="C60" s="15" t="n"/>
      <c r="D60" s="15" t="n"/>
      <c r="E60" s="15" t="n"/>
      <c r="F60" s="15" t="n"/>
      <c r="G60" s="15" t="n"/>
      <c r="H60" s="15" t="n"/>
      <c r="I60" s="55" t="n"/>
      <c r="J60" s="13" t="n"/>
      <c r="K60" s="15" t="n"/>
      <c r="L60" s="15" t="n"/>
    </row>
    <row r="61" ht="13.5" customHeight="1">
      <c r="A61" s="15" t="n"/>
      <c r="B61" s="15" t="n"/>
      <c r="C61" s="15" t="n"/>
      <c r="D61" s="15" t="n"/>
      <c r="E61" s="15" t="n"/>
      <c r="F61" s="15" t="n"/>
      <c r="G61" s="15" t="n"/>
      <c r="H61" s="15" t="n"/>
      <c r="I61" s="55" t="n"/>
      <c r="J61" s="13" t="n"/>
      <c r="K61" s="15" t="n"/>
      <c r="L61" s="15" t="n"/>
    </row>
    <row r="62" ht="13.5" customHeight="1">
      <c r="A62" s="15" t="n"/>
      <c r="B62" s="15" t="n"/>
      <c r="C62" s="15" t="n"/>
      <c r="D62" s="15" t="n"/>
      <c r="E62" s="15" t="n"/>
      <c r="F62" s="15" t="n"/>
      <c r="G62" s="15" t="n"/>
      <c r="H62" s="15" t="n"/>
      <c r="I62" s="55" t="n"/>
      <c r="J62" s="13" t="n"/>
      <c r="K62" s="15" t="n"/>
      <c r="L62" s="15" t="n"/>
    </row>
    <row r="63" ht="18" customHeight="1">
      <c r="A63" s="36" t="inlineStr">
        <is>
          <t>TOTAL</t>
        </is>
      </c>
      <c r="B63" s="56" t="n"/>
      <c r="C63" s="36" t="inlineStr">
        <is>
          <t>Applied to this invoice — carried to invoice line K</t>
        </is>
      </c>
      <c r="D63" s="36" t="n"/>
      <c r="E63" s="36" t="n"/>
      <c r="F63" s="36" t="n"/>
      <c r="G63" s="56" t="n"/>
      <c r="H63" s="56" t="n"/>
      <c r="I63" s="37">
        <f>ROUND(SUM($I$53:$I$62),2)</f>
        <v/>
      </c>
      <c r="J63" s="56" t="n"/>
      <c r="K63" s="37">
        <f>ROUND(SUMIF($J$53:$J$62,"Yes",$I$53:$I$62),2)</f>
        <v/>
      </c>
      <c r="L63" s="37" t="n"/>
    </row>
    <row r="65" ht="24" customHeight="1">
      <c r="A65" s="45" t="inlineStr">
        <is>
          <t>Set-off, backcharges and liquidated damages reduce the amount payable but do not reduce the value of work you have earned — that is why they sit below the subtotal on the invoice, not inside the works schedule. Every deduction should be supported by a written notice given in the manner and within the time the Conditions of Contract require; an unnotified deduction is often unrecoverable.</t>
        </is>
      </c>
      <c r="B65" s="16" t="n"/>
      <c r="C65" s="16" t="n"/>
      <c r="D65" s="16" t="n"/>
      <c r="E65" s="16" t="n"/>
      <c r="F65" s="16" t="n"/>
      <c r="G65" s="16" t="n"/>
      <c r="H65" s="16" t="n"/>
      <c r="I65" s="16" t="n"/>
      <c r="J65" s="16" t="n"/>
      <c r="K65" s="16" t="n"/>
      <c r="L65" s="16" t="n"/>
    </row>
    <row r="67" ht="12.75" customHeight="1">
      <c r="A67" s="17" t="inlineStr">
        <is>
          <t>Visit mastt.com</t>
        </is>
      </c>
      <c r="B67" s="18" t="n"/>
      <c r="C67" s="18" t="n"/>
      <c r="D67" s="18" t="n"/>
      <c r="E67" s="18" t="n"/>
      <c r="F67" s="18" t="n"/>
      <c r="G67" s="18" t="n"/>
      <c r="H67" s="18" t="n"/>
      <c r="I67" s="18" t="n"/>
      <c r="J67" s="18" t="n"/>
      <c r="K67" s="18" t="n"/>
      <c r="L67" s="18" t="n"/>
    </row>
  </sheetData>
  <sheetProtection selectLockedCells="0" selectUnlockedCells="0" sheet="1" objects="0" insertRows="0" insertHyperlinks="1" autoFilter="0" scenarios="0" formatColumns="0" deleteColumns="1" insertColumns="0" pivotTables="1" deleteRows="0" formatCells="0" formatRows="0" sort="0"/>
  <mergeCells count="76">
    <mergeCell ref="C52:F52"/>
    <mergeCell ref="E12:L12"/>
    <mergeCell ref="E18:L18"/>
    <mergeCell ref="G59:H59"/>
    <mergeCell ref="C61:F61"/>
    <mergeCell ref="E21:L21"/>
    <mergeCell ref="A25:L25"/>
    <mergeCell ref="G52:H52"/>
    <mergeCell ref="G56:H56"/>
    <mergeCell ref="A18:C18"/>
    <mergeCell ref="E24:L24"/>
    <mergeCell ref="A21:C21"/>
    <mergeCell ref="E14:L14"/>
    <mergeCell ref="A27:L27"/>
    <mergeCell ref="A12:C12"/>
    <mergeCell ref="C57:F57"/>
    <mergeCell ref="E23:L23"/>
    <mergeCell ref="K54:L54"/>
    <mergeCell ref="K55:L55"/>
    <mergeCell ref="G61:H61"/>
    <mergeCell ref="K60:L60"/>
    <mergeCell ref="E17:L17"/>
    <mergeCell ref="C53:F53"/>
    <mergeCell ref="E20:L20"/>
    <mergeCell ref="A23:C23"/>
    <mergeCell ref="A14:C14"/>
    <mergeCell ref="C3:L3"/>
    <mergeCell ref="A22:C22"/>
    <mergeCell ref="A17:C17"/>
    <mergeCell ref="A8:L8"/>
    <mergeCell ref="E10:L10"/>
    <mergeCell ref="G53:H53"/>
    <mergeCell ref="G57:H57"/>
    <mergeCell ref="E13:L13"/>
    <mergeCell ref="E19:L19"/>
    <mergeCell ref="C62:F62"/>
    <mergeCell ref="G62:H62"/>
    <mergeCell ref="C58:F58"/>
    <mergeCell ref="A20:C20"/>
    <mergeCell ref="K56:L56"/>
    <mergeCell ref="A10:C10"/>
    <mergeCell ref="K58:L58"/>
    <mergeCell ref="E9:L9"/>
    <mergeCell ref="K52:L52"/>
    <mergeCell ref="A13:C13"/>
    <mergeCell ref="A19:C19"/>
    <mergeCell ref="K59:L59"/>
    <mergeCell ref="E15:L15"/>
    <mergeCell ref="F7:L7"/>
    <mergeCell ref="C60:F60"/>
    <mergeCell ref="E11:L11"/>
    <mergeCell ref="A9:C9"/>
    <mergeCell ref="C54:F54"/>
    <mergeCell ref="G58:H58"/>
    <mergeCell ref="K63:L63"/>
    <mergeCell ref="C63:F63"/>
    <mergeCell ref="K61:L61"/>
    <mergeCell ref="A15:C15"/>
    <mergeCell ref="A67:L67"/>
    <mergeCell ref="C55:F55"/>
    <mergeCell ref="A24:C24"/>
    <mergeCell ref="G55:H55"/>
    <mergeCell ref="K53:L53"/>
    <mergeCell ref="A11:C11"/>
    <mergeCell ref="C56:F56"/>
    <mergeCell ref="G54:H54"/>
    <mergeCell ref="A51:L51"/>
    <mergeCell ref="E16:L16"/>
    <mergeCell ref="C59:F59"/>
    <mergeCell ref="K57:L57"/>
    <mergeCell ref="E22:L22"/>
    <mergeCell ref="G60:H60"/>
    <mergeCell ref="K62:L62"/>
    <mergeCell ref="C2:L2"/>
    <mergeCell ref="A16:C16"/>
    <mergeCell ref="A65:L65"/>
  </mergeCells>
  <conditionalFormatting sqref="K29:K48">
    <cfRule type="expression" priority="1" dxfId="0" stopIfTrue="0">
      <formula>=AND(ISNUMBER($K29),N($K29)&gt;0)</formula>
    </cfRule>
  </conditionalFormatting>
  <conditionalFormatting sqref="G29:G48">
    <cfRule type="expression" priority="2" dxfId="1" stopIfTrue="0">
      <formula>=AND(ISNUMBER($G29),N($G29)&lt;&gt;0)</formula>
    </cfRule>
  </conditionalFormatting>
  <conditionalFormatting sqref="J29:J48">
    <cfRule type="expression" priority="3" dxfId="1" stopIfTrue="0">
      <formula>=AND(ISNUMBER($J29),N($J29)&gt;0)</formula>
    </cfRule>
  </conditionalFormatting>
  <conditionalFormatting sqref="J53:J62">
    <cfRule type="expression" priority="4" dxfId="4" stopIfTrue="0">
      <formula>$J53="Yes"</formula>
    </cfRule>
    <cfRule type="expression" priority="5" dxfId="5" stopIfTrue="0">
      <formula>$J53="No"</formula>
    </cfRule>
  </conditionalFormatting>
  <dataValidations count="2">
    <dataValidation sqref="B53:B62" showDropDown="0" showInputMessage="0" showErrorMessage="1" allowBlank="1" errorTitle="Invalid entry" error="Choose a value from the drop-down list." type="list">
      <formula1>Lists!$H$26:$H$32</formula1>
    </dataValidation>
    <dataValidation sqref="J53:J62" showDropDown="0" showInputMessage="0" showErrorMessage="1" allowBlank="1" errorTitle="Invalid entry" error="Choose a value from the drop-down list." type="list">
      <formula1>Lists!$F$26:$F$27</formula1>
    </dataValidation>
  </dataValidations>
  <hyperlinks>
    <hyperlink xmlns:r="http://schemas.openxmlformats.org/officeDocument/2006/relationships" ref="A2" r:id="rId1"/>
    <hyperlink xmlns:r="http://schemas.openxmlformats.org/officeDocument/2006/relationships" ref="A67" r:id="rId2"/>
  </hyperlinks>
  <pageMargins left="0.3" right="0.3" top="0.4" bottom="0.4" header="0.2" footer="0.2"/>
  <pageSetup orientation="landscape" paperSize="9" fitToHeight="0" fitToWidth="1"/>
  <drawing xmlns:r="http://schemas.openxmlformats.org/officeDocument/2006/relationships" r:id="rId3"/>
</worksheet>
</file>

<file path=xl/worksheets/sheet7.xml><?xml version="1.0" encoding="utf-8"?>
<worksheet xmlns="http://schemas.openxmlformats.org/spreadsheetml/2006/main">
  <sheetPr>
    <outlinePr summaryBelow="1" summaryRight="1"/>
    <pageSetUpPr fitToPage="1"/>
  </sheetPr>
  <dimension ref="A2:E35"/>
  <sheetViews>
    <sheetView showGridLines="0" zoomScale="100" workbookViewId="0">
      <selection activeCell="A1" sqref="A1"/>
    </sheetView>
  </sheetViews>
  <sheetFormatPr baseColWidth="8" defaultRowHeight="15"/>
  <cols>
    <col width="2.5" customWidth="1" min="1" max="1"/>
    <col width="48" customWidth="1" min="2" max="2"/>
    <col width="22" customWidth="1" min="3" max="3"/>
    <col width="40" customWidth="1" min="4" max="4"/>
    <col width="2.5" customWidth="1" min="5" max="5"/>
  </cols>
  <sheetData>
    <row r="1" ht="3.75" customHeight="1"/>
    <row r="2" ht="27.75" customHeight="1">
      <c r="A2" s="1" t="inlineStr">
        <is>
          <t xml:space="preserve"> </t>
        </is>
      </c>
      <c r="B2" s="2" t="n"/>
      <c r="C2" s="3" t="inlineStr">
        <is>
          <t>Construction Billing Invoice</t>
        </is>
      </c>
    </row>
    <row r="3" ht="12.75" customHeight="1">
      <c r="A3" s="2" t="n"/>
      <c r="B3" s="2" t="n"/>
      <c r="C3" s="4" t="inlineStr">
        <is>
          <t>Reconciliation Check  ·  every line must read OK before this invoice is issued</t>
        </is>
      </c>
    </row>
    <row r="4" ht="6" customHeight="1"/>
    <row r="6" ht="30" customHeight="1">
      <c r="B6" s="69">
        <f>IF(COUNTIF($D$10:$D$31,"OK")=22,"ALL 22 CHECKS PASS — THIS INVOICE IS READY TO ISSUE","NOT READY — "&amp;(22-COUNTIF($D$10:$D$31,"OK"))&amp;" CHECK(S) NEED ATTENTION BEFORE ISSUING")</f>
        <v/>
      </c>
      <c r="C6" s="2" t="n"/>
      <c r="D6" s="2" t="n"/>
    </row>
    <row r="7" ht="6" customHeight="1"/>
    <row r="8" ht="15" customHeight="1">
      <c r="B8" s="47">
        <f>IF(Proj_Name="","Project: —  |  complete the Cover sheet","Project:  "&amp;Proj_Name&amp;IF(Proj_Number="",""," · "&amp;Proj_Number))</f>
        <v/>
      </c>
      <c r="C8" s="48" t="inlineStr">
        <is>
          <t>Nothing on this sheet is typed in — every result is a formula.</t>
        </is>
      </c>
    </row>
    <row r="9" ht="26" customHeight="1">
      <c r="B9" s="49" t="inlineStr">
        <is>
          <t>Assertion</t>
        </is>
      </c>
      <c r="C9" s="49" t="inlineStr">
        <is>
          <t>Tests</t>
        </is>
      </c>
      <c r="D9" s="49" t="inlineStr">
        <is>
          <t>Result</t>
        </is>
      </c>
    </row>
    <row r="10" ht="24" customHeight="1">
      <c r="B10" s="32" t="inlineStr">
        <is>
          <t>01   An original contract sum is entered</t>
        </is>
      </c>
      <c r="C10" s="16" t="inlineStr">
        <is>
          <t>Lists</t>
        </is>
      </c>
      <c r="D10" s="70">
        <f>IF(N(Contract_Sum)&gt;0,"OK","FAIL — enter the Original Contract Sum on the Lists sheet")</f>
        <v/>
      </c>
    </row>
    <row r="11" ht="24" customHeight="1">
      <c r="B11" s="32" t="inlineStr">
        <is>
          <t>02   The works schedule totals the contract sum</t>
        </is>
      </c>
      <c r="C11" s="16" t="inlineStr">
        <is>
          <t>Works schedule vs Lists</t>
        </is>
      </c>
      <c r="D11" s="70">
        <f>IF(ABS(N(WC_Contract_Total)-N(Contract_Sum))&lt;0.5,"OK","CHECK — the works schedule totals "&amp;TEXT(N(WC_Contract_Total),"#,##0")&amp;" against a contract sum of "&amp;TEXT(N(Contract_Sum),"#,##0"))</f>
        <v/>
      </c>
    </row>
    <row r="12" ht="24" customHeight="1">
      <c r="B12" s="32" t="inlineStr">
        <is>
          <t>03   Approved variations on the invoice tie to the register</t>
        </is>
      </c>
      <c r="C12" s="16" t="inlineStr">
        <is>
          <t>Invoice line B vs SUMIF</t>
        </is>
      </c>
      <c r="D12" s="70">
        <f>IF(ABS(N(Inv_Vars)-N(VO_Approved_Total))&lt;0.01,"OK","FAIL — invoice line B does not tie to the approved variations total")</f>
        <v/>
      </c>
    </row>
    <row r="13" ht="24" customHeight="1">
      <c r="B13" s="32" t="inlineStr">
        <is>
          <t>04   Adjusted contract sum = original + approved variations</t>
        </is>
      </c>
      <c r="C13" s="16" t="inlineStr">
        <is>
          <t>Invoice line C</t>
        </is>
      </c>
      <c r="D13" s="70">
        <f>IF(ABS(N(Inv_Adjusted)-(N(Contract_Sum)+N(VO_Approved_Total)))&lt;0.01,"OK","FAIL — invoice line C is not the sum of lines A and B")</f>
        <v/>
      </c>
    </row>
    <row r="14" ht="24" customHeight="1">
      <c r="B14" s="32" t="inlineStr">
        <is>
          <t>05   Work completed on the invoice ties to the schedules</t>
        </is>
      </c>
      <c r="C14" s="16" t="inlineStr">
        <is>
          <t>Invoice line D vs works + variations</t>
        </is>
      </c>
      <c r="D14" s="70">
        <f>IF(ABS(N(Inv_WorkDone)-(N(WC_ToDate)+N(VO_ToDate)))&lt;0.01,"OK","FAIL — invoice line D does not tie to the works schedule plus approved variations")</f>
        <v/>
      </c>
    </row>
    <row r="15" ht="24" customHeight="1">
      <c r="B15" s="32" t="inlineStr">
        <is>
          <t>06   Only approved variations are being claimed</t>
        </is>
      </c>
      <c r="C15" s="16" t="inlineStr">
        <is>
          <t>Variations register</t>
        </is>
      </c>
      <c r="D15" s="70">
        <f>IF(ABS(N(VO_This)-ROUND(SUM('Variations &amp; Claims'!$J$9:$J$28),2))&lt;0.01,"OK","FAIL — value this period is showing against variations that are not Approved")</f>
        <v/>
      </c>
    </row>
    <row r="16" ht="24" customHeight="1">
      <c r="B16" s="32" t="inlineStr">
        <is>
          <t>07   Materials on the invoice tie to the materials register</t>
        </is>
      </c>
      <c r="C16" s="16" t="inlineStr">
        <is>
          <t>Invoice line E</t>
        </is>
      </c>
      <c r="D16" s="70">
        <f>IF(ABS(N(Inv_Materials)-N(MOS_Allowed))&lt;0.01,"OK","FAIL — invoice line E does not tie to the materials register")</f>
        <v/>
      </c>
    </row>
    <row r="17" ht="24" customHeight="1">
      <c r="B17" s="32" t="inlineStr">
        <is>
          <t>08   Materials incorporated into the works are not also claimed</t>
        </is>
      </c>
      <c r="C17" s="16" t="inlineStr">
        <is>
          <t>Double-count test</t>
        </is>
      </c>
      <c r="D17" s="70">
        <f>IF(SUMPRODUCT(('Materials on Site &amp; Off-Site'!$L$9:$L$28&lt;&gt;"")*ISNUMBER('Materials on Site &amp; Off-Site'!$H$9:$H$28)*('Materials on Site &amp; Off-Site'!$H$9:$H$28&gt;0))=0,"OK","FAIL — a material item shows a date incorporated AND a value allowed; it is being paid for twice")</f>
        <v/>
      </c>
    </row>
    <row r="18" ht="24" customHeight="1">
      <c r="B18" s="32" t="inlineStr">
        <is>
          <t>09   Off-site and in-transit goods hold a vesting certificate</t>
        </is>
      </c>
      <c r="C18" s="16" t="inlineStr">
        <is>
          <t>Materials register</t>
        </is>
      </c>
      <c r="D18" s="70">
        <f>IF(SUMPRODUCT(('Materials on Site &amp; Off-Site'!$C$9:$C$28&lt;&gt;"On site")*('Materials on Site &amp; Off-Site'!$C$9:$C$28&lt;&gt;"")*('Materials on Site &amp; Off-Site'!$I$9:$I$28&lt;&gt;"Yes")*ISNUMBER('Materials on Site &amp; Off-Site'!$F$9:$F$28))=0,"OK","REVIEW — off-site or in-transit goods without a vesting certificate are allowed at nil")</f>
        <v/>
      </c>
    </row>
    <row r="19" ht="24" customHeight="1">
      <c r="B19" s="32" t="inlineStr">
        <is>
          <t>10   Total value earned = work completed + materials</t>
        </is>
      </c>
      <c r="C19" s="16" t="inlineStr">
        <is>
          <t>Invoice line F</t>
        </is>
      </c>
      <c r="D19" s="70">
        <f>IF(ABS(N(Inv_Earned)-(N(Inv_WorkDone)+N(Inv_Materials)))&lt;0.01,"OK","FAIL — invoice line F is not the sum of lines D and E")</f>
        <v/>
      </c>
    </row>
    <row r="20" ht="24" customHeight="1">
      <c r="B20" s="32" t="inlineStr">
        <is>
          <t>11   Retention held is within the contract cap</t>
        </is>
      </c>
      <c r="C20" s="16" t="inlineStr">
        <is>
          <t>MIN() test</t>
        </is>
      </c>
      <c r="D20" s="70">
        <f>IF(N(Ret_Held)&lt;=N(Ret_Cap)+0.01,"OK","FAIL — retention held exceeds the contract cap")</f>
        <v/>
      </c>
    </row>
    <row r="21" ht="24" customHeight="1">
      <c r="B21" s="32" t="inlineStr">
        <is>
          <t>12   Retention deducted on the invoice ties to the retention sheet</t>
        </is>
      </c>
      <c r="C21" s="16" t="inlineStr">
        <is>
          <t>Invoice line G</t>
        </is>
      </c>
      <c r="D21" s="70">
        <f>IF(ABS(N(Inv_Retention)+N(Ret_Outstanding))&lt;0.01,"OK","FAIL — invoice line G does not tie to retention outstanding")</f>
        <v/>
      </c>
    </row>
    <row r="22" ht="24" customHeight="1">
      <c r="B22" s="32" t="inlineStr">
        <is>
          <t>13   Previously invoiced ties to the payment history</t>
        </is>
      </c>
      <c r="C22" s="16" t="inlineStr">
        <is>
          <t>Invoice line I</t>
        </is>
      </c>
      <c r="D22" s="70">
        <f>IF(ABS(N(Inv_PrevInv)+N(HIST_Certified))&lt;0.01,"OK","FAIL — invoice line I does not tie to the amounts certified in the payment history")</f>
        <v/>
      </c>
    </row>
    <row r="23" ht="24" customHeight="1">
      <c r="B23" s="32" t="inlineStr">
        <is>
          <t>14   Invoice = net earned − previously invoiced − adjustments</t>
        </is>
      </c>
      <c r="C23" s="16" t="inlineStr">
        <is>
          <t>Invoice lines H, I, K, L</t>
        </is>
      </c>
      <c r="D23" s="70">
        <f>IF(ABS(N(Inv_Taxable)-(N(Inv_Net)-N(HIST_Certified)-N(Ded_Applied)))&lt;0.01,"OK","FAIL — the taxable amount does not reconcile to net earned less previously invoiced less adjustments")</f>
        <v/>
      </c>
    </row>
    <row r="24" ht="24" customHeight="1">
      <c r="B24" s="32" t="inlineStr">
        <is>
          <t>15   Previously invoiced does not exceed the net value earned</t>
        </is>
      </c>
      <c r="C24" s="16" t="inlineStr">
        <is>
          <t>Over-invoicing test</t>
        </is>
      </c>
      <c r="D24" s="70">
        <f>IF(N(HIST_Certified)&lt;=N(Inv_Net)+0.01,"OK","FAIL — amounts already certified exceed the net value earned to date; this invoice would be negative")</f>
        <v/>
      </c>
    </row>
    <row r="25" ht="24" customHeight="1">
      <c r="B25" s="32" t="inlineStr">
        <is>
          <t>16   This invoice is a positive amount</t>
        </is>
      </c>
      <c r="C25" s="16" t="inlineStr">
        <is>
          <t>Invoice line L</t>
        </is>
      </c>
      <c r="D25" s="70">
        <f>IF(N(Inv_Taxable)&gt;=0,"OK","REVIEW — this invoice is negative. Issue a credit note rather than a negative invoice unless the contract allows it")</f>
        <v/>
      </c>
    </row>
    <row r="26" ht="24" customHeight="1">
      <c r="B26" s="32" t="inlineStr">
        <is>
          <t>17   Adjustments on the invoice tie to the deductions block</t>
        </is>
      </c>
      <c r="C26" s="16" t="inlineStr">
        <is>
          <t>Invoice line K</t>
        </is>
      </c>
      <c r="D26" s="70">
        <f>IF(ABS(N(Inv_Deductions)+N(Ded_Applied))&lt;0.01,"OK","FAIL — invoice line K does not tie to the adjustments applied on the Retention &amp; Payment History sheet")</f>
        <v/>
      </c>
    </row>
    <row r="27" ht="24" customHeight="1">
      <c r="B27" s="32" t="inlineStr">
        <is>
          <t>18   Tax is calculated on the taxable amount at the Lists rate</t>
        </is>
      </c>
      <c r="C27" s="16" t="inlineStr">
        <is>
          <t>Invoice line M</t>
        </is>
      </c>
      <c r="D27" s="70">
        <f>IF(ABS(N(Inv_Tax)-ROUND(N(Inv_Taxable)*N(Tax_Rate),2))&lt;0.01,"OK","FAIL — tax is not the taxable amount multiplied by the rate on the Lists sheet")</f>
        <v/>
      </c>
    </row>
    <row r="28" ht="24" customHeight="1">
      <c r="B28" s="32" t="inlineStr">
        <is>
          <t>19   Total amount due = taxable amount + tax</t>
        </is>
      </c>
      <c r="C28" s="16" t="inlineStr">
        <is>
          <t>Invoice line N</t>
        </is>
      </c>
      <c r="D28" s="70">
        <f>IF(ABS(N(Inv_Total)-(N(Inv_Taxable)+N(Inv_Tax)))&lt;0.01,"OK","FAIL — the total amount due is not the taxable amount plus tax")</f>
        <v/>
      </c>
    </row>
    <row r="29" ht="24" customHeight="1">
      <c r="B29" s="32" t="inlineStr">
        <is>
          <t>20   No works line is over 100% complete or going backwards</t>
        </is>
      </c>
      <c r="C29" s="16" t="inlineStr">
        <is>
          <t>Works schedule</t>
        </is>
      </c>
      <c r="D29" s="70">
        <f>IF(COUNTIF('Schedule of Works Completed'!$H$9:$H$40,"&gt;1.0001")+COUNTIF('Schedule of Works Completed'!$G$9:$G$40,"&lt;0")=0,"OK","FAIL — "&amp;(COUNTIF('Schedule of Works Completed'!$H$9:$H$40,"&gt;1.0001")+COUNTIF('Schedule of Works Completed'!$G$9:$G$40,"&lt;0"))&amp;" works line(s) exceed 100% complete or show negative progress")</f>
        <v/>
      </c>
    </row>
    <row r="30" ht="24" customHeight="1">
      <c r="B30" s="32" t="inlineStr">
        <is>
          <t>21   No works line claims more than the balance remaining</t>
        </is>
      </c>
      <c r="C30" s="16" t="inlineStr">
        <is>
          <t>Works schedule</t>
        </is>
      </c>
      <c r="D30" s="70">
        <f>IF(SUMPRODUCT(('Schedule of Works Completed'!$D$9:$D$40&lt;&gt;"")*(N('Schedule of Works Completed'!$K$9:$K$40)&gt;N('Schedule of Works Completed'!$D$9:$D$40)-N('Schedule of Works Completed'!$J$9:$J$40)+0.005))=0,"OK","FAIL — a works line is claiming more than the value left to complete")</f>
        <v/>
      </c>
    </row>
    <row r="31" ht="24" customHeight="1">
      <c r="B31" s="32" t="inlineStr">
        <is>
          <t>22   Invoice date, terms, period and words complete</t>
        </is>
      </c>
      <c r="C31" s="16" t="inlineStr">
        <is>
          <t>Invoice header</t>
        </is>
      </c>
      <c r="D31" s="70">
        <f>IF(AND(Inv_Date&lt;&gt;"",N(Pay_Terms_Days)&gt;0,Period_To&lt;&gt;"",Period_To&lt;=Inv_Date,Inv_Words&lt;&gt;""),"OK","CHECK — confirm the invoice date, the claim period, the payment terms on Lists and the amount in words")</f>
        <v/>
      </c>
    </row>
    <row r="33" ht="34" customHeight="1">
      <c r="B33" s="45" t="inlineStr">
        <is>
          <t>A green panel is not a certificate. It confirms the arithmetic in this workbook is internally consistent — it does not confirm that the work was done, that the variations were properly instructed, that notices were given in time, or that the client's assessor agrees. Keep the substantiation with the invoice: marked-up drawings, measurement sheets, delivery dockets, vesting certificates, insurances and, where required, statutory declarations.</t>
        </is>
      </c>
      <c r="C33" s="16" t="n"/>
      <c r="D33" s="16" t="n"/>
    </row>
    <row r="35" ht="12.75" customHeight="1">
      <c r="A35" s="17" t="inlineStr">
        <is>
          <t>Visit mastt.com</t>
        </is>
      </c>
      <c r="B35" s="18" t="n"/>
      <c r="C35" s="18" t="n"/>
      <c r="D35" s="18" t="n"/>
      <c r="E35" s="18" t="n"/>
    </row>
  </sheetData>
  <sheetProtection selectLockedCells="0" selectUnlockedCells="0" sheet="1" objects="0" insertRows="0" insertHyperlinks="1" autoFilter="0" scenarios="0" formatColumns="0" deleteColumns="1" insertColumns="0" pivotTables="1" deleteRows="0" formatCells="0" formatRows="0" sort="0"/>
  <mergeCells count="6">
    <mergeCell ref="C2:E2"/>
    <mergeCell ref="B33:D33"/>
    <mergeCell ref="A35:E35"/>
    <mergeCell ref="C3:E3"/>
    <mergeCell ref="B6:D6"/>
    <mergeCell ref="C8:D8"/>
  </mergeCells>
  <conditionalFormatting sqref="B6:D6">
    <cfRule type="expression" priority="1" dxfId="7" stopIfTrue="0">
      <formula>=LEFT($B$6,3)="ALL"</formula>
    </cfRule>
    <cfRule type="expression" priority="2" dxfId="8" stopIfTrue="0">
      <formula>=LEFT($B$6,3)="NOT"</formula>
    </cfRule>
  </conditionalFormatting>
  <conditionalFormatting sqref="D10:D31">
    <cfRule type="expression" priority="3" dxfId="9" stopIfTrue="1">
      <formula>=$D10="OK"</formula>
    </cfRule>
    <cfRule type="expression" priority="4" dxfId="10" stopIfTrue="1">
      <formula>=LEFT($D10,5)="FAIL "</formula>
    </cfRule>
    <cfRule type="expression" priority="5" dxfId="11" stopIfTrue="1">
      <formula>=$D10&lt;&gt;""</formula>
    </cfRule>
  </conditionalFormatting>
  <hyperlinks>
    <hyperlink xmlns:r="http://schemas.openxmlformats.org/officeDocument/2006/relationships" ref="A2" r:id="rId1"/>
    <hyperlink xmlns:r="http://schemas.openxmlformats.org/officeDocument/2006/relationships" ref="A35" r:id="rId2"/>
  </hyperlinks>
  <pageMargins left="0.3" right="0.3" top="0.4" bottom="0.4" header="0.2" footer="0.2"/>
  <pageSetup orientation="portrait" paperSize="9" fitToHeight="0" fitToWidth="1"/>
  <drawing xmlns:r="http://schemas.openxmlformats.org/officeDocument/2006/relationships" r:id="rId3"/>
</worksheet>
</file>

<file path=xl/worksheets/sheet8.xml><?xml version="1.0" encoding="utf-8"?>
<worksheet xmlns="http://schemas.openxmlformats.org/spreadsheetml/2006/main">
  <sheetPr>
    <outlinePr summaryBelow="1" summaryRight="1"/>
    <pageSetUpPr fitToPage="1"/>
  </sheetPr>
  <dimension ref="A2:K47"/>
  <sheetViews>
    <sheetView showGridLines="0" zoomScale="100" workbookViewId="0">
      <selection activeCell="A1" sqref="A1"/>
    </sheetView>
  </sheetViews>
  <sheetFormatPr baseColWidth="8" defaultRowHeight="15"/>
  <cols>
    <col width="2.5" customWidth="1" min="1" max="1"/>
    <col width="34" customWidth="1" min="2" max="2"/>
    <col width="15" customWidth="1" min="3" max="3"/>
    <col width="26" customWidth="1" min="4" max="4"/>
    <col width="22" customWidth="1" min="5" max="5"/>
    <col width="12" customWidth="1" min="6" max="6"/>
    <col width="22" customWidth="1" min="7" max="7"/>
    <col width="25" customWidth="1" min="8" max="8"/>
    <col width="12" customWidth="1" min="9" max="9"/>
    <col width="18" customWidth="1" min="10" max="10"/>
    <col width="2.5" customWidth="1" min="11" max="11"/>
  </cols>
  <sheetData>
    <row r="1" ht="3.75" customHeight="1"/>
    <row r="2" ht="27.75" customHeight="1">
      <c r="A2" s="1" t="inlineStr">
        <is>
          <t xml:space="preserve"> </t>
        </is>
      </c>
      <c r="B2" s="2" t="n"/>
      <c r="C2" s="3" t="inlineStr">
        <is>
          <t>Construction Billing Invoice</t>
        </is>
      </c>
    </row>
    <row r="3" ht="12.75" customHeight="1">
      <c r="A3" s="2" t="n"/>
      <c r="B3" s="2" t="n"/>
      <c r="C3" s="4" t="inlineStr">
        <is>
          <t>Lists  ·  every setting and every dropdown source, each with a plain-English explanation</t>
        </is>
      </c>
    </row>
    <row r="4" ht="6" customHeight="1"/>
    <row r="7" ht="19" customHeight="1">
      <c r="B7" s="5" t="inlineStr">
        <is>
          <t>SETTINGS  ·  these drive the Invoice, the schedules and the reconciliation</t>
        </is>
      </c>
    </row>
    <row r="9" ht="15" customHeight="1">
      <c r="B9" s="6" t="inlineStr">
        <is>
          <t>Original Contract Sum</t>
        </is>
      </c>
      <c r="C9" s="71" t="n">
        <v>15000000</v>
      </c>
      <c r="D9" s="72" t="inlineStr">
        <is>
          <t>The contract sum at award, excluding tax and excluding variations. Invoice line A. The Schedule of Works Completed should total this figure — the Reconciliation Check tests it.</t>
        </is>
      </c>
      <c r="E9" s="16" t="n"/>
      <c r="F9" s="16" t="n"/>
      <c r="G9" s="16" t="n"/>
      <c r="H9" s="16" t="n"/>
      <c r="I9" s="16" t="n"/>
      <c r="J9" s="16" t="n"/>
    </row>
    <row r="10" ht="15" customHeight="1">
      <c r="B10" s="6" t="inlineStr">
        <is>
          <t>Retention % on works</t>
        </is>
      </c>
      <c r="C10" s="73" t="n">
        <v>0.05</v>
      </c>
      <c r="D10" s="72" t="inlineStr">
        <is>
          <t>Percentage withheld from the value of work completed. Typically 5% of value until a cap is reached. Used as the default on every works line; a line can override it.</t>
        </is>
      </c>
      <c r="E10" s="16" t="n"/>
      <c r="F10" s="16" t="n"/>
      <c r="G10" s="16" t="n"/>
      <c r="H10" s="16" t="n"/>
      <c r="I10" s="16" t="n"/>
      <c r="J10" s="16" t="n"/>
    </row>
    <row r="11" ht="15" customHeight="1">
      <c r="B11" s="6" t="inlineStr">
        <is>
          <t>Retention % on variations</t>
        </is>
      </c>
      <c r="C11" s="73" t="n">
        <v>0.05</v>
      </c>
      <c r="D11" s="72" t="inlineStr">
        <is>
          <t>Percentage withheld from approved variations completed. Usually the same as the works rate — check the Conditions of Contract.</t>
        </is>
      </c>
      <c r="E11" s="16" t="n"/>
      <c r="F11" s="16" t="n"/>
      <c r="G11" s="16" t="n"/>
      <c r="H11" s="16" t="n"/>
      <c r="I11" s="16" t="n"/>
      <c r="J11" s="16" t="n"/>
    </row>
    <row r="12" ht="15" customHeight="1">
      <c r="B12" s="6" t="inlineStr">
        <is>
          <t>Retention cap  (% of adjusted contract sum)</t>
        </is>
      </c>
      <c r="C12" s="73" t="n">
        <v>0.05</v>
      </c>
      <c r="D12" s="72" t="inlineStr">
        <is>
          <t>The maximum retention that may ever be held, as a percentage of the adjusted contract sum. Enforced by MIN() on the Retention sheet — retention stops accruing once the cap is hit.</t>
        </is>
      </c>
      <c r="E12" s="16" t="n"/>
      <c r="F12" s="16" t="n"/>
      <c r="G12" s="16" t="n"/>
      <c r="H12" s="16" t="n"/>
      <c r="I12" s="16" t="n"/>
      <c r="J12" s="16" t="n"/>
    </row>
    <row r="13" ht="15" customHeight="1">
      <c r="B13" s="6" t="inlineStr">
        <is>
          <t>Materials on site allowance %</t>
        </is>
      </c>
      <c r="C13" s="73" t="n">
        <v>1</v>
      </c>
      <c r="D13" s="72" t="inlineStr">
        <is>
          <t>Proportion of the value of unfixed goods that may be claimed. Many contracts allow less than 100% for off-site goods. Used as the default on every materials line; a line can override it.</t>
        </is>
      </c>
      <c r="E13" s="16" t="n"/>
      <c r="F13" s="16" t="n"/>
      <c r="G13" s="16" t="n"/>
      <c r="H13" s="16" t="n"/>
      <c r="I13" s="16" t="n"/>
      <c r="J13" s="16" t="n"/>
    </row>
    <row r="14" ht="15" customHeight="1">
      <c r="B14" s="6" t="inlineStr">
        <is>
          <t>Tax rate</t>
        </is>
      </c>
      <c r="C14" s="73" t="n">
        <v>0.1</v>
      </c>
      <c r="D14" s="72" t="inlineStr">
        <is>
          <t>The rate applied to the Taxable Amount on the invoice. Set to 0% for zero-rated, exempt or reverse-charge supplies — the invoice title then reads simply “INVOICE”.</t>
        </is>
      </c>
      <c r="E14" s="16" t="n"/>
      <c r="F14" s="16" t="n"/>
      <c r="G14" s="16" t="n"/>
      <c r="H14" s="16" t="n"/>
      <c r="I14" s="16" t="n"/>
      <c r="J14" s="16" t="n"/>
    </row>
    <row r="15" ht="15" customHeight="1">
      <c r="B15" s="6" t="inlineStr">
        <is>
          <t>Payment terms  (days)</t>
        </is>
      </c>
      <c r="C15" s="74" t="n">
        <v>30</v>
      </c>
      <c r="D15" s="72" t="inlineStr">
        <is>
          <t>Days from the invoice date to the due date, per the payment terms. The Due Date on the invoice is invoice date + this figure. Many jurisdictions cap the maximum payment period by law.</t>
        </is>
      </c>
      <c r="E15" s="16" t="n"/>
      <c r="F15" s="16" t="n"/>
      <c r="G15" s="16" t="n"/>
      <c r="H15" s="16" t="n"/>
      <c r="I15" s="16" t="n"/>
      <c r="J15" s="16" t="n"/>
    </row>
    <row r="16" ht="15" customHeight="1">
      <c r="B16" s="6" t="inlineStr">
        <is>
          <t>Claim period — from</t>
        </is>
      </c>
      <c r="C16" s="75" t="n">
        <v>46235</v>
      </c>
      <c r="D16" s="72" t="inlineStr">
        <is>
          <t>First day of the period this invoice covers. Printed on the invoice.</t>
        </is>
      </c>
      <c r="E16" s="16" t="n"/>
      <c r="F16" s="16" t="n"/>
      <c r="G16" s="16" t="n"/>
      <c r="H16" s="16" t="n"/>
      <c r="I16" s="16" t="n"/>
      <c r="J16" s="16" t="n"/>
    </row>
    <row r="17" ht="15" customHeight="1">
      <c r="B17" s="6" t="inlineStr">
        <is>
          <t>Claim period — to</t>
        </is>
      </c>
      <c r="C17" s="75" t="n">
        <v>46265</v>
      </c>
      <c r="D17" s="72" t="inlineStr">
        <is>
          <t>Last day of the period this invoice covers. Must be on or before the invoice date — the Reconciliation Check tests it.</t>
        </is>
      </c>
      <c r="E17" s="16" t="n"/>
      <c r="F17" s="16" t="n"/>
      <c r="G17" s="16" t="n"/>
      <c r="H17" s="16" t="n"/>
      <c r="I17" s="16" t="n"/>
      <c r="J17" s="16" t="n"/>
    </row>
    <row r="18" ht="15" customHeight="1">
      <c r="B18" s="6" t="inlineStr">
        <is>
          <t>Invoice date  (set on the Cover)</t>
        </is>
      </c>
      <c r="C18" s="76">
        <f>IF(Inv_Date="","",Inv_Date)</f>
        <v/>
      </c>
      <c r="D18" s="72" t="inlineStr">
        <is>
          <t>Mirrors the INVOICE DATE field on the Cover sheet. Change it there — this cell is the read-only copy the schedules reference.</t>
        </is>
      </c>
      <c r="E18" s="16" t="n"/>
      <c r="F18" s="16" t="n"/>
      <c r="G18" s="16" t="n"/>
      <c r="H18" s="16" t="n"/>
      <c r="I18" s="16" t="n"/>
      <c r="J18" s="16" t="n"/>
    </row>
    <row r="19" ht="15" customHeight="1">
      <c r="B19" s="6" t="inlineStr">
        <is>
          <t>Tax label  (set on the Cover)</t>
        </is>
      </c>
      <c r="C19" s="25">
        <f>IF(Tax_Label="","Tax",Tax_Label)</f>
        <v/>
      </c>
      <c r="D19" s="72" t="inlineStr">
        <is>
          <t>Mirrors the TAX LABEL field on the Cover. Set it to Tax, GST, VAT, Sales Tax, Consumption Tax or Zero-rated — it retitles the invoice and relabels the tax line.</t>
        </is>
      </c>
      <c r="E19" s="16" t="n"/>
      <c r="F19" s="16" t="n"/>
      <c r="G19" s="16" t="n"/>
      <c r="H19" s="16" t="n"/>
      <c r="I19" s="16" t="n"/>
      <c r="J19" s="16" t="n"/>
    </row>
    <row r="20" ht="15" customHeight="1">
      <c r="B20" s="6" t="inlineStr">
        <is>
          <t>Currency  (set on the Cover)</t>
        </is>
      </c>
      <c r="C20" s="25">
        <f>IF(Proj_Currency="","",Proj_Currency)</f>
        <v/>
      </c>
      <c r="D20" s="72" t="inlineStr">
        <is>
          <t>Mirrors the CURRENCY field on the Cover. A three-letter code, not a symbol — it appears in every money column heading.</t>
        </is>
      </c>
      <c r="E20" s="16" t="n"/>
      <c r="F20" s="16" t="n"/>
      <c r="G20" s="16" t="n"/>
      <c r="H20" s="16" t="n"/>
      <c r="I20" s="16" t="n"/>
      <c r="J20" s="16" t="n"/>
    </row>
    <row r="22" ht="19" customHeight="1">
      <c r="B22" s="5" t="inlineStr">
        <is>
          <t>DROPDOWN SOURCE LISTS</t>
        </is>
      </c>
    </row>
    <row r="23" ht="24" customHeight="1">
      <c r="B23" s="45" t="inlineStr">
        <is>
          <t>To add an option, insert a row INSIDE a list (never below the last entry) so the validation range grows with it. The Section / Trade list also drives the section subtotals on the Schedule of Works Completed — add a section here and add a matching subtotal row there.</t>
        </is>
      </c>
      <c r="C23" s="16" t="n"/>
      <c r="D23" s="16" t="n"/>
      <c r="E23" s="16" t="n"/>
      <c r="F23" s="16" t="n"/>
      <c r="G23" s="16" t="n"/>
      <c r="H23" s="16" t="n"/>
      <c r="I23" s="16" t="n"/>
      <c r="J23" s="16" t="n"/>
    </row>
    <row r="25" ht="26" customHeight="1">
      <c r="B25" s="49" t="inlineStr">
        <is>
          <t>Section / Trade</t>
        </is>
      </c>
      <c r="C25" s="49" t="inlineStr">
        <is>
          <t>Works Status</t>
        </is>
      </c>
      <c r="D25" s="49" t="inlineStr">
        <is>
          <t>Variation Status</t>
        </is>
      </c>
      <c r="E25" s="49" t="inlineStr">
        <is>
          <t>Material Location</t>
        </is>
      </c>
      <c r="F25" s="49" t="inlineStr">
        <is>
          <t>Yes / No</t>
        </is>
      </c>
      <c r="G25" s="49" t="inlineStr">
        <is>
          <t>Tax Label options</t>
        </is>
      </c>
      <c r="H25" s="49" t="inlineStr">
        <is>
          <t>Adjustment / Deduction Type</t>
        </is>
      </c>
      <c r="I25" s="49" t="inlineStr">
        <is>
          <t>Currency</t>
        </is>
      </c>
      <c r="J25" s="49" t="inlineStr">
        <is>
          <t>Originator</t>
        </is>
      </c>
    </row>
    <row r="26" ht="13.5" customHeight="1">
      <c r="B26" s="15" t="inlineStr">
        <is>
          <t>Preliminaries &amp; Site Establishment</t>
        </is>
      </c>
      <c r="C26" s="15" t="inlineStr">
        <is>
          <t>Not started</t>
        </is>
      </c>
      <c r="D26" s="15" t="inlineStr">
        <is>
          <t>Submitted</t>
        </is>
      </c>
      <c r="E26" s="15" t="inlineStr">
        <is>
          <t>On site</t>
        </is>
      </c>
      <c r="F26" s="15" t="inlineStr">
        <is>
          <t>Yes</t>
        </is>
      </c>
      <c r="G26" s="15" t="inlineStr">
        <is>
          <t>Tax</t>
        </is>
      </c>
      <c r="H26" s="15" t="inlineStr">
        <is>
          <t>Backcharge</t>
        </is>
      </c>
      <c r="I26" s="15" t="inlineStr">
        <is>
          <t>AUD</t>
        </is>
      </c>
      <c r="J26" s="15" t="inlineStr">
        <is>
          <t>Client</t>
        </is>
      </c>
    </row>
    <row r="27" ht="13.5" customHeight="1">
      <c r="B27" s="15" t="inlineStr">
        <is>
          <t>Demolition &amp; Earthworks</t>
        </is>
      </c>
      <c r="C27" s="15" t="inlineStr">
        <is>
          <t>In progress</t>
        </is>
      </c>
      <c r="D27" s="15" t="inlineStr">
        <is>
          <t>Under assessment</t>
        </is>
      </c>
      <c r="E27" s="15" t="inlineStr">
        <is>
          <t>Off site</t>
        </is>
      </c>
      <c r="F27" s="15" t="inlineStr">
        <is>
          <t>No</t>
        </is>
      </c>
      <c r="G27" s="15" t="inlineStr">
        <is>
          <t>GST</t>
        </is>
      </c>
      <c r="H27" s="15" t="inlineStr">
        <is>
          <t>Liquidated damages</t>
        </is>
      </c>
      <c r="I27" s="15" t="inlineStr">
        <is>
          <t>NZD</t>
        </is>
      </c>
      <c r="J27" s="15" t="inlineStr">
        <is>
          <t>Contractor</t>
        </is>
      </c>
    </row>
    <row r="28" ht="13.5" customHeight="1">
      <c r="B28" s="15" t="inlineStr">
        <is>
          <t>Substructure &amp; Piling</t>
        </is>
      </c>
      <c r="C28" s="15" t="inlineStr">
        <is>
          <t>Complete</t>
        </is>
      </c>
      <c r="D28" s="15" t="inlineStr">
        <is>
          <t>Approved</t>
        </is>
      </c>
      <c r="E28" s="15" t="inlineStr">
        <is>
          <t>In transit</t>
        </is>
      </c>
      <c r="G28" s="15" t="inlineStr">
        <is>
          <t>VAT</t>
        </is>
      </c>
      <c r="H28" s="15" t="inlineStr">
        <is>
          <t>Credit note</t>
        </is>
      </c>
      <c r="I28" s="15" t="inlineStr">
        <is>
          <t>USD</t>
        </is>
      </c>
      <c r="J28" s="15" t="inlineStr">
        <is>
          <t>Consultant</t>
        </is>
      </c>
    </row>
    <row r="29" ht="13.5" customHeight="1">
      <c r="B29" s="15" t="inlineStr">
        <is>
          <t>Concrete Structure</t>
        </is>
      </c>
      <c r="C29" s="15" t="inlineStr">
        <is>
          <t>On hold</t>
        </is>
      </c>
      <c r="D29" s="15" t="inlineStr">
        <is>
          <t>Rejected</t>
        </is>
      </c>
      <c r="G29" s="15" t="inlineStr">
        <is>
          <t>Sales Tax</t>
        </is>
      </c>
      <c r="H29" s="15" t="inlineStr">
        <is>
          <t>Contra charge</t>
        </is>
      </c>
      <c r="I29" s="15" t="inlineStr">
        <is>
          <t>GBP</t>
        </is>
      </c>
      <c r="J29" s="15" t="inlineStr">
        <is>
          <t>Authority</t>
        </is>
      </c>
    </row>
    <row r="30" ht="13.5" customHeight="1">
      <c r="B30" s="15" t="inlineStr">
        <is>
          <t>Structural Steel</t>
        </is>
      </c>
      <c r="C30" s="15" t="inlineStr">
        <is>
          <t>Superseded</t>
        </is>
      </c>
      <c r="D30" s="15" t="inlineStr">
        <is>
          <t>Withdrawn</t>
        </is>
      </c>
      <c r="G30" s="15" t="inlineStr">
        <is>
          <t>Consumption Tax</t>
        </is>
      </c>
      <c r="H30" s="15" t="inlineStr">
        <is>
          <t>Set-off</t>
        </is>
      </c>
      <c r="I30" s="15" t="inlineStr">
        <is>
          <t>EUR</t>
        </is>
      </c>
      <c r="J30" s="15" t="inlineStr">
        <is>
          <t>Subcontractor</t>
        </is>
      </c>
    </row>
    <row r="31" ht="13.5" customHeight="1">
      <c r="B31" s="15" t="inlineStr">
        <is>
          <t>Roofing &amp; Waterproofing</t>
        </is>
      </c>
      <c r="D31" s="15" t="inlineStr">
        <is>
          <t>Disputed</t>
        </is>
      </c>
      <c r="G31" s="15" t="inlineStr">
        <is>
          <t>Zero-rated</t>
        </is>
      </c>
      <c r="H31" s="15" t="inlineStr">
        <is>
          <t>Provisional sum adjustment</t>
        </is>
      </c>
      <c r="I31" s="15" t="inlineStr">
        <is>
          <t>CAD</t>
        </is>
      </c>
    </row>
    <row r="32" ht="13.5" customHeight="1">
      <c r="B32" s="15" t="inlineStr">
        <is>
          <t>Façade &amp; Cladding</t>
        </is>
      </c>
      <c r="H32" s="15" t="inlineStr">
        <is>
          <t>Other</t>
        </is>
      </c>
      <c r="I32" s="15" t="inlineStr">
        <is>
          <t>SGD</t>
        </is>
      </c>
    </row>
    <row r="33" ht="13.5" customHeight="1">
      <c r="B33" s="15" t="inlineStr">
        <is>
          <t>Windows &amp; Doors</t>
        </is>
      </c>
      <c r="I33" s="15" t="inlineStr">
        <is>
          <t>AED</t>
        </is>
      </c>
    </row>
    <row r="34" ht="13.5" customHeight="1">
      <c r="B34" s="15" t="inlineStr">
        <is>
          <t>Internal Walls &amp; Partitions</t>
        </is>
      </c>
      <c r="I34" s="15" t="inlineStr">
        <is>
          <t>ZAR</t>
        </is>
      </c>
    </row>
    <row r="35" ht="13.5" customHeight="1">
      <c r="B35" s="15" t="inlineStr">
        <is>
          <t>Internal Finishes</t>
        </is>
      </c>
      <c r="I35" s="15" t="inlineStr">
        <is>
          <t>INR</t>
        </is>
      </c>
    </row>
    <row r="36" ht="13.5" customHeight="1">
      <c r="B36" s="15" t="inlineStr">
        <is>
          <t>Joinery &amp; Fitout</t>
        </is>
      </c>
    </row>
    <row r="37" ht="13.5" customHeight="1">
      <c r="B37" s="15" t="inlineStr">
        <is>
          <t>Mechanical Services</t>
        </is>
      </c>
    </row>
    <row r="38" ht="13.5" customHeight="1">
      <c r="B38" s="15" t="inlineStr">
        <is>
          <t>Electrical Services</t>
        </is>
      </c>
    </row>
    <row r="39" ht="13.5" customHeight="1">
      <c r="B39" s="15" t="inlineStr">
        <is>
          <t>Hydraulic Services</t>
        </is>
      </c>
    </row>
    <row r="40" ht="13.5" customHeight="1">
      <c r="B40" s="15" t="inlineStr">
        <is>
          <t>Fire Services</t>
        </is>
      </c>
    </row>
    <row r="41" ht="13.5" customHeight="1">
      <c r="B41" s="15" t="inlineStr">
        <is>
          <t>Vertical Transportation</t>
        </is>
      </c>
    </row>
    <row r="42" ht="13.5" customHeight="1">
      <c r="B42" s="15" t="inlineStr">
        <is>
          <t>External Works &amp; Landscaping</t>
        </is>
      </c>
    </row>
    <row r="43" ht="13.5" customHeight="1">
      <c r="B43" s="15" t="inlineStr">
        <is>
          <t>Commissioning &amp; Handover</t>
        </is>
      </c>
    </row>
    <row r="45" ht="30" customHeight="1">
      <c r="B45" s="45" t="inlineStr">
        <is>
          <t>Naming the tax: “GST” in Australia, New Zealand, Canada, Singapore and India; “VAT” across the UK, the EU, the Gulf and much of Africa and Asia; “Sales Tax” in the United States; “Consumption Tax” in Japan. Choose “Zero-rated” with a 0% rate where the supply is zero-rated, exempt, outside the scope, or subject to a reverse charge — and state the reason on the invoice. The tax rules that apply to construction services are frequently different from the general rate: take local advice.</t>
        </is>
      </c>
      <c r="C45" s="16" t="n"/>
      <c r="D45" s="16" t="n"/>
      <c r="E45" s="16" t="n"/>
      <c r="F45" s="16" t="n"/>
      <c r="G45" s="16" t="n"/>
      <c r="H45" s="16" t="n"/>
      <c r="I45" s="16" t="n"/>
      <c r="J45" s="16" t="n"/>
    </row>
    <row r="47" ht="12.75" customHeight="1">
      <c r="A47" s="17" t="inlineStr">
        <is>
          <t>Visit mastt.com</t>
        </is>
      </c>
      <c r="B47" s="18" t="n"/>
      <c r="C47" s="18" t="n"/>
      <c r="D47" s="18" t="n"/>
      <c r="E47" s="18" t="n"/>
      <c r="F47" s="18" t="n"/>
      <c r="G47" s="18" t="n"/>
      <c r="H47" s="18" t="n"/>
      <c r="I47" s="18" t="n"/>
      <c r="J47" s="18" t="n"/>
      <c r="K47" s="18" t="n"/>
    </row>
  </sheetData>
  <sheetProtection selectLockedCells="0" selectUnlockedCells="0" sheet="1" objects="0" insertRows="0" insertHyperlinks="1" autoFilter="0" scenarios="0" formatColumns="0" deleteColumns="1" insertColumns="0" pivotTables="1" deleteRows="0" formatCells="0" formatRows="0" sort="0"/>
  <mergeCells count="19">
    <mergeCell ref="D18:J18"/>
    <mergeCell ref="D9:J9"/>
    <mergeCell ref="D12:J12"/>
    <mergeCell ref="B23:J23"/>
    <mergeCell ref="D15:J15"/>
    <mergeCell ref="C2:K2"/>
    <mergeCell ref="D14:J14"/>
    <mergeCell ref="D20:J20"/>
    <mergeCell ref="D10:J10"/>
    <mergeCell ref="D19:J19"/>
    <mergeCell ref="B45:J45"/>
    <mergeCell ref="A47:K47"/>
    <mergeCell ref="C3:K3"/>
    <mergeCell ref="D13:J13"/>
    <mergeCell ref="D11:J11"/>
    <mergeCell ref="B7:J7"/>
    <mergeCell ref="D17:J17"/>
    <mergeCell ref="B22:J22"/>
    <mergeCell ref="D16:J16"/>
  </mergeCells>
  <hyperlinks>
    <hyperlink xmlns:r="http://schemas.openxmlformats.org/officeDocument/2006/relationships" ref="A2" r:id="rId1"/>
    <hyperlink xmlns:r="http://schemas.openxmlformats.org/officeDocument/2006/relationships" ref="A47" r:id="rId2"/>
  </hyperlinks>
  <pageMargins left="0.3" right="0.3" top="0.4" bottom="0.4" header="0.2" footer="0.2"/>
  <pageSetup orientation="portrait" paperSize="9" fitToHeight="0" fitToWidth="1"/>
  <drawing xmlns:r="http://schemas.openxmlformats.org/officeDocument/2006/relationships" r:id="rId3"/>
</worksheet>
</file>

<file path=xl/worksheets/sheet9.xml><?xml version="1.0" encoding="utf-8"?>
<worksheet xmlns="http://schemas.openxmlformats.org/spreadsheetml/2006/main">
  <sheetPr>
    <outlinePr summaryBelow="1" summaryRight="1"/>
    <pageSetUpPr fitToPage="1"/>
  </sheetPr>
  <dimension ref="A2:H58"/>
  <sheetViews>
    <sheetView showGridLines="0" zoomScale="100" workbookViewId="0">
      <selection activeCell="A1" sqref="A1"/>
    </sheetView>
  </sheetViews>
  <sheetFormatPr baseColWidth="8" defaultRowHeight="15"/>
  <cols>
    <col width="2.5" customWidth="1" min="1" max="1"/>
    <col width="20" customWidth="1" min="2" max="2"/>
    <col width="22" customWidth="1" min="3" max="3"/>
    <col width="22" customWidth="1" min="4" max="4"/>
    <col width="22" customWidth="1" min="5" max="5"/>
    <col width="22" customWidth="1" min="6" max="6"/>
    <col width="22" customWidth="1" min="7" max="7"/>
    <col width="2.5" customWidth="1" min="8" max="8"/>
  </cols>
  <sheetData>
    <row r="1" ht="3.75" customHeight="1"/>
    <row r="2" ht="27.75" customHeight="1">
      <c r="A2" s="1" t="inlineStr">
        <is>
          <t xml:space="preserve"> </t>
        </is>
      </c>
      <c r="B2" s="2" t="n"/>
      <c r="C2" s="2" t="n"/>
      <c r="D2" s="3" t="inlineStr">
        <is>
          <t>Construction Billing Invoice</t>
        </is>
      </c>
    </row>
    <row r="3" ht="12.75" customHeight="1">
      <c r="A3" s="2" t="n"/>
      <c r="B3" s="2" t="n"/>
      <c r="C3" s="2" t="n"/>
      <c r="D3" s="4" t="inlineStr">
        <is>
          <t>Notes &amp; Assumptions  ·  read before issuing this template</t>
        </is>
      </c>
    </row>
    <row r="4" ht="6" customHeight="1"/>
    <row r="6" ht="19.5" customHeight="1">
      <c r="B6" s="5" t="inlineStr">
        <is>
          <t>INVOICE, PAYMENT APPLICATION AND PAYMENT CERTIFICATE — THREE DIFFERENT DOCUMENTS</t>
        </is>
      </c>
    </row>
    <row r="7" ht="37.5" customHeight="1">
      <c r="B7" s="10" t="inlineStr">
        <is>
          <t>A payment application (also called a progress claim, an interim application or a payment claim) is the contractor's assertion of what it says it has earned in a period. It is a contractual claim, not a demand for a fixed sum.</t>
        </is>
      </c>
    </row>
    <row r="8" ht="37.5" customHeight="1">
      <c r="B8" s="10" t="inlineStr">
        <is>
          <t>A payment certificate (or payment schedule, interim certificate, or assessment) is the client's or the certifier's response: the amount they assess as due, with reasons for any difference. In most standard forms the certifier, not the contractor, determines the amount payable.</t>
        </is>
      </c>
    </row>
    <row r="9" ht="37.5" customHeight="1">
      <c r="B9" s="10" t="inlineStr">
        <is>
          <t>An invoice is the tax and accounting document that requests payment of a sum already established. It is what the finance team enters into the ledger and pays from. Its contents are usually driven by tax law rather than by the contract.</t>
        </is>
      </c>
    </row>
    <row r="10" ht="37.5" customHeight="1">
      <c r="B10" s="10" t="inlineStr">
        <is>
          <t>This workbook is the invoice. It is built on top of the same substantiation a payment application uses, so the two always agree — but keep the roles separate in your correspondence, because the notice periods and the consequences of a late response attach to the claim and the certificate, not to the invoice.</t>
        </is>
      </c>
    </row>
    <row r="12" ht="19.5" customHeight="1">
      <c r="B12" s="5" t="inlineStr">
        <is>
          <t>WHY AN INVOICE NORMALLY FOLLOWS CERTIFICATION</t>
        </is>
      </c>
    </row>
    <row r="13" ht="37.5" customHeight="1">
      <c r="B13" s="10" t="inlineStr">
        <is>
          <t>Most construction contracts make the certified amount the amount payable. Invoicing before certification risks invoicing a number the client will not pay, which creates a tax point on money you may never receive and forces a credit note later.</t>
        </is>
      </c>
    </row>
    <row r="14" ht="50" customHeight="1">
      <c r="B14" s="10" t="inlineStr">
        <is>
          <t>The usual sequence is: submit the payment application with its substantiation → the certifier assesses and issues the certificate → the contractor invoices the certified amount → the client pays by the due date. Some contracts and some jurisdictions reverse this and require the client to self-bill or to issue a payment notice; a few make the application itself the invoice.</t>
        </is>
      </c>
    </row>
    <row r="15" ht="37.5" customHeight="1">
      <c r="B15" s="10" t="inlineStr">
        <is>
          <t>Where the certified amount differs from the claim, invoice the certified amount and pursue the difference through the contract's dispute or review machinery. Record the variance in the payment history on the Retention &amp; Payment History sheet — this template flags every claim certified at a different amount.</t>
        </is>
      </c>
    </row>
    <row r="17" ht="19.5" customHeight="1">
      <c r="B17" s="5" t="inlineStr">
        <is>
          <t>RETENTION AND ITS RELEASE</t>
        </is>
      </c>
    </row>
    <row r="18" ht="37.5" customHeight="1">
      <c r="B18" s="10" t="inlineStr">
        <is>
          <t>Retention is money earned but not yet paid: a percentage withheld from each payment as security for performance and for making good defects. It is normally capped, both as a percentage of each payment and as a total percentage of the contract sum. This template enforces the cap with a MIN().</t>
        </is>
      </c>
    </row>
    <row r="19" ht="37.5" customHeight="1">
      <c r="B19" s="10" t="inlineStr">
        <is>
          <t>Release is usually in two stages — a proportion (commonly half) on certification of practical, substantial or taking-over completion, and the balance at the end of the defects liability, maintenance or warranty period once defects have been made good. Both stages are recorded on the Retention &amp; Payment History sheet.</t>
        </is>
      </c>
    </row>
    <row r="20" ht="37.5" customHeight="1">
      <c r="B20" s="10" t="inlineStr">
        <is>
          <t>Retention held is a debt owed to you: track it, diarise the release dates and claim it. Many contracts allow retention to be replaced by an unconditional bank guarantee, bond or undertaking, which frees the cash — where that applies, set the retention rates to nil and record the security instrument with the contract file.</t>
        </is>
      </c>
    </row>
    <row r="21" ht="25" customHeight="1">
      <c r="B21" s="10" t="inlineStr">
        <is>
          <t>Some jurisdictions require cash retention to be held in a separate trust or retention account, and some prohibit or restrict it altogether. Check the position where the project is located.</t>
        </is>
      </c>
    </row>
    <row r="23" ht="19.5" customHeight="1">
      <c r="B23" s="5" t="inlineStr">
        <is>
          <t>MATERIALS ON SITE, OFF-SITE GOODS AND VESTING</t>
        </is>
      </c>
    </row>
    <row r="24" ht="37.5" customHeight="1">
      <c r="B24" s="10" t="inlineStr">
        <is>
          <t>Payment for unfixed goods is a concession, not an entitlement — it exists so the contractor is not out of pocket funding long-lead plant. Most contracts allow it for goods delivered to site, and allow it for off-site goods only on conditions.</t>
        </is>
      </c>
    </row>
    <row r="25" ht="37.5" customHeight="1">
      <c r="B25" s="10" t="inlineStr">
        <is>
          <t>Those conditions typically require: title to have passed to the client (a vesting certificate or a similar transfer of property), the goods to be separately stored, clearly marked as the client's property, insured, and available for inspection. Where the conditions are not met this template allows the item at nil.</t>
        </is>
      </c>
    </row>
    <row r="26" ht="37.5" customHeight="1">
      <c r="B26" s="10" t="inlineStr">
        <is>
          <t>The classic error is double-counting: an item is claimed as material on site, then built into the works and picked up again through the percentage complete. Enter the date the item was incorporated and it drops out of the invoice automatically. The Reconciliation Check tests for it independently.</t>
        </is>
      </c>
    </row>
    <row r="27" ht="37.5" customHeight="1">
      <c r="B27" s="10" t="inlineStr">
        <is>
          <t>Retention is not applied to materials on site in this template, and materials on site are excluded from the retention base. Some contracts do apply retention to unfixed goods — check yours and adjust the Retention sheet if so.</t>
        </is>
      </c>
    </row>
    <row r="29" ht="19.5" customHeight="1">
      <c r="B29" s="5" t="inlineStr">
        <is>
          <t>SET-OFF, BACKCHARGES AND LIQUIDATED DAMAGES</t>
        </is>
      </c>
    </row>
    <row r="30" ht="37.5" customHeight="1">
      <c r="B30" s="10" t="inlineStr">
        <is>
          <t>Set-off is the client deducting money it says it is owed from money it owes you. Backcharges (the cost of work the client had to do because you did not), contra charges, damage to other trades' work and liquidated damages for delay are the common heads.</t>
        </is>
      </c>
    </row>
    <row r="31" ht="37.5" customHeight="1">
      <c r="B31" s="10" t="inlineStr">
        <is>
          <t>These reduce the amount payable but not the value you have earned — which is why they sit below the subtotal on the invoice rather than inside the works schedule. Keeping them separate preserves the audit trail and makes the earned value comparable period to period.</t>
        </is>
      </c>
    </row>
    <row r="32" ht="37.5" customHeight="1">
      <c r="B32" s="10" t="inlineStr">
        <is>
          <t>Almost every contract, and much of the legislation, requires a deduction to be notified in writing, with reasons, in a specified manner and within a specified time. A deduction taken without the required notice is frequently irrecoverable. Record the notice reference against every line.</t>
        </is>
      </c>
    </row>
    <row r="33" ht="25" customHeight="1">
      <c r="B33" s="10" t="inlineStr">
        <is>
          <t>Liquidated damages are usually the sole remedy for delay and are capped. Check that an extension of time claim is not outstanding before accepting a deduction, and check the cap.</t>
        </is>
      </c>
    </row>
    <row r="35" ht="19.5" customHeight="1">
      <c r="B35" s="5" t="inlineStr">
        <is>
          <t>TAX POINTS, REVERSE CHARGE AND CROSS-BORDER SUPPLIES</t>
        </is>
      </c>
    </row>
    <row r="36" ht="50" customHeight="1">
      <c r="B36" s="10" t="inlineStr">
        <is>
          <t>The tax point (time of supply) determines which period the tax falls into. For construction services it is often the earlier of the invoice date, the payment date and the date of a certificate — and it may be a fixed number of days after the work is done. Issuing an invoice can create a liability to account for tax before you are paid.</t>
        </is>
      </c>
    </row>
    <row r="37" ht="50" customHeight="1">
      <c r="B37" s="10" t="inlineStr">
        <is>
          <t>Many jurisdictions apply a domestic reverse charge to construction services supplied between businesses in the supply chain: the customer accounts for the tax, and the supplier invoices without it but must state on the invoice that the reverse charge applies. Set the rate to 0% and add the wording to the invoice where this is the case.</t>
        </is>
      </c>
    </row>
    <row r="38" ht="50" customHeight="1">
      <c r="B38" s="10" t="inlineStr">
        <is>
          <t>Content requirements for a valid tax invoice are set by local law and typically include both parties' legal names, addresses and tax registration numbers, a unique sequential invoice number, the invoice date, a description of the supply, the taxable amount, the rate, the tax amount and the total. The invoice sheet carries all of these — check the local list before you rely on it.</t>
        </is>
      </c>
    </row>
    <row r="39" ht="25" customHeight="1">
      <c r="B39" s="10" t="inlineStr">
        <is>
          <t>Retention, credit notes and contra charges all have their own tax treatment, and it varies. So does the treatment of an invoice raised in a currency other than the local one. Take local advice.</t>
        </is>
      </c>
    </row>
    <row r="41" ht="19.5" customHeight="1">
      <c r="B41" s="5" t="inlineStr">
        <is>
          <t>PROMPT-PAYMENT AND SECURITY-OF-PAYMENT REGIMES</t>
        </is>
      </c>
    </row>
    <row r="42" ht="37.5" customHeight="1">
      <c r="B42" s="10" t="inlineStr">
        <is>
          <t>Many jurisdictions have legislation designed to keep cash moving down the construction supply chain. Australia, New Zealand, the United Kingdom, Ireland, Singapore, Malaysia, Canada and a number of US states all have some form of it, and the detail differs sharply between them.</t>
        </is>
      </c>
    </row>
    <row r="43" ht="62.5" customHeight="1">
      <c r="B43" s="10" t="inlineStr">
        <is>
          <t>These regimes commonly do some or all of the following: prescribe what a valid payment claim or application must contain and when it may be served; require the payer to respond within a short fixed period, in a prescribed form, giving reasons for withholding; make the full claimed amount payable if the payer does not respond in time; set maximum payment periods; prohibit pay-when-paid clauses; provide a fast statutory adjudication; and give suspension or lien rights for non-payment.</t>
        </is>
      </c>
    </row>
    <row r="44" ht="37.5" customHeight="1">
      <c r="B44" s="10" t="inlineStr">
        <is>
          <t>The timing is unforgiving and the consequences of missing a deadline are real — the most common way to lose money is to serve a claim late, or to fail to answer one on time. Confirm what applies where your project is located, diarise the dates, and make sure the person who receives the payer's response knows what it is.</t>
        </is>
      </c>
    </row>
    <row r="45" ht="37.5" customHeight="1">
      <c r="B45" s="10" t="inlineStr">
        <is>
          <t>This template is deliberately neutral. It does not name any statute and does not tell you which document is a statutory payment claim. If a regime applies to your project, check whether the claim, this invoice, or both, must carry particular wording or endorsements.</t>
        </is>
      </c>
    </row>
    <row r="47" ht="19.5" customHeight="1">
      <c r="B47" s="5" t="inlineStr">
        <is>
          <t>HOW THIS WORKBOOK CALCULATES</t>
        </is>
      </c>
    </row>
    <row r="48" ht="25" customHeight="1">
      <c r="B48" s="10" t="inlineStr">
        <is>
          <t>Adjusted contract sum = original contract sum + approved variations. Only variations with a status of “Approved” are included, and SUMIFS does the filtering — nothing is manually excluded.</t>
        </is>
      </c>
    </row>
    <row r="49" ht="37.5" customHeight="1">
      <c r="B49" s="10" t="inlineStr">
        <is>
          <t>Value of work completed to date = the works schedule (contract value x % complete to date, line by line) + approved variations completed to date. Value this period is the movement, not a separate input, so the schedule can never disagree with itself.</t>
        </is>
      </c>
    </row>
    <row r="50" ht="25" customHeight="1">
      <c r="B50" s="10" t="inlineStr">
        <is>
          <t>Retention = works base x works rate + variations base x variations rate, limited by MIN() to the cap, less anything already released. Materials on site are outside the retention base.</t>
        </is>
      </c>
    </row>
    <row r="51" ht="37.5" customHeight="1">
      <c r="B51" s="10" t="inlineStr">
        <is>
          <t>This invoice = total value earned to date − retention outstanding − amounts previously certified − adjustments applied. Tax is calculated on that result. Nothing on the invoice sheet is typed except names, addresses, references and the amount in words.</t>
        </is>
      </c>
    </row>
    <row r="53" ht="19.5" customHeight="1">
      <c r="B53" s="5" t="inlineStr">
        <is>
          <t>DISCLAIMER</t>
        </is>
      </c>
    </row>
    <row r="54" ht="37.5" customHeight="1">
      <c r="B54" s="10" t="inlineStr">
        <is>
          <t>This template is provided for general commercial and project-controls use. It is not legal, accounting or tax advice, and it is not a substitute for reading the Conditions of Contract that actually apply to your project.</t>
        </is>
      </c>
    </row>
    <row r="55" ht="37.5" customHeight="1">
      <c r="B55" s="10" t="inlineStr">
        <is>
          <t>Contract forms, tax rules and payment legislation differ by jurisdiction and change over time. Before issuing an invoice on a live project, confirm the contractual sequence, the notice requirements, the payment period and the tax treatment with your own advisers. Mastt accepts no liability for any use of this template.</t>
        </is>
      </c>
    </row>
    <row r="58" ht="12.75" customHeight="1">
      <c r="A58" s="17" t="inlineStr">
        <is>
          <t>Visit mastt.com</t>
        </is>
      </c>
      <c r="B58" s="18" t="n"/>
      <c r="C58" s="18" t="n"/>
      <c r="D58" s="18" t="n"/>
      <c r="E58" s="18" t="n"/>
      <c r="F58" s="18" t="n"/>
      <c r="G58" s="18" t="n"/>
      <c r="H58" s="18" t="n"/>
    </row>
  </sheetData>
  <sheetProtection selectLockedCells="0" selectUnlockedCells="0" sheet="1" objects="0" insertRows="0" insertHyperlinks="1" autoFilter="0" scenarios="0" formatColumns="0" deleteColumns="1" insertColumns="0" pivotTables="1" deleteRows="0" formatCells="0" formatRows="0" sort="0"/>
  <mergeCells count="36">
    <mergeCell ref="B42:G42"/>
    <mergeCell ref="B14:G14"/>
    <mergeCell ref="B8:G8"/>
    <mergeCell ref="B13:G13"/>
    <mergeCell ref="B44:G44"/>
    <mergeCell ref="B38:G38"/>
    <mergeCell ref="B19:G19"/>
    <mergeCell ref="B10:G10"/>
    <mergeCell ref="B37:G37"/>
    <mergeCell ref="D2:H2"/>
    <mergeCell ref="B9:G9"/>
    <mergeCell ref="B49:G49"/>
    <mergeCell ref="B30:G30"/>
    <mergeCell ref="B15:G15"/>
    <mergeCell ref="B33:G33"/>
    <mergeCell ref="B55:G55"/>
    <mergeCell ref="B24:G24"/>
    <mergeCell ref="B51:G51"/>
    <mergeCell ref="B20:G20"/>
    <mergeCell ref="B36:G36"/>
    <mergeCell ref="B45:G45"/>
    <mergeCell ref="B32:G32"/>
    <mergeCell ref="B50:G50"/>
    <mergeCell ref="B26:G26"/>
    <mergeCell ref="B7:G7"/>
    <mergeCell ref="B25:G25"/>
    <mergeCell ref="D3:H3"/>
    <mergeCell ref="B54:G54"/>
    <mergeCell ref="B31:G31"/>
    <mergeCell ref="B27:G27"/>
    <mergeCell ref="B43:G43"/>
    <mergeCell ref="B18:G18"/>
    <mergeCell ref="A58:H58"/>
    <mergeCell ref="B21:G21"/>
    <mergeCell ref="B48:G48"/>
    <mergeCell ref="B39:G39"/>
  </mergeCells>
  <hyperlinks>
    <hyperlink xmlns:r="http://schemas.openxmlformats.org/officeDocument/2006/relationships" ref="A2" r:id="rId1"/>
    <hyperlink xmlns:r="http://schemas.openxmlformats.org/officeDocument/2006/relationships" ref="A58" r:id="rId2"/>
  </hyperlinks>
  <pageMargins left="0.3" right="0.3" top="0.4" bottom="0.4" header="0.2" footer="0.2"/>
  <pageSetup orientation="portrait" paperSize="9" fitToHeight="0" fitToWidth="1"/>
  <drawing xmlns:r="http://schemas.openxmlformats.org/officeDocument/2006/relationships" r:id="rId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2026-08-19T09:20:47Z</dcterms:created>
  <dcterms:modified xmlns:dcterms="http://purl.org/dc/terms/" xmlns:xsi="http://www.w3.org/2001/XMLSchema-instance" xsi:type="dcterms:W3CDTF">2026-08-19T09:20:48Z</dcterms:modified>
</cp:coreProperties>
</file>