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Override PartName="/xl/worksheets/sheet5.xml" ContentType="application/vnd.openxmlformats-officedocument.spreadsheetml.worksheet+xml"/>
  <Override PartName="/xl/drawings/drawing5.xml" ContentType="application/vnd.openxmlformats-officedocument.drawing+xml"/>
  <Override PartName="/xl/worksheets/sheet6.xml" ContentType="application/vnd.openxmlformats-officedocument.spreadsheetml.worksheet+xml"/>
  <Override PartName="/xl/drawings/drawing6.xml" ContentType="application/vnd.openxmlformats-officedocument.drawing+xml"/>
  <Override PartName="/xl/worksheets/sheet7.xml" ContentType="application/vnd.openxmlformats-officedocument.spreadsheetml.worksheet+xml"/>
  <Override PartName="/xl/drawings/drawing7.xml" ContentType="application/vnd.openxmlformats-officedocument.drawing+xml"/>
  <Override PartName="/xl/worksheets/sheet8.xml" ContentType="application/vnd.openxmlformats-officedocument.spreadsheetml.worksheet+xml"/>
  <Override PartName="/xl/drawings/drawing8.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Dashboard" sheetId="2" state="visible" r:id="rId2"/>
    <sheet xmlns:r="http://schemas.openxmlformats.org/officeDocument/2006/relationships" name="EV Register" sheetId="3" state="visible" r:id="rId3"/>
    <sheet xmlns:r="http://schemas.openxmlformats.org/officeDocument/2006/relationships" name="Time-Phased Data" sheetId="4" state="visible" r:id="rId4"/>
    <sheet xmlns:r="http://schemas.openxmlformats.org/officeDocument/2006/relationships" name="S-Curve" sheetId="5" state="visible" r:id="rId5"/>
    <sheet xmlns:r="http://schemas.openxmlformats.org/officeDocument/2006/relationships" name="Forecast &amp; Scenarios" sheetId="6" state="visible" r:id="rId6"/>
    <sheet xmlns:r="http://schemas.openxmlformats.org/officeDocument/2006/relationships" name="Lists" sheetId="7" state="visible" r:id="rId7"/>
    <sheet xmlns:r="http://schemas.openxmlformats.org/officeDocument/2006/relationships" name="Notes &amp; Assumptions" sheetId="8" state="visible" r:id="rId8"/>
  </sheets>
  <definedNames>
    <definedName name="Proj_Name">Cover!$C$9</definedName>
    <definedName name="Proj_Number">Cover!$C$10</definedName>
    <definedName name="Proj_Client">Cover!$C$11</definedName>
    <definedName name="Proj_Contractor">Cover!$C$12</definedName>
    <definedName name="Proj_Package">Cover!$C$13</definedName>
    <definedName name="Proj_PreparedBy">Cover!$C$14</definedName>
    <definedName name="Proj_Role">Cover!$F$9</definedName>
    <definedName name="Proj_Date">Cover!$F$10</definedName>
    <definedName name="Proj_Revision">Cover!$F$11</definedName>
    <definedName name="Proj_Currency">Cover!$F$12</definedName>
    <definedName name="Proj_EVTech">Cover!$F$13</definedName>
    <definedName name="Data_Date">Lists!$C$8</definedName>
    <definedName name="EAC_Method">Lists!$C$9</definedName>
    <definedName name="EAC_Idx">Lists!$C$10</definedName>
    <definedName name="ETC_BottomUp">Lists!$C$11</definedName>
    <definedName name="EAC_BU_Factor">Lists!$C$12</definedName>
    <definedName name="Thr_Red">Lists!$C$13</definedName>
    <definedName name="Thr_Amber">Lists!$C$14</definedName>
    <definedName name="Thr_Green">Lists!$C$15</definedName>
    <definedName name="Contingency_Pct">Lists!$C$16</definedName>
    <definedName name="Mgmt_Reserve">Lists!$C$17</definedName>
    <definedName name="Tot_BAC">'EV Register'!$G$209</definedName>
    <definedName name="Tot_PV">'EV Register'!$M$209</definedName>
    <definedName name="Tot_EV">'EV Register'!$O$209</definedName>
    <definedName name="Tot_AC">'EV Register'!$P$209</definedName>
    <definedName name="Proj_SPI">'EV Register'!$U$209</definedName>
    <definedName name="Proj_CPI">'EV Register'!$V$209</definedName>
    <definedName name="Proj_EAC">'EV Register'!$W$209</definedName>
    <definedName name="DD_CumPV">'Time-Phased Data'!$D$49</definedName>
    <definedName name="DD_CumEV">'Time-Phased Data'!$D$50</definedName>
    <definedName name="DD_CumAC">'Time-Phased Data'!$D$51</definedName>
    <definedName name="DD_Period">'Time-Phased Data'!$D$55</definedName>
    <definedName name="DD_PV">'Time-Phased Data'!$D$56</definedName>
    <definedName name="DD_EV">'Time-Phased Data'!$D$57</definedName>
    <definedName name="DD_AC">'Time-Phased Data'!$D$58</definedName>
    <definedName name="Dash_SPI">Dashboard!$F$13</definedName>
    <definedName name="Dash_CPI">Dashboard!$H$13</definedName>
    <definedName name="TCPI_BAC">'Forecast &amp; Scenarios'!$D$29</definedName>
    <definedName name="TCPI_EAC">'Forecast &amp; Scenarios'!$D$30</definedName>
    <definedName name="EAC_M1">'Forecast &amp; Scenarios'!$D$21</definedName>
    <definedName name="EAC_M2">'Forecast &amp; Scenarios'!$D$22</definedName>
    <definedName name="EAC_M3">'Forecast &amp; Scenarios'!$D$23</definedName>
    <definedName name="EAC_M4">'Forecast &amp; Scenarios'!$D$24</definedName>
    <definedName name="_xlnm._FilterDatabase" localSheetId="2" hidden="1">'EV Register'!$A$8:$AD$208</definedName>
    <definedName name="_xlnm.Print_Titles" localSheetId="2">'EV Register'!$1:$8</definedName>
    <definedName name="_xlnm._FilterDatabase" localSheetId="3" hidden="1">'Time-Phased Data'!$A$8:$Q$44</definedName>
    <definedName name="_xlnm.Print_Titles" localSheetId="3">'Time-Phased Data'!$1:$8</definedName>
  </definedNames>
  <calcPr calcId="124519" fullCalcOnLoad="1"/>
</workbook>
</file>

<file path=xl/styles.xml><?xml version="1.0" encoding="utf-8"?>
<styleSheet xmlns="http://schemas.openxmlformats.org/spreadsheetml/2006/main">
  <numFmts count="6">
    <numFmt numFmtId="164" formatCode="yyyy-mm-dd"/>
    <numFmt numFmtId="165" formatCode="dd-mmm-yy"/>
    <numFmt numFmtId="166" formatCode="0.0%"/>
    <numFmt numFmtId="167" formatCode="#,##0;-#,##0"/>
    <numFmt numFmtId="168" formatCode="0.000"/>
    <numFmt numFmtId="169" formatCode="0.0000"/>
  </numFmts>
  <fonts count="26">
    <font>
      <name val="Calibri"/>
      <family val="2"/>
      <color theme="1"/>
      <sz val="11"/>
      <scheme val="minor"/>
    </font>
    <font>
      <name val="Inter"/>
      <color rgb="001D3245"/>
      <sz val="1"/>
    </font>
    <font>
      <name val="Inter"/>
      <b val="1"/>
      <color rgb="00FFFFFF"/>
      <sz val="15"/>
    </font>
    <font>
      <name val="Inter"/>
      <color rgb="00D3DEE9"/>
      <sz val="8.5"/>
    </font>
    <font>
      <name val="Inter"/>
      <b val="1"/>
      <color rgb="000D3C61"/>
      <sz val="10.5"/>
    </font>
    <font>
      <name val="Inter"/>
      <b val="1"/>
      <color rgb="008E98A2"/>
      <sz val="8.5"/>
    </font>
    <font>
      <name val="Inter"/>
      <color rgb="000C1628"/>
      <sz val="9"/>
    </font>
    <font>
      <name val="Inter"/>
      <color rgb="008E98A2"/>
      <sz val="10"/>
    </font>
    <font>
      <name val="Inter"/>
      <color rgb="000C1628"/>
      <sz val="10"/>
    </font>
    <font>
      <name val="Inter"/>
      <b val="1"/>
      <color rgb="00FFFFFF"/>
      <sz val="9"/>
    </font>
    <font>
      <name val="Inter"/>
      <i val="1"/>
      <color rgb="008E98A2"/>
      <sz val="8.5"/>
    </font>
    <font>
      <name val="Inter"/>
      <color rgb="FF3480BC"/>
      <sz val="9.5"/>
      <u val="single"/>
    </font>
    <font>
      <name val="Inter"/>
      <b val="1"/>
      <color rgb="001D3245"/>
      <sz val="8.5"/>
    </font>
    <font>
      <name val="Inter"/>
      <b val="1"/>
      <color rgb="003480BC"/>
      <sz val="8.5"/>
    </font>
    <font>
      <name val="Inter"/>
      <b val="1"/>
      <color rgb="00FFFFFF"/>
      <sz val="16"/>
    </font>
    <font>
      <name val="Inter"/>
      <b val="1"/>
      <color rgb="000C1628"/>
      <sz val="9"/>
    </font>
    <font>
      <name val="Inter"/>
      <i val="1"/>
      <color rgb="008E98A2"/>
      <sz val="8.5"/>
    </font>
    <font>
      <name val="Inter"/>
      <color rgb="001D3245"/>
      <sz val="8.5"/>
    </font>
    <font>
      <name val="Inter"/>
      <b val="1"/>
      <color rgb="001D3245"/>
      <sz val="10"/>
    </font>
    <font>
      <name val="Inter"/>
      <b val="1"/>
      <color rgb="001D3245"/>
      <sz val="9"/>
    </font>
    <font>
      <name val="Inter"/>
      <color rgb="000C1628"/>
      <sz val="8.5"/>
    </font>
    <font>
      <name val="Inter"/>
      <i val="1"/>
      <color rgb="001D3245"/>
      <sz val="8.5"/>
    </font>
    <font>
      <name val="Inter"/>
      <b val="1"/>
      <color rgb="000D3C61"/>
      <sz val="9.5"/>
    </font>
    <font>
      <name val="Inter"/>
      <color rgb="000D3C61"/>
      <sz val="8.5"/>
    </font>
    <font>
      <name val="Inter"/>
      <i val="1"/>
      <color rgb="001D3245"/>
      <sz val="8.5"/>
    </font>
    <font>
      <name val="Inter"/>
      <color rgb="001D3245"/>
      <sz val="9"/>
    </font>
  </fonts>
  <fills count="5">
    <fill>
      <patternFill/>
    </fill>
    <fill>
      <patternFill patternType="gray125"/>
    </fill>
    <fill>
      <patternFill patternType="solid">
        <fgColor rgb="001D3245"/>
      </patternFill>
    </fill>
    <fill>
      <patternFill patternType="solid">
        <fgColor rgb="00F6F9FC"/>
      </patternFill>
    </fill>
    <fill>
      <patternFill patternType="solid">
        <fgColor rgb="00E8EEF5"/>
      </patternFill>
    </fill>
  </fills>
  <borders count="12">
    <border>
      <left/>
      <right/>
      <top/>
      <bottom/>
      <diagonal/>
    </border>
    <border>
      <left style="thin">
        <color rgb="00D3DEE9"/>
      </left>
      <right style="thin">
        <color rgb="00D3DEE9"/>
      </right>
      <top style="thin">
        <color rgb="00D3DEE9"/>
      </top>
      <bottom style="thin">
        <color rgb="00D3DEE9"/>
      </bottom>
    </border>
    <border>
      <left style="thin">
        <color rgb="001D3245"/>
      </left>
      <right style="thin">
        <color rgb="001D3245"/>
      </right>
      <top style="thin">
        <color rgb="001D3245"/>
      </top>
      <bottom style="medium">
        <color rgb="003480BC"/>
      </bottom>
    </border>
    <border>
      <left/>
      <right/>
      <top style="thin">
        <color rgb="001D3245"/>
      </top>
      <bottom/>
      <diagonal/>
    </border>
    <border>
      <left/>
      <right style="thin">
        <color rgb="001D3245"/>
      </right>
      <top style="thin">
        <color rgb="001D3245"/>
      </top>
      <bottom/>
      <diagonal/>
    </border>
    <border>
      <left/>
      <right style="thin">
        <color rgb="001D3245"/>
      </right>
      <top style="thin">
        <color rgb="001D3245"/>
      </top>
      <bottom style="medium">
        <color rgb="003480BC"/>
      </bottom>
      <diagonal/>
    </border>
    <border>
      <top style="thin">
        <color rgb="00D3DEE9"/>
      </top>
    </border>
    <border>
      <left style="thin">
        <color rgb="00D3DEE9"/>
      </left>
      <right style="thin">
        <color rgb="00D3DEE9"/>
      </right>
      <top style="medium">
        <color rgb="003480BC"/>
      </top>
      <bottom style="thin">
        <color rgb="00D3DEE9"/>
      </bottom>
    </border>
    <border>
      <left/>
      <right/>
      <top style="medium">
        <color rgb="003480BC"/>
      </top>
      <bottom/>
      <diagonal/>
    </border>
    <border>
      <left/>
      <right style="thin">
        <color rgb="00D3DEE9"/>
      </right>
      <top style="medium">
        <color rgb="003480BC"/>
      </top>
      <bottom/>
      <diagonal/>
    </border>
    <border>
      <left/>
      <right/>
      <top style="medium">
        <color rgb="003480BC"/>
      </top>
      <bottom style="thin">
        <color rgb="00D3DEE9"/>
      </bottom>
      <diagonal/>
    </border>
    <border>
      <left/>
      <right style="thin">
        <color rgb="00D3DEE9"/>
      </right>
      <top style="medium">
        <color rgb="003480BC"/>
      </top>
      <bottom style="thin">
        <color rgb="00D3DEE9"/>
      </bottom>
      <diagonal/>
    </border>
  </borders>
  <cellStyleXfs count="1">
    <xf numFmtId="0" fontId="0" fillId="0" borderId="0"/>
  </cellStyleXfs>
  <cellXfs count="84">
    <xf numFmtId="0" fontId="0" fillId="0" borderId="0" pivotButton="0" quotePrefix="0" xfId="0"/>
    <xf numFmtId="0" fontId="1" fillId="2" borderId="0" applyAlignment="1" pivotButton="0" quotePrefix="0" xfId="0">
      <alignment vertical="bottom"/>
    </xf>
    <xf numFmtId="0" fontId="0" fillId="2" borderId="0" pivotButton="0" quotePrefix="0" xfId="0"/>
    <xf numFmtId="0" fontId="2" fillId="2" borderId="0" applyAlignment="1" pivotButton="0" quotePrefix="0" xfId="0">
      <alignment horizontal="left" vertical="center"/>
    </xf>
    <xf numFmtId="0" fontId="3" fillId="2" borderId="0" applyAlignment="1" pivotButton="0" quotePrefix="0" xfId="0">
      <alignment horizontal="left" vertical="center"/>
    </xf>
    <xf numFmtId="0" fontId="4" fillId="0" borderId="0" applyAlignment="1" pivotButton="0" quotePrefix="0" xfId="0">
      <alignment horizontal="left" vertical="center"/>
    </xf>
    <xf numFmtId="0" fontId="5" fillId="0" borderId="0" applyAlignment="1" pivotButton="0" quotePrefix="0" xfId="0">
      <alignment horizontal="left" vertical="center"/>
    </xf>
    <xf numFmtId="0" fontId="7" fillId="3" borderId="1" applyAlignment="1" applyProtection="1" pivotButton="0" quotePrefix="0" xfId="0">
      <alignment horizontal="left" vertical="center"/>
      <protection locked="0" hidden="0"/>
    </xf>
    <xf numFmtId="0" fontId="8" fillId="3" borderId="1" applyAlignment="1" applyProtection="1" pivotButton="0" quotePrefix="0" xfId="0">
      <alignment horizontal="left" vertical="center"/>
      <protection locked="0" hidden="0"/>
    </xf>
    <xf numFmtId="165" fontId="8" fillId="3" borderId="1" applyAlignment="1" applyProtection="1" pivotButton="0" quotePrefix="0" xfId="0">
      <alignment horizontal="left" vertical="center"/>
      <protection locked="0" hidden="0"/>
    </xf>
    <xf numFmtId="0" fontId="6" fillId="0" borderId="0" applyAlignment="1" pivotButton="0" quotePrefix="0" xfId="0">
      <alignment horizontal="left" vertical="center" wrapText="1"/>
    </xf>
    <xf numFmtId="0" fontId="9" fillId="2" borderId="2" applyAlignment="1" pivotButton="0" quotePrefix="0" xfId="0">
      <alignment horizontal="left" vertical="center"/>
    </xf>
    <xf numFmtId="0" fontId="0" fillId="0" borderId="5" pivotButton="0" quotePrefix="0" xfId="0"/>
    <xf numFmtId="0" fontId="6" fillId="3" borderId="1" applyAlignment="1" applyProtection="1" pivotButton="0" quotePrefix="0" xfId="0">
      <alignment horizontal="center" vertical="center"/>
      <protection locked="0" hidden="0"/>
    </xf>
    <xf numFmtId="165" fontId="6" fillId="3" borderId="1" applyAlignment="1" applyProtection="1" pivotButton="0" quotePrefix="0" xfId="0">
      <alignment horizontal="center" vertical="center"/>
      <protection locked="0" hidden="0"/>
    </xf>
    <xf numFmtId="0" fontId="6" fillId="3" borderId="1" applyAlignment="1" applyProtection="1" pivotButton="0" quotePrefix="0" xfId="0">
      <alignment horizontal="left" vertical="center"/>
      <protection locked="0" hidden="0"/>
    </xf>
    <xf numFmtId="0" fontId="10" fillId="0" borderId="0" applyAlignment="1" pivotButton="0" quotePrefix="0" xfId="0">
      <alignment horizontal="left" vertical="center" wrapText="1"/>
    </xf>
    <xf numFmtId="0" fontId="11" fillId="0" borderId="6" applyAlignment="1" pivotButton="0" quotePrefix="0" xfId="0">
      <alignment vertical="center" horizontal="right"/>
    </xf>
    <xf numFmtId="0" fontId="0" fillId="0" borderId="6" pivotButton="0" quotePrefix="0" xfId="0"/>
    <xf numFmtId="0" fontId="12" fillId="0" borderId="0" applyAlignment="1" pivotButton="0" quotePrefix="0" xfId="0">
      <alignment horizontal="left" vertical="center"/>
    </xf>
    <xf numFmtId="0" fontId="10" fillId="0" borderId="0" applyAlignment="1" pivotButton="0" quotePrefix="0" xfId="0">
      <alignment horizontal="right" vertical="center"/>
    </xf>
    <xf numFmtId="0" fontId="4" fillId="0" borderId="0" applyAlignment="1" pivotButton="0" quotePrefix="0" xfId="0">
      <alignment horizontal="left" vertical="center" wrapText="1"/>
    </xf>
    <xf numFmtId="0" fontId="13" fillId="2" borderId="0" applyAlignment="1" pivotButton="0" quotePrefix="0" xfId="0">
      <alignment horizontal="left" vertical="bottom" indent="1"/>
    </xf>
    <xf numFmtId="3" fontId="14" fillId="2" borderId="0" applyAlignment="1" pivotButton="0" quotePrefix="0" xfId="0">
      <alignment horizontal="left" vertical="top" indent="1"/>
    </xf>
    <xf numFmtId="166" fontId="14" fillId="2" borderId="0" applyAlignment="1" pivotButton="0" quotePrefix="0" xfId="0">
      <alignment horizontal="left" vertical="top" indent="1"/>
    </xf>
    <xf numFmtId="167" fontId="14" fillId="2" borderId="0" applyAlignment="1" pivotButton="0" quotePrefix="0" xfId="0">
      <alignment horizontal="left" vertical="top" indent="1"/>
    </xf>
    <xf numFmtId="168" fontId="14" fillId="2" borderId="0" applyAlignment="1" pivotButton="0" quotePrefix="0" xfId="0">
      <alignment horizontal="left" vertical="top" indent="1"/>
    </xf>
    <xf numFmtId="0" fontId="9" fillId="2" borderId="2" applyAlignment="1" pivotButton="0" quotePrefix="0" xfId="0">
      <alignment horizontal="left" vertical="center" wrapText="1"/>
    </xf>
    <xf numFmtId="0" fontId="9" fillId="2" borderId="2" applyAlignment="1" pivotButton="0" quotePrefix="0" xfId="0">
      <alignment horizontal="center" vertical="center" wrapText="1"/>
    </xf>
    <xf numFmtId="0" fontId="6" fillId="0" borderId="1" applyAlignment="1" pivotButton="0" quotePrefix="0" xfId="0">
      <alignment horizontal="left" vertical="center" wrapText="1"/>
    </xf>
    <xf numFmtId="0" fontId="0" fillId="0" borderId="1" pivotButton="0" quotePrefix="0" xfId="0"/>
    <xf numFmtId="3" fontId="6" fillId="4" borderId="1" applyAlignment="1" pivotButton="0" quotePrefix="0" xfId="0">
      <alignment horizontal="right" vertical="center"/>
    </xf>
    <xf numFmtId="0" fontId="6" fillId="4" borderId="1" applyAlignment="1" pivotButton="0" quotePrefix="0" xfId="0">
      <alignment horizontal="right" vertical="center"/>
    </xf>
    <xf numFmtId="3" fontId="15" fillId="4" borderId="1" applyAlignment="1" pivotButton="0" quotePrefix="0" xfId="0">
      <alignment horizontal="right" vertical="center"/>
    </xf>
    <xf numFmtId="0" fontId="16" fillId="0" borderId="1" applyAlignment="1" pivotButton="0" quotePrefix="0" xfId="0">
      <alignment horizontal="left" vertical="center" wrapText="1"/>
    </xf>
    <xf numFmtId="167" fontId="6" fillId="4" borderId="1" applyAlignment="1" pivotButton="0" quotePrefix="0" xfId="0">
      <alignment horizontal="right" vertical="center"/>
    </xf>
    <xf numFmtId="167" fontId="15" fillId="4" borderId="1" applyAlignment="1" pivotButton="0" quotePrefix="0" xfId="0">
      <alignment horizontal="right" vertical="center"/>
    </xf>
    <xf numFmtId="168" fontId="6" fillId="4" borderId="1" applyAlignment="1" pivotButton="0" quotePrefix="0" xfId="0">
      <alignment horizontal="right" vertical="center"/>
    </xf>
    <xf numFmtId="168" fontId="15" fillId="4" borderId="1" applyAlignment="1" pivotButton="0" quotePrefix="0" xfId="0">
      <alignment horizontal="right" vertical="center"/>
    </xf>
    <xf numFmtId="0" fontId="17" fillId="0" borderId="1" applyAlignment="1" pivotButton="0" quotePrefix="0" xfId="0">
      <alignment horizontal="center" vertical="center" wrapText="1"/>
    </xf>
    <xf numFmtId="166" fontId="6" fillId="4" borderId="1" applyAlignment="1" pivotButton="0" quotePrefix="0" xfId="0">
      <alignment horizontal="right" vertical="center"/>
    </xf>
    <xf numFmtId="0" fontId="18" fillId="4" borderId="7" applyAlignment="1" pivotButton="0" quotePrefix="0" xfId="0">
      <alignment horizontal="right" vertical="center"/>
    </xf>
    <xf numFmtId="3" fontId="18" fillId="4" borderId="7" applyAlignment="1" pivotButton="0" quotePrefix="0" xfId="0">
      <alignment horizontal="right" vertical="center"/>
    </xf>
    <xf numFmtId="0" fontId="0" fillId="0" borderId="11" pivotButton="0" quotePrefix="0" xfId="0"/>
    <xf numFmtId="167" fontId="18" fillId="4" borderId="7" applyAlignment="1" pivotButton="0" quotePrefix="0" xfId="0">
      <alignment horizontal="right" vertical="center"/>
    </xf>
    <xf numFmtId="166" fontId="18" fillId="4" borderId="7" applyAlignment="1" pivotButton="0" quotePrefix="0" xfId="0">
      <alignment horizontal="right" vertical="center"/>
    </xf>
    <xf numFmtId="0" fontId="10" fillId="4" borderId="7" applyAlignment="1" pivotButton="0" quotePrefix="0" xfId="0">
      <alignment horizontal="left" vertical="center" wrapText="1"/>
    </xf>
    <xf numFmtId="0" fontId="19" fillId="0" borderId="1" applyAlignment="1" pivotButton="0" quotePrefix="0" xfId="0">
      <alignment horizontal="left" vertical="center" wrapText="1"/>
    </xf>
    <xf numFmtId="0" fontId="20" fillId="4" borderId="1" applyAlignment="1" pivotButton="0" quotePrefix="0" xfId="0">
      <alignment horizontal="left" vertical="center" wrapText="1"/>
    </xf>
    <xf numFmtId="0" fontId="20" fillId="4" borderId="1" applyAlignment="1" pivotButton="0" quotePrefix="0" xfId="0">
      <alignment horizontal="right" vertical="center"/>
    </xf>
    <xf numFmtId="0" fontId="10" fillId="4" borderId="1" applyAlignment="1" pivotButton="0" quotePrefix="0" xfId="0">
      <alignment horizontal="left" vertical="center" wrapText="1"/>
    </xf>
    <xf numFmtId="0" fontId="10" fillId="4" borderId="1" applyAlignment="1" pivotButton="0" quotePrefix="0" xfId="0">
      <alignment horizontal="right" vertical="center"/>
    </xf>
    <xf numFmtId="1" fontId="6" fillId="4" borderId="1" applyAlignment="1" pivotButton="0" quotePrefix="0" xfId="0">
      <alignment horizontal="center" vertical="center"/>
    </xf>
    <xf numFmtId="0" fontId="6" fillId="4" borderId="1" applyAlignment="1" pivotButton="0" quotePrefix="0" xfId="0">
      <alignment horizontal="left" vertical="center"/>
    </xf>
    <xf numFmtId="0" fontId="6" fillId="4" borderId="1" applyAlignment="1" pivotButton="0" quotePrefix="0" xfId="0">
      <alignment horizontal="center" vertical="center"/>
    </xf>
    <xf numFmtId="0" fontId="10" fillId="3" borderId="1" applyAlignment="1" applyProtection="1" pivotButton="0" quotePrefix="0" xfId="0">
      <alignment horizontal="left" vertical="center"/>
      <protection locked="0" hidden="0"/>
    </xf>
    <xf numFmtId="1" fontId="10" fillId="3" borderId="1" applyAlignment="1" applyProtection="1" pivotButton="0" quotePrefix="0" xfId="0">
      <alignment horizontal="center" vertical="center"/>
      <protection locked="0" hidden="0"/>
    </xf>
    <xf numFmtId="3" fontId="10" fillId="3" borderId="1" applyAlignment="1" applyProtection="1" pivotButton="0" quotePrefix="0" xfId="0">
      <alignment horizontal="right" vertical="center"/>
      <protection locked="0" hidden="0"/>
    </xf>
    <xf numFmtId="165" fontId="10" fillId="3" borderId="1" applyAlignment="1" applyProtection="1" pivotButton="0" quotePrefix="0" xfId="0">
      <alignment horizontal="center" vertical="center"/>
      <protection locked="0" hidden="0"/>
    </xf>
    <xf numFmtId="166" fontId="10" fillId="3" borderId="1" applyAlignment="1" applyProtection="1" pivotButton="0" quotePrefix="0" xfId="0">
      <alignment horizontal="right" vertical="center"/>
      <protection locked="0" hidden="0"/>
    </xf>
    <xf numFmtId="166" fontId="10" fillId="3" borderId="1" applyAlignment="1" applyProtection="1" pivotButton="0" quotePrefix="0" xfId="0">
      <alignment horizontal="right" vertical="center"/>
      <protection locked="0" hidden="0"/>
    </xf>
    <xf numFmtId="168" fontId="6" fillId="4" borderId="1" applyAlignment="1" pivotButton="0" quotePrefix="0" xfId="0">
      <alignment horizontal="center" vertical="center"/>
    </xf>
    <xf numFmtId="0" fontId="10" fillId="3" borderId="1" applyAlignment="1" applyProtection="1" pivotButton="0" quotePrefix="0" xfId="0">
      <alignment horizontal="left" vertical="center" wrapText="1"/>
      <protection locked="0" hidden="0"/>
    </xf>
    <xf numFmtId="0" fontId="6" fillId="3" borderId="1" applyAlignment="1" applyProtection="1" pivotButton="0" quotePrefix="0" xfId="0">
      <alignment horizontal="left" vertical="center" wrapText="1"/>
      <protection locked="0" hidden="0"/>
    </xf>
    <xf numFmtId="3" fontId="6" fillId="3" borderId="1" applyAlignment="1" applyProtection="1" pivotButton="0" quotePrefix="0" xfId="0">
      <alignment horizontal="right" vertical="center"/>
      <protection locked="0" hidden="0"/>
    </xf>
    <xf numFmtId="166" fontId="6" fillId="3" borderId="1" applyAlignment="1" applyProtection="1" pivotButton="0" quotePrefix="0" xfId="0">
      <alignment horizontal="right" vertical="center"/>
      <protection locked="0" hidden="0"/>
    </xf>
    <xf numFmtId="0" fontId="18" fillId="4" borderId="7" applyAlignment="1" pivotButton="0" quotePrefix="0" xfId="0">
      <alignment horizontal="left" vertical="center"/>
    </xf>
    <xf numFmtId="0" fontId="0" fillId="0" borderId="10" pivotButton="0" quotePrefix="0" xfId="0"/>
    <xf numFmtId="168" fontId="18" fillId="4" borderId="7" applyAlignment="1" pivotButton="0" quotePrefix="0" xfId="0">
      <alignment horizontal="center" vertical="center"/>
    </xf>
    <xf numFmtId="0" fontId="18" fillId="4" borderId="7" applyAlignment="1" pivotButton="0" quotePrefix="0" xfId="0">
      <alignment horizontal="center" vertical="center"/>
    </xf>
    <xf numFmtId="0" fontId="21" fillId="4" borderId="7" applyAlignment="1" pivotButton="0" quotePrefix="0" xfId="0">
      <alignment horizontal="left" vertical="center"/>
    </xf>
    <xf numFmtId="1" fontId="6" fillId="4" borderId="1" applyAlignment="1" pivotButton="0" quotePrefix="0" xfId="0">
      <alignment horizontal="right" vertical="center"/>
    </xf>
    <xf numFmtId="0" fontId="22" fillId="0" borderId="0" applyAlignment="1" pivotButton="0" quotePrefix="0" xfId="0">
      <alignment horizontal="left" vertical="top" wrapText="1"/>
    </xf>
    <xf numFmtId="0" fontId="20" fillId="0" borderId="0" applyAlignment="1" pivotButton="0" quotePrefix="0" xfId="0">
      <alignment horizontal="left" vertical="top" wrapText="1"/>
    </xf>
    <xf numFmtId="0" fontId="23" fillId="0" borderId="1" applyAlignment="1" pivotButton="0" quotePrefix="0" xfId="0">
      <alignment horizontal="center" vertical="center" wrapText="1"/>
    </xf>
    <xf numFmtId="0" fontId="21" fillId="4" borderId="7" applyAlignment="1" pivotButton="0" quotePrefix="0" xfId="0">
      <alignment horizontal="center" vertical="center"/>
    </xf>
    <xf numFmtId="0" fontId="24" fillId="4" borderId="7" applyAlignment="1" pivotButton="0" quotePrefix="0" xfId="0">
      <alignment horizontal="left" vertical="center"/>
    </xf>
    <xf numFmtId="0" fontId="6" fillId="4" borderId="1" applyAlignment="1" pivotButton="0" quotePrefix="0" xfId="0">
      <alignment horizontal="left" vertical="center" wrapText="1"/>
    </xf>
    <xf numFmtId="0" fontId="25" fillId="0" borderId="1" applyAlignment="1" pivotButton="0" quotePrefix="0" xfId="0">
      <alignment horizontal="left" vertical="center" wrapText="1"/>
    </xf>
    <xf numFmtId="165" fontId="6" fillId="4" borderId="1" applyAlignment="1" pivotButton="0" quotePrefix="0" xfId="0">
      <alignment horizontal="center" vertical="center"/>
    </xf>
    <xf numFmtId="3" fontId="6" fillId="3" borderId="1" applyAlignment="1" applyProtection="1" pivotButton="0" quotePrefix="0" xfId="0">
      <alignment horizontal="center" vertical="center"/>
      <protection locked="0" hidden="0"/>
    </xf>
    <xf numFmtId="169" fontId="6" fillId="4" borderId="1" applyAlignment="1" pivotButton="0" quotePrefix="0" xfId="0">
      <alignment horizontal="center" vertical="center"/>
    </xf>
    <xf numFmtId="168" fontId="6" fillId="3" borderId="1" applyAlignment="1" applyProtection="1" pivotButton="0" quotePrefix="0" xfId="0">
      <alignment horizontal="center" vertical="center"/>
      <protection locked="0" hidden="0"/>
    </xf>
    <xf numFmtId="166" fontId="6" fillId="3" borderId="1" applyAlignment="1" applyProtection="1" pivotButton="0" quotePrefix="0" xfId="0">
      <alignment horizontal="center" vertical="center"/>
      <protection locked="0" hidden="0"/>
    </xf>
  </cellXfs>
  <cellStyles count="1">
    <cellStyle name="Normal" xfId="0" builtinId="0" hidden="0"/>
  </cellStyles>
  <dxfs count="10">
    <dxf>
      <font>
        <name val="Inter"/>
        <b val="1"/>
        <color rgb="00B3341F"/>
        <sz val="9"/>
      </font>
      <fill>
        <patternFill patternType="solid">
          <bgColor rgb="00FBE6E2"/>
        </patternFill>
      </fill>
    </dxf>
    <dxf>
      <font>
        <name val="Inter"/>
        <b val="1"/>
        <color rgb="00B3341F"/>
        <sz val="8.5"/>
      </font>
      <fill>
        <patternFill patternType="solid">
          <bgColor rgb="00FBE6E2"/>
        </patternFill>
      </fill>
    </dxf>
    <dxf>
      <font>
        <name val="Inter"/>
        <b val="1"/>
        <color rgb="002E7D5B"/>
        <sz val="8.5"/>
      </font>
      <fill>
        <patternFill patternType="solid">
          <bgColor rgb="00E4F1EA"/>
        </patternFill>
      </fill>
    </dxf>
    <dxf>
      <font>
        <name val="Inter"/>
        <b val="1"/>
        <color rgb="00C98A0E"/>
        <sz val="8.5"/>
      </font>
      <fill>
        <patternFill patternType="solid">
          <bgColor rgb="00FDF3DC"/>
        </patternFill>
      </fill>
    </dxf>
    <dxf>
      <font>
        <name val="Inter"/>
        <b val="1"/>
        <color rgb="00C98A0E"/>
        <sz val="9"/>
      </font>
      <fill>
        <patternFill patternType="solid">
          <bgColor rgb="00FDF3DC"/>
        </patternFill>
      </fill>
    </dxf>
    <dxf>
      <font>
        <name val="Inter"/>
        <b val="1"/>
        <color rgb="002E7D5B"/>
        <sz val="9"/>
      </font>
      <fill>
        <patternFill patternType="solid">
          <bgColor rgb="00E4F1EA"/>
        </patternFill>
      </fill>
    </dxf>
    <dxf>
      <font>
        <name val="Inter"/>
        <b val="1"/>
        <color rgb="00B3341F"/>
        <sz val="9"/>
      </font>
    </dxf>
    <dxf>
      <font>
        <name val="Inter"/>
        <b val="1"/>
        <color rgb="00C98A0E"/>
        <sz val="9"/>
      </font>
    </dxf>
    <dxf>
      <font>
        <name val="Inter"/>
        <b val="1"/>
        <color rgb="002E7D5B"/>
        <sz val="9"/>
      </font>
    </dxf>
    <dxf>
      <font>
        <name val="Inter"/>
        <b val="1"/>
        <color rgb="008E98A2"/>
        <sz val="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Cumulative Planned Value, Earned Value and Actual Cost</a:t>
            </a:r>
          </a:p>
        </rich>
      </tx>
    </title>
    <plotArea>
      <scatterChart>
        <scatterStyle val="lineMarker"/>
        <ser>
          <idx val="0"/>
          <order val="0"/>
          <tx>
            <strRef>
              <f>'Time-Phased Data'!E8</f>
            </strRef>
          </tx>
          <spPr>
            <a:ln xmlns:a="http://schemas.openxmlformats.org/drawingml/2006/main" w="22000">
              <a:solidFill>
                <a:srgbClr val="8E98A2"/>
              </a:solidFill>
              <a:prstDash val="dash"/>
            </a:ln>
          </spPr>
          <marker>
            <symbol val="none"/>
            <size val="5"/>
            <spPr>
              <a:ln xmlns:a="http://schemas.openxmlformats.org/drawingml/2006/main">
                <a:prstDash val="solid"/>
              </a:ln>
            </spPr>
          </marker>
          <xVal>
            <numRef>
              <f>'Time-Phased Data'!$B$9:$B$44</f>
            </numRef>
          </xVal>
          <yVal>
            <numRef>
              <f>'Time-Phased Data'!$E$9:$E$44</f>
            </numRef>
          </yVal>
          <smooth val="0"/>
        </ser>
        <ser>
          <idx val="1"/>
          <order val="1"/>
          <tx>
            <strRef>
              <f>'Time-Phased Data'!G8</f>
            </strRef>
          </tx>
          <spPr>
            <a:ln xmlns:a="http://schemas.openxmlformats.org/drawingml/2006/main" w="30000">
              <a:solidFill>
                <a:srgbClr val="0D3C61"/>
              </a:solidFill>
              <a:prstDash val="solid"/>
            </a:ln>
          </spPr>
          <marker>
            <symbol val="none"/>
            <size val="5"/>
            <spPr>
              <a:ln xmlns:a="http://schemas.openxmlformats.org/drawingml/2006/main">
                <a:prstDash val="solid"/>
              </a:ln>
            </spPr>
          </marker>
          <xVal>
            <numRef>
              <f>'Time-Phased Data'!$B$9:$B$44</f>
            </numRef>
          </xVal>
          <yVal>
            <numRef>
              <f>'Time-Phased Data'!$G$9:$G$44</f>
            </numRef>
          </yVal>
          <smooth val="0"/>
        </ser>
        <ser>
          <idx val="2"/>
          <order val="2"/>
          <tx>
            <strRef>
              <f>'Time-Phased Data'!I8</f>
            </strRef>
          </tx>
          <spPr>
            <a:ln xmlns:a="http://schemas.openxmlformats.org/drawingml/2006/main" w="30000">
              <a:solidFill>
                <a:srgbClr val="3480BC"/>
              </a:solidFill>
              <a:prstDash val="solid"/>
            </a:ln>
          </spPr>
          <marker>
            <symbol val="none"/>
            <size val="5"/>
            <spPr>
              <a:ln xmlns:a="http://schemas.openxmlformats.org/drawingml/2006/main">
                <a:prstDash val="solid"/>
              </a:ln>
            </spPr>
          </marker>
          <xVal>
            <numRef>
              <f>'Time-Phased Data'!$B$9:$B$44</f>
            </numRef>
          </xVal>
          <yVal>
            <numRef>
              <f>'Time-Phased Data'!$I$9:$I$44</f>
            </numRef>
          </yVal>
          <smooth val="0"/>
        </ser>
        <axId val="10"/>
        <axId val="20"/>
      </scatterChart>
      <valAx>
        <axId val="10"/>
        <scaling>
          <orientation val="minMax"/>
        </scaling>
        <delete val="0"/>
        <axPos val="l"/>
        <title>
          <tx>
            <rich>
              <a:bodyPr xmlns:a="http://schemas.openxmlformats.org/drawingml/2006/main"/>
              <a:p xmlns:a="http://schemas.openxmlformats.org/drawingml/2006/main">
                <a:pPr>
                  <a:defRPr/>
                </a:pPr>
                <a:r>
                  <a:t>Period end date</a:t>
                </a:r>
              </a:p>
            </rich>
          </tx>
        </title>
        <numFmt formatCode="mmm-yy" sourceLinked="0"/>
        <majorTickMark val="none"/>
        <minorTickMark val="none"/>
        <crossAx val="20"/>
      </valAx>
      <valAx>
        <axId val="20"/>
        <scaling>
          <orientation val="minMax"/>
        </scaling>
        <delete val="0"/>
        <axPos val="l"/>
        <title>
          <tx>
            <rich>
              <a:bodyPr xmlns:a="http://schemas.openxmlformats.org/drawingml/2006/main"/>
              <a:p xmlns:a="http://schemas.openxmlformats.org/drawingml/2006/main">
                <a:pPr>
                  <a:defRPr/>
                </a:pPr>
                <a:r>
                  <a:t>Cumulative value</a:t>
                </a:r>
              </a:p>
            </rich>
          </tx>
        </title>
        <numFmt formatCode="#,##0" sourceLinked="0"/>
        <majorTickMark val="none"/>
        <minorTickMark val="none"/>
        <crossAx val="10"/>
      </valAx>
    </plotArea>
    <legend>
      <legendPos val="b"/>
      <overlay val="0"/>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Schedule and Cost Performance Index — cumulative trend</a:t>
            </a:r>
          </a:p>
        </rich>
      </tx>
    </title>
    <plotArea>
      <scatterChart>
        <scatterStyle val="lineMarker"/>
        <ser>
          <idx val="0"/>
          <order val="0"/>
          <tx>
            <strRef>
              <f>'Time-Phased Data'!L8</f>
            </strRef>
          </tx>
          <spPr>
            <a:ln xmlns:a="http://schemas.openxmlformats.org/drawingml/2006/main" w="28000">
              <a:solidFill>
                <a:srgbClr val="0D3C61"/>
              </a:solidFill>
              <a:prstDash val="solid"/>
            </a:ln>
          </spPr>
          <marker>
            <symbol val="circle"/>
            <size val="4"/>
            <spPr>
              <a:ln xmlns:a="http://schemas.openxmlformats.org/drawingml/2006/main">
                <a:prstDash val="solid"/>
              </a:ln>
            </spPr>
          </marker>
          <xVal>
            <numRef>
              <f>'Time-Phased Data'!$B$9:$B$44</f>
            </numRef>
          </xVal>
          <yVal>
            <numRef>
              <f>'Time-Phased Data'!$L$9:$L$44</f>
            </numRef>
          </yVal>
          <smooth val="0"/>
        </ser>
        <ser>
          <idx val="1"/>
          <order val="1"/>
          <tx>
            <strRef>
              <f>'Time-Phased Data'!M8</f>
            </strRef>
          </tx>
          <spPr>
            <a:ln xmlns:a="http://schemas.openxmlformats.org/drawingml/2006/main" w="28000">
              <a:solidFill>
                <a:srgbClr val="3480BC"/>
              </a:solidFill>
              <a:prstDash val="solid"/>
            </a:ln>
          </spPr>
          <marker>
            <symbol val="circle"/>
            <size val="4"/>
            <spPr>
              <a:ln xmlns:a="http://schemas.openxmlformats.org/drawingml/2006/main">
                <a:prstDash val="solid"/>
              </a:ln>
            </spPr>
          </marker>
          <xVal>
            <numRef>
              <f>'Time-Phased Data'!$B$9:$B$44</f>
            </numRef>
          </xVal>
          <yVal>
            <numRef>
              <f>'Time-Phased Data'!$M$9:$M$44</f>
            </numRef>
          </yVal>
          <smooth val="0"/>
        </ser>
        <axId val="10"/>
        <axId val="20"/>
      </scatterChart>
      <valAx>
        <axId val="10"/>
        <scaling>
          <orientation val="minMax"/>
        </scaling>
        <delete val="0"/>
        <axPos val="l"/>
        <title>
          <tx>
            <rich>
              <a:bodyPr xmlns:a="http://schemas.openxmlformats.org/drawingml/2006/main"/>
              <a:p xmlns:a="http://schemas.openxmlformats.org/drawingml/2006/main">
                <a:pPr>
                  <a:defRPr/>
                </a:pPr>
                <a:r>
                  <a:t>Period end date</a:t>
                </a:r>
              </a:p>
            </rich>
          </tx>
        </title>
        <numFmt formatCode="mmm-yy" sourceLinked="0"/>
        <majorTickMark val="none"/>
        <minorTickMark val="none"/>
        <crossAx val="20"/>
      </valAx>
      <valAx>
        <axId val="20"/>
        <scaling>
          <orientation val="minMax"/>
        </scaling>
        <delete val="0"/>
        <axPos val="l"/>
        <title>
          <tx>
            <rich>
              <a:bodyPr xmlns:a="http://schemas.openxmlformats.org/drawingml/2006/main"/>
              <a:p xmlns:a="http://schemas.openxmlformats.org/drawingml/2006/main">
                <a:pPr>
                  <a:defRPr/>
                </a:pPr>
                <a:r>
                  <a:t>Index (1.00 = on plan)</a:t>
                </a:r>
              </a:p>
            </rich>
          </tx>
        </title>
        <numFmt formatCode="0.00" sourceLinked="0"/>
        <majorTickMark val="none"/>
        <minorTickMark val="none"/>
        <crossAx val="10"/>
      </valAx>
    </plotArea>
    <legend>
      <legendPos val="b"/>
      <overlay val="0"/>
    </legend>
    <plotVisOnly val="1"/>
    <dispBlanksAs val="gap"/>
  </chart>
</chartSpace>
</file>

<file path=xl/drawings/_rels/drawing1.xml.rels><Relationships xmlns="http://schemas.openxmlformats.org/package/2006/relationships"><Relationship Type="http://schemas.openxmlformats.org/officeDocument/2006/relationships/image" Target="/xl/media/image1.png" Id="rId1"/><Relationship Id="rId2" Type="http://schemas.openxmlformats.org/officeDocument/2006/relationships/hyperlink" Target="https://www.mastt.com/" TargetMode="External"/></Relationships>
</file>

<file path=xl/drawings/_rels/drawing2.xml.rels><Relationships xmlns="http://schemas.openxmlformats.org/package/2006/relationships"><Relationship Type="http://schemas.openxmlformats.org/officeDocument/2006/relationships/image" Target="/xl/media/image2.png" Id="rId1"/><Relationship Id="rId2" Type="http://schemas.openxmlformats.org/officeDocument/2006/relationships/hyperlink" Target="https://www.mastt.com/" TargetMode="External"/></Relationships>
</file>

<file path=xl/drawings/_rels/drawing3.xml.rels><Relationships xmlns="http://schemas.openxmlformats.org/package/2006/relationships"><Relationship Type="http://schemas.openxmlformats.org/officeDocument/2006/relationships/image" Target="/xl/media/image3.png" Id="rId1"/><Relationship Id="rId2" Type="http://schemas.openxmlformats.org/officeDocument/2006/relationships/hyperlink" Target="https://www.mastt.com/" TargetMode="External"/></Relationships>
</file>

<file path=xl/drawings/_rels/drawing4.xml.rels><Relationships xmlns="http://schemas.openxmlformats.org/package/2006/relationships"><Relationship Type="http://schemas.openxmlformats.org/officeDocument/2006/relationships/image" Target="/xl/media/image4.png" Id="rId1"/><Relationship Id="rId2" Type="http://schemas.openxmlformats.org/officeDocument/2006/relationships/hyperlink" Target="https://www.mastt.com/" TargetMode="External"/></Relationships>
</file>

<file path=xl/drawings/_rels/drawing5.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image" Target="/xl/media/image5.png" Id="rId3"/><Relationship Id="rId4" Type="http://schemas.openxmlformats.org/officeDocument/2006/relationships/hyperlink" Target="https://www.mastt.com/" TargetMode="External"/></Relationships>
</file>

<file path=xl/drawings/_rels/drawing6.xml.rels><Relationships xmlns="http://schemas.openxmlformats.org/package/2006/relationships"><Relationship Type="http://schemas.openxmlformats.org/officeDocument/2006/relationships/image" Target="/xl/media/image6.png" Id="rId1"/><Relationship Id="rId2" Type="http://schemas.openxmlformats.org/officeDocument/2006/relationships/hyperlink" Target="https://www.mastt.com/" TargetMode="External"/></Relationships>
</file>

<file path=xl/drawings/_rels/drawing7.xml.rels><Relationships xmlns="http://schemas.openxmlformats.org/package/2006/relationships"><Relationship Type="http://schemas.openxmlformats.org/officeDocument/2006/relationships/image" Target="/xl/media/image7.png" Id="rId1"/><Relationship Id="rId2" Type="http://schemas.openxmlformats.org/officeDocument/2006/relationships/hyperlink" Target="https://www.mastt.com/" TargetMode="External"/></Relationships>
</file>

<file path=xl/drawings/_rels/drawing8.xml.rels><Relationships xmlns="http://schemas.openxmlformats.org/package/2006/relationships"><Relationship Type="http://schemas.openxmlformats.org/officeDocument/2006/relationships/image" Target="/xl/media/image8.png" Id="rId1"/><Relationship Id="rId2" Type="http://schemas.openxmlformats.org/officeDocument/2006/relationships/hyperlink" Target="https://www.mastt.com/" TargetMode="External"/></Relationships>
</file>

<file path=xl/drawings/drawing1.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2.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3.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4.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5.xml><?xml version="1.0" encoding="utf-8"?>
<wsDr xmlns="http://schemas.openxmlformats.org/drawingml/2006/spreadsheetDrawing">
  <oneCellAnchor>
    <from>
      <col>1</col>
      <colOff>0</colOff>
      <row>7</row>
      <rowOff>0</rowOff>
    </from>
    <ext cx="6300000" cy="2951999"/>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1</col>
      <colOff>0</colOff>
      <row>17</row>
      <rowOff>0</rowOff>
    </from>
    <ext cx="6300000" cy="2951999"/>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0</col>
      <colOff>114300</colOff>
      <row>1</row>
      <rowOff>38100</rowOff>
    </from>
    <ext cx="1600200" cy="466725"/>
    <pic>
      <nvPicPr>
        <cNvPr id="3" name="Image 3" descr="Picture">
          <a:hlinkClick xmlns:a="http://schemas.openxmlformats.org/drawingml/2006/main" xmlns:r="http://schemas.openxmlformats.org/officeDocument/2006/relationships" r:id="rId4"/>
        </cNvPr>
        <cNvPicPr/>
      </nvPicPr>
      <blipFill>
        <a:blip xmlns:a="http://schemas.openxmlformats.org/drawingml/2006/main" xmlns:r="http://schemas.openxmlformats.org/officeDocument/2006/relationships" cstate="print" r:embed="rId3"/>
        <a:stretch xmlns:a="http://schemas.openxmlformats.org/drawingml/2006/main">
          <a:fillRect/>
        </a:stretch>
      </blipFill>
      <spPr>
        <a:prstGeom xmlns:a="http://schemas.openxmlformats.org/drawingml/2006/main" prst="rect"/>
      </spPr>
    </pic>
    <clientData/>
  </oneCellAnchor>
</wsDr>
</file>

<file path=xl/drawings/drawing6.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7.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drawings/drawing8.xml><?xml version="1.0" encoding="utf-8"?>
<wsDr xmlns="http://schemas.openxmlformats.org/drawingml/2006/spreadsheetDrawing">
  <oneCellAnchor>
    <from>
      <col>0</col>
      <colOff>114300</colOff>
      <row>1</row>
      <rowOff>38100</rowOff>
    </from>
    <ext cx="1600200" cy="466725"/>
    <pic>
      <nvPicPr>
        <cNvPr id="1" name="Image 1" descr="Picture">
          <a:hlinkClick xmlns:a="http://schemas.openxmlformats.org/drawingml/2006/main" xmlns:r="http://schemas.openxmlformats.org/officeDocument/2006/relationships" r:id="rId2"/>
        </cNvPr>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1.xml" Id="rId3"/></Relationships>
</file>

<file path=xl/worksheets/_rels/sheet2.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2.xml" Id="rId3"/></Relationships>
</file>

<file path=xl/worksheets/_rels/sheet3.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3.xml" Id="rId3"/></Relationships>
</file>

<file path=xl/worksheets/_rels/sheet4.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4.xml" Id="rId3"/></Relationships>
</file>

<file path=xl/worksheets/_rels/sheet5.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5.xml" Id="rId3"/></Relationships>
</file>

<file path=xl/worksheets/_rels/sheet6.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6.xml" Id="rId3"/></Relationships>
</file>

<file path=xl/worksheets/_rels/sheet7.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7.xml" Id="rId3"/></Relationships>
</file>

<file path=xl/worksheets/_rels/sheet8.xml.rels><Relationships xmlns="http://schemas.openxmlformats.org/package/2006/relationships"><Relationship Type="http://schemas.openxmlformats.org/officeDocument/2006/relationships/hyperlink" Target="https://www.mastt.com/" TargetMode="External" Id="rId1"/><Relationship Type="http://schemas.openxmlformats.org/officeDocument/2006/relationships/hyperlink" Target="https://www.mastt.com/" TargetMode="External" Id="rId2"/><Relationship Type="http://schemas.openxmlformats.org/officeDocument/2006/relationships/drawing" Target="/xl/drawings/drawing8.xml" Id="rId3"/></Relationships>
</file>

<file path=xl/worksheets/sheet1.xml><?xml version="1.0" encoding="utf-8"?>
<worksheet xmlns="http://schemas.openxmlformats.org/spreadsheetml/2006/main">
  <sheetPr>
    <outlinePr summaryBelow="1" summaryRight="1"/>
    <pageSetUpPr fitToPage="1"/>
  </sheetPr>
  <dimension ref="A2:H35"/>
  <sheetViews>
    <sheetView showGridLines="0" zoomScale="100" workbookViewId="0">
      <selection activeCell="A1" sqref="A1"/>
    </sheetView>
  </sheetViews>
  <sheetFormatPr baseColWidth="8" defaultRowHeight="15"/>
  <cols>
    <col width="2.5" customWidth="1" min="1" max="1"/>
    <col width="18" customWidth="1" min="2" max="2"/>
    <col width="22" customWidth="1" min="3" max="3"/>
    <col width="22" customWidth="1" min="4" max="4"/>
    <col width="18" customWidth="1" min="5" max="5"/>
    <col width="16" customWidth="1" min="6" max="6"/>
    <col width="16" customWidth="1" min="7" max="7"/>
    <col width="2.5" customWidth="1" min="8" max="8"/>
  </cols>
  <sheetData>
    <row r="1" ht="3.75" customHeight="1"/>
    <row r="2" ht="27.75" customHeight="1">
      <c r="A2" s="1" t="inlineStr">
        <is>
          <t xml:space="preserve"> </t>
        </is>
      </c>
      <c r="B2" s="2" t="n"/>
      <c r="C2" s="2" t="n"/>
      <c r="D2" s="3" t="inlineStr">
        <is>
          <t>Earned Value Analysis (EVM)</t>
        </is>
      </c>
    </row>
    <row r="3" ht="12.75" customHeight="1">
      <c r="A3" s="2" t="n"/>
      <c r="B3" s="2" t="n"/>
      <c r="C3" s="2" t="n"/>
      <c r="D3" s="4" t="inlineStr">
        <is>
          <t>Global template  ·  jurisdiction-neutral  ·  aligned to PMI Practice Standard for EVM / ISO 21508</t>
        </is>
      </c>
    </row>
    <row r="4" ht="6" customHeight="1"/>
    <row r="5" ht="3" customHeight="1"/>
    <row r="6" ht="6.75" customHeight="1"/>
    <row r="7" ht="19.5" customHeight="1">
      <c r="B7" s="5" t="inlineStr">
        <is>
          <t>PROJECT DETAILS</t>
        </is>
      </c>
    </row>
    <row r="9" ht="19.5" customHeight="1">
      <c r="B9" s="6" t="inlineStr">
        <is>
          <t>PROJECT NAME</t>
        </is>
      </c>
      <c r="C9" s="7" t="inlineStr">
        <is>
          <t>e.g. Northbank Health Precinct — Stage 2</t>
        </is>
      </c>
      <c r="E9" s="6" t="inlineStr">
        <is>
          <t>ROLE</t>
        </is>
      </c>
      <c r="F9" s="8" t="inlineStr">
        <is>
          <t>Project Controls Manager</t>
        </is>
      </c>
    </row>
    <row r="10" ht="19.5" customHeight="1">
      <c r="B10" s="6" t="inlineStr">
        <is>
          <t>PROJECT NUMBER</t>
        </is>
      </c>
      <c r="C10" s="8" t="n"/>
      <c r="E10" s="6" t="inlineStr">
        <is>
          <t>DATA DATE</t>
        </is>
      </c>
      <c r="F10" s="9" t="n">
        <v>46234</v>
      </c>
    </row>
    <row r="11" ht="19.5" customHeight="1">
      <c r="B11" s="6" t="inlineStr">
        <is>
          <t>CLIENT</t>
        </is>
      </c>
      <c r="C11" s="8" t="n"/>
      <c r="E11" s="6" t="inlineStr">
        <is>
          <t>REVISION</t>
        </is>
      </c>
      <c r="F11" s="8" t="inlineStr">
        <is>
          <t>A</t>
        </is>
      </c>
    </row>
    <row r="12" ht="19.5" customHeight="1">
      <c r="B12" s="6" t="inlineStr">
        <is>
          <t>CONTRACTOR</t>
        </is>
      </c>
      <c r="C12" s="8" t="n"/>
      <c r="E12" s="6" t="inlineStr">
        <is>
          <t>CURRENCY</t>
        </is>
      </c>
      <c r="F12" s="8" t="inlineStr">
        <is>
          <t>AUD</t>
        </is>
      </c>
    </row>
    <row r="13" ht="19.5" customHeight="1">
      <c r="B13" s="6" t="inlineStr">
        <is>
          <t>PACKAGE / TRADE</t>
        </is>
      </c>
      <c r="C13" s="8" t="n"/>
      <c r="E13" s="6" t="inlineStr">
        <is>
          <t>EV TECHNIQUE</t>
        </is>
      </c>
      <c r="F13" s="8" t="inlineStr">
        <is>
          <t>% Complete</t>
        </is>
      </c>
    </row>
    <row r="14" ht="19.5" customHeight="1">
      <c r="B14" s="6" t="inlineStr">
        <is>
          <t>PREPARED BY</t>
        </is>
      </c>
      <c r="C14" s="8" t="n"/>
    </row>
    <row r="16" ht="19.5" customHeight="1">
      <c r="B16" s="5" t="inlineStr">
        <is>
          <t>HOW TO USE THIS TEMPLATE</t>
        </is>
      </c>
    </row>
    <row r="17" ht="25.5" customHeight="1">
      <c r="B17" s="10" t="inlineStr">
        <is>
          <t>1.  Set the DATA DATE and CURRENCY on this page. Every calculation in the workbook keys off the data date — nothing is hard-coded, and no currency symbol is used anywhere, only the code you enter here.</t>
        </is>
      </c>
    </row>
    <row r="18" ht="25.5" customHeight="1">
      <c r="B18" s="10" t="inlineStr">
        <is>
          <t>2.  Open the Lists sheet and set the workbook settings: the EAC method that feeds the register and dashboard, the bottom-up ETC (if you use method 4), and the SPI / CPI thresholds that drive the Red-Amber-Green status.</t>
        </is>
      </c>
    </row>
    <row r="19" ht="25.5" customHeight="1">
      <c r="B19" s="10" t="inlineStr">
        <is>
          <t>3.  Load your WBS into the EV Register — one row per control account or WBS element, with its Budget at Completion (BAC), the responsible control account manager, the contract or package reference, and the earned value technique you will use to measure it.</t>
        </is>
      </c>
    </row>
    <row r="20" ht="25.5" customHeight="1">
      <c r="B20" s="10" t="inlineStr">
        <is>
          <t>4.  Enter the time-phased baseline on the Time-Phased Data sheet: one row per period, planned value in the period it is planned to be earned. Cumulative PV, the S-curve and every trend index build from this. Do not change it again without a formal rebaseline.</t>
        </is>
      </c>
    </row>
    <row r="21" ht="25.5" customHeight="1">
      <c r="B21" s="10" t="inlineStr">
        <is>
          <t>5.  Each period, update three things only: Actual % Complete and Actual Cost on the EV Register, and the period Earned Value and Actual Cost on the Time-Phased Data sheet. Everything else calculates.</t>
        </is>
      </c>
    </row>
    <row r="22" ht="25.5" customHeight="1">
      <c r="B22" s="10" t="inlineStr">
        <is>
          <t>6.  Read the Dashboard. SPI and CPI tell you where you are; the four EAC methods on Forecast &amp; Scenarios tell you where you will end up. Explain every element that is amber or red in the Variance Explanation and Corrective Action columns of the register — the numbers are the prompt, not the answer.</t>
        </is>
      </c>
    </row>
    <row r="23" ht="25.5" customHeight="1">
      <c r="B23" s="10" t="inlineStr">
        <is>
          <t>7.  Reconcile before you issue. The Time-Phased Data sheet carries a tie-out block that compares its cumulative PV, EV and AC at the data date to the EV Register totals. They must agree before the report goes out.</t>
        </is>
      </c>
    </row>
    <row r="24" ht="25.5" customHeight="1">
      <c r="B24" s="10" t="inlineStr">
        <is>
          <t>8.  Delete the EXAMPLE rows (shown in grey italic and flagged in the Notes column) before you use this workbook on a live project. Read Notes &amp; Assumptions first — it defines every term, states the formulas, and lists the traps that make earned value data misleading.</t>
        </is>
      </c>
    </row>
    <row r="26" ht="19.5" customHeight="1">
      <c r="B26" s="5" t="inlineStr">
        <is>
          <t>REVISION HISTORY</t>
        </is>
      </c>
    </row>
    <row r="27" ht="19.5" customHeight="1">
      <c r="B27" s="11" t="inlineStr">
        <is>
          <t>Rev</t>
        </is>
      </c>
      <c r="C27" s="11" t="inlineStr">
        <is>
          <t>Date</t>
        </is>
      </c>
      <c r="D27" s="11" t="inlineStr">
        <is>
          <t>Description of Change</t>
        </is>
      </c>
      <c r="E27" s="12" t="n"/>
      <c r="F27" s="11" t="inlineStr">
        <is>
          <t>Prepared By</t>
        </is>
      </c>
      <c r="G27" s="11" t="inlineStr">
        <is>
          <t>Approved By</t>
        </is>
      </c>
    </row>
    <row r="28" ht="18" customHeight="1">
      <c r="B28" s="13" t="inlineStr">
        <is>
          <t>A</t>
        </is>
      </c>
      <c r="C28" s="14" t="n"/>
      <c r="D28" s="15" t="inlineStr">
        <is>
          <t>Initial issue for project use</t>
        </is>
      </c>
      <c r="E28" s="15" t="n"/>
      <c r="F28" s="15" t="n"/>
      <c r="G28" s="15" t="n"/>
    </row>
    <row r="29" ht="18" customHeight="1">
      <c r="B29" s="13" t="n"/>
      <c r="C29" s="14" t="n"/>
      <c r="D29" s="15" t="n"/>
      <c r="E29" s="15" t="n"/>
      <c r="F29" s="15" t="n"/>
      <c r="G29" s="15" t="n"/>
    </row>
    <row r="30" ht="18" customHeight="1">
      <c r="B30" s="13" t="n"/>
      <c r="C30" s="14" t="n"/>
      <c r="D30" s="15" t="n"/>
      <c r="E30" s="15" t="n"/>
      <c r="F30" s="15" t="n"/>
      <c r="G30" s="15" t="n"/>
    </row>
    <row r="31" ht="18" customHeight="1">
      <c r="B31" s="13" t="n"/>
      <c r="C31" s="14" t="n"/>
      <c r="D31" s="15" t="n"/>
      <c r="E31" s="15" t="n"/>
      <c r="F31" s="15" t="n"/>
      <c r="G31" s="15" t="n"/>
    </row>
    <row r="32" ht="18" customHeight="1">
      <c r="B32" s="13" t="n"/>
      <c r="C32" s="14" t="n"/>
      <c r="D32" s="15" t="n"/>
      <c r="E32" s="15" t="n"/>
      <c r="F32" s="15" t="n"/>
      <c r="G32" s="15" t="n"/>
    </row>
    <row r="33" ht="18" customHeight="1">
      <c r="B33" s="13" t="n"/>
      <c r="C33" s="14" t="n"/>
      <c r="D33" s="15" t="n"/>
      <c r="E33" s="15" t="n"/>
      <c r="F33" s="15" t="n"/>
      <c r="G33" s="15" t="n"/>
    </row>
    <row r="34">
      <c r="B34" s="16" t="inlineStr">
        <is>
          <t>Earned value is only as good as the baseline behind it. This workbook assumes a scoped WBS, an approved time-phased baseline and disciplined actual-cost capture — see Notes &amp; Assumptions.</t>
        </is>
      </c>
    </row>
    <row r="35" ht="12.75" customHeight="1">
      <c r="A35" s="17" t="inlineStr">
        <is>
          <t>Visit mastt.com</t>
        </is>
      </c>
      <c r="B35" s="18" t="n"/>
      <c r="C35" s="18" t="n"/>
      <c r="D35" s="18" t="n"/>
      <c r="E35" s="18" t="n"/>
      <c r="F35" s="18" t="n"/>
      <c r="G35" s="18" t="n"/>
      <c r="H35" s="18" t="n"/>
    </row>
  </sheetData>
  <sheetProtection selectLockedCells="0" selectUnlockedCells="0" sheet="1" objects="0" insertRows="0" insertHyperlinks="1" autoFilter="0" scenarios="0" formatColumns="0" deleteColumns="1" insertColumns="0" pivotTables="1" deleteRows="0" formatCells="0" formatRows="0" sort="0"/>
  <mergeCells count="30">
    <mergeCell ref="F11:G11"/>
    <mergeCell ref="F10:G10"/>
    <mergeCell ref="B17:G17"/>
    <mergeCell ref="B23:G23"/>
    <mergeCell ref="C14:D14"/>
    <mergeCell ref="D31:E31"/>
    <mergeCell ref="B19:G19"/>
    <mergeCell ref="B34:G34"/>
    <mergeCell ref="F12:G12"/>
    <mergeCell ref="C10:D10"/>
    <mergeCell ref="D2:H2"/>
    <mergeCell ref="D27:E27"/>
    <mergeCell ref="D32:E32"/>
    <mergeCell ref="C9:D9"/>
    <mergeCell ref="B24:G24"/>
    <mergeCell ref="C12:D12"/>
    <mergeCell ref="B20:G20"/>
    <mergeCell ref="C11:D11"/>
    <mergeCell ref="D28:E28"/>
    <mergeCell ref="F13:G13"/>
    <mergeCell ref="F9:G9"/>
    <mergeCell ref="D3:H3"/>
    <mergeCell ref="D30:E30"/>
    <mergeCell ref="A35:H35"/>
    <mergeCell ref="B22:G22"/>
    <mergeCell ref="D33:E33"/>
    <mergeCell ref="D29:E29"/>
    <mergeCell ref="C13:D13"/>
    <mergeCell ref="B18:G18"/>
    <mergeCell ref="B21:G21"/>
  </mergeCells>
  <hyperlinks>
    <hyperlink xmlns:r="http://schemas.openxmlformats.org/officeDocument/2006/relationships" ref="A2" r:id="rId1"/>
    <hyperlink xmlns:r="http://schemas.openxmlformats.org/officeDocument/2006/relationships" ref="A35" r:id="rId2"/>
  </hyperlinks>
  <pageMargins left="0.3" right="0.3" top="0.4" bottom="0.4" header="0.2" footer="0.2"/>
  <pageSetup orientation="portrait" paperSize="9" fitToHeight="0" fitToWidth="1"/>
  <drawing xmlns:r="http://schemas.openxmlformats.org/officeDocument/2006/relationships" r:id="rId3"/>
</worksheet>
</file>

<file path=xl/worksheets/sheet2.xml><?xml version="1.0" encoding="utf-8"?>
<worksheet xmlns="http://schemas.openxmlformats.org/spreadsheetml/2006/main">
  <sheetPr>
    <outlinePr summaryBelow="1" summaryRight="1"/>
    <pageSetUpPr fitToPage="1"/>
  </sheetPr>
  <dimension ref="A2:N51"/>
  <sheetViews>
    <sheetView showGridLines="0" zoomScale="100" workbookViewId="0">
      <selection activeCell="A1" sqref="A1"/>
    </sheetView>
  </sheetViews>
  <sheetFormatPr baseColWidth="8" defaultRowHeight="15"/>
  <cols>
    <col width="2.5" customWidth="1" min="1" max="1"/>
    <col width="12.5" customWidth="1" min="2" max="2"/>
    <col width="12.5" customWidth="1" min="3" max="3"/>
    <col width="12.5" customWidth="1" min="4" max="4"/>
    <col width="12.5" customWidth="1" min="5" max="5"/>
    <col width="12.5" customWidth="1" min="6" max="6"/>
    <col width="12.5" customWidth="1" min="7" max="7"/>
    <col width="12.5" customWidth="1" min="8" max="8"/>
    <col width="12.5" customWidth="1" min="9" max="9"/>
    <col width="12.5" customWidth="1" min="10" max="10"/>
    <col width="12.5" customWidth="1" min="11" max="11"/>
    <col width="12.5" customWidth="1" min="12" max="12"/>
    <col width="12.5" customWidth="1" min="13" max="13"/>
    <col width="2.5" customWidth="1" min="14" max="14"/>
  </cols>
  <sheetData>
    <row r="1" ht="3.75" customHeight="1"/>
    <row r="2" ht="27.75" customHeight="1">
      <c r="A2" s="1" t="inlineStr">
        <is>
          <t xml:space="preserve"> </t>
        </is>
      </c>
      <c r="B2" s="2" t="n"/>
      <c r="C2" s="2" t="n"/>
      <c r="D2" s="3" t="inlineStr">
        <is>
          <t>Earned Value Analysis (EVM)</t>
        </is>
      </c>
    </row>
    <row r="3" ht="12.75" customHeight="1">
      <c r="A3" s="2" t="n"/>
      <c r="B3" s="2" t="n"/>
      <c r="C3" s="2" t="n"/>
      <c r="D3" s="4" t="inlineStr">
        <is>
          <t>Dashboard  ·  every figure is calculated — the EV Register and the Time-Phased Data sheet are the inputs</t>
        </is>
      </c>
    </row>
    <row r="4" ht="6" customHeight="1"/>
    <row r="6" ht="15" customHeight="1">
      <c r="A6" s="19">
        <f>IF(Proj_Name="","Project: —  |  complete the Cover sheet","Project:  "&amp;Proj_Name&amp;IF(Proj_Number="",""," · "&amp;Proj_Number))</f>
        <v/>
      </c>
      <c r="H6" s="20" t="inlineStr">
        <is>
          <t>All figures at the Data Date set on the Cover.   Read-only — nothing on this sheet is typed.</t>
        </is>
      </c>
    </row>
    <row r="8" ht="19.5" customHeight="1">
      <c r="B8" s="21" t="inlineStr">
        <is>
          <t>PERFORMANCE AT A GLANCE  ·  cumulative to the data date</t>
        </is>
      </c>
    </row>
    <row r="9" ht="15" customHeight="1">
      <c r="B9" s="22">
        <f>"BAC ("&amp;IF(Proj_Currency="","CUR",Proj_Currency)&amp;") · BUDGET"</f>
        <v/>
      </c>
      <c r="C9" s="2" t="n"/>
      <c r="D9" s="22">
        <f>"PV ("&amp;IF(Proj_Currency="","CUR",Proj_Currency)&amp;") · PLANNED"</f>
        <v/>
      </c>
      <c r="E9" s="2" t="n"/>
      <c r="F9" s="22">
        <f>"EV ("&amp;IF(Proj_Currency="","CUR",Proj_Currency)&amp;") · EARNED"</f>
        <v/>
      </c>
      <c r="G9" s="2" t="n"/>
      <c r="H9" s="22">
        <f>"AC ("&amp;IF(Proj_Currency="","CUR",Proj_Currency)&amp;") · ACTUAL"</f>
        <v/>
      </c>
      <c r="I9" s="2" t="n"/>
      <c r="J9" s="22">
        <f>"% COMPLETE · EV / BAC"</f>
        <v/>
      </c>
      <c r="K9" s="2" t="n"/>
      <c r="L9" s="22">
        <f>"% SPENT · AC / BAC"</f>
        <v/>
      </c>
      <c r="M9" s="2" t="n"/>
    </row>
    <row r="10" ht="26" customHeight="1">
      <c r="B10" s="23">
        <f>IF(Tot_BAC=0,"",Tot_BAC)</f>
        <v/>
      </c>
      <c r="C10" s="2" t="n"/>
      <c r="D10" s="23">
        <f>IF(Tot_BAC=0,"",Tot_PV)</f>
        <v/>
      </c>
      <c r="E10" s="2" t="n"/>
      <c r="F10" s="23">
        <f>IF(Tot_BAC=0,"",Tot_EV)</f>
        <v/>
      </c>
      <c r="G10" s="2" t="n"/>
      <c r="H10" s="23">
        <f>IF(Tot_BAC=0,"",Tot_AC)</f>
        <v/>
      </c>
      <c r="I10" s="2" t="n"/>
      <c r="J10" s="24">
        <f>IF(Tot_BAC=0,"",Tot_EV/Tot_BAC)</f>
        <v/>
      </c>
      <c r="K10" s="2" t="n"/>
      <c r="L10" s="24">
        <f>IF(Tot_BAC=0,"",Tot_AC/Tot_BAC)</f>
        <v/>
      </c>
      <c r="M10" s="2" t="n"/>
    </row>
    <row r="11" ht="5.25" customHeight="1"/>
    <row r="12" ht="15" customHeight="1">
      <c r="B12" s="22">
        <f>"SV ("&amp;IF(Proj_Currency="","CUR",Proj_Currency)&amp;") · EV − PV"</f>
        <v/>
      </c>
      <c r="C12" s="2" t="n"/>
      <c r="D12" s="22">
        <f>"CV ("&amp;IF(Proj_Currency="","CUR",Proj_Currency)&amp;") · EV − AC"</f>
        <v/>
      </c>
      <c r="E12" s="2" t="n"/>
      <c r="F12" s="22">
        <f>"SPI · SCHEDULE · EV / PV"</f>
        <v/>
      </c>
      <c r="G12" s="2" t="n"/>
      <c r="H12" s="22">
        <f>"CPI · COST · EV / AC"</f>
        <v/>
      </c>
      <c r="I12" s="2" t="n"/>
      <c r="J12" s="22">
        <f>"EAC ("&amp;IF(Proj_Currency="","CUR",Proj_Currency)&amp;") · FORECAST"</f>
        <v/>
      </c>
      <c r="K12" s="2" t="n"/>
      <c r="L12" s="22">
        <f>"VAC ("&amp;IF(Proj_Currency="","CUR",Proj_Currency)&amp;") · BAC − EAC"</f>
        <v/>
      </c>
      <c r="M12" s="2" t="n"/>
    </row>
    <row r="13" ht="26" customHeight="1">
      <c r="B13" s="25">
        <f>IF(Tot_BAC=0,"",Tot_EV-Tot_PV)</f>
        <v/>
      </c>
      <c r="C13" s="2" t="n"/>
      <c r="D13" s="25">
        <f>IF(Tot_BAC=0,"",Tot_EV-Tot_AC)</f>
        <v/>
      </c>
      <c r="E13" s="2" t="n"/>
      <c r="F13" s="26">
        <f>IF(OR(Tot_PV=0,Tot_BAC=0),"",Tot_EV/Tot_PV)</f>
        <v/>
      </c>
      <c r="G13" s="2" t="n"/>
      <c r="H13" s="26">
        <f>IF(OR(Tot_AC=0,Tot_BAC=0),"",Tot_EV/Tot_AC)</f>
        <v/>
      </c>
      <c r="I13" s="2" t="n"/>
      <c r="J13" s="23">
        <f>IF(OR(Tot_BAC=0,Proj_EAC=""),"",Proj_EAC)</f>
        <v/>
      </c>
      <c r="K13" s="2" t="n"/>
      <c r="L13" s="25">
        <f>IF(OR(Tot_BAC=0,Proj_EAC=""),"",Tot_BAC-Proj_EAC)</f>
        <v/>
      </c>
      <c r="M13" s="2" t="n"/>
    </row>
    <row r="14" ht="9" customHeight="1"/>
    <row r="15" ht="19.5" customHeight="1">
      <c r="B15" s="21" t="inlineStr">
        <is>
          <t>VARIANCE SUMMARY  ·  this period against cumulative to date</t>
        </is>
      </c>
    </row>
    <row r="16" ht="24" customHeight="1">
      <c r="B16" s="27" t="inlineStr">
        <is>
          <t>Measure</t>
        </is>
      </c>
      <c r="C16" s="27" t="n"/>
      <c r="D16" s="28" t="inlineStr">
        <is>
          <t>This Period</t>
        </is>
      </c>
      <c r="E16" s="28" t="n"/>
      <c r="F16" s="28" t="inlineStr">
        <is>
          <t>Cumulative to Date</t>
        </is>
      </c>
      <c r="G16" s="28" t="n"/>
      <c r="H16" s="27" t="inlineStr">
        <is>
          <t>How it is derived</t>
        </is>
      </c>
      <c r="I16" s="27" t="n"/>
      <c r="J16" s="27" t="n"/>
      <c r="K16" s="27" t="n"/>
      <c r="L16" s="27" t="n"/>
      <c r="M16" s="27" t="n"/>
    </row>
    <row r="17" ht="24" customHeight="1">
      <c r="B17" s="29" t="inlineStr">
        <is>
          <t>Planned Value  (PV / BCWS)</t>
        </is>
      </c>
      <c r="C17" s="30" t="n"/>
      <c r="D17" s="31">
        <f>IF(DD_PV="","",DD_PV)</f>
        <v/>
      </c>
      <c r="E17" s="32" t="n"/>
      <c r="F17" s="33">
        <f>IF(Tot_BAC=0,"",Tot_PV)</f>
        <v/>
      </c>
      <c r="G17" s="32" t="n"/>
      <c r="H17" s="34" t="inlineStr">
        <is>
          <t>Period PV from the Time-Phased Data sheet; cumulative PV from the EV Register (BAC x Planned % Complete).</t>
        </is>
      </c>
      <c r="I17" s="30" t="n"/>
      <c r="J17" s="30" t="n"/>
      <c r="K17" s="30" t="n"/>
      <c r="L17" s="30" t="n"/>
      <c r="M17" s="30" t="n"/>
    </row>
    <row r="18" ht="24" customHeight="1">
      <c r="B18" s="29" t="inlineStr">
        <is>
          <t>Earned Value  (EV / BCWP)</t>
        </is>
      </c>
      <c r="C18" s="30" t="n"/>
      <c r="D18" s="31">
        <f>IF(DD_EV="","",DD_EV)</f>
        <v/>
      </c>
      <c r="E18" s="32" t="n"/>
      <c r="F18" s="33">
        <f>IF(Tot_BAC=0,"",Tot_EV)</f>
        <v/>
      </c>
      <c r="G18" s="32" t="n"/>
      <c r="H18" s="34" t="inlineStr">
        <is>
          <t>Budgeted cost of the work actually completed. Cumulative EV = sum of BAC x Actual % Complete across the register.</t>
        </is>
      </c>
      <c r="I18" s="30" t="n"/>
      <c r="J18" s="30" t="n"/>
      <c r="K18" s="30" t="n"/>
      <c r="L18" s="30" t="n"/>
      <c r="M18" s="30" t="n"/>
    </row>
    <row r="19" ht="24" customHeight="1">
      <c r="B19" s="29" t="inlineStr">
        <is>
          <t>Actual Cost  (AC / ACWP)</t>
        </is>
      </c>
      <c r="C19" s="30" t="n"/>
      <c r="D19" s="31">
        <f>IF(DD_AC="","",DD_AC)</f>
        <v/>
      </c>
      <c r="E19" s="32" t="n"/>
      <c r="F19" s="33">
        <f>IF(Tot_BAC=0,"",Tot_AC)</f>
        <v/>
      </c>
      <c r="G19" s="32" t="n"/>
      <c r="H19" s="34" t="inlineStr">
        <is>
          <t>Cost incurred for that work, on the same cut-off basis as the EV. Cumulative AC is the register total.</t>
        </is>
      </c>
      <c r="I19" s="30" t="n"/>
      <c r="J19" s="30" t="n"/>
      <c r="K19" s="30" t="n"/>
      <c r="L19" s="30" t="n"/>
      <c r="M19" s="30" t="n"/>
    </row>
    <row r="20" ht="24" customHeight="1">
      <c r="B20" s="29" t="inlineStr">
        <is>
          <t>Schedule Variance  (SV = EV − PV)</t>
        </is>
      </c>
      <c r="C20" s="30" t="n"/>
      <c r="D20" s="35">
        <f>IF(OR(DD_EV="",DD_PV=""),"",DD_EV-DD_PV)</f>
        <v/>
      </c>
      <c r="E20" s="32" t="n"/>
      <c r="F20" s="36">
        <f>IF(Tot_BAC=0,"",Tot_EV-Tot_PV)</f>
        <v/>
      </c>
      <c r="G20" s="32" t="n"/>
      <c r="H20" s="34" t="inlineStr">
        <is>
          <t>Negative = behind the baseline in cost terms. SV is not time — read it with the programme, not instead of it.</t>
        </is>
      </c>
      <c r="I20" s="30" t="n"/>
      <c r="J20" s="30" t="n"/>
      <c r="K20" s="30" t="n"/>
      <c r="L20" s="30" t="n"/>
      <c r="M20" s="30" t="n"/>
    </row>
    <row r="21" ht="24" customHeight="1">
      <c r="B21" s="29" t="inlineStr">
        <is>
          <t>Cost Variance  (CV = EV − AC)</t>
        </is>
      </c>
      <c r="C21" s="30" t="n"/>
      <c r="D21" s="35">
        <f>IF(OR(DD_EV="",DD_AC=""),"",DD_EV-DD_AC)</f>
        <v/>
      </c>
      <c r="E21" s="32" t="n"/>
      <c r="F21" s="36">
        <f>IF(Tot_BAC=0,"",Tot_EV-Tot_AC)</f>
        <v/>
      </c>
      <c r="G21" s="32" t="n"/>
      <c r="H21" s="34" t="inlineStr">
        <is>
          <t>Negative = the completed work cost more than it was budgeted to cost. The hardest variance to recover.</t>
        </is>
      </c>
      <c r="I21" s="30" t="n"/>
      <c r="J21" s="30" t="n"/>
      <c r="K21" s="30" t="n"/>
      <c r="L21" s="30" t="n"/>
      <c r="M21" s="30" t="n"/>
    </row>
    <row r="22" ht="24" customHeight="1">
      <c r="B22" s="29" t="inlineStr">
        <is>
          <t>Schedule Performance Index  (SPI = EV / PV)</t>
        </is>
      </c>
      <c r="C22" s="30" t="n"/>
      <c r="D22" s="37">
        <f>IF(OR(DD_PV="",DD_PV=0,DD_EV=""),"",DD_EV/DD_PV)</f>
        <v/>
      </c>
      <c r="E22" s="32" t="n"/>
      <c r="F22" s="38">
        <f>IF(OR(Tot_PV=0,Tot_BAC=0),"",Tot_EV/Tot_PV)</f>
        <v/>
      </c>
      <c r="G22" s="32" t="n"/>
      <c r="H22" s="34" t="inlineStr">
        <is>
          <t>Rate of progress against plan. 1.00 = on plan. Loses meaning near completion because PV converges on BAC.</t>
        </is>
      </c>
      <c r="I22" s="30" t="n"/>
      <c r="J22" s="30" t="n"/>
      <c r="K22" s="30" t="n"/>
      <c r="L22" s="30" t="n"/>
      <c r="M22" s="30" t="n"/>
    </row>
    <row r="23" ht="24" customHeight="1">
      <c r="B23" s="29" t="inlineStr">
        <is>
          <t>Cost Performance Index  (CPI = EV / AC)</t>
        </is>
      </c>
      <c r="C23" s="30" t="n"/>
      <c r="D23" s="37">
        <f>IF(OR(DD_AC="",DD_AC=0,DD_EV=""),"",DD_EV/DD_AC)</f>
        <v/>
      </c>
      <c r="E23" s="32" t="n"/>
      <c r="F23" s="38">
        <f>IF(OR(Tot_AC=0,Tot_BAC=0),"",Tot_EV/Tot_AC)</f>
        <v/>
      </c>
      <c r="G23" s="32" t="n"/>
      <c r="H23" s="34" t="inlineStr">
        <is>
          <t>Value returned per unit of cost. Research consistently shows cumulative CPI stabilises after ~20% complete.</t>
        </is>
      </c>
      <c r="I23" s="30" t="n"/>
      <c r="J23" s="30" t="n"/>
      <c r="K23" s="30" t="n"/>
      <c r="L23" s="30" t="n"/>
      <c r="M23" s="30" t="n"/>
    </row>
    <row r="25" ht="19.5" customHeight="1">
      <c r="B25" s="21" t="inlineStr">
        <is>
          <t>FORECAST COMPARISON  ·  the four standard EAC methods side by side</t>
        </is>
      </c>
    </row>
    <row r="26" ht="26" customHeight="1">
      <c r="B26" s="27" t="inlineStr">
        <is>
          <t>Method</t>
        </is>
      </c>
      <c r="C26" s="27" t="n"/>
      <c r="D26" s="28" t="inlineStr">
        <is>
          <t>Formula</t>
        </is>
      </c>
      <c r="E26" s="28" t="n"/>
      <c r="F26" s="28">
        <f>"EAC ("&amp;IF(Proj_Currency="","CUR",Proj_Currency)&amp;")"</f>
        <v/>
      </c>
      <c r="G26" s="28" t="n"/>
      <c r="H26" s="28">
        <f>"Implied VAC ("&amp;IF(Proj_Currency="","CUR",Proj_Currency)&amp;")"</f>
        <v/>
      </c>
      <c r="I26" s="28" t="n"/>
      <c r="J26" s="28" t="inlineStr">
        <is>
          <t>Implied overrun %</t>
        </is>
      </c>
      <c r="K26" s="28" t="n"/>
      <c r="L26" s="27" t="inlineStr">
        <is>
          <t>Use when</t>
        </is>
      </c>
      <c r="M26" s="27" t="n"/>
    </row>
    <row r="27" ht="39" customHeight="1">
      <c r="B27" s="29" t="inlineStr">
        <is>
          <t>1 — Remaining work at budget</t>
        </is>
      </c>
      <c r="C27" s="30" t="n"/>
      <c r="D27" s="39" t="inlineStr">
        <is>
          <t>AC + (BAC − EV)</t>
        </is>
      </c>
      <c r="E27" s="30" t="n"/>
      <c r="F27" s="31">
        <f>IF(EAC_M1="","",EAC_M1)</f>
        <v/>
      </c>
      <c r="G27" s="32" t="n"/>
      <c r="H27" s="35">
        <f>IF(OR(EAC_M1="",Tot_BAC=0),"",Tot_BAC-EAC_M1)</f>
        <v/>
      </c>
      <c r="I27" s="32" t="n"/>
      <c r="J27" s="40">
        <f>IF(OR(EAC_M1="",Tot_BAC=0),"",EAC_M1/Tot_BAC-1)</f>
        <v/>
      </c>
      <c r="K27" s="32" t="n"/>
      <c r="L27" s="34" t="inlineStr">
        <is>
          <t>The overruns to date are one-off and will not repeat.</t>
        </is>
      </c>
      <c r="M27" s="30" t="n"/>
    </row>
    <row r="28" ht="39" customHeight="1">
      <c r="B28" s="29" t="inlineStr">
        <is>
          <t>2 — Current cost performance continues</t>
        </is>
      </c>
      <c r="C28" s="30" t="n"/>
      <c r="D28" s="39" t="inlineStr">
        <is>
          <t>BAC / CPI</t>
        </is>
      </c>
      <c r="E28" s="30" t="n"/>
      <c r="F28" s="31">
        <f>IF(EAC_M2="","",EAC_M2)</f>
        <v/>
      </c>
      <c r="G28" s="32" t="n"/>
      <c r="H28" s="35">
        <f>IF(OR(EAC_M2="",Tot_BAC=0),"",Tot_BAC-EAC_M2)</f>
        <v/>
      </c>
      <c r="I28" s="32" t="n"/>
      <c r="J28" s="40">
        <f>IF(OR(EAC_M2="",Tot_BAC=0),"",EAC_M2/Tot_BAC-1)</f>
        <v/>
      </c>
      <c r="K28" s="32" t="n"/>
      <c r="L28" s="34" t="inlineStr">
        <is>
          <t>Performance to date is representative. The default for most live projects.</t>
        </is>
      </c>
      <c r="M28" s="30" t="n"/>
    </row>
    <row r="29" ht="39" customHeight="1">
      <c r="B29" s="29" t="inlineStr">
        <is>
          <t>3 — Cost and schedule performance continue</t>
        </is>
      </c>
      <c r="C29" s="30" t="n"/>
      <c r="D29" s="39" t="inlineStr">
        <is>
          <t>AC + (BAC − EV) / (CPI x SPI)</t>
        </is>
      </c>
      <c r="E29" s="30" t="n"/>
      <c r="F29" s="31">
        <f>IF(EAC_M3="","",EAC_M3)</f>
        <v/>
      </c>
      <c r="G29" s="32" t="n"/>
      <c r="H29" s="35">
        <f>IF(OR(EAC_M3="",Tot_BAC=0),"",Tot_BAC-EAC_M3)</f>
        <v/>
      </c>
      <c r="I29" s="32" t="n"/>
      <c r="J29" s="40">
        <f>IF(OR(EAC_M3="",Tot_BAC=0),"",EAC_M3/Tot_BAC-1)</f>
        <v/>
      </c>
      <c r="K29" s="32" t="n"/>
      <c r="L29" s="34" t="inlineStr">
        <is>
          <t>Schedule pressure is driving cost. The most conservative of the three.</t>
        </is>
      </c>
      <c r="M29" s="30" t="n"/>
    </row>
    <row r="30" ht="39" customHeight="1">
      <c r="B30" s="29" t="inlineStr">
        <is>
          <t>4 — Bottom-up estimate to complete</t>
        </is>
      </c>
      <c r="C30" s="30" t="n"/>
      <c r="D30" s="39" t="inlineStr">
        <is>
          <t>AC + bottom-up ETC</t>
        </is>
      </c>
      <c r="E30" s="30" t="n"/>
      <c r="F30" s="31">
        <f>IF(EAC_M4="","",EAC_M4)</f>
        <v/>
      </c>
      <c r="G30" s="32" t="n"/>
      <c r="H30" s="35">
        <f>IF(OR(EAC_M4="",Tot_BAC=0),"",Tot_BAC-EAC_M4)</f>
        <v/>
      </c>
      <c r="I30" s="32" t="n"/>
      <c r="J30" s="40">
        <f>IF(OR(EAC_M4="",Tot_BAC=0),"",EAC_M4/Tot_BAC-1)</f>
        <v/>
      </c>
      <c r="K30" s="32" t="n"/>
      <c r="L30" s="34" t="inlineStr">
        <is>
          <t>The baseline no longer reflects the work. Blank until a bottom-up ETC is entered on Lists.</t>
        </is>
      </c>
      <c r="M30" s="30" t="n"/>
    </row>
    <row r="31" ht="22" customHeight="1">
      <c r="B31" s="41">
        <f>"SELECTED METHOD  ·  "&amp;EAC_Method</f>
        <v/>
      </c>
      <c r="C31" s="41" t="n"/>
      <c r="D31" s="41" t="n"/>
      <c r="E31" s="41" t="n"/>
      <c r="F31" s="42">
        <f>IF(OR(Tot_BAC=0,Proj_EAC=""),"",Proj_EAC)</f>
        <v/>
      </c>
      <c r="G31" s="43" t="n"/>
      <c r="H31" s="44">
        <f>IF(OR(Tot_BAC=0,Proj_EAC=""),"",Tot_BAC-Proj_EAC)</f>
        <v/>
      </c>
      <c r="I31" s="43" t="n"/>
      <c r="J31" s="45">
        <f>IF(OR(Tot_BAC=0,Proj_EAC=""),"",Proj_EAC/Tot_BAC-1)</f>
        <v/>
      </c>
      <c r="K31" s="43" t="n"/>
      <c r="L31" s="46" t="inlineStr">
        <is>
          <t>Change the method on Lists</t>
        </is>
      </c>
      <c r="M31" s="43" t="n"/>
    </row>
    <row r="33" ht="19.5" customHeight="1">
      <c r="B33" s="21" t="inlineStr">
        <is>
          <t>INTERPRETATION  ·  what the indices are telling you</t>
        </is>
      </c>
    </row>
    <row r="34" ht="20" customHeight="1">
      <c r="B34" s="27" t="inlineStr">
        <is>
          <t>Question</t>
        </is>
      </c>
      <c r="C34" s="27" t="n"/>
      <c r="D34" s="27" t="n"/>
      <c r="E34" s="27" t="inlineStr">
        <is>
          <t>Answer</t>
        </is>
      </c>
      <c r="F34" s="27" t="n"/>
      <c r="G34" s="27" t="n"/>
      <c r="H34" s="27" t="n"/>
      <c r="I34" s="27" t="inlineStr">
        <is>
          <t>Basis</t>
        </is>
      </c>
      <c r="J34" s="27" t="n"/>
      <c r="K34" s="27" t="n"/>
      <c r="L34" s="27" t="n"/>
      <c r="M34" s="27" t="n"/>
    </row>
    <row r="35" ht="26" customHeight="1">
      <c r="B35" s="47" t="inlineStr">
        <is>
          <t>Are we spending more than the work is worth?</t>
        </is>
      </c>
      <c r="C35" s="30" t="n"/>
      <c r="D35" s="30" t="n"/>
      <c r="E35" s="48">
        <f>IF(Dash_CPI="","Enter actual cost and % complete to see this.",IF(Dash_CPI&gt;=1,"Under budget — cost performance is at or better than plan",IF(Dash_CPI&gt;=Thr_Amber,"Marginally over budget — watch, explain in the report",IF(Dash_CPI&gt;=Thr_Red,"Over budget — investigate the driving control accounts","Over budget materially — escalate and re-estimate"))))</f>
        <v/>
      </c>
      <c r="F35" s="49" t="n"/>
      <c r="G35" s="49" t="n"/>
      <c r="H35" s="49" t="n"/>
      <c r="I35" s="50">
        <f>"CPI = "&amp;IF(Dash_CPI="","—",TEXT(Dash_CPI,"0.000"))&amp;"   ·   CV = "&amp;IF(Tot_BAC=0,"—",TEXT(Tot_EV-Tot_AC,"#,##0"))&amp;" "&amp;IF(Proj_Currency="","CUR",Proj_Currency)</f>
        <v/>
      </c>
      <c r="J35" s="51" t="n"/>
      <c r="K35" s="51" t="n"/>
      <c r="L35" s="51" t="n"/>
      <c r="M35" s="51" t="n"/>
    </row>
    <row r="36" ht="26" customHeight="1">
      <c r="B36" s="47" t="inlineStr">
        <is>
          <t>Are we earning work as fast as we planned to?</t>
        </is>
      </c>
      <c r="C36" s="30" t="n"/>
      <c r="D36" s="30" t="n"/>
      <c r="E36" s="48">
        <f>IF(Dash_SPI="","Enter planned and actual % complete to see this.",IF(Dash_SPI&gt;=1,"On or ahead of the baseline rate of progress",IF(Dash_SPI&gt;=Thr_Amber,"Marginally behind — recoverable within existing float",IF(Dash_SPI&gt;=Thr_Red,"Behind plan — check the critical path, not just the index","Materially behind plan — the completion date is at risk"))))</f>
        <v/>
      </c>
      <c r="F36" s="49" t="n"/>
      <c r="G36" s="49" t="n"/>
      <c r="H36" s="49" t="n"/>
      <c r="I36" s="50">
        <f>"SPI = "&amp;IF(Dash_SPI="","—",TEXT(Dash_SPI,"0.000"))&amp;"   ·   SV = "&amp;IF(Tot_BAC=0,"—",TEXT(Tot_EV-Tot_PV,"#,##0"))&amp;" "&amp;IF(Proj_Currency="","CUR",Proj_Currency)</f>
        <v/>
      </c>
      <c r="J36" s="51" t="n"/>
      <c r="K36" s="51" t="n"/>
      <c r="L36" s="51" t="n"/>
      <c r="M36" s="51" t="n"/>
    </row>
    <row r="37" ht="26" customHeight="1">
      <c r="B37" s="47" t="inlineStr">
        <is>
          <t>Where will this project finish?</t>
        </is>
      </c>
      <c r="C37" s="30" t="n"/>
      <c r="D37" s="30" t="n"/>
      <c r="E37" s="48">
        <f>IF(OR(Proj_EAC="",Tot_BAC=0),"Load the register — and if EAC method 4 is selected, enter the bottom-up ETC on Lists.",IF(Tot_BAC-Proj_EAC&gt;=0,"Forecast to complete at or under budget",IF(ABS(Tot_BAC-Proj_EAC)/Tot_BAC&lt;=0.02,"Forecast overrun within 2% of BAC — manageable",IF(ABS(Tot_BAC-Proj_EAC)/Tot_BAC&lt;=0.05,"Forecast overrun of 2-5% of BAC — draw on contingency","Forecast overrun above 5% of BAC — a funding decision, not a controls decision"))))</f>
        <v/>
      </c>
      <c r="F37" s="49" t="n"/>
      <c r="G37" s="49" t="n"/>
      <c r="H37" s="49" t="n"/>
      <c r="I37" s="50">
        <f>"EAC = "&amp;IF(Proj_EAC="","—",TEXT(Proj_EAC,"#,##0"))&amp;"   ·   VAC = "&amp;IF(OR(Proj_EAC="",Tot_BAC=0),"—",TEXT(Tot_BAC-Proj_EAC,"#,##0"))</f>
        <v/>
      </c>
      <c r="J37" s="51" t="n"/>
      <c r="K37" s="51" t="n"/>
      <c r="L37" s="51" t="n"/>
      <c r="M37" s="51" t="n"/>
    </row>
    <row r="38" ht="26" customHeight="1">
      <c r="B38" s="47" t="inlineStr">
        <is>
          <t>Can we still deliver the remaining work to budget?</t>
        </is>
      </c>
      <c r="C38" s="30" t="n"/>
      <c r="D38" s="30" t="n"/>
      <c r="E38" s="48">
        <f>IF(TCPI_BAC="","Not enough data yet.",IF(TCPI_BAC&lt;=1,"Yes — the remaining work can be delivered at or below the budgeted rate",IF(TCPI_BAC&lt;=1.05,"Only with a modest efficiency gain on the remaining work",IF(TCPI_BAC&lt;=1.1,"Unlikely — a &gt;5% efficiency gain has to be found and evidenced","No — recovering to BAC is not credible; report the EAC and revise the budget"))))</f>
        <v/>
      </c>
      <c r="F38" s="49" t="n"/>
      <c r="G38" s="49" t="n"/>
      <c r="H38" s="49" t="n"/>
      <c r="I38" s="50">
        <f>"TCPI to BAC = "&amp;IF(TCPI_BAC="","—",TEXT(TCPI_BAC,"0.000"))&amp;"   ·   TCPI to EAC = "&amp;IF(TCPI_EAC="","—",TEXT(TCPI_EAC,"0.000"))</f>
        <v/>
      </c>
      <c r="J38" s="51" t="n"/>
      <c r="K38" s="51" t="n"/>
      <c r="L38" s="51" t="n"/>
      <c r="M38" s="51" t="n"/>
    </row>
    <row r="39" ht="26" customHeight="1">
      <c r="B39" s="47" t="inlineStr">
        <is>
          <t>Does the workbook reconcile?</t>
        </is>
      </c>
      <c r="C39" s="30" t="n"/>
      <c r="D39" s="30" t="n"/>
      <c r="E39" s="48">
        <f>IF(OR(Tot_BAC=0,DD_CumPV=""),"Load the register and the time-phased baseline.",IF(AND(ABS(DD_CumPV-Tot_PV)&lt;=MAX(1,0.005*Tot_BAC),ABS(DD_CumEV-Tot_EV)&lt;=MAX(1,0.005*Tot_BAC),ABS(DD_CumAC-Tot_AC)&lt;=MAX(1,0.005*Tot_BAC)),"Reconciled — the time-phased sheet agrees with the register at the data date","NOT RECONCILED — fix the tie-out on Time-Phased Data before issuing"))</f>
        <v/>
      </c>
      <c r="F39" s="49" t="n"/>
      <c r="G39" s="49" t="n"/>
      <c r="H39" s="49" t="n"/>
      <c r="I39" s="50">
        <f>"Tolerance 0.5% of BAC   ·   see the tie-out block on Time-Phased Data"</f>
        <v/>
      </c>
      <c r="J39" s="51" t="n"/>
      <c r="K39" s="51" t="n"/>
      <c r="L39" s="51" t="n"/>
      <c r="M39" s="51" t="n"/>
    </row>
    <row r="41" ht="19.5" customHeight="1">
      <c r="B41" s="21" t="inlineStr">
        <is>
          <t>TOP 5 WORST-PERFORMING WBS ELEMENTS  ·  ranked by cost variance (most negative first)</t>
        </is>
      </c>
    </row>
    <row r="42" ht="24" customHeight="1">
      <c r="B42" s="28" t="inlineStr">
        <is>
          <t>Rank</t>
        </is>
      </c>
      <c r="C42" s="27" t="inlineStr">
        <is>
          <t>WBS Code</t>
        </is>
      </c>
      <c r="D42" s="27" t="inlineStr">
        <is>
          <t>Control Account / Element</t>
        </is>
      </c>
      <c r="E42" s="27" t="n"/>
      <c r="F42" s="27" t="n"/>
      <c r="G42" s="28">
        <f>"BAC ("&amp;IF(Proj_Currency="","CUR",Proj_Currency)&amp;")"</f>
        <v/>
      </c>
      <c r="H42" s="28">
        <f>"CV ("&amp;IF(Proj_Currency="","CUR",Proj_Currency)&amp;")"</f>
        <v/>
      </c>
      <c r="I42" s="28" t="inlineStr">
        <is>
          <t>CPI</t>
        </is>
      </c>
      <c r="J42" s="28">
        <f>"SV ("&amp;IF(Proj_Currency="","CUR",Proj_Currency)&amp;")"</f>
        <v/>
      </c>
      <c r="K42" s="28" t="inlineStr">
        <is>
          <t>SPI</t>
        </is>
      </c>
      <c r="L42" s="28" t="inlineStr">
        <is>
          <t>Status</t>
        </is>
      </c>
      <c r="M42" s="28" t="inlineStr">
        <is>
          <t>CAM</t>
        </is>
      </c>
    </row>
    <row r="43" ht="19" customHeight="1">
      <c r="B43" s="52">
        <f>IF($H43="","",1)</f>
        <v/>
      </c>
      <c r="C43" s="53">
        <f>IF($H43="","",IFERROR(INDEX('EV Register'!$A$9:$A$208,IFERROR(MATCH($H43,'EV Register'!$R$9:$R$208,0),0)),""))</f>
        <v/>
      </c>
      <c r="D43" s="53">
        <f>IF($H43="","",IFERROR(INDEX('EV Register'!$D$9:$D$208,IFERROR(MATCH($H43,'EV Register'!$R$9:$R$208,0),0)),""))</f>
        <v/>
      </c>
      <c r="E43" s="32" t="n"/>
      <c r="F43" s="32" t="n"/>
      <c r="G43" s="31">
        <f>IF($H43="","",IFERROR(INDEX('EV Register'!$G$9:$G$208,IFERROR(MATCH($H43,'EV Register'!$R$9:$R$208,0),0)),""))</f>
        <v/>
      </c>
      <c r="H43" s="35">
        <f>IFERROR(IF(COUNT('EV Register'!$R$9:$R$208)&lt;1,"",SMALL('EV Register'!$R$9:$R$208,1)),"")</f>
        <v/>
      </c>
      <c r="I43" s="37">
        <f>IF($H43="","",IFERROR(INDEX('EV Register'!$V$9:$V$208,IFERROR(MATCH($H43,'EV Register'!$R$9:$R$208,0),0)),""))</f>
        <v/>
      </c>
      <c r="J43" s="35">
        <f>IF($H43="","",IFERROR(INDEX('EV Register'!$Q$9:$Q$208,IFERROR(MATCH($H43,'EV Register'!$R$9:$R$208,0),0)),""))</f>
        <v/>
      </c>
      <c r="K43" s="37">
        <f>IF($H43="","",IFERROR(INDEX('EV Register'!$U$9:$U$208,IFERROR(MATCH($H43,'EV Register'!$R$9:$R$208,0),0)),""))</f>
        <v/>
      </c>
      <c r="L43" s="54">
        <f>IF($H43="","",IFERROR(INDEX('EV Register'!$AA$9:$AA$208,IFERROR(MATCH($H43,'EV Register'!$R$9:$R$208,0),0)),""))</f>
        <v/>
      </c>
      <c r="M43" s="53">
        <f>IF($H43="","",IFERROR(INDEX('EV Register'!$E$9:$E$208,IFERROR(MATCH($H43,'EV Register'!$R$9:$R$208,0),0)),""))</f>
        <v/>
      </c>
    </row>
    <row r="44" ht="19" customHeight="1">
      <c r="B44" s="52">
        <f>IF($H44="","",2)</f>
        <v/>
      </c>
      <c r="C44" s="53">
        <f>IF($H44="","",IFERROR(INDEX('EV Register'!$A$9:$A$208,IFERROR(MATCH($H44,'EV Register'!$R$9:$R$208,0),0)),""))</f>
        <v/>
      </c>
      <c r="D44" s="53">
        <f>IF($H44="","",IFERROR(INDEX('EV Register'!$D$9:$D$208,IFERROR(MATCH($H44,'EV Register'!$R$9:$R$208,0),0)),""))</f>
        <v/>
      </c>
      <c r="E44" s="32" t="n"/>
      <c r="F44" s="32" t="n"/>
      <c r="G44" s="31">
        <f>IF($H44="","",IFERROR(INDEX('EV Register'!$G$9:$G$208,IFERROR(MATCH($H44,'EV Register'!$R$9:$R$208,0),0)),""))</f>
        <v/>
      </c>
      <c r="H44" s="35">
        <f>IFERROR(IF(COUNT('EV Register'!$R$9:$R$208)&lt;2,"",SMALL('EV Register'!$R$9:$R$208,2)),"")</f>
        <v/>
      </c>
      <c r="I44" s="37">
        <f>IF($H44="","",IFERROR(INDEX('EV Register'!$V$9:$V$208,IFERROR(MATCH($H44,'EV Register'!$R$9:$R$208,0),0)),""))</f>
        <v/>
      </c>
      <c r="J44" s="35">
        <f>IF($H44="","",IFERROR(INDEX('EV Register'!$Q$9:$Q$208,IFERROR(MATCH($H44,'EV Register'!$R$9:$R$208,0),0)),""))</f>
        <v/>
      </c>
      <c r="K44" s="37">
        <f>IF($H44="","",IFERROR(INDEX('EV Register'!$U$9:$U$208,IFERROR(MATCH($H44,'EV Register'!$R$9:$R$208,0),0)),""))</f>
        <v/>
      </c>
      <c r="L44" s="54">
        <f>IF($H44="","",IFERROR(INDEX('EV Register'!$AA$9:$AA$208,IFERROR(MATCH($H44,'EV Register'!$R$9:$R$208,0),0)),""))</f>
        <v/>
      </c>
      <c r="M44" s="53">
        <f>IF($H44="","",IFERROR(INDEX('EV Register'!$E$9:$E$208,IFERROR(MATCH($H44,'EV Register'!$R$9:$R$208,0),0)),""))</f>
        <v/>
      </c>
    </row>
    <row r="45" ht="19" customHeight="1">
      <c r="B45" s="52">
        <f>IF($H45="","",3)</f>
        <v/>
      </c>
      <c r="C45" s="53">
        <f>IF($H45="","",IFERROR(INDEX('EV Register'!$A$9:$A$208,IFERROR(MATCH($H45,'EV Register'!$R$9:$R$208,0),0)),""))</f>
        <v/>
      </c>
      <c r="D45" s="53">
        <f>IF($H45="","",IFERROR(INDEX('EV Register'!$D$9:$D$208,IFERROR(MATCH($H45,'EV Register'!$R$9:$R$208,0),0)),""))</f>
        <v/>
      </c>
      <c r="E45" s="32" t="n"/>
      <c r="F45" s="32" t="n"/>
      <c r="G45" s="31">
        <f>IF($H45="","",IFERROR(INDEX('EV Register'!$G$9:$G$208,IFERROR(MATCH($H45,'EV Register'!$R$9:$R$208,0),0)),""))</f>
        <v/>
      </c>
      <c r="H45" s="35">
        <f>IFERROR(IF(COUNT('EV Register'!$R$9:$R$208)&lt;3,"",SMALL('EV Register'!$R$9:$R$208,3)),"")</f>
        <v/>
      </c>
      <c r="I45" s="37">
        <f>IF($H45="","",IFERROR(INDEX('EV Register'!$V$9:$V$208,IFERROR(MATCH($H45,'EV Register'!$R$9:$R$208,0),0)),""))</f>
        <v/>
      </c>
      <c r="J45" s="35">
        <f>IF($H45="","",IFERROR(INDEX('EV Register'!$Q$9:$Q$208,IFERROR(MATCH($H45,'EV Register'!$R$9:$R$208,0),0)),""))</f>
        <v/>
      </c>
      <c r="K45" s="37">
        <f>IF($H45="","",IFERROR(INDEX('EV Register'!$U$9:$U$208,IFERROR(MATCH($H45,'EV Register'!$R$9:$R$208,0),0)),""))</f>
        <v/>
      </c>
      <c r="L45" s="54">
        <f>IF($H45="","",IFERROR(INDEX('EV Register'!$AA$9:$AA$208,IFERROR(MATCH($H45,'EV Register'!$R$9:$R$208,0),0)),""))</f>
        <v/>
      </c>
      <c r="M45" s="53">
        <f>IF($H45="","",IFERROR(INDEX('EV Register'!$E$9:$E$208,IFERROR(MATCH($H45,'EV Register'!$R$9:$R$208,0),0)),""))</f>
        <v/>
      </c>
    </row>
    <row r="46" ht="19" customHeight="1">
      <c r="B46" s="52">
        <f>IF($H46="","",4)</f>
        <v/>
      </c>
      <c r="C46" s="53">
        <f>IF($H46="","",IFERROR(INDEX('EV Register'!$A$9:$A$208,IFERROR(MATCH($H46,'EV Register'!$R$9:$R$208,0),0)),""))</f>
        <v/>
      </c>
      <c r="D46" s="53">
        <f>IF($H46="","",IFERROR(INDEX('EV Register'!$D$9:$D$208,IFERROR(MATCH($H46,'EV Register'!$R$9:$R$208,0),0)),""))</f>
        <v/>
      </c>
      <c r="E46" s="32" t="n"/>
      <c r="F46" s="32" t="n"/>
      <c r="G46" s="31">
        <f>IF($H46="","",IFERROR(INDEX('EV Register'!$G$9:$G$208,IFERROR(MATCH($H46,'EV Register'!$R$9:$R$208,0),0)),""))</f>
        <v/>
      </c>
      <c r="H46" s="35">
        <f>IFERROR(IF(COUNT('EV Register'!$R$9:$R$208)&lt;4,"",SMALL('EV Register'!$R$9:$R$208,4)),"")</f>
        <v/>
      </c>
      <c r="I46" s="37">
        <f>IF($H46="","",IFERROR(INDEX('EV Register'!$V$9:$V$208,IFERROR(MATCH($H46,'EV Register'!$R$9:$R$208,0),0)),""))</f>
        <v/>
      </c>
      <c r="J46" s="35">
        <f>IF($H46="","",IFERROR(INDEX('EV Register'!$Q$9:$Q$208,IFERROR(MATCH($H46,'EV Register'!$R$9:$R$208,0),0)),""))</f>
        <v/>
      </c>
      <c r="K46" s="37">
        <f>IF($H46="","",IFERROR(INDEX('EV Register'!$U$9:$U$208,IFERROR(MATCH($H46,'EV Register'!$R$9:$R$208,0),0)),""))</f>
        <v/>
      </c>
      <c r="L46" s="54">
        <f>IF($H46="","",IFERROR(INDEX('EV Register'!$AA$9:$AA$208,IFERROR(MATCH($H46,'EV Register'!$R$9:$R$208,0),0)),""))</f>
        <v/>
      </c>
      <c r="M46" s="53">
        <f>IF($H46="","",IFERROR(INDEX('EV Register'!$E$9:$E$208,IFERROR(MATCH($H46,'EV Register'!$R$9:$R$208,0),0)),""))</f>
        <v/>
      </c>
    </row>
    <row r="47" ht="19" customHeight="1">
      <c r="B47" s="52">
        <f>IF($H47="","",5)</f>
        <v/>
      </c>
      <c r="C47" s="53">
        <f>IF($H47="","",IFERROR(INDEX('EV Register'!$A$9:$A$208,IFERROR(MATCH($H47,'EV Register'!$R$9:$R$208,0),0)),""))</f>
        <v/>
      </c>
      <c r="D47" s="53">
        <f>IF($H47="","",IFERROR(INDEX('EV Register'!$D$9:$D$208,IFERROR(MATCH($H47,'EV Register'!$R$9:$R$208,0),0)),""))</f>
        <v/>
      </c>
      <c r="E47" s="32" t="n"/>
      <c r="F47" s="32" t="n"/>
      <c r="G47" s="31">
        <f>IF($H47="","",IFERROR(INDEX('EV Register'!$G$9:$G$208,IFERROR(MATCH($H47,'EV Register'!$R$9:$R$208,0),0)),""))</f>
        <v/>
      </c>
      <c r="H47" s="35">
        <f>IFERROR(IF(COUNT('EV Register'!$R$9:$R$208)&lt;5,"",SMALL('EV Register'!$R$9:$R$208,5)),"")</f>
        <v/>
      </c>
      <c r="I47" s="37">
        <f>IF($H47="","",IFERROR(INDEX('EV Register'!$V$9:$V$208,IFERROR(MATCH($H47,'EV Register'!$R$9:$R$208,0),0)),""))</f>
        <v/>
      </c>
      <c r="J47" s="35">
        <f>IF($H47="","",IFERROR(INDEX('EV Register'!$Q$9:$Q$208,IFERROR(MATCH($H47,'EV Register'!$R$9:$R$208,0),0)),""))</f>
        <v/>
      </c>
      <c r="K47" s="37">
        <f>IF($H47="","",IFERROR(INDEX('EV Register'!$U$9:$U$208,IFERROR(MATCH($H47,'EV Register'!$R$9:$R$208,0),0)),""))</f>
        <v/>
      </c>
      <c r="L47" s="54">
        <f>IF($H47="","",IFERROR(INDEX('EV Register'!$AA$9:$AA$208,IFERROR(MATCH($H47,'EV Register'!$R$9:$R$208,0),0)),""))</f>
        <v/>
      </c>
      <c r="M47" s="53">
        <f>IF($H47="","",IFERROR(INDEX('EV Register'!$E$9:$E$208,IFERROR(MATCH($H47,'EV Register'!$R$9:$R$208,0),0)),""))</f>
        <v/>
      </c>
    </row>
    <row r="49" ht="24" customHeight="1">
      <c r="B49" s="16" t="inlineStr">
        <is>
          <t>Ties are broken by the first matching register row. Rows with no actual cost recorded carry no cost variance and are excluded. "Status" is the worse of the element's SPI and CPI against the thresholds on Lists.</t>
        </is>
      </c>
    </row>
    <row r="51" ht="12.75" customHeight="1">
      <c r="A51" s="17" t="inlineStr">
        <is>
          <t>Visit mastt.com</t>
        </is>
      </c>
      <c r="B51" s="18" t="n"/>
      <c r="C51" s="18" t="n"/>
      <c r="D51" s="18" t="n"/>
      <c r="E51" s="18" t="n"/>
      <c r="F51" s="18" t="n"/>
      <c r="G51" s="18" t="n"/>
      <c r="H51" s="18" t="n"/>
      <c r="I51" s="18" t="n"/>
      <c r="J51" s="18" t="n"/>
      <c r="K51" s="18" t="n"/>
      <c r="L51" s="18" t="n"/>
      <c r="M51" s="18" t="n"/>
      <c r="N51" s="18" t="n"/>
    </row>
  </sheetData>
  <sheetProtection selectLockedCells="0" selectUnlockedCells="0" sheet="1" objects="0" insertRows="0" insertHyperlinks="1" autoFilter="0" scenarios="0" formatColumns="0" deleteColumns="1" insertColumns="0" pivotTables="1" deleteRows="0" formatCells="0" formatRows="0" sort="0"/>
  <mergeCells count="125">
    <mergeCell ref="D20:E20"/>
    <mergeCell ref="H21:M21"/>
    <mergeCell ref="F29:G29"/>
    <mergeCell ref="F16:G16"/>
    <mergeCell ref="H10:I10"/>
    <mergeCell ref="J10:K10"/>
    <mergeCell ref="B22:C22"/>
    <mergeCell ref="D22:E22"/>
    <mergeCell ref="J28:K28"/>
    <mergeCell ref="L28:M28"/>
    <mergeCell ref="D47:F47"/>
    <mergeCell ref="H9:I9"/>
    <mergeCell ref="E37:H37"/>
    <mergeCell ref="B34:D34"/>
    <mergeCell ref="B12:C12"/>
    <mergeCell ref="J9:K9"/>
    <mergeCell ref="B21:C21"/>
    <mergeCell ref="L12:M12"/>
    <mergeCell ref="B37:D37"/>
    <mergeCell ref="D13:E13"/>
    <mergeCell ref="B13:C13"/>
    <mergeCell ref="B31:E31"/>
    <mergeCell ref="B15:M15"/>
    <mergeCell ref="L29:M29"/>
    <mergeCell ref="F23:G23"/>
    <mergeCell ref="J31:K31"/>
    <mergeCell ref="F13:G13"/>
    <mergeCell ref="L31:M31"/>
    <mergeCell ref="H13:I13"/>
    <mergeCell ref="E34:H34"/>
    <mergeCell ref="B26:C26"/>
    <mergeCell ref="D26:E26"/>
    <mergeCell ref="I34:M34"/>
    <mergeCell ref="E36:H36"/>
    <mergeCell ref="B16:C16"/>
    <mergeCell ref="D10:E10"/>
    <mergeCell ref="F10:G10"/>
    <mergeCell ref="D19:E19"/>
    <mergeCell ref="F19:G19"/>
    <mergeCell ref="B8:M8"/>
    <mergeCell ref="I36:M36"/>
    <mergeCell ref="B18:C18"/>
    <mergeCell ref="B27:C27"/>
    <mergeCell ref="D43:F43"/>
    <mergeCell ref="F30:G30"/>
    <mergeCell ref="F20:G20"/>
    <mergeCell ref="F18:G18"/>
    <mergeCell ref="J27:K27"/>
    <mergeCell ref="I37:M37"/>
    <mergeCell ref="F17:G17"/>
    <mergeCell ref="L30:M30"/>
    <mergeCell ref="B36:D36"/>
    <mergeCell ref="B29:C29"/>
    <mergeCell ref="H18:M18"/>
    <mergeCell ref="E38:H38"/>
    <mergeCell ref="F31:G31"/>
    <mergeCell ref="F28:G28"/>
    <mergeCell ref="H28:I28"/>
    <mergeCell ref="D9:E9"/>
    <mergeCell ref="F9:G9"/>
    <mergeCell ref="H12:I12"/>
    <mergeCell ref="J12:K12"/>
    <mergeCell ref="D29:E29"/>
    <mergeCell ref="D46:F46"/>
    <mergeCell ref="D23:E23"/>
    <mergeCell ref="B39:D39"/>
    <mergeCell ref="J29:K29"/>
    <mergeCell ref="H17:M17"/>
    <mergeCell ref="H31:I31"/>
    <mergeCell ref="F21:G21"/>
    <mergeCell ref="H19:M19"/>
    <mergeCell ref="D27:E27"/>
    <mergeCell ref="D2:N2"/>
    <mergeCell ref="B17:C17"/>
    <mergeCell ref="D17:E17"/>
    <mergeCell ref="J26:K26"/>
    <mergeCell ref="D42:F42"/>
    <mergeCell ref="L26:M26"/>
    <mergeCell ref="E39:H39"/>
    <mergeCell ref="B19:C19"/>
    <mergeCell ref="L10:M10"/>
    <mergeCell ref="B35:D35"/>
    <mergeCell ref="B28:C28"/>
    <mergeCell ref="H23:M23"/>
    <mergeCell ref="D28:E28"/>
    <mergeCell ref="F22:G22"/>
    <mergeCell ref="H6:N6"/>
    <mergeCell ref="D44:F44"/>
    <mergeCell ref="B9:C9"/>
    <mergeCell ref="I39:M39"/>
    <mergeCell ref="D12:E12"/>
    <mergeCell ref="L9:M9"/>
    <mergeCell ref="D3:N3"/>
    <mergeCell ref="B30:C30"/>
    <mergeCell ref="D30:E30"/>
    <mergeCell ref="I38:M38"/>
    <mergeCell ref="B20:C20"/>
    <mergeCell ref="D45:F45"/>
    <mergeCell ref="H30:I30"/>
    <mergeCell ref="H29:I29"/>
    <mergeCell ref="A51:N51"/>
    <mergeCell ref="J13:K13"/>
    <mergeCell ref="L13:M13"/>
    <mergeCell ref="B38:D38"/>
    <mergeCell ref="H16:M16"/>
    <mergeCell ref="D21:E21"/>
    <mergeCell ref="J30:K30"/>
    <mergeCell ref="F12:G12"/>
    <mergeCell ref="H22:M22"/>
    <mergeCell ref="B23:C23"/>
    <mergeCell ref="F26:G26"/>
    <mergeCell ref="B49:M49"/>
    <mergeCell ref="D16:E16"/>
    <mergeCell ref="B33:M33"/>
    <mergeCell ref="E35:H35"/>
    <mergeCell ref="B10:C10"/>
    <mergeCell ref="B41:M41"/>
    <mergeCell ref="D18:E18"/>
    <mergeCell ref="F27:G27"/>
    <mergeCell ref="H20:M20"/>
    <mergeCell ref="H27:I27"/>
    <mergeCell ref="I35:M35"/>
    <mergeCell ref="B25:M25"/>
    <mergeCell ref="L27:M27"/>
    <mergeCell ref="H26:I26"/>
  </mergeCells>
  <conditionalFormatting sqref="D20:G21">
    <cfRule type="expression" priority="1" dxfId="0" stopIfTrue="0">
      <formula>AND(D20&lt;&gt;"",ISNUMBER(D20),D20&lt;0)</formula>
    </cfRule>
  </conditionalFormatting>
  <conditionalFormatting sqref="E35:H35">
    <cfRule type="expression" priority="2" dxfId="1" stopIfTrue="1">
      <formula>OR(ISNUMBER(SEARCH("Over budget materially",$E35)),ISNUMBER(SEARCH("Materially behind",$E35)),ISNUMBER(SEARCH("above 5%",$E35)),ISNUMBER(SEARCH("NOT RECONCILED",$E35)),ISNUMBER(SEARCH("not credible",$E35)))</formula>
    </cfRule>
    <cfRule type="expression" priority="3" dxfId="2" stopIfTrue="1">
      <formula>OR(ISNUMBER(SEARCH("Under budget",$E35)),ISNUMBER(SEARCH("On or ahead",$E35)),ISNUMBER(SEARCH("at or under budget",$E35)),ISNUMBER(SEARCH("Reconciled",$E35)),ISNUMBER(SEARCH("Yes —",$E35)))</formula>
    </cfRule>
    <cfRule type="expression" priority="4" dxfId="3" stopIfTrue="1">
      <formula>AND($E35&lt;&gt;"",NOT(ISNUMBER(SEARCH("Enter ",$E35))),NOT(ISNUMBER(SEARCH("Load the",$E35))),NOT(ISNUMBER(SEARCH("Set the",$E35))),NOT(ISNUMBER(SEARCH("Not enough",$E35))))</formula>
    </cfRule>
  </conditionalFormatting>
  <conditionalFormatting sqref="E36:H36">
    <cfRule type="expression" priority="5" dxfId="1" stopIfTrue="1">
      <formula>OR(ISNUMBER(SEARCH("Over budget materially",$E36)),ISNUMBER(SEARCH("Materially behind",$E36)),ISNUMBER(SEARCH("above 5%",$E36)),ISNUMBER(SEARCH("NOT RECONCILED",$E36)),ISNUMBER(SEARCH("not credible",$E36)))</formula>
    </cfRule>
    <cfRule type="expression" priority="6" dxfId="2" stopIfTrue="1">
      <formula>OR(ISNUMBER(SEARCH("Under budget",$E36)),ISNUMBER(SEARCH("On or ahead",$E36)),ISNUMBER(SEARCH("at or under budget",$E36)),ISNUMBER(SEARCH("Reconciled",$E36)),ISNUMBER(SEARCH("Yes —",$E36)))</formula>
    </cfRule>
    <cfRule type="expression" priority="7" dxfId="3" stopIfTrue="1">
      <formula>AND($E36&lt;&gt;"",NOT(ISNUMBER(SEARCH("Enter ",$E36))),NOT(ISNUMBER(SEARCH("Load the",$E36))),NOT(ISNUMBER(SEARCH("Set the",$E36))),NOT(ISNUMBER(SEARCH("Not enough",$E36))))</formula>
    </cfRule>
  </conditionalFormatting>
  <conditionalFormatting sqref="E37:H37">
    <cfRule type="expression" priority="8" dxfId="1" stopIfTrue="1">
      <formula>OR(ISNUMBER(SEARCH("Over budget materially",$E37)),ISNUMBER(SEARCH("Materially behind",$E37)),ISNUMBER(SEARCH("above 5%",$E37)),ISNUMBER(SEARCH("NOT RECONCILED",$E37)),ISNUMBER(SEARCH("not credible",$E37)))</formula>
    </cfRule>
    <cfRule type="expression" priority="9" dxfId="2" stopIfTrue="1">
      <formula>OR(ISNUMBER(SEARCH("Under budget",$E37)),ISNUMBER(SEARCH("On or ahead",$E37)),ISNUMBER(SEARCH("at or under budget",$E37)),ISNUMBER(SEARCH("Reconciled",$E37)),ISNUMBER(SEARCH("Yes —",$E37)))</formula>
    </cfRule>
    <cfRule type="expression" priority="10" dxfId="3" stopIfTrue="1">
      <formula>AND($E37&lt;&gt;"",NOT(ISNUMBER(SEARCH("Enter ",$E37))),NOT(ISNUMBER(SEARCH("Load the",$E37))),NOT(ISNUMBER(SEARCH("Set the",$E37))),NOT(ISNUMBER(SEARCH("Not enough",$E37))))</formula>
    </cfRule>
  </conditionalFormatting>
  <conditionalFormatting sqref="E38:H38">
    <cfRule type="expression" priority="11" dxfId="1" stopIfTrue="1">
      <formula>OR(ISNUMBER(SEARCH("Over budget materially",$E38)),ISNUMBER(SEARCH("Materially behind",$E38)),ISNUMBER(SEARCH("above 5%",$E38)),ISNUMBER(SEARCH("NOT RECONCILED",$E38)),ISNUMBER(SEARCH("not credible",$E38)))</formula>
    </cfRule>
    <cfRule type="expression" priority="12" dxfId="2" stopIfTrue="1">
      <formula>OR(ISNUMBER(SEARCH("Under budget",$E38)),ISNUMBER(SEARCH("On or ahead",$E38)),ISNUMBER(SEARCH("at or under budget",$E38)),ISNUMBER(SEARCH("Reconciled",$E38)),ISNUMBER(SEARCH("Yes —",$E38)))</formula>
    </cfRule>
    <cfRule type="expression" priority="13" dxfId="3" stopIfTrue="1">
      <formula>AND($E38&lt;&gt;"",NOT(ISNUMBER(SEARCH("Enter ",$E38))),NOT(ISNUMBER(SEARCH("Load the",$E38))),NOT(ISNUMBER(SEARCH("Set the",$E38))),NOT(ISNUMBER(SEARCH("Not enough",$E38))))</formula>
    </cfRule>
  </conditionalFormatting>
  <conditionalFormatting sqref="E39:H39">
    <cfRule type="expression" priority="14" dxfId="1" stopIfTrue="1">
      <formula>OR(ISNUMBER(SEARCH("Over budget materially",$E39)),ISNUMBER(SEARCH("Materially behind",$E39)),ISNUMBER(SEARCH("above 5%",$E39)),ISNUMBER(SEARCH("NOT RECONCILED",$E39)),ISNUMBER(SEARCH("not credible",$E39)))</formula>
    </cfRule>
    <cfRule type="expression" priority="15" dxfId="2" stopIfTrue="1">
      <formula>OR(ISNUMBER(SEARCH("Under budget",$E39)),ISNUMBER(SEARCH("On or ahead",$E39)),ISNUMBER(SEARCH("at or under budget",$E39)),ISNUMBER(SEARCH("Reconciled",$E39)),ISNUMBER(SEARCH("Yes —",$E39)))</formula>
    </cfRule>
    <cfRule type="expression" priority="16" dxfId="3" stopIfTrue="1">
      <formula>AND($E39&lt;&gt;"",NOT(ISNUMBER(SEARCH("Enter ",$E39))),NOT(ISNUMBER(SEARCH("Load the",$E39))),NOT(ISNUMBER(SEARCH("Set the",$E39))),NOT(ISNUMBER(SEARCH("Not enough",$E39))))</formula>
    </cfRule>
  </conditionalFormatting>
  <conditionalFormatting sqref="H43:H47">
    <cfRule type="expression" priority="17" dxfId="0" stopIfTrue="0">
      <formula>AND(H43&lt;&gt;"",ISNUMBER(H43),H43&lt;0)</formula>
    </cfRule>
  </conditionalFormatting>
  <conditionalFormatting sqref="J43:J47">
    <cfRule type="expression" priority="18" dxfId="0" stopIfTrue="0">
      <formula>AND(J43&lt;&gt;"",ISNUMBER(J43),J43&lt;0)</formula>
    </cfRule>
  </conditionalFormatting>
  <conditionalFormatting sqref="I43:I47">
    <cfRule type="expression" priority="19" dxfId="0" stopIfTrue="1">
      <formula>AND(I43&lt;&gt;"",ISNUMBER(I43),I43&lt;Thr_Red)</formula>
    </cfRule>
    <cfRule type="expression" priority="20" dxfId="4" stopIfTrue="1">
      <formula>AND(I43&lt;&gt;"",ISNUMBER(I43),I43&lt;Thr_Amber)</formula>
    </cfRule>
    <cfRule type="expression" priority="21" dxfId="5" stopIfTrue="1">
      <formula>AND(I43&lt;&gt;"",ISNUMBER(I43),I43&gt;=Thr_Green)</formula>
    </cfRule>
  </conditionalFormatting>
  <conditionalFormatting sqref="K43:K47">
    <cfRule type="expression" priority="22" dxfId="0" stopIfTrue="1">
      <formula>AND(K43&lt;&gt;"",ISNUMBER(K43),K43&lt;Thr_Red)</formula>
    </cfRule>
    <cfRule type="expression" priority="23" dxfId="4" stopIfTrue="1">
      <formula>AND(K43&lt;&gt;"",ISNUMBER(K43),K43&lt;Thr_Amber)</formula>
    </cfRule>
    <cfRule type="expression" priority="24" dxfId="5" stopIfTrue="1">
      <formula>AND(K43&lt;&gt;"",ISNUMBER(K43),K43&gt;=Thr_Green)</formula>
    </cfRule>
  </conditionalFormatting>
  <conditionalFormatting sqref="L43:L47">
    <cfRule type="expression" priority="25" dxfId="6" stopIfTrue="0">
      <formula>$L43="Red"</formula>
    </cfRule>
    <cfRule type="expression" priority="26" dxfId="7" stopIfTrue="0">
      <formula>$L43="Amber"</formula>
    </cfRule>
    <cfRule type="expression" priority="27" dxfId="8" stopIfTrue="0">
      <formula>$L43="Green"</formula>
    </cfRule>
    <cfRule type="expression" priority="28" dxfId="9" stopIfTrue="0">
      <formula>$L43="Not started"</formula>
    </cfRule>
    <cfRule type="expression" priority="29" dxfId="8" stopIfTrue="0">
      <formula>$L43="Complete"</formula>
    </cfRule>
  </conditionalFormatting>
  <hyperlinks>
    <hyperlink xmlns:r="http://schemas.openxmlformats.org/officeDocument/2006/relationships" ref="A2" r:id="rId1"/>
    <hyperlink xmlns:r="http://schemas.openxmlformats.org/officeDocument/2006/relationships" ref="A51" r:id="rId2"/>
  </hyperlinks>
  <pageMargins left="0.3" right="0.3" top="0.4" bottom="0.4" header="0.2" footer="0.2"/>
  <pageSetup orientation="landscape" paperSize="9" fitToHeight="0" fitToWidth="1"/>
  <drawing xmlns:r="http://schemas.openxmlformats.org/officeDocument/2006/relationships" r:id="rId3"/>
</worksheet>
</file>

<file path=xl/worksheets/sheet3.xml><?xml version="1.0" encoding="utf-8"?>
<worksheet xmlns="http://schemas.openxmlformats.org/spreadsheetml/2006/main">
  <sheetPr>
    <outlinePr summaryBelow="1" summaryRight="1"/>
    <pageSetUpPr fitToPage="1"/>
  </sheetPr>
  <dimension ref="A2:AD214"/>
  <sheetViews>
    <sheetView showGridLines="0" zoomScale="100" workbookViewId="0">
      <pane xSplit="4" ySplit="8" topLeftCell="E9" activePane="bottomRight" state="frozen"/>
      <selection pane="topRight"/>
      <selection pane="bottomLeft"/>
      <selection pane="bottomRight" activeCell="A1" sqref="A1"/>
    </sheetView>
  </sheetViews>
  <sheetFormatPr baseColWidth="8" defaultRowHeight="15"/>
  <cols>
    <col width="12" customWidth="1" min="1" max="1"/>
    <col width="6.5" customWidth="1" min="2" max="2"/>
    <col width="11" customWidth="1" min="3" max="3"/>
    <col width="34" customWidth="1" min="4" max="4"/>
    <col width="15" customWidth="1" min="5" max="5"/>
    <col width="13" customWidth="1" min="6" max="6"/>
    <col width="14" customWidth="1" min="7" max="7"/>
    <col width="9" customWidth="1" min="8" max="8"/>
    <col width="16" customWidth="1" min="9" max="9"/>
    <col width="11" customWidth="1" min="10" max="10"/>
    <col width="11" customWidth="1" min="11" max="11"/>
    <col width="10" customWidth="1" min="12" max="12"/>
    <col width="14" customWidth="1" min="13" max="13"/>
    <col width="10" customWidth="1" min="14" max="14"/>
    <col width="14" customWidth="1" min="15" max="15"/>
    <col width="14" customWidth="1" min="16" max="16"/>
    <col width="13" customWidth="1" min="17" max="17"/>
    <col width="13" customWidth="1" min="18" max="18"/>
    <col width="8.5" customWidth="1" min="19" max="19"/>
    <col width="8.5" customWidth="1" min="20" max="20"/>
    <col width="7.5" customWidth="1" min="21" max="21"/>
    <col width="7.5" customWidth="1" min="22" max="22"/>
    <col width="14" customWidth="1" min="23" max="23"/>
    <col width="14" customWidth="1" min="24" max="24"/>
    <col width="13" customWidth="1" min="25" max="25"/>
    <col width="7.5" customWidth="1" min="26" max="26"/>
    <col width="11" customWidth="1" min="27" max="27"/>
    <col width="40" customWidth="1" min="28" max="28"/>
    <col width="40" customWidth="1" min="29" max="29"/>
    <col width="26" customWidth="1" min="30" max="30"/>
  </cols>
  <sheetData>
    <row r="1" ht="3.75" customHeight="1"/>
    <row r="2" ht="27.75" customHeight="1">
      <c r="A2" s="1" t="inlineStr">
        <is>
          <t xml:space="preserve"> </t>
        </is>
      </c>
      <c r="B2" s="2" t="n"/>
      <c r="C2" s="2" t="n"/>
      <c r="D2" s="3" t="inlineStr">
        <is>
          <t>Earned Value Analysis (EVM)</t>
        </is>
      </c>
    </row>
    <row r="3" ht="12.75" customHeight="1">
      <c r="A3" s="2" t="n"/>
      <c r="B3" s="2" t="n"/>
      <c r="C3" s="2" t="n"/>
      <c r="D3" s="4" t="inlineStr">
        <is>
          <t>EV Register  ·  one row per WBS element / control account  ·  the source of truth for BAC, EV and AC at the data date</t>
        </is>
      </c>
    </row>
    <row r="4" ht="6" customHeight="1"/>
    <row r="7" ht="15" customHeight="1">
      <c r="A7" s="19">
        <f>IF(Proj_Name="","Project: —  |  complete the Cover sheet","Project:  "&amp;Proj_Name&amp;IF(Proj_Number="",""," · "&amp;Proj_Number))</f>
        <v/>
      </c>
      <c r="X7" s="20" t="inlineStr">
        <is>
          <t>Shaded cells = your input.   Tinted cells = auto-calculated, do not type over them.</t>
        </is>
      </c>
    </row>
    <row r="8" ht="46" customHeight="1">
      <c r="A8" s="27" t="inlineStr">
        <is>
          <t>WBS Code</t>
        </is>
      </c>
      <c r="B8" s="28" t="inlineStr">
        <is>
          <t>Level</t>
        </is>
      </c>
      <c r="C8" s="27" t="inlineStr">
        <is>
          <t>Parent WBS</t>
        </is>
      </c>
      <c r="D8" s="27" t="inlineStr">
        <is>
          <t>Control Account / Element</t>
        </is>
      </c>
      <c r="E8" s="27" t="inlineStr">
        <is>
          <t>Responsible (CAM)</t>
        </is>
      </c>
      <c r="F8" s="27" t="inlineStr">
        <is>
          <t>Contract / Package Ref</t>
        </is>
      </c>
      <c r="G8" s="28">
        <f>"BAC — Budget at Completion ("&amp;IF(Proj_Currency="","CUR",Proj_Currency)&amp;")"</f>
        <v/>
      </c>
      <c r="H8" s="28" t="inlineStr">
        <is>
          <t>% of Total BAC</t>
        </is>
      </c>
      <c r="I8" s="27" t="inlineStr">
        <is>
          <t>EV Technique</t>
        </is>
      </c>
      <c r="J8" s="28" t="inlineStr">
        <is>
          <t>Planned Start</t>
        </is>
      </c>
      <c r="K8" s="28" t="inlineStr">
        <is>
          <t>Planned Finish</t>
        </is>
      </c>
      <c r="L8" s="28" t="inlineStr">
        <is>
          <t>Planned % Complete</t>
        </is>
      </c>
      <c r="M8" s="28">
        <f>"PV — Planned Value ("&amp;IF(Proj_Currency="","CUR",Proj_Currency)&amp;")"</f>
        <v/>
      </c>
      <c r="N8" s="28" t="inlineStr">
        <is>
          <t>Actual % Complete</t>
        </is>
      </c>
      <c r="O8" s="28">
        <f>"EV — Earned Value ("&amp;IF(Proj_Currency="","CUR",Proj_Currency)&amp;")"</f>
        <v/>
      </c>
      <c r="P8" s="28">
        <f>"AC — Actual Cost ("&amp;IF(Proj_Currency="","CUR",Proj_Currency)&amp;")"</f>
        <v/>
      </c>
      <c r="Q8" s="28">
        <f>"SV — Schedule Variance ("&amp;IF(Proj_Currency="","CUR",Proj_Currency)&amp;")"</f>
        <v/>
      </c>
      <c r="R8" s="28">
        <f>"CV — Cost Variance ("&amp;IF(Proj_Currency="","CUR",Proj_Currency)&amp;")"</f>
        <v/>
      </c>
      <c r="S8" s="28" t="inlineStr">
        <is>
          <t>SV %</t>
        </is>
      </c>
      <c r="T8" s="28" t="inlineStr">
        <is>
          <t>CV %</t>
        </is>
      </c>
      <c r="U8" s="28" t="inlineStr">
        <is>
          <t>SPI</t>
        </is>
      </c>
      <c r="V8" s="28" t="inlineStr">
        <is>
          <t>CPI</t>
        </is>
      </c>
      <c r="W8" s="28">
        <f>"EAC — Est. at Completion ("&amp;IF(Proj_Currency="","CUR",Proj_Currency)&amp;")"</f>
        <v/>
      </c>
      <c r="X8" s="28">
        <f>"ETC — Est. to Complete ("&amp;IF(Proj_Currency="","CUR",Proj_Currency)&amp;")"</f>
        <v/>
      </c>
      <c r="Y8" s="28">
        <f>"VAC — Variance at Completion ("&amp;IF(Proj_Currency="","CUR",Proj_Currency)&amp;")"</f>
        <v/>
      </c>
      <c r="Z8" s="28" t="inlineStr">
        <is>
          <t>TCPI</t>
        </is>
      </c>
      <c r="AA8" s="28" t="inlineStr">
        <is>
          <t>Status</t>
        </is>
      </c>
      <c r="AB8" s="27" t="inlineStr">
        <is>
          <t>Variance Explanation</t>
        </is>
      </c>
      <c r="AC8" s="27" t="inlineStr">
        <is>
          <t>Corrective Action</t>
        </is>
      </c>
      <c r="AD8" s="27" t="inlineStr">
        <is>
          <t>Notes</t>
        </is>
      </c>
    </row>
    <row r="9" ht="30" customHeight="1">
      <c r="A9" s="55" t="inlineStr">
        <is>
          <t>CB-01.01</t>
        </is>
      </c>
      <c r="B9" s="56" t="n">
        <v>2</v>
      </c>
      <c r="C9" s="55" t="inlineStr">
        <is>
          <t>CB-01</t>
        </is>
      </c>
      <c r="D9" s="55" t="inlineStr">
        <is>
          <t>Preliminaries, Site Establishment &amp; Management</t>
        </is>
      </c>
      <c r="E9" s="55" t="inlineStr">
        <is>
          <t>R. Okafor</t>
        </is>
      </c>
      <c r="F9" s="55" t="inlineStr">
        <is>
          <t>MC-001</t>
        </is>
      </c>
      <c r="G9" s="57" t="n">
        <v>3850000</v>
      </c>
      <c r="H9" s="40">
        <f>IF(OR($A9="",SUM($G$9:$G$208)=0,$G9=""),"",$G9/SUM($G$9:$G$208))</f>
        <v/>
      </c>
      <c r="I9" s="55" t="inlineStr">
        <is>
          <t>Level of Effort</t>
        </is>
      </c>
      <c r="J9" s="58" t="n">
        <v>45839</v>
      </c>
      <c r="K9" s="58" t="n">
        <v>46934</v>
      </c>
      <c r="L9" s="59">
        <f>IF(OR($A9="",$J9="",$K9="",Data_Date=""),"",IF(Data_Date&lt;=$J9,0,IF(Data_Date&gt;=$K9,1,(Data_Date-$J9)/($K9-$J9))))</f>
        <v/>
      </c>
      <c r="M9" s="31">
        <f>IF(OR($A9="",$G9="",$L9=""),"",$G9*$L9)</f>
        <v/>
      </c>
      <c r="N9" s="60" t="n">
        <v>0.36</v>
      </c>
      <c r="O9" s="31">
        <f>IF(OR($A9="",$G9="",$N9=""),"",$G9*$N9)</f>
        <v/>
      </c>
      <c r="P9" s="57" t="n">
        <v>1510000</v>
      </c>
      <c r="Q9" s="35">
        <f>IF(OR($O9="",$M9=""),"",$O9-$M9)</f>
        <v/>
      </c>
      <c r="R9" s="35">
        <f>IF(OR($O9="",$P9=""),"",$O9-$P9)</f>
        <v/>
      </c>
      <c r="S9" s="40">
        <f>IF(OR($Q9="",$M9="",$M9=0),"",$Q9/$M9)</f>
        <v/>
      </c>
      <c r="T9" s="40">
        <f>IF(OR($R9="",$O9="",$O9=0),"",$R9/$O9)</f>
        <v/>
      </c>
      <c r="U9" s="61">
        <f>IF(OR($O9="",$M9="",$M9=0),"",$O9/$M9)</f>
        <v/>
      </c>
      <c r="V9" s="61">
        <f>IF(OR($O9="",$P9="",$P9=0),"",$O9/$P9)</f>
        <v/>
      </c>
      <c r="W9" s="31">
        <f>IF(OR($A9="",$G9=""),"",IF(EAC_Idx=1,IF(OR($P9="",$O9=""),"",$P9+($G9-$O9)),IF(EAC_Idx=2,IF(OR($V9="",$V9=0),"",$G9/$V9),IF(EAC_Idx=3,IF(OR($V9="",$U9=""),"",IF($V9*$U9=0,"",$P9+($G9-$O9)/($V9*$U9))),IF(OR($P9="",$O9="",ETC_BottomUp="",ETC_BottomUp&lt;=0),"",$P9+($G9-$O9)*EAC_BU_Factor)))))</f>
        <v/>
      </c>
      <c r="X9" s="31">
        <f>IF(OR($W9="",$P9=""),"",$W9-$P9)</f>
        <v/>
      </c>
      <c r="Y9" s="35">
        <f>IF(OR($W9="",$G9=""),"",$G9-$W9)</f>
        <v/>
      </c>
      <c r="Z9" s="61">
        <f>IF(OR($A9="",$G9="",$O9="",$P9="",$G9-$P9=0),"",($G9-$O9)/($G9-$P9))</f>
        <v/>
      </c>
      <c r="AA9" s="54">
        <f>IF($A9="","",IF(AND($N9&lt;&gt;"",$N9&gt;=1,OR($V9="",$V9&gt;=Thr_Green)),"Complete",IF(AND($U9="",$V9=""),"Not started",IF(OR(AND($U9&lt;&gt;"",$U9&lt;Thr_Red),AND($V9&lt;&gt;"",$V9&lt;Thr_Red)),"Red",IF(OR(AND($U9&lt;&gt;"",$U9&lt;Thr_Green),AND($V9&lt;&gt;"",$V9&lt;Thr_Green)),"Amber","Green")))))</f>
        <v/>
      </c>
      <c r="AB9" s="62" t="inlineStr">
        <is>
          <t>Site management team held at full strength through the wet-season delay; LOE burns to plan so the variance is pure cost.</t>
        </is>
      </c>
      <c r="AC9" s="62" t="inlineStr">
        <is>
          <t>Re-forecast prelims to the revised programme; test whether two supervisory roles can demobilise from month 18.</t>
        </is>
      </c>
      <c r="AD9" s="55" t="inlineStr">
        <is>
          <t>EXAMPLE — delete before use</t>
        </is>
      </c>
    </row>
    <row r="10" ht="30" customHeight="1">
      <c r="A10" s="55" t="inlineStr">
        <is>
          <t>CB-01.02</t>
        </is>
      </c>
      <c r="B10" s="56" t="n">
        <v>2</v>
      </c>
      <c r="C10" s="55" t="inlineStr">
        <is>
          <t>CB-01</t>
        </is>
      </c>
      <c r="D10" s="55" t="inlineStr">
        <is>
          <t>Demolition &amp; Site Clearance</t>
        </is>
      </c>
      <c r="E10" s="55" t="inlineStr">
        <is>
          <t>R. Okafor</t>
        </is>
      </c>
      <c r="F10" s="55" t="inlineStr">
        <is>
          <t>SC-101</t>
        </is>
      </c>
      <c r="G10" s="57" t="n">
        <v>620000</v>
      </c>
      <c r="H10" s="40">
        <f>IF(OR($A10="",SUM($G$9:$G$208)=0,$G10=""),"",$G10/SUM($G$9:$G$208))</f>
        <v/>
      </c>
      <c r="I10" s="55" t="inlineStr">
        <is>
          <t>0/100</t>
        </is>
      </c>
      <c r="J10" s="58" t="n">
        <v>45839</v>
      </c>
      <c r="K10" s="58" t="n">
        <v>45930</v>
      </c>
      <c r="L10" s="59">
        <f>IF(OR($A10="",$J10="",$K10="",Data_Date=""),"",IF(Data_Date&lt;=$J10,0,IF(Data_Date&gt;=$K10,1,(Data_Date-$J10)/($K10-$J10))))</f>
        <v/>
      </c>
      <c r="M10" s="31">
        <f>IF(OR($A10="",$G10="",$L10=""),"",$G10*$L10)</f>
        <v/>
      </c>
      <c r="N10" s="60" t="n">
        <v>1</v>
      </c>
      <c r="O10" s="31">
        <f>IF(OR($A10="",$G10="",$N10=""),"",$G10*$N10)</f>
        <v/>
      </c>
      <c r="P10" s="57" t="n">
        <v>598000</v>
      </c>
      <c r="Q10" s="35">
        <f>IF(OR($O10="",$M10=""),"",$O10-$M10)</f>
        <v/>
      </c>
      <c r="R10" s="35">
        <f>IF(OR($O10="",$P10=""),"",$O10-$P10)</f>
        <v/>
      </c>
      <c r="S10" s="40">
        <f>IF(OR($Q10="",$M10="",$M10=0),"",$Q10/$M10)</f>
        <v/>
      </c>
      <c r="T10" s="40">
        <f>IF(OR($R10="",$O10="",$O10=0),"",$R10/$O10)</f>
        <v/>
      </c>
      <c r="U10" s="61">
        <f>IF(OR($O10="",$M10="",$M10=0),"",$O10/$M10)</f>
        <v/>
      </c>
      <c r="V10" s="61">
        <f>IF(OR($O10="",$P10="",$P10=0),"",$O10/$P10)</f>
        <v/>
      </c>
      <c r="W10" s="31">
        <f>IF(OR($A10="",$G10=""),"",IF(EAC_Idx=1,IF(OR($P10="",$O10=""),"",$P10+($G10-$O10)),IF(EAC_Idx=2,IF(OR($V10="",$V10=0),"",$G10/$V10),IF(EAC_Idx=3,IF(OR($V10="",$U10=""),"",IF($V10*$U10=0,"",$P10+($G10-$O10)/($V10*$U10))),IF(OR($P10="",$O10="",ETC_BottomUp="",ETC_BottomUp&lt;=0),"",$P10+($G10-$O10)*EAC_BU_Factor)))))</f>
        <v/>
      </c>
      <c r="X10" s="31">
        <f>IF(OR($W10="",$P10=""),"",$W10-$P10)</f>
        <v/>
      </c>
      <c r="Y10" s="35">
        <f>IF(OR($W10="",$G10=""),"",$G10-$W10)</f>
        <v/>
      </c>
      <c r="Z10" s="61">
        <f>IF(OR($A10="",$G10="",$O10="",$P10="",$G10-$P10=0),"",($G10-$O10)/($G10-$P10))</f>
        <v/>
      </c>
      <c r="AA10" s="54">
        <f>IF($A10="","",IF(AND($N10&lt;&gt;"",$N10&gt;=1,OR($V10="",$V10&gt;=Thr_Green)),"Complete",IF(AND($U10="",$V10=""),"Not started",IF(OR(AND($U10&lt;&gt;"",$U10&lt;Thr_Red),AND($V10&lt;&gt;"",$V10&lt;Thr_Red)),"Red",IF(OR(AND($U10&lt;&gt;"",$U10&lt;Thr_Green),AND($V10&lt;&gt;"",$V10&lt;Thr_Green)),"Amber","Green")))))</f>
        <v/>
      </c>
      <c r="AB10" s="63" t="n"/>
      <c r="AC10" s="63" t="n"/>
      <c r="AD10" s="55" t="inlineStr">
        <is>
          <t>EXAMPLE — delete before use</t>
        </is>
      </c>
    </row>
    <row r="11" ht="30" customHeight="1">
      <c r="A11" s="55" t="inlineStr">
        <is>
          <t>CB-01.03</t>
        </is>
      </c>
      <c r="B11" s="56" t="n">
        <v>2</v>
      </c>
      <c r="C11" s="55" t="inlineStr">
        <is>
          <t>CB-01</t>
        </is>
      </c>
      <c r="D11" s="55" t="inlineStr">
        <is>
          <t>Bulk Excavation &amp; Earthworks</t>
        </is>
      </c>
      <c r="E11" s="55" t="inlineStr">
        <is>
          <t>L. Fernandes</t>
        </is>
      </c>
      <c r="F11" s="55" t="inlineStr">
        <is>
          <t>SC-102</t>
        </is>
      </c>
      <c r="G11" s="57" t="n">
        <v>1480000</v>
      </c>
      <c r="H11" s="40">
        <f>IF(OR($A11="",SUM($G$9:$G$208)=0,$G11=""),"",$G11/SUM($G$9:$G$208))</f>
        <v/>
      </c>
      <c r="I11" s="55" t="inlineStr">
        <is>
          <t>Units Complete</t>
        </is>
      </c>
      <c r="J11" s="58" t="n">
        <v>45901</v>
      </c>
      <c r="K11" s="58" t="n">
        <v>46022</v>
      </c>
      <c r="L11" s="59">
        <f>IF(OR($A11="",$J11="",$K11="",Data_Date=""),"",IF(Data_Date&lt;=$J11,0,IF(Data_Date&gt;=$K11,1,(Data_Date-$J11)/($K11-$J11))))</f>
        <v/>
      </c>
      <c r="M11" s="31">
        <f>IF(OR($A11="",$G11="",$L11=""),"",$G11*$L11)</f>
        <v/>
      </c>
      <c r="N11" s="60" t="n">
        <v>1</v>
      </c>
      <c r="O11" s="31">
        <f>IF(OR($A11="",$G11="",$N11=""),"",$G11*$N11)</f>
        <v/>
      </c>
      <c r="P11" s="57" t="n">
        <v>1655000</v>
      </c>
      <c r="Q11" s="35">
        <f>IF(OR($O11="",$M11=""),"",$O11-$M11)</f>
        <v/>
      </c>
      <c r="R11" s="35">
        <f>IF(OR($O11="",$P11=""),"",$O11-$P11)</f>
        <v/>
      </c>
      <c r="S11" s="40">
        <f>IF(OR($Q11="",$M11="",$M11=0),"",$Q11/$M11)</f>
        <v/>
      </c>
      <c r="T11" s="40">
        <f>IF(OR($R11="",$O11="",$O11=0),"",$R11/$O11)</f>
        <v/>
      </c>
      <c r="U11" s="61">
        <f>IF(OR($O11="",$M11="",$M11=0),"",$O11/$M11)</f>
        <v/>
      </c>
      <c r="V11" s="61">
        <f>IF(OR($O11="",$P11="",$P11=0),"",$O11/$P11)</f>
        <v/>
      </c>
      <c r="W11" s="31">
        <f>IF(OR($A11="",$G11=""),"",IF(EAC_Idx=1,IF(OR($P11="",$O11=""),"",$P11+($G11-$O11)),IF(EAC_Idx=2,IF(OR($V11="",$V11=0),"",$G11/$V11),IF(EAC_Idx=3,IF(OR($V11="",$U11=""),"",IF($V11*$U11=0,"",$P11+($G11-$O11)/($V11*$U11))),IF(OR($P11="",$O11="",ETC_BottomUp="",ETC_BottomUp&lt;=0),"",$P11+($G11-$O11)*EAC_BU_Factor)))))</f>
        <v/>
      </c>
      <c r="X11" s="31">
        <f>IF(OR($W11="",$P11=""),"",$W11-$P11)</f>
        <v/>
      </c>
      <c r="Y11" s="35">
        <f>IF(OR($W11="",$G11=""),"",$G11-$W11)</f>
        <v/>
      </c>
      <c r="Z11" s="61">
        <f>IF(OR($A11="",$G11="",$O11="",$P11="",$G11-$P11=0),"",($G11-$O11)/($G11-$P11))</f>
        <v/>
      </c>
      <c r="AA11" s="54">
        <f>IF($A11="","",IF(AND($N11&lt;&gt;"",$N11&gt;=1,OR($V11="",$V11&gt;=Thr_Green)),"Complete",IF(AND($U11="",$V11=""),"Not started",IF(OR(AND($U11&lt;&gt;"",$U11&lt;Thr_Red),AND($V11&lt;&gt;"",$V11&lt;Thr_Red)),"Red",IF(OR(AND($U11&lt;&gt;"",$U11&lt;Thr_Green),AND($V11&lt;&gt;"",$V11&lt;Thr_Green)),"Amber","Green")))))</f>
        <v/>
      </c>
      <c r="AB11" s="62" t="inlineStr">
        <is>
          <t>Rock encountered below RL 12.4 over roughly 30% of the footprint — hammer and cart rates well above the tendered assumption.</t>
        </is>
      </c>
      <c r="AC11" s="62" t="inlineStr">
        <is>
          <t>Variation VO-004 submitted for latent condition; recover 60% of the overrun if approved. Treat as a BAC change only once approved.</t>
        </is>
      </c>
      <c r="AD11" s="55" t="inlineStr">
        <is>
          <t>EXAMPLE — delete before use</t>
        </is>
      </c>
    </row>
    <row r="12" ht="30" customHeight="1">
      <c r="A12" s="55" t="inlineStr">
        <is>
          <t>CB-01.04</t>
        </is>
      </c>
      <c r="B12" s="56" t="n">
        <v>2</v>
      </c>
      <c r="C12" s="55" t="inlineStr">
        <is>
          <t>CB-01</t>
        </is>
      </c>
      <c r="D12" s="55" t="inlineStr">
        <is>
          <t>Piling &amp; Ground Improvement</t>
        </is>
      </c>
      <c r="E12" s="55" t="inlineStr">
        <is>
          <t>L. Fernandes</t>
        </is>
      </c>
      <c r="F12" s="55" t="inlineStr">
        <is>
          <t>SC-103</t>
        </is>
      </c>
      <c r="G12" s="57" t="n">
        <v>2950000</v>
      </c>
      <c r="H12" s="40">
        <f>IF(OR($A12="",SUM($G$9:$G$208)=0,$G12=""),"",$G12/SUM($G$9:$G$208))</f>
        <v/>
      </c>
      <c r="I12" s="55" t="inlineStr">
        <is>
          <t>Units Complete</t>
        </is>
      </c>
      <c r="J12" s="58" t="n">
        <v>45962</v>
      </c>
      <c r="K12" s="58" t="n">
        <v>46112</v>
      </c>
      <c r="L12" s="59">
        <f>IF(OR($A12="",$J12="",$K12="",Data_Date=""),"",IF(Data_Date&lt;=$J12,0,IF(Data_Date&gt;=$K12,1,(Data_Date-$J12)/($K12-$J12))))</f>
        <v/>
      </c>
      <c r="M12" s="31">
        <f>IF(OR($A12="",$G12="",$L12=""),"",$G12*$L12)</f>
        <v/>
      </c>
      <c r="N12" s="60" t="n">
        <v>1</v>
      </c>
      <c r="O12" s="31">
        <f>IF(OR($A12="",$G12="",$N12=""),"",$G12*$N12)</f>
        <v/>
      </c>
      <c r="P12" s="57" t="n">
        <v>3120000</v>
      </c>
      <c r="Q12" s="35">
        <f>IF(OR($O12="",$M12=""),"",$O12-$M12)</f>
        <v/>
      </c>
      <c r="R12" s="35">
        <f>IF(OR($O12="",$P12=""),"",$O12-$P12)</f>
        <v/>
      </c>
      <c r="S12" s="40">
        <f>IF(OR($Q12="",$M12="",$M12=0),"",$Q12/$M12)</f>
        <v/>
      </c>
      <c r="T12" s="40">
        <f>IF(OR($R12="",$O12="",$O12=0),"",$R12/$O12)</f>
        <v/>
      </c>
      <c r="U12" s="61">
        <f>IF(OR($O12="",$M12="",$M12=0),"",$O12/$M12)</f>
        <v/>
      </c>
      <c r="V12" s="61">
        <f>IF(OR($O12="",$P12="",$P12=0),"",$O12/$P12)</f>
        <v/>
      </c>
      <c r="W12" s="31">
        <f>IF(OR($A12="",$G12=""),"",IF(EAC_Idx=1,IF(OR($P12="",$O12=""),"",$P12+($G12-$O12)),IF(EAC_Idx=2,IF(OR($V12="",$V12=0),"",$G12/$V12),IF(EAC_Idx=3,IF(OR($V12="",$U12=""),"",IF($V12*$U12=0,"",$P12+($G12-$O12)/($V12*$U12))),IF(OR($P12="",$O12="",ETC_BottomUp="",ETC_BottomUp&lt;=0),"",$P12+($G12-$O12)*EAC_BU_Factor)))))</f>
        <v/>
      </c>
      <c r="X12" s="31">
        <f>IF(OR($W12="",$P12=""),"",$W12-$P12)</f>
        <v/>
      </c>
      <c r="Y12" s="35">
        <f>IF(OR($W12="",$G12=""),"",$G12-$W12)</f>
        <v/>
      </c>
      <c r="Z12" s="61">
        <f>IF(OR($A12="",$G12="",$O12="",$P12="",$G12-$P12=0),"",($G12-$O12)/($G12-$P12))</f>
        <v/>
      </c>
      <c r="AA12" s="54">
        <f>IF($A12="","",IF(AND($N12&lt;&gt;"",$N12&gt;=1,OR($V12="",$V12&gt;=Thr_Green)),"Complete",IF(AND($U12="",$V12=""),"Not started",IF(OR(AND($U12&lt;&gt;"",$U12&lt;Thr_Red),AND($V12&lt;&gt;"",$V12&lt;Thr_Red)),"Red",IF(OR(AND($U12&lt;&gt;"",$U12&lt;Thr_Green),AND($V12&lt;&gt;"",$V12&lt;Thr_Green)),"Amber","Green")))))</f>
        <v/>
      </c>
      <c r="AB12" s="62" t="inlineStr">
        <is>
          <t>Rig standing time during the rock delay plus 14 additional CFA piles from the revised geotechnical model.</t>
        </is>
      </c>
      <c r="AC12" s="62" t="inlineStr">
        <is>
          <t>Close out standing-time claim; lock the pile schedule before the next release.</t>
        </is>
      </c>
      <c r="AD12" s="55" t="inlineStr">
        <is>
          <t>EXAMPLE — delete before use</t>
        </is>
      </c>
    </row>
    <row r="13" ht="30" customHeight="1">
      <c r="A13" s="55" t="inlineStr">
        <is>
          <t>CB-01.05</t>
        </is>
      </c>
      <c r="B13" s="56" t="n">
        <v>2</v>
      </c>
      <c r="C13" s="55" t="inlineStr">
        <is>
          <t>CB-01</t>
        </is>
      </c>
      <c r="D13" s="55" t="inlineStr">
        <is>
          <t>Substructure, Basement &amp; Ground Slab</t>
        </is>
      </c>
      <c r="E13" s="55" t="inlineStr">
        <is>
          <t>L. Fernandes</t>
        </is>
      </c>
      <c r="F13" s="55" t="inlineStr">
        <is>
          <t>SC-104</t>
        </is>
      </c>
      <c r="G13" s="57" t="n">
        <v>4320000</v>
      </c>
      <c r="H13" s="40">
        <f>IF(OR($A13="",SUM($G$9:$G$208)=0,$G13=""),"",$G13/SUM($G$9:$G$208))</f>
        <v/>
      </c>
      <c r="I13" s="55" t="inlineStr">
        <is>
          <t>% Complete</t>
        </is>
      </c>
      <c r="J13" s="58" t="n">
        <v>46054</v>
      </c>
      <c r="K13" s="58" t="n">
        <v>46265</v>
      </c>
      <c r="L13" s="59">
        <f>IF(OR($A13="",$J13="",$K13="",Data_Date=""),"",IF(Data_Date&lt;=$J13,0,IF(Data_Date&gt;=$K13,1,(Data_Date-$J13)/($K13-$J13))))</f>
        <v/>
      </c>
      <c r="M13" s="31">
        <f>IF(OR($A13="",$G13="",$L13=""),"",$G13*$L13)</f>
        <v/>
      </c>
      <c r="N13" s="60" t="n">
        <v>0.78</v>
      </c>
      <c r="O13" s="31">
        <f>IF(OR($A13="",$G13="",$N13=""),"",$G13*$N13)</f>
        <v/>
      </c>
      <c r="P13" s="57" t="n">
        <v>3480000</v>
      </c>
      <c r="Q13" s="35">
        <f>IF(OR($O13="",$M13=""),"",$O13-$M13)</f>
        <v/>
      </c>
      <c r="R13" s="35">
        <f>IF(OR($O13="",$P13=""),"",$O13-$P13)</f>
        <v/>
      </c>
      <c r="S13" s="40">
        <f>IF(OR($Q13="",$M13="",$M13=0),"",$Q13/$M13)</f>
        <v/>
      </c>
      <c r="T13" s="40">
        <f>IF(OR($R13="",$O13="",$O13=0),"",$R13/$O13)</f>
        <v/>
      </c>
      <c r="U13" s="61">
        <f>IF(OR($O13="",$M13="",$M13=0),"",$O13/$M13)</f>
        <v/>
      </c>
      <c r="V13" s="61">
        <f>IF(OR($O13="",$P13="",$P13=0),"",$O13/$P13)</f>
        <v/>
      </c>
      <c r="W13" s="31">
        <f>IF(OR($A13="",$G13=""),"",IF(EAC_Idx=1,IF(OR($P13="",$O13=""),"",$P13+($G13-$O13)),IF(EAC_Idx=2,IF(OR($V13="",$V13=0),"",$G13/$V13),IF(EAC_Idx=3,IF(OR($V13="",$U13=""),"",IF($V13*$U13=0,"",$P13+($G13-$O13)/($V13*$U13))),IF(OR($P13="",$O13="",ETC_BottomUp="",ETC_BottomUp&lt;=0),"",$P13+($G13-$O13)*EAC_BU_Factor)))))</f>
        <v/>
      </c>
      <c r="X13" s="31">
        <f>IF(OR($W13="",$P13=""),"",$W13-$P13)</f>
        <v/>
      </c>
      <c r="Y13" s="35">
        <f>IF(OR($W13="",$G13=""),"",$G13-$W13)</f>
        <v/>
      </c>
      <c r="Z13" s="61">
        <f>IF(OR($A13="",$G13="",$O13="",$P13="",$G13-$P13=0),"",($G13-$O13)/($G13-$P13))</f>
        <v/>
      </c>
      <c r="AA13" s="54">
        <f>IF($A13="","",IF(AND($N13&lt;&gt;"",$N13&gt;=1,OR($V13="",$V13&gt;=Thr_Green)),"Complete",IF(AND($U13="",$V13=""),"Not started",IF(OR(AND($U13&lt;&gt;"",$U13&lt;Thr_Red),AND($V13&lt;&gt;"",$V13&lt;Thr_Red)),"Red",IF(OR(AND($U13&lt;&gt;"",$U13&lt;Thr_Green),AND($V13&lt;&gt;"",$V13&lt;Thr_Green)),"Amber","Green")))))</f>
        <v/>
      </c>
      <c r="AB13" s="62" t="inlineStr">
        <is>
          <t>Basement slab pour sequence slipped two weeks behind the baseline; cost performance broadly holding.</t>
        </is>
      </c>
      <c r="AC13" s="62" t="inlineStr">
        <is>
          <t>Add a second pour crew for the remaining three pours to recover float before frame handover.</t>
        </is>
      </c>
      <c r="AD13" s="55" t="inlineStr">
        <is>
          <t>EXAMPLE — delete before use</t>
        </is>
      </c>
    </row>
    <row r="14" ht="30" customHeight="1">
      <c r="A14" s="55" t="inlineStr">
        <is>
          <t>CB-01.06</t>
        </is>
      </c>
      <c r="B14" s="56" t="n">
        <v>2</v>
      </c>
      <c r="C14" s="55" t="inlineStr">
        <is>
          <t>CB-01</t>
        </is>
      </c>
      <c r="D14" s="55" t="inlineStr">
        <is>
          <t>Superstructure — Concrete Frame &amp; Cores</t>
        </is>
      </c>
      <c r="E14" s="55" t="inlineStr">
        <is>
          <t>M. Haddad</t>
        </is>
      </c>
      <c r="F14" s="55" t="inlineStr">
        <is>
          <t>SC-201</t>
        </is>
      </c>
      <c r="G14" s="57" t="n">
        <v>9600000</v>
      </c>
      <c r="H14" s="40">
        <f>IF(OR($A14="",SUM($G$9:$G$208)=0,$G14=""),"",$G14/SUM($G$9:$G$208))</f>
        <v/>
      </c>
      <c r="I14" s="55" t="inlineStr">
        <is>
          <t>% Complete</t>
        </is>
      </c>
      <c r="J14" s="58" t="n">
        <v>46174</v>
      </c>
      <c r="K14" s="58" t="n">
        <v>46568</v>
      </c>
      <c r="L14" s="59">
        <f>IF(OR($A14="",$J14="",$K14="",Data_Date=""),"",IF(Data_Date&lt;=$J14,0,IF(Data_Date&gt;=$K14,1,(Data_Date-$J14)/($K14-$J14))))</f>
        <v/>
      </c>
      <c r="M14" s="31">
        <f>IF(OR($A14="",$G14="",$L14=""),"",$G14*$L14)</f>
        <v/>
      </c>
      <c r="N14" s="60" t="n">
        <v>0.11</v>
      </c>
      <c r="O14" s="31">
        <f>IF(OR($A14="",$G14="",$N14=""),"",$G14*$N14)</f>
        <v/>
      </c>
      <c r="P14" s="57" t="n">
        <v>1090000</v>
      </c>
      <c r="Q14" s="35">
        <f>IF(OR($O14="",$M14=""),"",$O14-$M14)</f>
        <v/>
      </c>
      <c r="R14" s="35">
        <f>IF(OR($O14="",$P14=""),"",$O14-$P14)</f>
        <v/>
      </c>
      <c r="S14" s="40">
        <f>IF(OR($Q14="",$M14="",$M14=0),"",$Q14/$M14)</f>
        <v/>
      </c>
      <c r="T14" s="40">
        <f>IF(OR($R14="",$O14="",$O14=0),"",$R14/$O14)</f>
        <v/>
      </c>
      <c r="U14" s="61">
        <f>IF(OR($O14="",$M14="",$M14=0),"",$O14/$M14)</f>
        <v/>
      </c>
      <c r="V14" s="61">
        <f>IF(OR($O14="",$P14="",$P14=0),"",$O14/$P14)</f>
        <v/>
      </c>
      <c r="W14" s="31">
        <f>IF(OR($A14="",$G14=""),"",IF(EAC_Idx=1,IF(OR($P14="",$O14=""),"",$P14+($G14-$O14)),IF(EAC_Idx=2,IF(OR($V14="",$V14=0),"",$G14/$V14),IF(EAC_Idx=3,IF(OR($V14="",$U14=""),"",IF($V14*$U14=0,"",$P14+($G14-$O14)/($V14*$U14))),IF(OR($P14="",$O14="",ETC_BottomUp="",ETC_BottomUp&lt;=0),"",$P14+($G14-$O14)*EAC_BU_Factor)))))</f>
        <v/>
      </c>
      <c r="X14" s="31">
        <f>IF(OR($W14="",$P14=""),"",$W14-$P14)</f>
        <v/>
      </c>
      <c r="Y14" s="35">
        <f>IF(OR($W14="",$G14=""),"",$G14-$W14)</f>
        <v/>
      </c>
      <c r="Z14" s="61">
        <f>IF(OR($A14="",$G14="",$O14="",$P14="",$G14-$P14=0),"",($G14-$O14)/($G14-$P14))</f>
        <v/>
      </c>
      <c r="AA14" s="54">
        <f>IF($A14="","",IF(AND($N14&lt;&gt;"",$N14&gt;=1,OR($V14="",$V14&gt;=Thr_Green)),"Complete",IF(AND($U14="",$V14=""),"Not started",IF(OR(AND($U14&lt;&gt;"",$U14&lt;Thr_Red),AND($V14&lt;&gt;"",$V14&lt;Thr_Red)),"Red",IF(OR(AND($U14&lt;&gt;"",$U14&lt;Thr_Green),AND($V14&lt;&gt;"",$V14&lt;Thr_Green)),"Amber","Green")))))</f>
        <v/>
      </c>
      <c r="AB14" s="62" t="inlineStr">
        <is>
          <t>Frame start delayed by the substructure slip; only two levels of columns poured against four in the baseline.</t>
        </is>
      </c>
      <c r="AC14" s="62" t="inlineStr">
        <is>
          <t>Confirm crane and formwork availability for a compressed cycle; re-test the frame completion date at the next update.</t>
        </is>
      </c>
      <c r="AD14" s="55" t="inlineStr">
        <is>
          <t>EXAMPLE — delete before use</t>
        </is>
      </c>
    </row>
    <row r="15" ht="30" customHeight="1">
      <c r="A15" s="55" t="inlineStr">
        <is>
          <t>CB-01.07</t>
        </is>
      </c>
      <c r="B15" s="56" t="n">
        <v>2</v>
      </c>
      <c r="C15" s="55" t="inlineStr">
        <is>
          <t>CB-01</t>
        </is>
      </c>
      <c r="D15" s="55" t="inlineStr">
        <is>
          <t>Façade &amp; Cladding</t>
        </is>
      </c>
      <c r="E15" s="55" t="inlineStr">
        <is>
          <t>M. Haddad</t>
        </is>
      </c>
      <c r="F15" s="55" t="inlineStr">
        <is>
          <t>SC-301</t>
        </is>
      </c>
      <c r="G15" s="57" t="n">
        <v>6750000</v>
      </c>
      <c r="H15" s="40">
        <f>IF(OR($A15="",SUM($G$9:$G$208)=0,$G15=""),"",$G15/SUM($G$9:$G$208))</f>
        <v/>
      </c>
      <c r="I15" s="55" t="inlineStr">
        <is>
          <t>Milestone Weighted</t>
        </is>
      </c>
      <c r="J15" s="58" t="n">
        <v>46388</v>
      </c>
      <c r="K15" s="58" t="n">
        <v>46752</v>
      </c>
      <c r="L15" s="59">
        <f>IF(OR($A15="",$J15="",$K15="",Data_Date=""),"",IF(Data_Date&lt;=$J15,0,IF(Data_Date&gt;=$K15,1,(Data_Date-$J15)/($K15-$J15))))</f>
        <v/>
      </c>
      <c r="M15" s="31">
        <f>IF(OR($A15="",$G15="",$L15=""),"",$G15*$L15)</f>
        <v/>
      </c>
      <c r="N15" s="60" t="n">
        <v>0</v>
      </c>
      <c r="O15" s="31">
        <f>IF(OR($A15="",$G15="",$N15=""),"",$G15*$N15)</f>
        <v/>
      </c>
      <c r="P15" s="64" t="n"/>
      <c r="Q15" s="35">
        <f>IF(OR($O15="",$M15=""),"",$O15-$M15)</f>
        <v/>
      </c>
      <c r="R15" s="35">
        <f>IF(OR($O15="",$P15=""),"",$O15-$P15)</f>
        <v/>
      </c>
      <c r="S15" s="40">
        <f>IF(OR($Q15="",$M15="",$M15=0),"",$Q15/$M15)</f>
        <v/>
      </c>
      <c r="T15" s="40">
        <f>IF(OR($R15="",$O15="",$O15=0),"",$R15/$O15)</f>
        <v/>
      </c>
      <c r="U15" s="61">
        <f>IF(OR($O15="",$M15="",$M15=0),"",$O15/$M15)</f>
        <v/>
      </c>
      <c r="V15" s="61">
        <f>IF(OR($O15="",$P15="",$P15=0),"",$O15/$P15)</f>
        <v/>
      </c>
      <c r="W15" s="31">
        <f>IF(OR($A15="",$G15=""),"",IF(EAC_Idx=1,IF(OR($P15="",$O15=""),"",$P15+($G15-$O15)),IF(EAC_Idx=2,IF(OR($V15="",$V15=0),"",$G15/$V15),IF(EAC_Idx=3,IF(OR($V15="",$U15=""),"",IF($V15*$U15=0,"",$P15+($G15-$O15)/($V15*$U15))),IF(OR($P15="",$O15="",ETC_BottomUp="",ETC_BottomUp&lt;=0),"",$P15+($G15-$O15)*EAC_BU_Factor)))))</f>
        <v/>
      </c>
      <c r="X15" s="31">
        <f>IF(OR($W15="",$P15=""),"",$W15-$P15)</f>
        <v/>
      </c>
      <c r="Y15" s="35">
        <f>IF(OR($W15="",$G15=""),"",$G15-$W15)</f>
        <v/>
      </c>
      <c r="Z15" s="61">
        <f>IF(OR($A15="",$G15="",$O15="",$P15="",$G15-$P15=0),"",($G15-$O15)/($G15-$P15))</f>
        <v/>
      </c>
      <c r="AA15" s="54">
        <f>IF($A15="","",IF(AND($N15&lt;&gt;"",$N15&gt;=1,OR($V15="",$V15&gt;=Thr_Green)),"Complete",IF(AND($U15="",$V15=""),"Not started",IF(OR(AND($U15&lt;&gt;"",$U15&lt;Thr_Red),AND($V15&lt;&gt;"",$V15&lt;Thr_Red)),"Red",IF(OR(AND($U15&lt;&gt;"",$U15&lt;Thr_Green),AND($V15&lt;&gt;"",$V15&lt;Thr_Green)),"Amber","Green")))))</f>
        <v/>
      </c>
      <c r="AB15" s="63" t="n"/>
      <c r="AC15" s="63" t="n"/>
      <c r="AD15" s="55" t="inlineStr">
        <is>
          <t>EXAMPLE — delete before use</t>
        </is>
      </c>
    </row>
    <row r="16" ht="30" customHeight="1">
      <c r="A16" s="55" t="inlineStr">
        <is>
          <t>CB-01.08</t>
        </is>
      </c>
      <c r="B16" s="56" t="n">
        <v>2</v>
      </c>
      <c r="C16" s="55" t="inlineStr">
        <is>
          <t>CB-01</t>
        </is>
      </c>
      <c r="D16" s="55" t="inlineStr">
        <is>
          <t>Roofing &amp; Waterproofing</t>
        </is>
      </c>
      <c r="E16" s="55" t="inlineStr">
        <is>
          <t>M. Haddad</t>
        </is>
      </c>
      <c r="F16" s="55" t="inlineStr">
        <is>
          <t>SC-302</t>
        </is>
      </c>
      <c r="G16" s="57" t="n">
        <v>1240000</v>
      </c>
      <c r="H16" s="40">
        <f>IF(OR($A16="",SUM($G$9:$G$208)=0,$G16=""),"",$G16/SUM($G$9:$G$208))</f>
        <v/>
      </c>
      <c r="I16" s="55" t="inlineStr">
        <is>
          <t>50/50</t>
        </is>
      </c>
      <c r="J16" s="58" t="n">
        <v>46508</v>
      </c>
      <c r="K16" s="58" t="n">
        <v>46691</v>
      </c>
      <c r="L16" s="59">
        <f>IF(OR($A16="",$J16="",$K16="",Data_Date=""),"",IF(Data_Date&lt;=$J16,0,IF(Data_Date&gt;=$K16,1,(Data_Date-$J16)/($K16-$J16))))</f>
        <v/>
      </c>
      <c r="M16" s="31">
        <f>IF(OR($A16="",$G16="",$L16=""),"",$G16*$L16)</f>
        <v/>
      </c>
      <c r="N16" s="60" t="n">
        <v>0</v>
      </c>
      <c r="O16" s="31">
        <f>IF(OR($A16="",$G16="",$N16=""),"",$G16*$N16)</f>
        <v/>
      </c>
      <c r="P16" s="64" t="n"/>
      <c r="Q16" s="35">
        <f>IF(OR($O16="",$M16=""),"",$O16-$M16)</f>
        <v/>
      </c>
      <c r="R16" s="35">
        <f>IF(OR($O16="",$P16=""),"",$O16-$P16)</f>
        <v/>
      </c>
      <c r="S16" s="40">
        <f>IF(OR($Q16="",$M16="",$M16=0),"",$Q16/$M16)</f>
        <v/>
      </c>
      <c r="T16" s="40">
        <f>IF(OR($R16="",$O16="",$O16=0),"",$R16/$O16)</f>
        <v/>
      </c>
      <c r="U16" s="61">
        <f>IF(OR($O16="",$M16="",$M16=0),"",$O16/$M16)</f>
        <v/>
      </c>
      <c r="V16" s="61">
        <f>IF(OR($O16="",$P16="",$P16=0),"",$O16/$P16)</f>
        <v/>
      </c>
      <c r="W16" s="31">
        <f>IF(OR($A16="",$G16=""),"",IF(EAC_Idx=1,IF(OR($P16="",$O16=""),"",$P16+($G16-$O16)),IF(EAC_Idx=2,IF(OR($V16="",$V16=0),"",$G16/$V16),IF(EAC_Idx=3,IF(OR($V16="",$U16=""),"",IF($V16*$U16=0,"",$P16+($G16-$O16)/($V16*$U16))),IF(OR($P16="",$O16="",ETC_BottomUp="",ETC_BottomUp&lt;=0),"",$P16+($G16-$O16)*EAC_BU_Factor)))))</f>
        <v/>
      </c>
      <c r="X16" s="31">
        <f>IF(OR($W16="",$P16=""),"",$W16-$P16)</f>
        <v/>
      </c>
      <c r="Y16" s="35">
        <f>IF(OR($W16="",$G16=""),"",$G16-$W16)</f>
        <v/>
      </c>
      <c r="Z16" s="61">
        <f>IF(OR($A16="",$G16="",$O16="",$P16="",$G16-$P16=0),"",($G16-$O16)/($G16-$P16))</f>
        <v/>
      </c>
      <c r="AA16" s="54">
        <f>IF($A16="","",IF(AND($N16&lt;&gt;"",$N16&gt;=1,OR($V16="",$V16&gt;=Thr_Green)),"Complete",IF(AND($U16="",$V16=""),"Not started",IF(OR(AND($U16&lt;&gt;"",$U16&lt;Thr_Red),AND($V16&lt;&gt;"",$V16&lt;Thr_Red)),"Red",IF(OR(AND($U16&lt;&gt;"",$U16&lt;Thr_Green),AND($V16&lt;&gt;"",$V16&lt;Thr_Green)),"Amber","Green")))))</f>
        <v/>
      </c>
      <c r="AB16" s="63" t="n"/>
      <c r="AC16" s="63" t="n"/>
      <c r="AD16" s="55" t="inlineStr">
        <is>
          <t>EXAMPLE — delete before use</t>
        </is>
      </c>
    </row>
    <row r="17" ht="30" customHeight="1">
      <c r="A17" s="55" t="inlineStr">
        <is>
          <t>CB-01.09</t>
        </is>
      </c>
      <c r="B17" s="56" t="n">
        <v>2</v>
      </c>
      <c r="C17" s="55" t="inlineStr">
        <is>
          <t>CB-01</t>
        </is>
      </c>
      <c r="D17" s="55" t="inlineStr">
        <is>
          <t>Internal Fitout &amp; Finishes</t>
        </is>
      </c>
      <c r="E17" s="55" t="inlineStr">
        <is>
          <t>S. Nguyen</t>
        </is>
      </c>
      <c r="F17" s="55" t="inlineStr">
        <is>
          <t>SC-401</t>
        </is>
      </c>
      <c r="G17" s="57" t="n">
        <v>5900000</v>
      </c>
      <c r="H17" s="40">
        <f>IF(OR($A17="",SUM($G$9:$G$208)=0,$G17=""),"",$G17/SUM($G$9:$G$208))</f>
        <v/>
      </c>
      <c r="I17" s="55" t="inlineStr">
        <is>
          <t>% Complete</t>
        </is>
      </c>
      <c r="J17" s="58" t="n">
        <v>46600</v>
      </c>
      <c r="K17" s="58" t="n">
        <v>46873</v>
      </c>
      <c r="L17" s="59">
        <f>IF(OR($A17="",$J17="",$K17="",Data_Date=""),"",IF(Data_Date&lt;=$J17,0,IF(Data_Date&gt;=$K17,1,(Data_Date-$J17)/($K17-$J17))))</f>
        <v/>
      </c>
      <c r="M17" s="31">
        <f>IF(OR($A17="",$G17="",$L17=""),"",$G17*$L17)</f>
        <v/>
      </c>
      <c r="N17" s="60" t="n">
        <v>0</v>
      </c>
      <c r="O17" s="31">
        <f>IF(OR($A17="",$G17="",$N17=""),"",$G17*$N17)</f>
        <v/>
      </c>
      <c r="P17" s="64" t="n"/>
      <c r="Q17" s="35">
        <f>IF(OR($O17="",$M17=""),"",$O17-$M17)</f>
        <v/>
      </c>
      <c r="R17" s="35">
        <f>IF(OR($O17="",$P17=""),"",$O17-$P17)</f>
        <v/>
      </c>
      <c r="S17" s="40">
        <f>IF(OR($Q17="",$M17="",$M17=0),"",$Q17/$M17)</f>
        <v/>
      </c>
      <c r="T17" s="40">
        <f>IF(OR($R17="",$O17="",$O17=0),"",$R17/$O17)</f>
        <v/>
      </c>
      <c r="U17" s="61">
        <f>IF(OR($O17="",$M17="",$M17=0),"",$O17/$M17)</f>
        <v/>
      </c>
      <c r="V17" s="61">
        <f>IF(OR($O17="",$P17="",$P17=0),"",$O17/$P17)</f>
        <v/>
      </c>
      <c r="W17" s="31">
        <f>IF(OR($A17="",$G17=""),"",IF(EAC_Idx=1,IF(OR($P17="",$O17=""),"",$P17+($G17-$O17)),IF(EAC_Idx=2,IF(OR($V17="",$V17=0),"",$G17/$V17),IF(EAC_Idx=3,IF(OR($V17="",$U17=""),"",IF($V17*$U17=0,"",$P17+($G17-$O17)/($V17*$U17))),IF(OR($P17="",$O17="",ETC_BottomUp="",ETC_BottomUp&lt;=0),"",$P17+($G17-$O17)*EAC_BU_Factor)))))</f>
        <v/>
      </c>
      <c r="X17" s="31">
        <f>IF(OR($W17="",$P17=""),"",$W17-$P17)</f>
        <v/>
      </c>
      <c r="Y17" s="35">
        <f>IF(OR($W17="",$G17=""),"",$G17-$W17)</f>
        <v/>
      </c>
      <c r="Z17" s="61">
        <f>IF(OR($A17="",$G17="",$O17="",$P17="",$G17-$P17=0),"",($G17-$O17)/($G17-$P17))</f>
        <v/>
      </c>
      <c r="AA17" s="54">
        <f>IF($A17="","",IF(AND($N17&lt;&gt;"",$N17&gt;=1,OR($V17="",$V17&gt;=Thr_Green)),"Complete",IF(AND($U17="",$V17=""),"Not started",IF(OR(AND($U17&lt;&gt;"",$U17&lt;Thr_Red),AND($V17&lt;&gt;"",$V17&lt;Thr_Red)),"Red",IF(OR(AND($U17&lt;&gt;"",$U17&lt;Thr_Green),AND($V17&lt;&gt;"",$V17&lt;Thr_Green)),"Amber","Green")))))</f>
        <v/>
      </c>
      <c r="AB17" s="63" t="n"/>
      <c r="AC17" s="63" t="n"/>
      <c r="AD17" s="55" t="inlineStr">
        <is>
          <t>EXAMPLE — delete before use</t>
        </is>
      </c>
    </row>
    <row r="18" ht="30" customHeight="1">
      <c r="A18" s="55" t="inlineStr">
        <is>
          <t>CB-01.10</t>
        </is>
      </c>
      <c r="B18" s="56" t="n">
        <v>2</v>
      </c>
      <c r="C18" s="55" t="inlineStr">
        <is>
          <t>CB-01</t>
        </is>
      </c>
      <c r="D18" s="55" t="inlineStr">
        <is>
          <t>Building Services — Mech, Elec, Hydraulic, Fire</t>
        </is>
      </c>
      <c r="E18" s="55" t="inlineStr">
        <is>
          <t>S. Nguyen</t>
        </is>
      </c>
      <c r="F18" s="55" t="inlineStr">
        <is>
          <t>SC-501</t>
        </is>
      </c>
      <c r="G18" s="57" t="n">
        <v>8450000</v>
      </c>
      <c r="H18" s="40">
        <f>IF(OR($A18="",SUM($G$9:$G$208)=0,$G18=""),"",$G18/SUM($G$9:$G$208))</f>
        <v/>
      </c>
      <c r="I18" s="55" t="inlineStr">
        <is>
          <t>% Complete</t>
        </is>
      </c>
      <c r="J18" s="58" t="n">
        <v>46296</v>
      </c>
      <c r="K18" s="58" t="n">
        <v>46904</v>
      </c>
      <c r="L18" s="59">
        <f>IF(OR($A18="",$J18="",$K18="",Data_Date=""),"",IF(Data_Date&lt;=$J18,0,IF(Data_Date&gt;=$K18,1,(Data_Date-$J18)/($K18-$J18))))</f>
        <v/>
      </c>
      <c r="M18" s="31">
        <f>IF(OR($A18="",$G18="",$L18=""),"",$G18*$L18)</f>
        <v/>
      </c>
      <c r="N18" s="60" t="n">
        <v>0.02</v>
      </c>
      <c r="O18" s="31">
        <f>IF(OR($A18="",$G18="",$N18=""),"",$G18*$N18)</f>
        <v/>
      </c>
      <c r="P18" s="57" t="n">
        <v>205000</v>
      </c>
      <c r="Q18" s="35">
        <f>IF(OR($O18="",$M18=""),"",$O18-$M18)</f>
        <v/>
      </c>
      <c r="R18" s="35">
        <f>IF(OR($O18="",$P18=""),"",$O18-$P18)</f>
        <v/>
      </c>
      <c r="S18" s="40">
        <f>IF(OR($Q18="",$M18="",$M18=0),"",$Q18/$M18)</f>
        <v/>
      </c>
      <c r="T18" s="40">
        <f>IF(OR($R18="",$O18="",$O18=0),"",$R18/$O18)</f>
        <v/>
      </c>
      <c r="U18" s="61">
        <f>IF(OR($O18="",$M18="",$M18=0),"",$O18/$M18)</f>
        <v/>
      </c>
      <c r="V18" s="61">
        <f>IF(OR($O18="",$P18="",$P18=0),"",$O18/$P18)</f>
        <v/>
      </c>
      <c r="W18" s="31">
        <f>IF(OR($A18="",$G18=""),"",IF(EAC_Idx=1,IF(OR($P18="",$O18=""),"",$P18+($G18-$O18)),IF(EAC_Idx=2,IF(OR($V18="",$V18=0),"",$G18/$V18),IF(EAC_Idx=3,IF(OR($V18="",$U18=""),"",IF($V18*$U18=0,"",$P18+($G18-$O18)/($V18*$U18))),IF(OR($P18="",$O18="",ETC_BottomUp="",ETC_BottomUp&lt;=0),"",$P18+($G18-$O18)*EAC_BU_Factor)))))</f>
        <v/>
      </c>
      <c r="X18" s="31">
        <f>IF(OR($W18="",$P18=""),"",$W18-$P18)</f>
        <v/>
      </c>
      <c r="Y18" s="35">
        <f>IF(OR($W18="",$G18=""),"",$G18-$W18)</f>
        <v/>
      </c>
      <c r="Z18" s="61">
        <f>IF(OR($A18="",$G18="",$O18="",$P18="",$G18-$P18=0),"",($G18-$O18)/($G18-$P18))</f>
        <v/>
      </c>
      <c r="AA18" s="54">
        <f>IF($A18="","",IF(AND($N18&lt;&gt;"",$N18&gt;=1,OR($V18="",$V18&gt;=Thr_Green)),"Complete",IF(AND($U18="",$V18=""),"Not started",IF(OR(AND($U18&lt;&gt;"",$U18&lt;Thr_Red),AND($V18&lt;&gt;"",$V18&lt;Thr_Red)),"Red",IF(OR(AND($U18&lt;&gt;"",$U18&lt;Thr_Green),AND($V18&lt;&gt;"",$V18&lt;Thr_Green)),"Amber","Green")))))</f>
        <v/>
      </c>
      <c r="AB18" s="62" t="inlineStr">
        <is>
          <t>Early procurement and off-site fabrication costs incurred ahead of any installed measurable work — classic front-loaded AC with no EV credit yet.</t>
        </is>
      </c>
      <c r="AC18" s="62" t="inlineStr">
        <is>
          <t>Do not claim EV for materials until installed or a milestone is met; verify the cut-off treatment with the cost team.</t>
        </is>
      </c>
      <c r="AD18" s="55" t="inlineStr">
        <is>
          <t>EXAMPLE — delete before use</t>
        </is>
      </c>
    </row>
    <row r="19" ht="30" customHeight="1">
      <c r="A19" s="55" t="inlineStr">
        <is>
          <t>CB-01.11</t>
        </is>
      </c>
      <c r="B19" s="56" t="n">
        <v>2</v>
      </c>
      <c r="C19" s="55" t="inlineStr">
        <is>
          <t>CB-01</t>
        </is>
      </c>
      <c r="D19" s="55" t="inlineStr">
        <is>
          <t>External Works, Carpark &amp; Landscaping</t>
        </is>
      </c>
      <c r="E19" s="55" t="inlineStr">
        <is>
          <t>R. Okafor</t>
        </is>
      </c>
      <c r="F19" s="55" t="inlineStr">
        <is>
          <t>SC-601</t>
        </is>
      </c>
      <c r="G19" s="57" t="n">
        <v>1680000</v>
      </c>
      <c r="H19" s="40">
        <f>IF(OR($A19="",SUM($G$9:$G$208)=0,$G19=""),"",$G19/SUM($G$9:$G$208))</f>
        <v/>
      </c>
      <c r="I19" s="55" t="inlineStr">
        <is>
          <t>% Complete</t>
        </is>
      </c>
      <c r="J19" s="58" t="n">
        <v>46692</v>
      </c>
      <c r="K19" s="58" t="n">
        <v>46904</v>
      </c>
      <c r="L19" s="59">
        <f>IF(OR($A19="",$J19="",$K19="",Data_Date=""),"",IF(Data_Date&lt;=$J19,0,IF(Data_Date&gt;=$K19,1,(Data_Date-$J19)/($K19-$J19))))</f>
        <v/>
      </c>
      <c r="M19" s="31">
        <f>IF(OR($A19="",$G19="",$L19=""),"",$G19*$L19)</f>
        <v/>
      </c>
      <c r="N19" s="60" t="n">
        <v>0</v>
      </c>
      <c r="O19" s="31">
        <f>IF(OR($A19="",$G19="",$N19=""),"",$G19*$N19)</f>
        <v/>
      </c>
      <c r="P19" s="64" t="n"/>
      <c r="Q19" s="35">
        <f>IF(OR($O19="",$M19=""),"",$O19-$M19)</f>
        <v/>
      </c>
      <c r="R19" s="35">
        <f>IF(OR($O19="",$P19=""),"",$O19-$P19)</f>
        <v/>
      </c>
      <c r="S19" s="40">
        <f>IF(OR($Q19="",$M19="",$M19=0),"",$Q19/$M19)</f>
        <v/>
      </c>
      <c r="T19" s="40">
        <f>IF(OR($R19="",$O19="",$O19=0),"",$R19/$O19)</f>
        <v/>
      </c>
      <c r="U19" s="61">
        <f>IF(OR($O19="",$M19="",$M19=0),"",$O19/$M19)</f>
        <v/>
      </c>
      <c r="V19" s="61">
        <f>IF(OR($O19="",$P19="",$P19=0),"",$O19/$P19)</f>
        <v/>
      </c>
      <c r="W19" s="31">
        <f>IF(OR($A19="",$G19=""),"",IF(EAC_Idx=1,IF(OR($P19="",$O19=""),"",$P19+($G19-$O19)),IF(EAC_Idx=2,IF(OR($V19="",$V19=0),"",$G19/$V19),IF(EAC_Idx=3,IF(OR($V19="",$U19=""),"",IF($V19*$U19=0,"",$P19+($G19-$O19)/($V19*$U19))),IF(OR($P19="",$O19="",ETC_BottomUp="",ETC_BottomUp&lt;=0),"",$P19+($G19-$O19)*EAC_BU_Factor)))))</f>
        <v/>
      </c>
      <c r="X19" s="31">
        <f>IF(OR($W19="",$P19=""),"",$W19-$P19)</f>
        <v/>
      </c>
      <c r="Y19" s="35">
        <f>IF(OR($W19="",$G19=""),"",$G19-$W19)</f>
        <v/>
      </c>
      <c r="Z19" s="61">
        <f>IF(OR($A19="",$G19="",$O19="",$P19="",$G19-$P19=0),"",($G19-$O19)/($G19-$P19))</f>
        <v/>
      </c>
      <c r="AA19" s="54">
        <f>IF($A19="","",IF(AND($N19&lt;&gt;"",$N19&gt;=1,OR($V19="",$V19&gt;=Thr_Green)),"Complete",IF(AND($U19="",$V19=""),"Not started",IF(OR(AND($U19&lt;&gt;"",$U19&lt;Thr_Red),AND($V19&lt;&gt;"",$V19&lt;Thr_Red)),"Red",IF(OR(AND($U19&lt;&gt;"",$U19&lt;Thr_Green),AND($V19&lt;&gt;"",$V19&lt;Thr_Green)),"Amber","Green")))))</f>
        <v/>
      </c>
      <c r="AB19" s="63" t="n"/>
      <c r="AC19" s="63" t="n"/>
      <c r="AD19" s="55" t="inlineStr">
        <is>
          <t>EXAMPLE — delete before use</t>
        </is>
      </c>
    </row>
    <row r="20" ht="30" customHeight="1">
      <c r="A20" s="55" t="inlineStr">
        <is>
          <t>CB-01.12</t>
        </is>
      </c>
      <c r="B20" s="56" t="n">
        <v>2</v>
      </c>
      <c r="C20" s="55" t="inlineStr">
        <is>
          <t>CB-01</t>
        </is>
      </c>
      <c r="D20" s="55" t="inlineStr">
        <is>
          <t>Testing, Commissioning &amp; Handover</t>
        </is>
      </c>
      <c r="E20" s="55" t="inlineStr">
        <is>
          <t>S. Nguyen</t>
        </is>
      </c>
      <c r="F20" s="55" t="inlineStr">
        <is>
          <t>MC-001</t>
        </is>
      </c>
      <c r="G20" s="57" t="n">
        <v>1160000</v>
      </c>
      <c r="H20" s="40">
        <f>IF(OR($A20="",SUM($G$9:$G$208)=0,$G20=""),"",$G20/SUM($G$9:$G$208))</f>
        <v/>
      </c>
      <c r="I20" s="55" t="inlineStr">
        <is>
          <t>Milestone Weighted</t>
        </is>
      </c>
      <c r="J20" s="58" t="n">
        <v>46813</v>
      </c>
      <c r="K20" s="58" t="n">
        <v>46934</v>
      </c>
      <c r="L20" s="59">
        <f>IF(OR($A20="",$J20="",$K20="",Data_Date=""),"",IF(Data_Date&lt;=$J20,0,IF(Data_Date&gt;=$K20,1,(Data_Date-$J20)/($K20-$J20))))</f>
        <v/>
      </c>
      <c r="M20" s="31">
        <f>IF(OR($A20="",$G20="",$L20=""),"",$G20*$L20)</f>
        <v/>
      </c>
      <c r="N20" s="60" t="n">
        <v>0</v>
      </c>
      <c r="O20" s="31">
        <f>IF(OR($A20="",$G20="",$N20=""),"",$G20*$N20)</f>
        <v/>
      </c>
      <c r="P20" s="64" t="n"/>
      <c r="Q20" s="35">
        <f>IF(OR($O20="",$M20=""),"",$O20-$M20)</f>
        <v/>
      </c>
      <c r="R20" s="35">
        <f>IF(OR($O20="",$P20=""),"",$O20-$P20)</f>
        <v/>
      </c>
      <c r="S20" s="40">
        <f>IF(OR($Q20="",$M20="",$M20=0),"",$Q20/$M20)</f>
        <v/>
      </c>
      <c r="T20" s="40">
        <f>IF(OR($R20="",$O20="",$O20=0),"",$R20/$O20)</f>
        <v/>
      </c>
      <c r="U20" s="61">
        <f>IF(OR($O20="",$M20="",$M20=0),"",$O20/$M20)</f>
        <v/>
      </c>
      <c r="V20" s="61">
        <f>IF(OR($O20="",$P20="",$P20=0),"",$O20/$P20)</f>
        <v/>
      </c>
      <c r="W20" s="31">
        <f>IF(OR($A20="",$G20=""),"",IF(EAC_Idx=1,IF(OR($P20="",$O20=""),"",$P20+($G20-$O20)),IF(EAC_Idx=2,IF(OR($V20="",$V20=0),"",$G20/$V20),IF(EAC_Idx=3,IF(OR($V20="",$U20=""),"",IF($V20*$U20=0,"",$P20+($G20-$O20)/($V20*$U20))),IF(OR($P20="",$O20="",ETC_BottomUp="",ETC_BottomUp&lt;=0),"",$P20+($G20-$O20)*EAC_BU_Factor)))))</f>
        <v/>
      </c>
      <c r="X20" s="31">
        <f>IF(OR($W20="",$P20=""),"",$W20-$P20)</f>
        <v/>
      </c>
      <c r="Y20" s="35">
        <f>IF(OR($W20="",$G20=""),"",$G20-$W20)</f>
        <v/>
      </c>
      <c r="Z20" s="61">
        <f>IF(OR($A20="",$G20="",$O20="",$P20="",$G20-$P20=0),"",($G20-$O20)/($G20-$P20))</f>
        <v/>
      </c>
      <c r="AA20" s="54">
        <f>IF($A20="","",IF(AND($N20&lt;&gt;"",$N20&gt;=1,OR($V20="",$V20&gt;=Thr_Green)),"Complete",IF(AND($U20="",$V20=""),"Not started",IF(OR(AND($U20&lt;&gt;"",$U20&lt;Thr_Red),AND($V20&lt;&gt;"",$V20&lt;Thr_Red)),"Red",IF(OR(AND($U20&lt;&gt;"",$U20&lt;Thr_Green),AND($V20&lt;&gt;"",$V20&lt;Thr_Green)),"Amber","Green")))))</f>
        <v/>
      </c>
      <c r="AB20" s="63" t="n"/>
      <c r="AC20" s="63" t="n"/>
      <c r="AD20" s="55" t="inlineStr">
        <is>
          <t>EXAMPLE — delete before use</t>
        </is>
      </c>
    </row>
    <row r="21" ht="24" customHeight="1">
      <c r="A21" s="15" t="n"/>
      <c r="B21" s="13" t="n"/>
      <c r="C21" s="15" t="n"/>
      <c r="D21" s="63" t="n"/>
      <c r="E21" s="15" t="n"/>
      <c r="F21" s="15" t="n"/>
      <c r="G21" s="64" t="n"/>
      <c r="H21" s="40">
        <f>IF(OR($A21="",SUM($G$9:$G$208)=0,$G21=""),"",$G21/SUM($G$9:$G$208))</f>
        <v/>
      </c>
      <c r="I21" s="15" t="n"/>
      <c r="J21" s="14" t="n"/>
      <c r="K21" s="14" t="n"/>
      <c r="L21" s="65">
        <f>IF(OR($A21="",$J21="",$K21="",Data_Date=""),"",IF(Data_Date&lt;=$J21,0,IF(Data_Date&gt;=$K21,1,(Data_Date-$J21)/($K21-$J21))))</f>
        <v/>
      </c>
      <c r="M21" s="31">
        <f>IF(OR($A21="",$G21="",$L21=""),"",$G21*$L21)</f>
        <v/>
      </c>
      <c r="N21" s="65" t="n"/>
      <c r="O21" s="31">
        <f>IF(OR($A21="",$G21="",$N21=""),"",$G21*$N21)</f>
        <v/>
      </c>
      <c r="P21" s="64" t="n"/>
      <c r="Q21" s="35">
        <f>IF(OR($O21="",$M21=""),"",$O21-$M21)</f>
        <v/>
      </c>
      <c r="R21" s="35">
        <f>IF(OR($O21="",$P21=""),"",$O21-$P21)</f>
        <v/>
      </c>
      <c r="S21" s="40">
        <f>IF(OR($Q21="",$M21="",$M21=0),"",$Q21/$M21)</f>
        <v/>
      </c>
      <c r="T21" s="40">
        <f>IF(OR($R21="",$O21="",$O21=0),"",$R21/$O21)</f>
        <v/>
      </c>
      <c r="U21" s="61">
        <f>IF(OR($O21="",$M21="",$M21=0),"",$O21/$M21)</f>
        <v/>
      </c>
      <c r="V21" s="61">
        <f>IF(OR($O21="",$P21="",$P21=0),"",$O21/$P21)</f>
        <v/>
      </c>
      <c r="W21" s="31">
        <f>IF(OR($A21="",$G21=""),"",IF(EAC_Idx=1,IF(OR($P21="",$O21=""),"",$P21+($G21-$O21)),IF(EAC_Idx=2,IF(OR($V21="",$V21=0),"",$G21/$V21),IF(EAC_Idx=3,IF(OR($V21="",$U21=""),"",IF($V21*$U21=0,"",$P21+($G21-$O21)/($V21*$U21))),IF(OR($P21="",$O21="",ETC_BottomUp="",ETC_BottomUp&lt;=0),"",$P21+($G21-$O21)*EAC_BU_Factor)))))</f>
        <v/>
      </c>
      <c r="X21" s="31">
        <f>IF(OR($W21="",$P21=""),"",$W21-$P21)</f>
        <v/>
      </c>
      <c r="Y21" s="35">
        <f>IF(OR($W21="",$G21=""),"",$G21-$W21)</f>
        <v/>
      </c>
      <c r="Z21" s="61">
        <f>IF(OR($A21="",$G21="",$O21="",$P21="",$G21-$P21=0),"",($G21-$O21)/($G21-$P21))</f>
        <v/>
      </c>
      <c r="AA21" s="54">
        <f>IF($A21="","",IF(AND($N21&lt;&gt;"",$N21&gt;=1,OR($V21="",$V21&gt;=Thr_Green)),"Complete",IF(AND($U21="",$V21=""),"Not started",IF(OR(AND($U21&lt;&gt;"",$U21&lt;Thr_Red),AND($V21&lt;&gt;"",$V21&lt;Thr_Red)),"Red",IF(OR(AND($U21&lt;&gt;"",$U21&lt;Thr_Green),AND($V21&lt;&gt;"",$V21&lt;Thr_Green)),"Amber","Green")))))</f>
        <v/>
      </c>
      <c r="AB21" s="63" t="n"/>
      <c r="AC21" s="63" t="n"/>
      <c r="AD21" s="63" t="n"/>
    </row>
    <row r="22" ht="24" customHeight="1">
      <c r="A22" s="15" t="n"/>
      <c r="B22" s="13" t="n"/>
      <c r="C22" s="15" t="n"/>
      <c r="D22" s="63" t="n"/>
      <c r="E22" s="15" t="n"/>
      <c r="F22" s="15" t="n"/>
      <c r="G22" s="64" t="n"/>
      <c r="H22" s="40">
        <f>IF(OR($A22="",SUM($G$9:$G$208)=0,$G22=""),"",$G22/SUM($G$9:$G$208))</f>
        <v/>
      </c>
      <c r="I22" s="15" t="n"/>
      <c r="J22" s="14" t="n"/>
      <c r="K22" s="14" t="n"/>
      <c r="L22" s="65">
        <f>IF(OR($A22="",$J22="",$K22="",Data_Date=""),"",IF(Data_Date&lt;=$J22,0,IF(Data_Date&gt;=$K22,1,(Data_Date-$J22)/($K22-$J22))))</f>
        <v/>
      </c>
      <c r="M22" s="31">
        <f>IF(OR($A22="",$G22="",$L22=""),"",$G22*$L22)</f>
        <v/>
      </c>
      <c r="N22" s="65" t="n"/>
      <c r="O22" s="31">
        <f>IF(OR($A22="",$G22="",$N22=""),"",$G22*$N22)</f>
        <v/>
      </c>
      <c r="P22" s="64" t="n"/>
      <c r="Q22" s="35">
        <f>IF(OR($O22="",$M22=""),"",$O22-$M22)</f>
        <v/>
      </c>
      <c r="R22" s="35">
        <f>IF(OR($O22="",$P22=""),"",$O22-$P22)</f>
        <v/>
      </c>
      <c r="S22" s="40">
        <f>IF(OR($Q22="",$M22="",$M22=0),"",$Q22/$M22)</f>
        <v/>
      </c>
      <c r="T22" s="40">
        <f>IF(OR($R22="",$O22="",$O22=0),"",$R22/$O22)</f>
        <v/>
      </c>
      <c r="U22" s="61">
        <f>IF(OR($O22="",$M22="",$M22=0),"",$O22/$M22)</f>
        <v/>
      </c>
      <c r="V22" s="61">
        <f>IF(OR($O22="",$P22="",$P22=0),"",$O22/$P22)</f>
        <v/>
      </c>
      <c r="W22" s="31">
        <f>IF(OR($A22="",$G22=""),"",IF(EAC_Idx=1,IF(OR($P22="",$O22=""),"",$P22+($G22-$O22)),IF(EAC_Idx=2,IF(OR($V22="",$V22=0),"",$G22/$V22),IF(EAC_Idx=3,IF(OR($V22="",$U22=""),"",IF($V22*$U22=0,"",$P22+($G22-$O22)/($V22*$U22))),IF(OR($P22="",$O22="",ETC_BottomUp="",ETC_BottomUp&lt;=0),"",$P22+($G22-$O22)*EAC_BU_Factor)))))</f>
        <v/>
      </c>
      <c r="X22" s="31">
        <f>IF(OR($W22="",$P22=""),"",$W22-$P22)</f>
        <v/>
      </c>
      <c r="Y22" s="35">
        <f>IF(OR($W22="",$G22=""),"",$G22-$W22)</f>
        <v/>
      </c>
      <c r="Z22" s="61">
        <f>IF(OR($A22="",$G22="",$O22="",$P22="",$G22-$P22=0),"",($G22-$O22)/($G22-$P22))</f>
        <v/>
      </c>
      <c r="AA22" s="54">
        <f>IF($A22="","",IF(AND($N22&lt;&gt;"",$N22&gt;=1,OR($V22="",$V22&gt;=Thr_Green)),"Complete",IF(AND($U22="",$V22=""),"Not started",IF(OR(AND($U22&lt;&gt;"",$U22&lt;Thr_Red),AND($V22&lt;&gt;"",$V22&lt;Thr_Red)),"Red",IF(OR(AND($U22&lt;&gt;"",$U22&lt;Thr_Green),AND($V22&lt;&gt;"",$V22&lt;Thr_Green)),"Amber","Green")))))</f>
        <v/>
      </c>
      <c r="AB22" s="63" t="n"/>
      <c r="AC22" s="63" t="n"/>
      <c r="AD22" s="63" t="n"/>
    </row>
    <row r="23" ht="24" customHeight="1">
      <c r="A23" s="15" t="n"/>
      <c r="B23" s="13" t="n"/>
      <c r="C23" s="15" t="n"/>
      <c r="D23" s="63" t="n"/>
      <c r="E23" s="15" t="n"/>
      <c r="F23" s="15" t="n"/>
      <c r="G23" s="64" t="n"/>
      <c r="H23" s="40">
        <f>IF(OR($A23="",SUM($G$9:$G$208)=0,$G23=""),"",$G23/SUM($G$9:$G$208))</f>
        <v/>
      </c>
      <c r="I23" s="15" t="n"/>
      <c r="J23" s="14" t="n"/>
      <c r="K23" s="14" t="n"/>
      <c r="L23" s="65">
        <f>IF(OR($A23="",$J23="",$K23="",Data_Date=""),"",IF(Data_Date&lt;=$J23,0,IF(Data_Date&gt;=$K23,1,(Data_Date-$J23)/($K23-$J23))))</f>
        <v/>
      </c>
      <c r="M23" s="31">
        <f>IF(OR($A23="",$G23="",$L23=""),"",$G23*$L23)</f>
        <v/>
      </c>
      <c r="N23" s="65" t="n"/>
      <c r="O23" s="31">
        <f>IF(OR($A23="",$G23="",$N23=""),"",$G23*$N23)</f>
        <v/>
      </c>
      <c r="P23" s="64" t="n"/>
      <c r="Q23" s="35">
        <f>IF(OR($O23="",$M23=""),"",$O23-$M23)</f>
        <v/>
      </c>
      <c r="R23" s="35">
        <f>IF(OR($O23="",$P23=""),"",$O23-$P23)</f>
        <v/>
      </c>
      <c r="S23" s="40">
        <f>IF(OR($Q23="",$M23="",$M23=0),"",$Q23/$M23)</f>
        <v/>
      </c>
      <c r="T23" s="40">
        <f>IF(OR($R23="",$O23="",$O23=0),"",$R23/$O23)</f>
        <v/>
      </c>
      <c r="U23" s="61">
        <f>IF(OR($O23="",$M23="",$M23=0),"",$O23/$M23)</f>
        <v/>
      </c>
      <c r="V23" s="61">
        <f>IF(OR($O23="",$P23="",$P23=0),"",$O23/$P23)</f>
        <v/>
      </c>
      <c r="W23" s="31">
        <f>IF(OR($A23="",$G23=""),"",IF(EAC_Idx=1,IF(OR($P23="",$O23=""),"",$P23+($G23-$O23)),IF(EAC_Idx=2,IF(OR($V23="",$V23=0),"",$G23/$V23),IF(EAC_Idx=3,IF(OR($V23="",$U23=""),"",IF($V23*$U23=0,"",$P23+($G23-$O23)/($V23*$U23))),IF(OR($P23="",$O23="",ETC_BottomUp="",ETC_BottomUp&lt;=0),"",$P23+($G23-$O23)*EAC_BU_Factor)))))</f>
        <v/>
      </c>
      <c r="X23" s="31">
        <f>IF(OR($W23="",$P23=""),"",$W23-$P23)</f>
        <v/>
      </c>
      <c r="Y23" s="35">
        <f>IF(OR($W23="",$G23=""),"",$G23-$W23)</f>
        <v/>
      </c>
      <c r="Z23" s="61">
        <f>IF(OR($A23="",$G23="",$O23="",$P23="",$G23-$P23=0),"",($G23-$O23)/($G23-$P23))</f>
        <v/>
      </c>
      <c r="AA23" s="54">
        <f>IF($A23="","",IF(AND($N23&lt;&gt;"",$N23&gt;=1,OR($V23="",$V23&gt;=Thr_Green)),"Complete",IF(AND($U23="",$V23=""),"Not started",IF(OR(AND($U23&lt;&gt;"",$U23&lt;Thr_Red),AND($V23&lt;&gt;"",$V23&lt;Thr_Red)),"Red",IF(OR(AND($U23&lt;&gt;"",$U23&lt;Thr_Green),AND($V23&lt;&gt;"",$V23&lt;Thr_Green)),"Amber","Green")))))</f>
        <v/>
      </c>
      <c r="AB23" s="63" t="n"/>
      <c r="AC23" s="63" t="n"/>
      <c r="AD23" s="63" t="n"/>
    </row>
    <row r="24" ht="24" customHeight="1">
      <c r="A24" s="15" t="n"/>
      <c r="B24" s="13" t="n"/>
      <c r="C24" s="15" t="n"/>
      <c r="D24" s="63" t="n"/>
      <c r="E24" s="15" t="n"/>
      <c r="F24" s="15" t="n"/>
      <c r="G24" s="64" t="n"/>
      <c r="H24" s="40">
        <f>IF(OR($A24="",SUM($G$9:$G$208)=0,$G24=""),"",$G24/SUM($G$9:$G$208))</f>
        <v/>
      </c>
      <c r="I24" s="15" t="n"/>
      <c r="J24" s="14" t="n"/>
      <c r="K24" s="14" t="n"/>
      <c r="L24" s="65">
        <f>IF(OR($A24="",$J24="",$K24="",Data_Date=""),"",IF(Data_Date&lt;=$J24,0,IF(Data_Date&gt;=$K24,1,(Data_Date-$J24)/($K24-$J24))))</f>
        <v/>
      </c>
      <c r="M24" s="31">
        <f>IF(OR($A24="",$G24="",$L24=""),"",$G24*$L24)</f>
        <v/>
      </c>
      <c r="N24" s="65" t="n"/>
      <c r="O24" s="31">
        <f>IF(OR($A24="",$G24="",$N24=""),"",$G24*$N24)</f>
        <v/>
      </c>
      <c r="P24" s="64" t="n"/>
      <c r="Q24" s="35">
        <f>IF(OR($O24="",$M24=""),"",$O24-$M24)</f>
        <v/>
      </c>
      <c r="R24" s="35">
        <f>IF(OR($O24="",$P24=""),"",$O24-$P24)</f>
        <v/>
      </c>
      <c r="S24" s="40">
        <f>IF(OR($Q24="",$M24="",$M24=0),"",$Q24/$M24)</f>
        <v/>
      </c>
      <c r="T24" s="40">
        <f>IF(OR($R24="",$O24="",$O24=0),"",$R24/$O24)</f>
        <v/>
      </c>
      <c r="U24" s="61">
        <f>IF(OR($O24="",$M24="",$M24=0),"",$O24/$M24)</f>
        <v/>
      </c>
      <c r="V24" s="61">
        <f>IF(OR($O24="",$P24="",$P24=0),"",$O24/$P24)</f>
        <v/>
      </c>
      <c r="W24" s="31">
        <f>IF(OR($A24="",$G24=""),"",IF(EAC_Idx=1,IF(OR($P24="",$O24=""),"",$P24+($G24-$O24)),IF(EAC_Idx=2,IF(OR($V24="",$V24=0),"",$G24/$V24),IF(EAC_Idx=3,IF(OR($V24="",$U24=""),"",IF($V24*$U24=0,"",$P24+($G24-$O24)/($V24*$U24))),IF(OR($P24="",$O24="",ETC_BottomUp="",ETC_BottomUp&lt;=0),"",$P24+($G24-$O24)*EAC_BU_Factor)))))</f>
        <v/>
      </c>
      <c r="X24" s="31">
        <f>IF(OR($W24="",$P24=""),"",$W24-$P24)</f>
        <v/>
      </c>
      <c r="Y24" s="35">
        <f>IF(OR($W24="",$G24=""),"",$G24-$W24)</f>
        <v/>
      </c>
      <c r="Z24" s="61">
        <f>IF(OR($A24="",$G24="",$O24="",$P24="",$G24-$P24=0),"",($G24-$O24)/($G24-$P24))</f>
        <v/>
      </c>
      <c r="AA24" s="54">
        <f>IF($A24="","",IF(AND($N24&lt;&gt;"",$N24&gt;=1,OR($V24="",$V24&gt;=Thr_Green)),"Complete",IF(AND($U24="",$V24=""),"Not started",IF(OR(AND($U24&lt;&gt;"",$U24&lt;Thr_Red),AND($V24&lt;&gt;"",$V24&lt;Thr_Red)),"Red",IF(OR(AND($U24&lt;&gt;"",$U24&lt;Thr_Green),AND($V24&lt;&gt;"",$V24&lt;Thr_Green)),"Amber","Green")))))</f>
        <v/>
      </c>
      <c r="AB24" s="63" t="n"/>
      <c r="AC24" s="63" t="n"/>
      <c r="AD24" s="63" t="n"/>
    </row>
    <row r="25" ht="24" customHeight="1">
      <c r="A25" s="15" t="n"/>
      <c r="B25" s="13" t="n"/>
      <c r="C25" s="15" t="n"/>
      <c r="D25" s="63" t="n"/>
      <c r="E25" s="15" t="n"/>
      <c r="F25" s="15" t="n"/>
      <c r="G25" s="64" t="n"/>
      <c r="H25" s="40">
        <f>IF(OR($A25="",SUM($G$9:$G$208)=0,$G25=""),"",$G25/SUM($G$9:$G$208))</f>
        <v/>
      </c>
      <c r="I25" s="15" t="n"/>
      <c r="J25" s="14" t="n"/>
      <c r="K25" s="14" t="n"/>
      <c r="L25" s="65">
        <f>IF(OR($A25="",$J25="",$K25="",Data_Date=""),"",IF(Data_Date&lt;=$J25,0,IF(Data_Date&gt;=$K25,1,(Data_Date-$J25)/($K25-$J25))))</f>
        <v/>
      </c>
      <c r="M25" s="31">
        <f>IF(OR($A25="",$G25="",$L25=""),"",$G25*$L25)</f>
        <v/>
      </c>
      <c r="N25" s="65" t="n"/>
      <c r="O25" s="31">
        <f>IF(OR($A25="",$G25="",$N25=""),"",$G25*$N25)</f>
        <v/>
      </c>
      <c r="P25" s="64" t="n"/>
      <c r="Q25" s="35">
        <f>IF(OR($O25="",$M25=""),"",$O25-$M25)</f>
        <v/>
      </c>
      <c r="R25" s="35">
        <f>IF(OR($O25="",$P25=""),"",$O25-$P25)</f>
        <v/>
      </c>
      <c r="S25" s="40">
        <f>IF(OR($Q25="",$M25="",$M25=0),"",$Q25/$M25)</f>
        <v/>
      </c>
      <c r="T25" s="40">
        <f>IF(OR($R25="",$O25="",$O25=0),"",$R25/$O25)</f>
        <v/>
      </c>
      <c r="U25" s="61">
        <f>IF(OR($O25="",$M25="",$M25=0),"",$O25/$M25)</f>
        <v/>
      </c>
      <c r="V25" s="61">
        <f>IF(OR($O25="",$P25="",$P25=0),"",$O25/$P25)</f>
        <v/>
      </c>
      <c r="W25" s="31">
        <f>IF(OR($A25="",$G25=""),"",IF(EAC_Idx=1,IF(OR($P25="",$O25=""),"",$P25+($G25-$O25)),IF(EAC_Idx=2,IF(OR($V25="",$V25=0),"",$G25/$V25),IF(EAC_Idx=3,IF(OR($V25="",$U25=""),"",IF($V25*$U25=0,"",$P25+($G25-$O25)/($V25*$U25))),IF(OR($P25="",$O25="",ETC_BottomUp="",ETC_BottomUp&lt;=0),"",$P25+($G25-$O25)*EAC_BU_Factor)))))</f>
        <v/>
      </c>
      <c r="X25" s="31">
        <f>IF(OR($W25="",$P25=""),"",$W25-$P25)</f>
        <v/>
      </c>
      <c r="Y25" s="35">
        <f>IF(OR($W25="",$G25=""),"",$G25-$W25)</f>
        <v/>
      </c>
      <c r="Z25" s="61">
        <f>IF(OR($A25="",$G25="",$O25="",$P25="",$G25-$P25=0),"",($G25-$O25)/($G25-$P25))</f>
        <v/>
      </c>
      <c r="AA25" s="54">
        <f>IF($A25="","",IF(AND($N25&lt;&gt;"",$N25&gt;=1,OR($V25="",$V25&gt;=Thr_Green)),"Complete",IF(AND($U25="",$V25=""),"Not started",IF(OR(AND($U25&lt;&gt;"",$U25&lt;Thr_Red),AND($V25&lt;&gt;"",$V25&lt;Thr_Red)),"Red",IF(OR(AND($U25&lt;&gt;"",$U25&lt;Thr_Green),AND($V25&lt;&gt;"",$V25&lt;Thr_Green)),"Amber","Green")))))</f>
        <v/>
      </c>
      <c r="AB25" s="63" t="n"/>
      <c r="AC25" s="63" t="n"/>
      <c r="AD25" s="63" t="n"/>
    </row>
    <row r="26" ht="24" customHeight="1">
      <c r="A26" s="15" t="n"/>
      <c r="B26" s="13" t="n"/>
      <c r="C26" s="15" t="n"/>
      <c r="D26" s="63" t="n"/>
      <c r="E26" s="15" t="n"/>
      <c r="F26" s="15" t="n"/>
      <c r="G26" s="64" t="n"/>
      <c r="H26" s="40">
        <f>IF(OR($A26="",SUM($G$9:$G$208)=0,$G26=""),"",$G26/SUM($G$9:$G$208))</f>
        <v/>
      </c>
      <c r="I26" s="15" t="n"/>
      <c r="J26" s="14" t="n"/>
      <c r="K26" s="14" t="n"/>
      <c r="L26" s="65">
        <f>IF(OR($A26="",$J26="",$K26="",Data_Date=""),"",IF(Data_Date&lt;=$J26,0,IF(Data_Date&gt;=$K26,1,(Data_Date-$J26)/($K26-$J26))))</f>
        <v/>
      </c>
      <c r="M26" s="31">
        <f>IF(OR($A26="",$G26="",$L26=""),"",$G26*$L26)</f>
        <v/>
      </c>
      <c r="N26" s="65" t="n"/>
      <c r="O26" s="31">
        <f>IF(OR($A26="",$G26="",$N26=""),"",$G26*$N26)</f>
        <v/>
      </c>
      <c r="P26" s="64" t="n"/>
      <c r="Q26" s="35">
        <f>IF(OR($O26="",$M26=""),"",$O26-$M26)</f>
        <v/>
      </c>
      <c r="R26" s="35">
        <f>IF(OR($O26="",$P26=""),"",$O26-$P26)</f>
        <v/>
      </c>
      <c r="S26" s="40">
        <f>IF(OR($Q26="",$M26="",$M26=0),"",$Q26/$M26)</f>
        <v/>
      </c>
      <c r="T26" s="40">
        <f>IF(OR($R26="",$O26="",$O26=0),"",$R26/$O26)</f>
        <v/>
      </c>
      <c r="U26" s="61">
        <f>IF(OR($O26="",$M26="",$M26=0),"",$O26/$M26)</f>
        <v/>
      </c>
      <c r="V26" s="61">
        <f>IF(OR($O26="",$P26="",$P26=0),"",$O26/$P26)</f>
        <v/>
      </c>
      <c r="W26" s="31">
        <f>IF(OR($A26="",$G26=""),"",IF(EAC_Idx=1,IF(OR($P26="",$O26=""),"",$P26+($G26-$O26)),IF(EAC_Idx=2,IF(OR($V26="",$V26=0),"",$G26/$V26),IF(EAC_Idx=3,IF(OR($V26="",$U26=""),"",IF($V26*$U26=0,"",$P26+($G26-$O26)/($V26*$U26))),IF(OR($P26="",$O26="",ETC_BottomUp="",ETC_BottomUp&lt;=0),"",$P26+($G26-$O26)*EAC_BU_Factor)))))</f>
        <v/>
      </c>
      <c r="X26" s="31">
        <f>IF(OR($W26="",$P26=""),"",$W26-$P26)</f>
        <v/>
      </c>
      <c r="Y26" s="35">
        <f>IF(OR($W26="",$G26=""),"",$G26-$W26)</f>
        <v/>
      </c>
      <c r="Z26" s="61">
        <f>IF(OR($A26="",$G26="",$O26="",$P26="",$G26-$P26=0),"",($G26-$O26)/($G26-$P26))</f>
        <v/>
      </c>
      <c r="AA26" s="54">
        <f>IF($A26="","",IF(AND($N26&lt;&gt;"",$N26&gt;=1,OR($V26="",$V26&gt;=Thr_Green)),"Complete",IF(AND($U26="",$V26=""),"Not started",IF(OR(AND($U26&lt;&gt;"",$U26&lt;Thr_Red),AND($V26&lt;&gt;"",$V26&lt;Thr_Red)),"Red",IF(OR(AND($U26&lt;&gt;"",$U26&lt;Thr_Green),AND($V26&lt;&gt;"",$V26&lt;Thr_Green)),"Amber","Green")))))</f>
        <v/>
      </c>
      <c r="AB26" s="63" t="n"/>
      <c r="AC26" s="63" t="n"/>
      <c r="AD26" s="63" t="n"/>
    </row>
    <row r="27" ht="24" customHeight="1">
      <c r="A27" s="15" t="n"/>
      <c r="B27" s="13" t="n"/>
      <c r="C27" s="15" t="n"/>
      <c r="D27" s="63" t="n"/>
      <c r="E27" s="15" t="n"/>
      <c r="F27" s="15" t="n"/>
      <c r="G27" s="64" t="n"/>
      <c r="H27" s="40">
        <f>IF(OR($A27="",SUM($G$9:$G$208)=0,$G27=""),"",$G27/SUM($G$9:$G$208))</f>
        <v/>
      </c>
      <c r="I27" s="15" t="n"/>
      <c r="J27" s="14" t="n"/>
      <c r="K27" s="14" t="n"/>
      <c r="L27" s="65">
        <f>IF(OR($A27="",$J27="",$K27="",Data_Date=""),"",IF(Data_Date&lt;=$J27,0,IF(Data_Date&gt;=$K27,1,(Data_Date-$J27)/($K27-$J27))))</f>
        <v/>
      </c>
      <c r="M27" s="31">
        <f>IF(OR($A27="",$G27="",$L27=""),"",$G27*$L27)</f>
        <v/>
      </c>
      <c r="N27" s="65" t="n"/>
      <c r="O27" s="31">
        <f>IF(OR($A27="",$G27="",$N27=""),"",$G27*$N27)</f>
        <v/>
      </c>
      <c r="P27" s="64" t="n"/>
      <c r="Q27" s="35">
        <f>IF(OR($O27="",$M27=""),"",$O27-$M27)</f>
        <v/>
      </c>
      <c r="R27" s="35">
        <f>IF(OR($O27="",$P27=""),"",$O27-$P27)</f>
        <v/>
      </c>
      <c r="S27" s="40">
        <f>IF(OR($Q27="",$M27="",$M27=0),"",$Q27/$M27)</f>
        <v/>
      </c>
      <c r="T27" s="40">
        <f>IF(OR($R27="",$O27="",$O27=0),"",$R27/$O27)</f>
        <v/>
      </c>
      <c r="U27" s="61">
        <f>IF(OR($O27="",$M27="",$M27=0),"",$O27/$M27)</f>
        <v/>
      </c>
      <c r="V27" s="61">
        <f>IF(OR($O27="",$P27="",$P27=0),"",$O27/$P27)</f>
        <v/>
      </c>
      <c r="W27" s="31">
        <f>IF(OR($A27="",$G27=""),"",IF(EAC_Idx=1,IF(OR($P27="",$O27=""),"",$P27+($G27-$O27)),IF(EAC_Idx=2,IF(OR($V27="",$V27=0),"",$G27/$V27),IF(EAC_Idx=3,IF(OR($V27="",$U27=""),"",IF($V27*$U27=0,"",$P27+($G27-$O27)/($V27*$U27))),IF(OR($P27="",$O27="",ETC_BottomUp="",ETC_BottomUp&lt;=0),"",$P27+($G27-$O27)*EAC_BU_Factor)))))</f>
        <v/>
      </c>
      <c r="X27" s="31">
        <f>IF(OR($W27="",$P27=""),"",$W27-$P27)</f>
        <v/>
      </c>
      <c r="Y27" s="35">
        <f>IF(OR($W27="",$G27=""),"",$G27-$W27)</f>
        <v/>
      </c>
      <c r="Z27" s="61">
        <f>IF(OR($A27="",$G27="",$O27="",$P27="",$G27-$P27=0),"",($G27-$O27)/($G27-$P27))</f>
        <v/>
      </c>
      <c r="AA27" s="54">
        <f>IF($A27="","",IF(AND($N27&lt;&gt;"",$N27&gt;=1,OR($V27="",$V27&gt;=Thr_Green)),"Complete",IF(AND($U27="",$V27=""),"Not started",IF(OR(AND($U27&lt;&gt;"",$U27&lt;Thr_Red),AND($V27&lt;&gt;"",$V27&lt;Thr_Red)),"Red",IF(OR(AND($U27&lt;&gt;"",$U27&lt;Thr_Green),AND($V27&lt;&gt;"",$V27&lt;Thr_Green)),"Amber","Green")))))</f>
        <v/>
      </c>
      <c r="AB27" s="63" t="n"/>
      <c r="AC27" s="63" t="n"/>
      <c r="AD27" s="63" t="n"/>
    </row>
    <row r="28" ht="24" customHeight="1">
      <c r="A28" s="15" t="n"/>
      <c r="B28" s="13" t="n"/>
      <c r="C28" s="15" t="n"/>
      <c r="D28" s="63" t="n"/>
      <c r="E28" s="15" t="n"/>
      <c r="F28" s="15" t="n"/>
      <c r="G28" s="64" t="n"/>
      <c r="H28" s="40">
        <f>IF(OR($A28="",SUM($G$9:$G$208)=0,$G28=""),"",$G28/SUM($G$9:$G$208))</f>
        <v/>
      </c>
      <c r="I28" s="15" t="n"/>
      <c r="J28" s="14" t="n"/>
      <c r="K28" s="14" t="n"/>
      <c r="L28" s="65">
        <f>IF(OR($A28="",$J28="",$K28="",Data_Date=""),"",IF(Data_Date&lt;=$J28,0,IF(Data_Date&gt;=$K28,1,(Data_Date-$J28)/($K28-$J28))))</f>
        <v/>
      </c>
      <c r="M28" s="31">
        <f>IF(OR($A28="",$G28="",$L28=""),"",$G28*$L28)</f>
        <v/>
      </c>
      <c r="N28" s="65" t="n"/>
      <c r="O28" s="31">
        <f>IF(OR($A28="",$G28="",$N28=""),"",$G28*$N28)</f>
        <v/>
      </c>
      <c r="P28" s="64" t="n"/>
      <c r="Q28" s="35">
        <f>IF(OR($O28="",$M28=""),"",$O28-$M28)</f>
        <v/>
      </c>
      <c r="R28" s="35">
        <f>IF(OR($O28="",$P28=""),"",$O28-$P28)</f>
        <v/>
      </c>
      <c r="S28" s="40">
        <f>IF(OR($Q28="",$M28="",$M28=0),"",$Q28/$M28)</f>
        <v/>
      </c>
      <c r="T28" s="40">
        <f>IF(OR($R28="",$O28="",$O28=0),"",$R28/$O28)</f>
        <v/>
      </c>
      <c r="U28" s="61">
        <f>IF(OR($O28="",$M28="",$M28=0),"",$O28/$M28)</f>
        <v/>
      </c>
      <c r="V28" s="61">
        <f>IF(OR($O28="",$P28="",$P28=0),"",$O28/$P28)</f>
        <v/>
      </c>
      <c r="W28" s="31">
        <f>IF(OR($A28="",$G28=""),"",IF(EAC_Idx=1,IF(OR($P28="",$O28=""),"",$P28+($G28-$O28)),IF(EAC_Idx=2,IF(OR($V28="",$V28=0),"",$G28/$V28),IF(EAC_Idx=3,IF(OR($V28="",$U28=""),"",IF($V28*$U28=0,"",$P28+($G28-$O28)/($V28*$U28))),IF(OR($P28="",$O28="",ETC_BottomUp="",ETC_BottomUp&lt;=0),"",$P28+($G28-$O28)*EAC_BU_Factor)))))</f>
        <v/>
      </c>
      <c r="X28" s="31">
        <f>IF(OR($W28="",$P28=""),"",$W28-$P28)</f>
        <v/>
      </c>
      <c r="Y28" s="35">
        <f>IF(OR($W28="",$G28=""),"",$G28-$W28)</f>
        <v/>
      </c>
      <c r="Z28" s="61">
        <f>IF(OR($A28="",$G28="",$O28="",$P28="",$G28-$P28=0),"",($G28-$O28)/($G28-$P28))</f>
        <v/>
      </c>
      <c r="AA28" s="54">
        <f>IF($A28="","",IF(AND($N28&lt;&gt;"",$N28&gt;=1,OR($V28="",$V28&gt;=Thr_Green)),"Complete",IF(AND($U28="",$V28=""),"Not started",IF(OR(AND($U28&lt;&gt;"",$U28&lt;Thr_Red),AND($V28&lt;&gt;"",$V28&lt;Thr_Red)),"Red",IF(OR(AND($U28&lt;&gt;"",$U28&lt;Thr_Green),AND($V28&lt;&gt;"",$V28&lt;Thr_Green)),"Amber","Green")))))</f>
        <v/>
      </c>
      <c r="AB28" s="63" t="n"/>
      <c r="AC28" s="63" t="n"/>
      <c r="AD28" s="63" t="n"/>
    </row>
    <row r="29" ht="24" customHeight="1">
      <c r="A29" s="15" t="n"/>
      <c r="B29" s="13" t="n"/>
      <c r="C29" s="15" t="n"/>
      <c r="D29" s="63" t="n"/>
      <c r="E29" s="15" t="n"/>
      <c r="F29" s="15" t="n"/>
      <c r="G29" s="64" t="n"/>
      <c r="H29" s="40">
        <f>IF(OR($A29="",SUM($G$9:$G$208)=0,$G29=""),"",$G29/SUM($G$9:$G$208))</f>
        <v/>
      </c>
      <c r="I29" s="15" t="n"/>
      <c r="J29" s="14" t="n"/>
      <c r="K29" s="14" t="n"/>
      <c r="L29" s="65">
        <f>IF(OR($A29="",$J29="",$K29="",Data_Date=""),"",IF(Data_Date&lt;=$J29,0,IF(Data_Date&gt;=$K29,1,(Data_Date-$J29)/($K29-$J29))))</f>
        <v/>
      </c>
      <c r="M29" s="31">
        <f>IF(OR($A29="",$G29="",$L29=""),"",$G29*$L29)</f>
        <v/>
      </c>
      <c r="N29" s="65" t="n"/>
      <c r="O29" s="31">
        <f>IF(OR($A29="",$G29="",$N29=""),"",$G29*$N29)</f>
        <v/>
      </c>
      <c r="P29" s="64" t="n"/>
      <c r="Q29" s="35">
        <f>IF(OR($O29="",$M29=""),"",$O29-$M29)</f>
        <v/>
      </c>
      <c r="R29" s="35">
        <f>IF(OR($O29="",$P29=""),"",$O29-$P29)</f>
        <v/>
      </c>
      <c r="S29" s="40">
        <f>IF(OR($Q29="",$M29="",$M29=0),"",$Q29/$M29)</f>
        <v/>
      </c>
      <c r="T29" s="40">
        <f>IF(OR($R29="",$O29="",$O29=0),"",$R29/$O29)</f>
        <v/>
      </c>
      <c r="U29" s="61">
        <f>IF(OR($O29="",$M29="",$M29=0),"",$O29/$M29)</f>
        <v/>
      </c>
      <c r="V29" s="61">
        <f>IF(OR($O29="",$P29="",$P29=0),"",$O29/$P29)</f>
        <v/>
      </c>
      <c r="W29" s="31">
        <f>IF(OR($A29="",$G29=""),"",IF(EAC_Idx=1,IF(OR($P29="",$O29=""),"",$P29+($G29-$O29)),IF(EAC_Idx=2,IF(OR($V29="",$V29=0),"",$G29/$V29),IF(EAC_Idx=3,IF(OR($V29="",$U29=""),"",IF($V29*$U29=0,"",$P29+($G29-$O29)/($V29*$U29))),IF(OR($P29="",$O29="",ETC_BottomUp="",ETC_BottomUp&lt;=0),"",$P29+($G29-$O29)*EAC_BU_Factor)))))</f>
        <v/>
      </c>
      <c r="X29" s="31">
        <f>IF(OR($W29="",$P29=""),"",$W29-$P29)</f>
        <v/>
      </c>
      <c r="Y29" s="35">
        <f>IF(OR($W29="",$G29=""),"",$G29-$W29)</f>
        <v/>
      </c>
      <c r="Z29" s="61">
        <f>IF(OR($A29="",$G29="",$O29="",$P29="",$G29-$P29=0),"",($G29-$O29)/($G29-$P29))</f>
        <v/>
      </c>
      <c r="AA29" s="54">
        <f>IF($A29="","",IF(AND($N29&lt;&gt;"",$N29&gt;=1,OR($V29="",$V29&gt;=Thr_Green)),"Complete",IF(AND($U29="",$V29=""),"Not started",IF(OR(AND($U29&lt;&gt;"",$U29&lt;Thr_Red),AND($V29&lt;&gt;"",$V29&lt;Thr_Red)),"Red",IF(OR(AND($U29&lt;&gt;"",$U29&lt;Thr_Green),AND($V29&lt;&gt;"",$V29&lt;Thr_Green)),"Amber","Green")))))</f>
        <v/>
      </c>
      <c r="AB29" s="63" t="n"/>
      <c r="AC29" s="63" t="n"/>
      <c r="AD29" s="63" t="n"/>
    </row>
    <row r="30" ht="24" customHeight="1">
      <c r="A30" s="15" t="n"/>
      <c r="B30" s="13" t="n"/>
      <c r="C30" s="15" t="n"/>
      <c r="D30" s="63" t="n"/>
      <c r="E30" s="15" t="n"/>
      <c r="F30" s="15" t="n"/>
      <c r="G30" s="64" t="n"/>
      <c r="H30" s="40">
        <f>IF(OR($A30="",SUM($G$9:$G$208)=0,$G30=""),"",$G30/SUM($G$9:$G$208))</f>
        <v/>
      </c>
      <c r="I30" s="15" t="n"/>
      <c r="J30" s="14" t="n"/>
      <c r="K30" s="14" t="n"/>
      <c r="L30" s="65">
        <f>IF(OR($A30="",$J30="",$K30="",Data_Date=""),"",IF(Data_Date&lt;=$J30,0,IF(Data_Date&gt;=$K30,1,(Data_Date-$J30)/($K30-$J30))))</f>
        <v/>
      </c>
      <c r="M30" s="31">
        <f>IF(OR($A30="",$G30="",$L30=""),"",$G30*$L30)</f>
        <v/>
      </c>
      <c r="N30" s="65" t="n"/>
      <c r="O30" s="31">
        <f>IF(OR($A30="",$G30="",$N30=""),"",$G30*$N30)</f>
        <v/>
      </c>
      <c r="P30" s="64" t="n"/>
      <c r="Q30" s="35">
        <f>IF(OR($O30="",$M30=""),"",$O30-$M30)</f>
        <v/>
      </c>
      <c r="R30" s="35">
        <f>IF(OR($O30="",$P30=""),"",$O30-$P30)</f>
        <v/>
      </c>
      <c r="S30" s="40">
        <f>IF(OR($Q30="",$M30="",$M30=0),"",$Q30/$M30)</f>
        <v/>
      </c>
      <c r="T30" s="40">
        <f>IF(OR($R30="",$O30="",$O30=0),"",$R30/$O30)</f>
        <v/>
      </c>
      <c r="U30" s="61">
        <f>IF(OR($O30="",$M30="",$M30=0),"",$O30/$M30)</f>
        <v/>
      </c>
      <c r="V30" s="61">
        <f>IF(OR($O30="",$P30="",$P30=0),"",$O30/$P30)</f>
        <v/>
      </c>
      <c r="W30" s="31">
        <f>IF(OR($A30="",$G30=""),"",IF(EAC_Idx=1,IF(OR($P30="",$O30=""),"",$P30+($G30-$O30)),IF(EAC_Idx=2,IF(OR($V30="",$V30=0),"",$G30/$V30),IF(EAC_Idx=3,IF(OR($V30="",$U30=""),"",IF($V30*$U30=0,"",$P30+($G30-$O30)/($V30*$U30))),IF(OR($P30="",$O30="",ETC_BottomUp="",ETC_BottomUp&lt;=0),"",$P30+($G30-$O30)*EAC_BU_Factor)))))</f>
        <v/>
      </c>
      <c r="X30" s="31">
        <f>IF(OR($W30="",$P30=""),"",$W30-$P30)</f>
        <v/>
      </c>
      <c r="Y30" s="35">
        <f>IF(OR($W30="",$G30=""),"",$G30-$W30)</f>
        <v/>
      </c>
      <c r="Z30" s="61">
        <f>IF(OR($A30="",$G30="",$O30="",$P30="",$G30-$P30=0),"",($G30-$O30)/($G30-$P30))</f>
        <v/>
      </c>
      <c r="AA30" s="54">
        <f>IF($A30="","",IF(AND($N30&lt;&gt;"",$N30&gt;=1,OR($V30="",$V30&gt;=Thr_Green)),"Complete",IF(AND($U30="",$V30=""),"Not started",IF(OR(AND($U30&lt;&gt;"",$U30&lt;Thr_Red),AND($V30&lt;&gt;"",$V30&lt;Thr_Red)),"Red",IF(OR(AND($U30&lt;&gt;"",$U30&lt;Thr_Green),AND($V30&lt;&gt;"",$V30&lt;Thr_Green)),"Amber","Green")))))</f>
        <v/>
      </c>
      <c r="AB30" s="63" t="n"/>
      <c r="AC30" s="63" t="n"/>
      <c r="AD30" s="63" t="n"/>
    </row>
    <row r="31" ht="24" customHeight="1">
      <c r="A31" s="15" t="n"/>
      <c r="B31" s="13" t="n"/>
      <c r="C31" s="15" t="n"/>
      <c r="D31" s="63" t="n"/>
      <c r="E31" s="15" t="n"/>
      <c r="F31" s="15" t="n"/>
      <c r="G31" s="64" t="n"/>
      <c r="H31" s="40">
        <f>IF(OR($A31="",SUM($G$9:$G$208)=0,$G31=""),"",$G31/SUM($G$9:$G$208))</f>
        <v/>
      </c>
      <c r="I31" s="15" t="n"/>
      <c r="J31" s="14" t="n"/>
      <c r="K31" s="14" t="n"/>
      <c r="L31" s="65">
        <f>IF(OR($A31="",$J31="",$K31="",Data_Date=""),"",IF(Data_Date&lt;=$J31,0,IF(Data_Date&gt;=$K31,1,(Data_Date-$J31)/($K31-$J31))))</f>
        <v/>
      </c>
      <c r="M31" s="31">
        <f>IF(OR($A31="",$G31="",$L31=""),"",$G31*$L31)</f>
        <v/>
      </c>
      <c r="N31" s="65" t="n"/>
      <c r="O31" s="31">
        <f>IF(OR($A31="",$G31="",$N31=""),"",$G31*$N31)</f>
        <v/>
      </c>
      <c r="P31" s="64" t="n"/>
      <c r="Q31" s="35">
        <f>IF(OR($O31="",$M31=""),"",$O31-$M31)</f>
        <v/>
      </c>
      <c r="R31" s="35">
        <f>IF(OR($O31="",$P31=""),"",$O31-$P31)</f>
        <v/>
      </c>
      <c r="S31" s="40">
        <f>IF(OR($Q31="",$M31="",$M31=0),"",$Q31/$M31)</f>
        <v/>
      </c>
      <c r="T31" s="40">
        <f>IF(OR($R31="",$O31="",$O31=0),"",$R31/$O31)</f>
        <v/>
      </c>
      <c r="U31" s="61">
        <f>IF(OR($O31="",$M31="",$M31=0),"",$O31/$M31)</f>
        <v/>
      </c>
      <c r="V31" s="61">
        <f>IF(OR($O31="",$P31="",$P31=0),"",$O31/$P31)</f>
        <v/>
      </c>
      <c r="W31" s="31">
        <f>IF(OR($A31="",$G31=""),"",IF(EAC_Idx=1,IF(OR($P31="",$O31=""),"",$P31+($G31-$O31)),IF(EAC_Idx=2,IF(OR($V31="",$V31=0),"",$G31/$V31),IF(EAC_Idx=3,IF(OR($V31="",$U31=""),"",IF($V31*$U31=0,"",$P31+($G31-$O31)/($V31*$U31))),IF(OR($P31="",$O31="",ETC_BottomUp="",ETC_BottomUp&lt;=0),"",$P31+($G31-$O31)*EAC_BU_Factor)))))</f>
        <v/>
      </c>
      <c r="X31" s="31">
        <f>IF(OR($W31="",$P31=""),"",$W31-$P31)</f>
        <v/>
      </c>
      <c r="Y31" s="35">
        <f>IF(OR($W31="",$G31=""),"",$G31-$W31)</f>
        <v/>
      </c>
      <c r="Z31" s="61">
        <f>IF(OR($A31="",$G31="",$O31="",$P31="",$G31-$P31=0),"",($G31-$O31)/($G31-$P31))</f>
        <v/>
      </c>
      <c r="AA31" s="54">
        <f>IF($A31="","",IF(AND($N31&lt;&gt;"",$N31&gt;=1,OR($V31="",$V31&gt;=Thr_Green)),"Complete",IF(AND($U31="",$V31=""),"Not started",IF(OR(AND($U31&lt;&gt;"",$U31&lt;Thr_Red),AND($V31&lt;&gt;"",$V31&lt;Thr_Red)),"Red",IF(OR(AND($U31&lt;&gt;"",$U31&lt;Thr_Green),AND($V31&lt;&gt;"",$V31&lt;Thr_Green)),"Amber","Green")))))</f>
        <v/>
      </c>
      <c r="AB31" s="63" t="n"/>
      <c r="AC31" s="63" t="n"/>
      <c r="AD31" s="63" t="n"/>
    </row>
    <row r="32" ht="24" customHeight="1">
      <c r="A32" s="15" t="n"/>
      <c r="B32" s="13" t="n"/>
      <c r="C32" s="15" t="n"/>
      <c r="D32" s="63" t="n"/>
      <c r="E32" s="15" t="n"/>
      <c r="F32" s="15" t="n"/>
      <c r="G32" s="64" t="n"/>
      <c r="H32" s="40">
        <f>IF(OR($A32="",SUM($G$9:$G$208)=0,$G32=""),"",$G32/SUM($G$9:$G$208))</f>
        <v/>
      </c>
      <c r="I32" s="15" t="n"/>
      <c r="J32" s="14" t="n"/>
      <c r="K32" s="14" t="n"/>
      <c r="L32" s="65">
        <f>IF(OR($A32="",$J32="",$K32="",Data_Date=""),"",IF(Data_Date&lt;=$J32,0,IF(Data_Date&gt;=$K32,1,(Data_Date-$J32)/($K32-$J32))))</f>
        <v/>
      </c>
      <c r="M32" s="31">
        <f>IF(OR($A32="",$G32="",$L32=""),"",$G32*$L32)</f>
        <v/>
      </c>
      <c r="N32" s="65" t="n"/>
      <c r="O32" s="31">
        <f>IF(OR($A32="",$G32="",$N32=""),"",$G32*$N32)</f>
        <v/>
      </c>
      <c r="P32" s="64" t="n"/>
      <c r="Q32" s="35">
        <f>IF(OR($O32="",$M32=""),"",$O32-$M32)</f>
        <v/>
      </c>
      <c r="R32" s="35">
        <f>IF(OR($O32="",$P32=""),"",$O32-$P32)</f>
        <v/>
      </c>
      <c r="S32" s="40">
        <f>IF(OR($Q32="",$M32="",$M32=0),"",$Q32/$M32)</f>
        <v/>
      </c>
      <c r="T32" s="40">
        <f>IF(OR($R32="",$O32="",$O32=0),"",$R32/$O32)</f>
        <v/>
      </c>
      <c r="U32" s="61">
        <f>IF(OR($O32="",$M32="",$M32=0),"",$O32/$M32)</f>
        <v/>
      </c>
      <c r="V32" s="61">
        <f>IF(OR($O32="",$P32="",$P32=0),"",$O32/$P32)</f>
        <v/>
      </c>
      <c r="W32" s="31">
        <f>IF(OR($A32="",$G32=""),"",IF(EAC_Idx=1,IF(OR($P32="",$O32=""),"",$P32+($G32-$O32)),IF(EAC_Idx=2,IF(OR($V32="",$V32=0),"",$G32/$V32),IF(EAC_Idx=3,IF(OR($V32="",$U32=""),"",IF($V32*$U32=0,"",$P32+($G32-$O32)/($V32*$U32))),IF(OR($P32="",$O32="",ETC_BottomUp="",ETC_BottomUp&lt;=0),"",$P32+($G32-$O32)*EAC_BU_Factor)))))</f>
        <v/>
      </c>
      <c r="X32" s="31">
        <f>IF(OR($W32="",$P32=""),"",$W32-$P32)</f>
        <v/>
      </c>
      <c r="Y32" s="35">
        <f>IF(OR($W32="",$G32=""),"",$G32-$W32)</f>
        <v/>
      </c>
      <c r="Z32" s="61">
        <f>IF(OR($A32="",$G32="",$O32="",$P32="",$G32-$P32=0),"",($G32-$O32)/($G32-$P32))</f>
        <v/>
      </c>
      <c r="AA32" s="54">
        <f>IF($A32="","",IF(AND($N32&lt;&gt;"",$N32&gt;=1,OR($V32="",$V32&gt;=Thr_Green)),"Complete",IF(AND($U32="",$V32=""),"Not started",IF(OR(AND($U32&lt;&gt;"",$U32&lt;Thr_Red),AND($V32&lt;&gt;"",$V32&lt;Thr_Red)),"Red",IF(OR(AND($U32&lt;&gt;"",$U32&lt;Thr_Green),AND($V32&lt;&gt;"",$V32&lt;Thr_Green)),"Amber","Green")))))</f>
        <v/>
      </c>
      <c r="AB32" s="63" t="n"/>
      <c r="AC32" s="63" t="n"/>
      <c r="AD32" s="63" t="n"/>
    </row>
    <row r="33" ht="24" customHeight="1">
      <c r="A33" s="15" t="n"/>
      <c r="B33" s="13" t="n"/>
      <c r="C33" s="15" t="n"/>
      <c r="D33" s="63" t="n"/>
      <c r="E33" s="15" t="n"/>
      <c r="F33" s="15" t="n"/>
      <c r="G33" s="64" t="n"/>
      <c r="H33" s="40">
        <f>IF(OR($A33="",SUM($G$9:$G$208)=0,$G33=""),"",$G33/SUM($G$9:$G$208))</f>
        <v/>
      </c>
      <c r="I33" s="15" t="n"/>
      <c r="J33" s="14" t="n"/>
      <c r="K33" s="14" t="n"/>
      <c r="L33" s="65">
        <f>IF(OR($A33="",$J33="",$K33="",Data_Date=""),"",IF(Data_Date&lt;=$J33,0,IF(Data_Date&gt;=$K33,1,(Data_Date-$J33)/($K33-$J33))))</f>
        <v/>
      </c>
      <c r="M33" s="31">
        <f>IF(OR($A33="",$G33="",$L33=""),"",$G33*$L33)</f>
        <v/>
      </c>
      <c r="N33" s="65" t="n"/>
      <c r="O33" s="31">
        <f>IF(OR($A33="",$G33="",$N33=""),"",$G33*$N33)</f>
        <v/>
      </c>
      <c r="P33" s="64" t="n"/>
      <c r="Q33" s="35">
        <f>IF(OR($O33="",$M33=""),"",$O33-$M33)</f>
        <v/>
      </c>
      <c r="R33" s="35">
        <f>IF(OR($O33="",$P33=""),"",$O33-$P33)</f>
        <v/>
      </c>
      <c r="S33" s="40">
        <f>IF(OR($Q33="",$M33="",$M33=0),"",$Q33/$M33)</f>
        <v/>
      </c>
      <c r="T33" s="40">
        <f>IF(OR($R33="",$O33="",$O33=0),"",$R33/$O33)</f>
        <v/>
      </c>
      <c r="U33" s="61">
        <f>IF(OR($O33="",$M33="",$M33=0),"",$O33/$M33)</f>
        <v/>
      </c>
      <c r="V33" s="61">
        <f>IF(OR($O33="",$P33="",$P33=0),"",$O33/$P33)</f>
        <v/>
      </c>
      <c r="W33" s="31">
        <f>IF(OR($A33="",$G33=""),"",IF(EAC_Idx=1,IF(OR($P33="",$O33=""),"",$P33+($G33-$O33)),IF(EAC_Idx=2,IF(OR($V33="",$V33=0),"",$G33/$V33),IF(EAC_Idx=3,IF(OR($V33="",$U33=""),"",IF($V33*$U33=0,"",$P33+($G33-$O33)/($V33*$U33))),IF(OR($P33="",$O33="",ETC_BottomUp="",ETC_BottomUp&lt;=0),"",$P33+($G33-$O33)*EAC_BU_Factor)))))</f>
        <v/>
      </c>
      <c r="X33" s="31">
        <f>IF(OR($W33="",$P33=""),"",$W33-$P33)</f>
        <v/>
      </c>
      <c r="Y33" s="35">
        <f>IF(OR($W33="",$G33=""),"",$G33-$W33)</f>
        <v/>
      </c>
      <c r="Z33" s="61">
        <f>IF(OR($A33="",$G33="",$O33="",$P33="",$G33-$P33=0),"",($G33-$O33)/($G33-$P33))</f>
        <v/>
      </c>
      <c r="AA33" s="54">
        <f>IF($A33="","",IF(AND($N33&lt;&gt;"",$N33&gt;=1,OR($V33="",$V33&gt;=Thr_Green)),"Complete",IF(AND($U33="",$V33=""),"Not started",IF(OR(AND($U33&lt;&gt;"",$U33&lt;Thr_Red),AND($V33&lt;&gt;"",$V33&lt;Thr_Red)),"Red",IF(OR(AND($U33&lt;&gt;"",$U33&lt;Thr_Green),AND($V33&lt;&gt;"",$V33&lt;Thr_Green)),"Amber","Green")))))</f>
        <v/>
      </c>
      <c r="AB33" s="63" t="n"/>
      <c r="AC33" s="63" t="n"/>
      <c r="AD33" s="63" t="n"/>
    </row>
    <row r="34" ht="24" customHeight="1">
      <c r="A34" s="15" t="n"/>
      <c r="B34" s="13" t="n"/>
      <c r="C34" s="15" t="n"/>
      <c r="D34" s="63" t="n"/>
      <c r="E34" s="15" t="n"/>
      <c r="F34" s="15" t="n"/>
      <c r="G34" s="64" t="n"/>
      <c r="H34" s="40">
        <f>IF(OR($A34="",SUM($G$9:$G$208)=0,$G34=""),"",$G34/SUM($G$9:$G$208))</f>
        <v/>
      </c>
      <c r="I34" s="15" t="n"/>
      <c r="J34" s="14" t="n"/>
      <c r="K34" s="14" t="n"/>
      <c r="L34" s="65">
        <f>IF(OR($A34="",$J34="",$K34="",Data_Date=""),"",IF(Data_Date&lt;=$J34,0,IF(Data_Date&gt;=$K34,1,(Data_Date-$J34)/($K34-$J34))))</f>
        <v/>
      </c>
      <c r="M34" s="31">
        <f>IF(OR($A34="",$G34="",$L34=""),"",$G34*$L34)</f>
        <v/>
      </c>
      <c r="N34" s="65" t="n"/>
      <c r="O34" s="31">
        <f>IF(OR($A34="",$G34="",$N34=""),"",$G34*$N34)</f>
        <v/>
      </c>
      <c r="P34" s="64" t="n"/>
      <c r="Q34" s="35">
        <f>IF(OR($O34="",$M34=""),"",$O34-$M34)</f>
        <v/>
      </c>
      <c r="R34" s="35">
        <f>IF(OR($O34="",$P34=""),"",$O34-$P34)</f>
        <v/>
      </c>
      <c r="S34" s="40">
        <f>IF(OR($Q34="",$M34="",$M34=0),"",$Q34/$M34)</f>
        <v/>
      </c>
      <c r="T34" s="40">
        <f>IF(OR($R34="",$O34="",$O34=0),"",$R34/$O34)</f>
        <v/>
      </c>
      <c r="U34" s="61">
        <f>IF(OR($O34="",$M34="",$M34=0),"",$O34/$M34)</f>
        <v/>
      </c>
      <c r="V34" s="61">
        <f>IF(OR($O34="",$P34="",$P34=0),"",$O34/$P34)</f>
        <v/>
      </c>
      <c r="W34" s="31">
        <f>IF(OR($A34="",$G34=""),"",IF(EAC_Idx=1,IF(OR($P34="",$O34=""),"",$P34+($G34-$O34)),IF(EAC_Idx=2,IF(OR($V34="",$V34=0),"",$G34/$V34),IF(EAC_Idx=3,IF(OR($V34="",$U34=""),"",IF($V34*$U34=0,"",$P34+($G34-$O34)/($V34*$U34))),IF(OR($P34="",$O34="",ETC_BottomUp="",ETC_BottomUp&lt;=0),"",$P34+($G34-$O34)*EAC_BU_Factor)))))</f>
        <v/>
      </c>
      <c r="X34" s="31">
        <f>IF(OR($W34="",$P34=""),"",$W34-$P34)</f>
        <v/>
      </c>
      <c r="Y34" s="35">
        <f>IF(OR($W34="",$G34=""),"",$G34-$W34)</f>
        <v/>
      </c>
      <c r="Z34" s="61">
        <f>IF(OR($A34="",$G34="",$O34="",$P34="",$G34-$P34=0),"",($G34-$O34)/($G34-$P34))</f>
        <v/>
      </c>
      <c r="AA34" s="54">
        <f>IF($A34="","",IF(AND($N34&lt;&gt;"",$N34&gt;=1,OR($V34="",$V34&gt;=Thr_Green)),"Complete",IF(AND($U34="",$V34=""),"Not started",IF(OR(AND($U34&lt;&gt;"",$U34&lt;Thr_Red),AND($V34&lt;&gt;"",$V34&lt;Thr_Red)),"Red",IF(OR(AND($U34&lt;&gt;"",$U34&lt;Thr_Green),AND($V34&lt;&gt;"",$V34&lt;Thr_Green)),"Amber","Green")))))</f>
        <v/>
      </c>
      <c r="AB34" s="63" t="n"/>
      <c r="AC34" s="63" t="n"/>
      <c r="AD34" s="63" t="n"/>
    </row>
    <row r="35" ht="24" customHeight="1">
      <c r="A35" s="15" t="n"/>
      <c r="B35" s="13" t="n"/>
      <c r="C35" s="15" t="n"/>
      <c r="D35" s="63" t="n"/>
      <c r="E35" s="15" t="n"/>
      <c r="F35" s="15" t="n"/>
      <c r="G35" s="64" t="n"/>
      <c r="H35" s="40">
        <f>IF(OR($A35="",SUM($G$9:$G$208)=0,$G35=""),"",$G35/SUM($G$9:$G$208))</f>
        <v/>
      </c>
      <c r="I35" s="15" t="n"/>
      <c r="J35" s="14" t="n"/>
      <c r="K35" s="14" t="n"/>
      <c r="L35" s="65">
        <f>IF(OR($A35="",$J35="",$K35="",Data_Date=""),"",IF(Data_Date&lt;=$J35,0,IF(Data_Date&gt;=$K35,1,(Data_Date-$J35)/($K35-$J35))))</f>
        <v/>
      </c>
      <c r="M35" s="31">
        <f>IF(OR($A35="",$G35="",$L35=""),"",$G35*$L35)</f>
        <v/>
      </c>
      <c r="N35" s="65" t="n"/>
      <c r="O35" s="31">
        <f>IF(OR($A35="",$G35="",$N35=""),"",$G35*$N35)</f>
        <v/>
      </c>
      <c r="P35" s="64" t="n"/>
      <c r="Q35" s="35">
        <f>IF(OR($O35="",$M35=""),"",$O35-$M35)</f>
        <v/>
      </c>
      <c r="R35" s="35">
        <f>IF(OR($O35="",$P35=""),"",$O35-$P35)</f>
        <v/>
      </c>
      <c r="S35" s="40">
        <f>IF(OR($Q35="",$M35="",$M35=0),"",$Q35/$M35)</f>
        <v/>
      </c>
      <c r="T35" s="40">
        <f>IF(OR($R35="",$O35="",$O35=0),"",$R35/$O35)</f>
        <v/>
      </c>
      <c r="U35" s="61">
        <f>IF(OR($O35="",$M35="",$M35=0),"",$O35/$M35)</f>
        <v/>
      </c>
      <c r="V35" s="61">
        <f>IF(OR($O35="",$P35="",$P35=0),"",$O35/$P35)</f>
        <v/>
      </c>
      <c r="W35" s="31">
        <f>IF(OR($A35="",$G35=""),"",IF(EAC_Idx=1,IF(OR($P35="",$O35=""),"",$P35+($G35-$O35)),IF(EAC_Idx=2,IF(OR($V35="",$V35=0),"",$G35/$V35),IF(EAC_Idx=3,IF(OR($V35="",$U35=""),"",IF($V35*$U35=0,"",$P35+($G35-$O35)/($V35*$U35))),IF(OR($P35="",$O35="",ETC_BottomUp="",ETC_BottomUp&lt;=0),"",$P35+($G35-$O35)*EAC_BU_Factor)))))</f>
        <v/>
      </c>
      <c r="X35" s="31">
        <f>IF(OR($W35="",$P35=""),"",$W35-$P35)</f>
        <v/>
      </c>
      <c r="Y35" s="35">
        <f>IF(OR($W35="",$G35=""),"",$G35-$W35)</f>
        <v/>
      </c>
      <c r="Z35" s="61">
        <f>IF(OR($A35="",$G35="",$O35="",$P35="",$G35-$P35=0),"",($G35-$O35)/($G35-$P35))</f>
        <v/>
      </c>
      <c r="AA35" s="54">
        <f>IF($A35="","",IF(AND($N35&lt;&gt;"",$N35&gt;=1,OR($V35="",$V35&gt;=Thr_Green)),"Complete",IF(AND($U35="",$V35=""),"Not started",IF(OR(AND($U35&lt;&gt;"",$U35&lt;Thr_Red),AND($V35&lt;&gt;"",$V35&lt;Thr_Red)),"Red",IF(OR(AND($U35&lt;&gt;"",$U35&lt;Thr_Green),AND($V35&lt;&gt;"",$V35&lt;Thr_Green)),"Amber","Green")))))</f>
        <v/>
      </c>
      <c r="AB35" s="63" t="n"/>
      <c r="AC35" s="63" t="n"/>
      <c r="AD35" s="63" t="n"/>
    </row>
    <row r="36" ht="24" customHeight="1">
      <c r="A36" s="15" t="n"/>
      <c r="B36" s="13" t="n"/>
      <c r="C36" s="15" t="n"/>
      <c r="D36" s="63" t="n"/>
      <c r="E36" s="15" t="n"/>
      <c r="F36" s="15" t="n"/>
      <c r="G36" s="64" t="n"/>
      <c r="H36" s="40">
        <f>IF(OR($A36="",SUM($G$9:$G$208)=0,$G36=""),"",$G36/SUM($G$9:$G$208))</f>
        <v/>
      </c>
      <c r="I36" s="15" t="n"/>
      <c r="J36" s="14" t="n"/>
      <c r="K36" s="14" t="n"/>
      <c r="L36" s="65">
        <f>IF(OR($A36="",$J36="",$K36="",Data_Date=""),"",IF(Data_Date&lt;=$J36,0,IF(Data_Date&gt;=$K36,1,(Data_Date-$J36)/($K36-$J36))))</f>
        <v/>
      </c>
      <c r="M36" s="31">
        <f>IF(OR($A36="",$G36="",$L36=""),"",$G36*$L36)</f>
        <v/>
      </c>
      <c r="N36" s="65" t="n"/>
      <c r="O36" s="31">
        <f>IF(OR($A36="",$G36="",$N36=""),"",$G36*$N36)</f>
        <v/>
      </c>
      <c r="P36" s="64" t="n"/>
      <c r="Q36" s="35">
        <f>IF(OR($O36="",$M36=""),"",$O36-$M36)</f>
        <v/>
      </c>
      <c r="R36" s="35">
        <f>IF(OR($O36="",$P36=""),"",$O36-$P36)</f>
        <v/>
      </c>
      <c r="S36" s="40">
        <f>IF(OR($Q36="",$M36="",$M36=0),"",$Q36/$M36)</f>
        <v/>
      </c>
      <c r="T36" s="40">
        <f>IF(OR($R36="",$O36="",$O36=0),"",$R36/$O36)</f>
        <v/>
      </c>
      <c r="U36" s="61">
        <f>IF(OR($O36="",$M36="",$M36=0),"",$O36/$M36)</f>
        <v/>
      </c>
      <c r="V36" s="61">
        <f>IF(OR($O36="",$P36="",$P36=0),"",$O36/$P36)</f>
        <v/>
      </c>
      <c r="W36" s="31">
        <f>IF(OR($A36="",$G36=""),"",IF(EAC_Idx=1,IF(OR($P36="",$O36=""),"",$P36+($G36-$O36)),IF(EAC_Idx=2,IF(OR($V36="",$V36=0),"",$G36/$V36),IF(EAC_Idx=3,IF(OR($V36="",$U36=""),"",IF($V36*$U36=0,"",$P36+($G36-$O36)/($V36*$U36))),IF(OR($P36="",$O36="",ETC_BottomUp="",ETC_BottomUp&lt;=0),"",$P36+($G36-$O36)*EAC_BU_Factor)))))</f>
        <v/>
      </c>
      <c r="X36" s="31">
        <f>IF(OR($W36="",$P36=""),"",$W36-$P36)</f>
        <v/>
      </c>
      <c r="Y36" s="35">
        <f>IF(OR($W36="",$G36=""),"",$G36-$W36)</f>
        <v/>
      </c>
      <c r="Z36" s="61">
        <f>IF(OR($A36="",$G36="",$O36="",$P36="",$G36-$P36=0),"",($G36-$O36)/($G36-$P36))</f>
        <v/>
      </c>
      <c r="AA36" s="54">
        <f>IF($A36="","",IF(AND($N36&lt;&gt;"",$N36&gt;=1,OR($V36="",$V36&gt;=Thr_Green)),"Complete",IF(AND($U36="",$V36=""),"Not started",IF(OR(AND($U36&lt;&gt;"",$U36&lt;Thr_Red),AND($V36&lt;&gt;"",$V36&lt;Thr_Red)),"Red",IF(OR(AND($U36&lt;&gt;"",$U36&lt;Thr_Green),AND($V36&lt;&gt;"",$V36&lt;Thr_Green)),"Amber","Green")))))</f>
        <v/>
      </c>
      <c r="AB36" s="63" t="n"/>
      <c r="AC36" s="63" t="n"/>
      <c r="AD36" s="63" t="n"/>
    </row>
    <row r="37" ht="24" customHeight="1">
      <c r="A37" s="15" t="n"/>
      <c r="B37" s="13" t="n"/>
      <c r="C37" s="15" t="n"/>
      <c r="D37" s="63" t="n"/>
      <c r="E37" s="15" t="n"/>
      <c r="F37" s="15" t="n"/>
      <c r="G37" s="64" t="n"/>
      <c r="H37" s="40">
        <f>IF(OR($A37="",SUM($G$9:$G$208)=0,$G37=""),"",$G37/SUM($G$9:$G$208))</f>
        <v/>
      </c>
      <c r="I37" s="15" t="n"/>
      <c r="J37" s="14" t="n"/>
      <c r="K37" s="14" t="n"/>
      <c r="L37" s="65">
        <f>IF(OR($A37="",$J37="",$K37="",Data_Date=""),"",IF(Data_Date&lt;=$J37,0,IF(Data_Date&gt;=$K37,1,(Data_Date-$J37)/($K37-$J37))))</f>
        <v/>
      </c>
      <c r="M37" s="31">
        <f>IF(OR($A37="",$G37="",$L37=""),"",$G37*$L37)</f>
        <v/>
      </c>
      <c r="N37" s="65" t="n"/>
      <c r="O37" s="31">
        <f>IF(OR($A37="",$G37="",$N37=""),"",$G37*$N37)</f>
        <v/>
      </c>
      <c r="P37" s="64" t="n"/>
      <c r="Q37" s="35">
        <f>IF(OR($O37="",$M37=""),"",$O37-$M37)</f>
        <v/>
      </c>
      <c r="R37" s="35">
        <f>IF(OR($O37="",$P37=""),"",$O37-$P37)</f>
        <v/>
      </c>
      <c r="S37" s="40">
        <f>IF(OR($Q37="",$M37="",$M37=0),"",$Q37/$M37)</f>
        <v/>
      </c>
      <c r="T37" s="40">
        <f>IF(OR($R37="",$O37="",$O37=0),"",$R37/$O37)</f>
        <v/>
      </c>
      <c r="U37" s="61">
        <f>IF(OR($O37="",$M37="",$M37=0),"",$O37/$M37)</f>
        <v/>
      </c>
      <c r="V37" s="61">
        <f>IF(OR($O37="",$P37="",$P37=0),"",$O37/$P37)</f>
        <v/>
      </c>
      <c r="W37" s="31">
        <f>IF(OR($A37="",$G37=""),"",IF(EAC_Idx=1,IF(OR($P37="",$O37=""),"",$P37+($G37-$O37)),IF(EAC_Idx=2,IF(OR($V37="",$V37=0),"",$G37/$V37),IF(EAC_Idx=3,IF(OR($V37="",$U37=""),"",IF($V37*$U37=0,"",$P37+($G37-$O37)/($V37*$U37))),IF(OR($P37="",$O37="",ETC_BottomUp="",ETC_BottomUp&lt;=0),"",$P37+($G37-$O37)*EAC_BU_Factor)))))</f>
        <v/>
      </c>
      <c r="X37" s="31">
        <f>IF(OR($W37="",$P37=""),"",$W37-$P37)</f>
        <v/>
      </c>
      <c r="Y37" s="35">
        <f>IF(OR($W37="",$G37=""),"",$G37-$W37)</f>
        <v/>
      </c>
      <c r="Z37" s="61">
        <f>IF(OR($A37="",$G37="",$O37="",$P37="",$G37-$P37=0),"",($G37-$O37)/($G37-$P37))</f>
        <v/>
      </c>
      <c r="AA37" s="54">
        <f>IF($A37="","",IF(AND($N37&lt;&gt;"",$N37&gt;=1,OR($V37="",$V37&gt;=Thr_Green)),"Complete",IF(AND($U37="",$V37=""),"Not started",IF(OR(AND($U37&lt;&gt;"",$U37&lt;Thr_Red),AND($V37&lt;&gt;"",$V37&lt;Thr_Red)),"Red",IF(OR(AND($U37&lt;&gt;"",$U37&lt;Thr_Green),AND($V37&lt;&gt;"",$V37&lt;Thr_Green)),"Amber","Green")))))</f>
        <v/>
      </c>
      <c r="AB37" s="63" t="n"/>
      <c r="AC37" s="63" t="n"/>
      <c r="AD37" s="63" t="n"/>
    </row>
    <row r="38" ht="24" customHeight="1">
      <c r="A38" s="15" t="n"/>
      <c r="B38" s="13" t="n"/>
      <c r="C38" s="15" t="n"/>
      <c r="D38" s="63" t="n"/>
      <c r="E38" s="15" t="n"/>
      <c r="F38" s="15" t="n"/>
      <c r="G38" s="64" t="n"/>
      <c r="H38" s="40">
        <f>IF(OR($A38="",SUM($G$9:$G$208)=0,$G38=""),"",$G38/SUM($G$9:$G$208))</f>
        <v/>
      </c>
      <c r="I38" s="15" t="n"/>
      <c r="J38" s="14" t="n"/>
      <c r="K38" s="14" t="n"/>
      <c r="L38" s="65">
        <f>IF(OR($A38="",$J38="",$K38="",Data_Date=""),"",IF(Data_Date&lt;=$J38,0,IF(Data_Date&gt;=$K38,1,(Data_Date-$J38)/($K38-$J38))))</f>
        <v/>
      </c>
      <c r="M38" s="31">
        <f>IF(OR($A38="",$G38="",$L38=""),"",$G38*$L38)</f>
        <v/>
      </c>
      <c r="N38" s="65" t="n"/>
      <c r="O38" s="31">
        <f>IF(OR($A38="",$G38="",$N38=""),"",$G38*$N38)</f>
        <v/>
      </c>
      <c r="P38" s="64" t="n"/>
      <c r="Q38" s="35">
        <f>IF(OR($O38="",$M38=""),"",$O38-$M38)</f>
        <v/>
      </c>
      <c r="R38" s="35">
        <f>IF(OR($O38="",$P38=""),"",$O38-$P38)</f>
        <v/>
      </c>
      <c r="S38" s="40">
        <f>IF(OR($Q38="",$M38="",$M38=0),"",$Q38/$M38)</f>
        <v/>
      </c>
      <c r="T38" s="40">
        <f>IF(OR($R38="",$O38="",$O38=0),"",$R38/$O38)</f>
        <v/>
      </c>
      <c r="U38" s="61">
        <f>IF(OR($O38="",$M38="",$M38=0),"",$O38/$M38)</f>
        <v/>
      </c>
      <c r="V38" s="61">
        <f>IF(OR($O38="",$P38="",$P38=0),"",$O38/$P38)</f>
        <v/>
      </c>
      <c r="W38" s="31">
        <f>IF(OR($A38="",$G38=""),"",IF(EAC_Idx=1,IF(OR($P38="",$O38=""),"",$P38+($G38-$O38)),IF(EAC_Idx=2,IF(OR($V38="",$V38=0),"",$G38/$V38),IF(EAC_Idx=3,IF(OR($V38="",$U38=""),"",IF($V38*$U38=0,"",$P38+($G38-$O38)/($V38*$U38))),IF(OR($P38="",$O38="",ETC_BottomUp="",ETC_BottomUp&lt;=0),"",$P38+($G38-$O38)*EAC_BU_Factor)))))</f>
        <v/>
      </c>
      <c r="X38" s="31">
        <f>IF(OR($W38="",$P38=""),"",$W38-$P38)</f>
        <v/>
      </c>
      <c r="Y38" s="35">
        <f>IF(OR($W38="",$G38=""),"",$G38-$W38)</f>
        <v/>
      </c>
      <c r="Z38" s="61">
        <f>IF(OR($A38="",$G38="",$O38="",$P38="",$G38-$P38=0),"",($G38-$O38)/($G38-$P38))</f>
        <v/>
      </c>
      <c r="AA38" s="54">
        <f>IF($A38="","",IF(AND($N38&lt;&gt;"",$N38&gt;=1,OR($V38="",$V38&gt;=Thr_Green)),"Complete",IF(AND($U38="",$V38=""),"Not started",IF(OR(AND($U38&lt;&gt;"",$U38&lt;Thr_Red),AND($V38&lt;&gt;"",$V38&lt;Thr_Red)),"Red",IF(OR(AND($U38&lt;&gt;"",$U38&lt;Thr_Green),AND($V38&lt;&gt;"",$V38&lt;Thr_Green)),"Amber","Green")))))</f>
        <v/>
      </c>
      <c r="AB38" s="63" t="n"/>
      <c r="AC38" s="63" t="n"/>
      <c r="AD38" s="63" t="n"/>
    </row>
    <row r="39" ht="24" customHeight="1">
      <c r="A39" s="15" t="n"/>
      <c r="B39" s="13" t="n"/>
      <c r="C39" s="15" t="n"/>
      <c r="D39" s="63" t="n"/>
      <c r="E39" s="15" t="n"/>
      <c r="F39" s="15" t="n"/>
      <c r="G39" s="64" t="n"/>
      <c r="H39" s="40">
        <f>IF(OR($A39="",SUM($G$9:$G$208)=0,$G39=""),"",$G39/SUM($G$9:$G$208))</f>
        <v/>
      </c>
      <c r="I39" s="15" t="n"/>
      <c r="J39" s="14" t="n"/>
      <c r="K39" s="14" t="n"/>
      <c r="L39" s="65">
        <f>IF(OR($A39="",$J39="",$K39="",Data_Date=""),"",IF(Data_Date&lt;=$J39,0,IF(Data_Date&gt;=$K39,1,(Data_Date-$J39)/($K39-$J39))))</f>
        <v/>
      </c>
      <c r="M39" s="31">
        <f>IF(OR($A39="",$G39="",$L39=""),"",$G39*$L39)</f>
        <v/>
      </c>
      <c r="N39" s="65" t="n"/>
      <c r="O39" s="31">
        <f>IF(OR($A39="",$G39="",$N39=""),"",$G39*$N39)</f>
        <v/>
      </c>
      <c r="P39" s="64" t="n"/>
      <c r="Q39" s="35">
        <f>IF(OR($O39="",$M39=""),"",$O39-$M39)</f>
        <v/>
      </c>
      <c r="R39" s="35">
        <f>IF(OR($O39="",$P39=""),"",$O39-$P39)</f>
        <v/>
      </c>
      <c r="S39" s="40">
        <f>IF(OR($Q39="",$M39="",$M39=0),"",$Q39/$M39)</f>
        <v/>
      </c>
      <c r="T39" s="40">
        <f>IF(OR($R39="",$O39="",$O39=0),"",$R39/$O39)</f>
        <v/>
      </c>
      <c r="U39" s="61">
        <f>IF(OR($O39="",$M39="",$M39=0),"",$O39/$M39)</f>
        <v/>
      </c>
      <c r="V39" s="61">
        <f>IF(OR($O39="",$P39="",$P39=0),"",$O39/$P39)</f>
        <v/>
      </c>
      <c r="W39" s="31">
        <f>IF(OR($A39="",$G39=""),"",IF(EAC_Idx=1,IF(OR($P39="",$O39=""),"",$P39+($G39-$O39)),IF(EAC_Idx=2,IF(OR($V39="",$V39=0),"",$G39/$V39),IF(EAC_Idx=3,IF(OR($V39="",$U39=""),"",IF($V39*$U39=0,"",$P39+($G39-$O39)/($V39*$U39))),IF(OR($P39="",$O39="",ETC_BottomUp="",ETC_BottomUp&lt;=0),"",$P39+($G39-$O39)*EAC_BU_Factor)))))</f>
        <v/>
      </c>
      <c r="X39" s="31">
        <f>IF(OR($W39="",$P39=""),"",$W39-$P39)</f>
        <v/>
      </c>
      <c r="Y39" s="35">
        <f>IF(OR($W39="",$G39=""),"",$G39-$W39)</f>
        <v/>
      </c>
      <c r="Z39" s="61">
        <f>IF(OR($A39="",$G39="",$O39="",$P39="",$G39-$P39=0),"",($G39-$O39)/($G39-$P39))</f>
        <v/>
      </c>
      <c r="AA39" s="54">
        <f>IF($A39="","",IF(AND($N39&lt;&gt;"",$N39&gt;=1,OR($V39="",$V39&gt;=Thr_Green)),"Complete",IF(AND($U39="",$V39=""),"Not started",IF(OR(AND($U39&lt;&gt;"",$U39&lt;Thr_Red),AND($V39&lt;&gt;"",$V39&lt;Thr_Red)),"Red",IF(OR(AND($U39&lt;&gt;"",$U39&lt;Thr_Green),AND($V39&lt;&gt;"",$V39&lt;Thr_Green)),"Amber","Green")))))</f>
        <v/>
      </c>
      <c r="AB39" s="63" t="n"/>
      <c r="AC39" s="63" t="n"/>
      <c r="AD39" s="63" t="n"/>
    </row>
    <row r="40" ht="24" customHeight="1">
      <c r="A40" s="15" t="n"/>
      <c r="B40" s="13" t="n"/>
      <c r="C40" s="15" t="n"/>
      <c r="D40" s="63" t="n"/>
      <c r="E40" s="15" t="n"/>
      <c r="F40" s="15" t="n"/>
      <c r="G40" s="64" t="n"/>
      <c r="H40" s="40">
        <f>IF(OR($A40="",SUM($G$9:$G$208)=0,$G40=""),"",$G40/SUM($G$9:$G$208))</f>
        <v/>
      </c>
      <c r="I40" s="15" t="n"/>
      <c r="J40" s="14" t="n"/>
      <c r="K40" s="14" t="n"/>
      <c r="L40" s="65">
        <f>IF(OR($A40="",$J40="",$K40="",Data_Date=""),"",IF(Data_Date&lt;=$J40,0,IF(Data_Date&gt;=$K40,1,(Data_Date-$J40)/($K40-$J40))))</f>
        <v/>
      </c>
      <c r="M40" s="31">
        <f>IF(OR($A40="",$G40="",$L40=""),"",$G40*$L40)</f>
        <v/>
      </c>
      <c r="N40" s="65" t="n"/>
      <c r="O40" s="31">
        <f>IF(OR($A40="",$G40="",$N40=""),"",$G40*$N40)</f>
        <v/>
      </c>
      <c r="P40" s="64" t="n"/>
      <c r="Q40" s="35">
        <f>IF(OR($O40="",$M40=""),"",$O40-$M40)</f>
        <v/>
      </c>
      <c r="R40" s="35">
        <f>IF(OR($O40="",$P40=""),"",$O40-$P40)</f>
        <v/>
      </c>
      <c r="S40" s="40">
        <f>IF(OR($Q40="",$M40="",$M40=0),"",$Q40/$M40)</f>
        <v/>
      </c>
      <c r="T40" s="40">
        <f>IF(OR($R40="",$O40="",$O40=0),"",$R40/$O40)</f>
        <v/>
      </c>
      <c r="U40" s="61">
        <f>IF(OR($O40="",$M40="",$M40=0),"",$O40/$M40)</f>
        <v/>
      </c>
      <c r="V40" s="61">
        <f>IF(OR($O40="",$P40="",$P40=0),"",$O40/$P40)</f>
        <v/>
      </c>
      <c r="W40" s="31">
        <f>IF(OR($A40="",$G40=""),"",IF(EAC_Idx=1,IF(OR($P40="",$O40=""),"",$P40+($G40-$O40)),IF(EAC_Idx=2,IF(OR($V40="",$V40=0),"",$G40/$V40),IF(EAC_Idx=3,IF(OR($V40="",$U40=""),"",IF($V40*$U40=0,"",$P40+($G40-$O40)/($V40*$U40))),IF(OR($P40="",$O40="",ETC_BottomUp="",ETC_BottomUp&lt;=0),"",$P40+($G40-$O40)*EAC_BU_Factor)))))</f>
        <v/>
      </c>
      <c r="X40" s="31">
        <f>IF(OR($W40="",$P40=""),"",$W40-$P40)</f>
        <v/>
      </c>
      <c r="Y40" s="35">
        <f>IF(OR($W40="",$G40=""),"",$G40-$W40)</f>
        <v/>
      </c>
      <c r="Z40" s="61">
        <f>IF(OR($A40="",$G40="",$O40="",$P40="",$G40-$P40=0),"",($G40-$O40)/($G40-$P40))</f>
        <v/>
      </c>
      <c r="AA40" s="54">
        <f>IF($A40="","",IF(AND($N40&lt;&gt;"",$N40&gt;=1,OR($V40="",$V40&gt;=Thr_Green)),"Complete",IF(AND($U40="",$V40=""),"Not started",IF(OR(AND($U40&lt;&gt;"",$U40&lt;Thr_Red),AND($V40&lt;&gt;"",$V40&lt;Thr_Red)),"Red",IF(OR(AND($U40&lt;&gt;"",$U40&lt;Thr_Green),AND($V40&lt;&gt;"",$V40&lt;Thr_Green)),"Amber","Green")))))</f>
        <v/>
      </c>
      <c r="AB40" s="63" t="n"/>
      <c r="AC40" s="63" t="n"/>
      <c r="AD40" s="63" t="n"/>
    </row>
    <row r="41" ht="24" customHeight="1">
      <c r="A41" s="15" t="n"/>
      <c r="B41" s="13" t="n"/>
      <c r="C41" s="15" t="n"/>
      <c r="D41" s="63" t="n"/>
      <c r="E41" s="15" t="n"/>
      <c r="F41" s="15" t="n"/>
      <c r="G41" s="64" t="n"/>
      <c r="H41" s="40">
        <f>IF(OR($A41="",SUM($G$9:$G$208)=0,$G41=""),"",$G41/SUM($G$9:$G$208))</f>
        <v/>
      </c>
      <c r="I41" s="15" t="n"/>
      <c r="J41" s="14" t="n"/>
      <c r="K41" s="14" t="n"/>
      <c r="L41" s="65">
        <f>IF(OR($A41="",$J41="",$K41="",Data_Date=""),"",IF(Data_Date&lt;=$J41,0,IF(Data_Date&gt;=$K41,1,(Data_Date-$J41)/($K41-$J41))))</f>
        <v/>
      </c>
      <c r="M41" s="31">
        <f>IF(OR($A41="",$G41="",$L41=""),"",$G41*$L41)</f>
        <v/>
      </c>
      <c r="N41" s="65" t="n"/>
      <c r="O41" s="31">
        <f>IF(OR($A41="",$G41="",$N41=""),"",$G41*$N41)</f>
        <v/>
      </c>
      <c r="P41" s="64" t="n"/>
      <c r="Q41" s="35">
        <f>IF(OR($O41="",$M41=""),"",$O41-$M41)</f>
        <v/>
      </c>
      <c r="R41" s="35">
        <f>IF(OR($O41="",$P41=""),"",$O41-$P41)</f>
        <v/>
      </c>
      <c r="S41" s="40">
        <f>IF(OR($Q41="",$M41="",$M41=0),"",$Q41/$M41)</f>
        <v/>
      </c>
      <c r="T41" s="40">
        <f>IF(OR($R41="",$O41="",$O41=0),"",$R41/$O41)</f>
        <v/>
      </c>
      <c r="U41" s="61">
        <f>IF(OR($O41="",$M41="",$M41=0),"",$O41/$M41)</f>
        <v/>
      </c>
      <c r="V41" s="61">
        <f>IF(OR($O41="",$P41="",$P41=0),"",$O41/$P41)</f>
        <v/>
      </c>
      <c r="W41" s="31">
        <f>IF(OR($A41="",$G41=""),"",IF(EAC_Idx=1,IF(OR($P41="",$O41=""),"",$P41+($G41-$O41)),IF(EAC_Idx=2,IF(OR($V41="",$V41=0),"",$G41/$V41),IF(EAC_Idx=3,IF(OR($V41="",$U41=""),"",IF($V41*$U41=0,"",$P41+($G41-$O41)/($V41*$U41))),IF(OR($P41="",$O41="",ETC_BottomUp="",ETC_BottomUp&lt;=0),"",$P41+($G41-$O41)*EAC_BU_Factor)))))</f>
        <v/>
      </c>
      <c r="X41" s="31">
        <f>IF(OR($W41="",$P41=""),"",$W41-$P41)</f>
        <v/>
      </c>
      <c r="Y41" s="35">
        <f>IF(OR($W41="",$G41=""),"",$G41-$W41)</f>
        <v/>
      </c>
      <c r="Z41" s="61">
        <f>IF(OR($A41="",$G41="",$O41="",$P41="",$G41-$P41=0),"",($G41-$O41)/($G41-$P41))</f>
        <v/>
      </c>
      <c r="AA41" s="54">
        <f>IF($A41="","",IF(AND($N41&lt;&gt;"",$N41&gt;=1,OR($V41="",$V41&gt;=Thr_Green)),"Complete",IF(AND($U41="",$V41=""),"Not started",IF(OR(AND($U41&lt;&gt;"",$U41&lt;Thr_Red),AND($V41&lt;&gt;"",$V41&lt;Thr_Red)),"Red",IF(OR(AND($U41&lt;&gt;"",$U41&lt;Thr_Green),AND($V41&lt;&gt;"",$V41&lt;Thr_Green)),"Amber","Green")))))</f>
        <v/>
      </c>
      <c r="AB41" s="63" t="n"/>
      <c r="AC41" s="63" t="n"/>
      <c r="AD41" s="63" t="n"/>
    </row>
    <row r="42" ht="24" customHeight="1">
      <c r="A42" s="15" t="n"/>
      <c r="B42" s="13" t="n"/>
      <c r="C42" s="15" t="n"/>
      <c r="D42" s="63" t="n"/>
      <c r="E42" s="15" t="n"/>
      <c r="F42" s="15" t="n"/>
      <c r="G42" s="64" t="n"/>
      <c r="H42" s="40">
        <f>IF(OR($A42="",SUM($G$9:$G$208)=0,$G42=""),"",$G42/SUM($G$9:$G$208))</f>
        <v/>
      </c>
      <c r="I42" s="15" t="n"/>
      <c r="J42" s="14" t="n"/>
      <c r="K42" s="14" t="n"/>
      <c r="L42" s="65">
        <f>IF(OR($A42="",$J42="",$K42="",Data_Date=""),"",IF(Data_Date&lt;=$J42,0,IF(Data_Date&gt;=$K42,1,(Data_Date-$J42)/($K42-$J42))))</f>
        <v/>
      </c>
      <c r="M42" s="31">
        <f>IF(OR($A42="",$G42="",$L42=""),"",$G42*$L42)</f>
        <v/>
      </c>
      <c r="N42" s="65" t="n"/>
      <c r="O42" s="31">
        <f>IF(OR($A42="",$G42="",$N42=""),"",$G42*$N42)</f>
        <v/>
      </c>
      <c r="P42" s="64" t="n"/>
      <c r="Q42" s="35">
        <f>IF(OR($O42="",$M42=""),"",$O42-$M42)</f>
        <v/>
      </c>
      <c r="R42" s="35">
        <f>IF(OR($O42="",$P42=""),"",$O42-$P42)</f>
        <v/>
      </c>
      <c r="S42" s="40">
        <f>IF(OR($Q42="",$M42="",$M42=0),"",$Q42/$M42)</f>
        <v/>
      </c>
      <c r="T42" s="40">
        <f>IF(OR($R42="",$O42="",$O42=0),"",$R42/$O42)</f>
        <v/>
      </c>
      <c r="U42" s="61">
        <f>IF(OR($O42="",$M42="",$M42=0),"",$O42/$M42)</f>
        <v/>
      </c>
      <c r="V42" s="61">
        <f>IF(OR($O42="",$P42="",$P42=0),"",$O42/$P42)</f>
        <v/>
      </c>
      <c r="W42" s="31">
        <f>IF(OR($A42="",$G42=""),"",IF(EAC_Idx=1,IF(OR($P42="",$O42=""),"",$P42+($G42-$O42)),IF(EAC_Idx=2,IF(OR($V42="",$V42=0),"",$G42/$V42),IF(EAC_Idx=3,IF(OR($V42="",$U42=""),"",IF($V42*$U42=0,"",$P42+($G42-$O42)/($V42*$U42))),IF(OR($P42="",$O42="",ETC_BottomUp="",ETC_BottomUp&lt;=0),"",$P42+($G42-$O42)*EAC_BU_Factor)))))</f>
        <v/>
      </c>
      <c r="X42" s="31">
        <f>IF(OR($W42="",$P42=""),"",$W42-$P42)</f>
        <v/>
      </c>
      <c r="Y42" s="35">
        <f>IF(OR($W42="",$G42=""),"",$G42-$W42)</f>
        <v/>
      </c>
      <c r="Z42" s="61">
        <f>IF(OR($A42="",$G42="",$O42="",$P42="",$G42-$P42=0),"",($G42-$O42)/($G42-$P42))</f>
        <v/>
      </c>
      <c r="AA42" s="54">
        <f>IF($A42="","",IF(AND($N42&lt;&gt;"",$N42&gt;=1,OR($V42="",$V42&gt;=Thr_Green)),"Complete",IF(AND($U42="",$V42=""),"Not started",IF(OR(AND($U42&lt;&gt;"",$U42&lt;Thr_Red),AND($V42&lt;&gt;"",$V42&lt;Thr_Red)),"Red",IF(OR(AND($U42&lt;&gt;"",$U42&lt;Thr_Green),AND($V42&lt;&gt;"",$V42&lt;Thr_Green)),"Amber","Green")))))</f>
        <v/>
      </c>
      <c r="AB42" s="63" t="n"/>
      <c r="AC42" s="63" t="n"/>
      <c r="AD42" s="63" t="n"/>
    </row>
    <row r="43" ht="24" customHeight="1">
      <c r="A43" s="15" t="n"/>
      <c r="B43" s="13" t="n"/>
      <c r="C43" s="15" t="n"/>
      <c r="D43" s="63" t="n"/>
      <c r="E43" s="15" t="n"/>
      <c r="F43" s="15" t="n"/>
      <c r="G43" s="64" t="n"/>
      <c r="H43" s="40">
        <f>IF(OR($A43="",SUM($G$9:$G$208)=0,$G43=""),"",$G43/SUM($G$9:$G$208))</f>
        <v/>
      </c>
      <c r="I43" s="15" t="n"/>
      <c r="J43" s="14" t="n"/>
      <c r="K43" s="14" t="n"/>
      <c r="L43" s="65">
        <f>IF(OR($A43="",$J43="",$K43="",Data_Date=""),"",IF(Data_Date&lt;=$J43,0,IF(Data_Date&gt;=$K43,1,(Data_Date-$J43)/($K43-$J43))))</f>
        <v/>
      </c>
      <c r="M43" s="31">
        <f>IF(OR($A43="",$G43="",$L43=""),"",$G43*$L43)</f>
        <v/>
      </c>
      <c r="N43" s="65" t="n"/>
      <c r="O43" s="31">
        <f>IF(OR($A43="",$G43="",$N43=""),"",$G43*$N43)</f>
        <v/>
      </c>
      <c r="P43" s="64" t="n"/>
      <c r="Q43" s="35">
        <f>IF(OR($O43="",$M43=""),"",$O43-$M43)</f>
        <v/>
      </c>
      <c r="R43" s="35">
        <f>IF(OR($O43="",$P43=""),"",$O43-$P43)</f>
        <v/>
      </c>
      <c r="S43" s="40">
        <f>IF(OR($Q43="",$M43="",$M43=0),"",$Q43/$M43)</f>
        <v/>
      </c>
      <c r="T43" s="40">
        <f>IF(OR($R43="",$O43="",$O43=0),"",$R43/$O43)</f>
        <v/>
      </c>
      <c r="U43" s="61">
        <f>IF(OR($O43="",$M43="",$M43=0),"",$O43/$M43)</f>
        <v/>
      </c>
      <c r="V43" s="61">
        <f>IF(OR($O43="",$P43="",$P43=0),"",$O43/$P43)</f>
        <v/>
      </c>
      <c r="W43" s="31">
        <f>IF(OR($A43="",$G43=""),"",IF(EAC_Idx=1,IF(OR($P43="",$O43=""),"",$P43+($G43-$O43)),IF(EAC_Idx=2,IF(OR($V43="",$V43=0),"",$G43/$V43),IF(EAC_Idx=3,IF(OR($V43="",$U43=""),"",IF($V43*$U43=0,"",$P43+($G43-$O43)/($V43*$U43))),IF(OR($P43="",$O43="",ETC_BottomUp="",ETC_BottomUp&lt;=0),"",$P43+($G43-$O43)*EAC_BU_Factor)))))</f>
        <v/>
      </c>
      <c r="X43" s="31">
        <f>IF(OR($W43="",$P43=""),"",$W43-$P43)</f>
        <v/>
      </c>
      <c r="Y43" s="35">
        <f>IF(OR($W43="",$G43=""),"",$G43-$W43)</f>
        <v/>
      </c>
      <c r="Z43" s="61">
        <f>IF(OR($A43="",$G43="",$O43="",$P43="",$G43-$P43=0),"",($G43-$O43)/($G43-$P43))</f>
        <v/>
      </c>
      <c r="AA43" s="54">
        <f>IF($A43="","",IF(AND($N43&lt;&gt;"",$N43&gt;=1,OR($V43="",$V43&gt;=Thr_Green)),"Complete",IF(AND($U43="",$V43=""),"Not started",IF(OR(AND($U43&lt;&gt;"",$U43&lt;Thr_Red),AND($V43&lt;&gt;"",$V43&lt;Thr_Red)),"Red",IF(OR(AND($U43&lt;&gt;"",$U43&lt;Thr_Green),AND($V43&lt;&gt;"",$V43&lt;Thr_Green)),"Amber","Green")))))</f>
        <v/>
      </c>
      <c r="AB43" s="63" t="n"/>
      <c r="AC43" s="63" t="n"/>
      <c r="AD43" s="63" t="n"/>
    </row>
    <row r="44" ht="24" customHeight="1">
      <c r="A44" s="15" t="n"/>
      <c r="B44" s="13" t="n"/>
      <c r="C44" s="15" t="n"/>
      <c r="D44" s="63" t="n"/>
      <c r="E44" s="15" t="n"/>
      <c r="F44" s="15" t="n"/>
      <c r="G44" s="64" t="n"/>
      <c r="H44" s="40">
        <f>IF(OR($A44="",SUM($G$9:$G$208)=0,$G44=""),"",$G44/SUM($G$9:$G$208))</f>
        <v/>
      </c>
      <c r="I44" s="15" t="n"/>
      <c r="J44" s="14" t="n"/>
      <c r="K44" s="14" t="n"/>
      <c r="L44" s="65">
        <f>IF(OR($A44="",$J44="",$K44="",Data_Date=""),"",IF(Data_Date&lt;=$J44,0,IF(Data_Date&gt;=$K44,1,(Data_Date-$J44)/($K44-$J44))))</f>
        <v/>
      </c>
      <c r="M44" s="31">
        <f>IF(OR($A44="",$G44="",$L44=""),"",$G44*$L44)</f>
        <v/>
      </c>
      <c r="N44" s="65" t="n"/>
      <c r="O44" s="31">
        <f>IF(OR($A44="",$G44="",$N44=""),"",$G44*$N44)</f>
        <v/>
      </c>
      <c r="P44" s="64" t="n"/>
      <c r="Q44" s="35">
        <f>IF(OR($O44="",$M44=""),"",$O44-$M44)</f>
        <v/>
      </c>
      <c r="R44" s="35">
        <f>IF(OR($O44="",$P44=""),"",$O44-$P44)</f>
        <v/>
      </c>
      <c r="S44" s="40">
        <f>IF(OR($Q44="",$M44="",$M44=0),"",$Q44/$M44)</f>
        <v/>
      </c>
      <c r="T44" s="40">
        <f>IF(OR($R44="",$O44="",$O44=0),"",$R44/$O44)</f>
        <v/>
      </c>
      <c r="U44" s="61">
        <f>IF(OR($O44="",$M44="",$M44=0),"",$O44/$M44)</f>
        <v/>
      </c>
      <c r="V44" s="61">
        <f>IF(OR($O44="",$P44="",$P44=0),"",$O44/$P44)</f>
        <v/>
      </c>
      <c r="W44" s="31">
        <f>IF(OR($A44="",$G44=""),"",IF(EAC_Idx=1,IF(OR($P44="",$O44=""),"",$P44+($G44-$O44)),IF(EAC_Idx=2,IF(OR($V44="",$V44=0),"",$G44/$V44),IF(EAC_Idx=3,IF(OR($V44="",$U44=""),"",IF($V44*$U44=0,"",$P44+($G44-$O44)/($V44*$U44))),IF(OR($P44="",$O44="",ETC_BottomUp="",ETC_BottomUp&lt;=0),"",$P44+($G44-$O44)*EAC_BU_Factor)))))</f>
        <v/>
      </c>
      <c r="X44" s="31">
        <f>IF(OR($W44="",$P44=""),"",$W44-$P44)</f>
        <v/>
      </c>
      <c r="Y44" s="35">
        <f>IF(OR($W44="",$G44=""),"",$G44-$W44)</f>
        <v/>
      </c>
      <c r="Z44" s="61">
        <f>IF(OR($A44="",$G44="",$O44="",$P44="",$G44-$P44=0),"",($G44-$O44)/($G44-$P44))</f>
        <v/>
      </c>
      <c r="AA44" s="54">
        <f>IF($A44="","",IF(AND($N44&lt;&gt;"",$N44&gt;=1,OR($V44="",$V44&gt;=Thr_Green)),"Complete",IF(AND($U44="",$V44=""),"Not started",IF(OR(AND($U44&lt;&gt;"",$U44&lt;Thr_Red),AND($V44&lt;&gt;"",$V44&lt;Thr_Red)),"Red",IF(OR(AND($U44&lt;&gt;"",$U44&lt;Thr_Green),AND($V44&lt;&gt;"",$V44&lt;Thr_Green)),"Amber","Green")))))</f>
        <v/>
      </c>
      <c r="AB44" s="63" t="n"/>
      <c r="AC44" s="63" t="n"/>
      <c r="AD44" s="63" t="n"/>
    </row>
    <row r="45" ht="24" customHeight="1">
      <c r="A45" s="15" t="n"/>
      <c r="B45" s="13" t="n"/>
      <c r="C45" s="15" t="n"/>
      <c r="D45" s="63" t="n"/>
      <c r="E45" s="15" t="n"/>
      <c r="F45" s="15" t="n"/>
      <c r="G45" s="64" t="n"/>
      <c r="H45" s="40">
        <f>IF(OR($A45="",SUM($G$9:$G$208)=0,$G45=""),"",$G45/SUM($G$9:$G$208))</f>
        <v/>
      </c>
      <c r="I45" s="15" t="n"/>
      <c r="J45" s="14" t="n"/>
      <c r="K45" s="14" t="n"/>
      <c r="L45" s="65">
        <f>IF(OR($A45="",$J45="",$K45="",Data_Date=""),"",IF(Data_Date&lt;=$J45,0,IF(Data_Date&gt;=$K45,1,(Data_Date-$J45)/($K45-$J45))))</f>
        <v/>
      </c>
      <c r="M45" s="31">
        <f>IF(OR($A45="",$G45="",$L45=""),"",$G45*$L45)</f>
        <v/>
      </c>
      <c r="N45" s="65" t="n"/>
      <c r="O45" s="31">
        <f>IF(OR($A45="",$G45="",$N45=""),"",$G45*$N45)</f>
        <v/>
      </c>
      <c r="P45" s="64" t="n"/>
      <c r="Q45" s="35">
        <f>IF(OR($O45="",$M45=""),"",$O45-$M45)</f>
        <v/>
      </c>
      <c r="R45" s="35">
        <f>IF(OR($O45="",$P45=""),"",$O45-$P45)</f>
        <v/>
      </c>
      <c r="S45" s="40">
        <f>IF(OR($Q45="",$M45="",$M45=0),"",$Q45/$M45)</f>
        <v/>
      </c>
      <c r="T45" s="40">
        <f>IF(OR($R45="",$O45="",$O45=0),"",$R45/$O45)</f>
        <v/>
      </c>
      <c r="U45" s="61">
        <f>IF(OR($O45="",$M45="",$M45=0),"",$O45/$M45)</f>
        <v/>
      </c>
      <c r="V45" s="61">
        <f>IF(OR($O45="",$P45="",$P45=0),"",$O45/$P45)</f>
        <v/>
      </c>
      <c r="W45" s="31">
        <f>IF(OR($A45="",$G45=""),"",IF(EAC_Idx=1,IF(OR($P45="",$O45=""),"",$P45+($G45-$O45)),IF(EAC_Idx=2,IF(OR($V45="",$V45=0),"",$G45/$V45),IF(EAC_Idx=3,IF(OR($V45="",$U45=""),"",IF($V45*$U45=0,"",$P45+($G45-$O45)/($V45*$U45))),IF(OR($P45="",$O45="",ETC_BottomUp="",ETC_BottomUp&lt;=0),"",$P45+($G45-$O45)*EAC_BU_Factor)))))</f>
        <v/>
      </c>
      <c r="X45" s="31">
        <f>IF(OR($W45="",$P45=""),"",$W45-$P45)</f>
        <v/>
      </c>
      <c r="Y45" s="35">
        <f>IF(OR($W45="",$G45=""),"",$G45-$W45)</f>
        <v/>
      </c>
      <c r="Z45" s="61">
        <f>IF(OR($A45="",$G45="",$O45="",$P45="",$G45-$P45=0),"",($G45-$O45)/($G45-$P45))</f>
        <v/>
      </c>
      <c r="AA45" s="54">
        <f>IF($A45="","",IF(AND($N45&lt;&gt;"",$N45&gt;=1,OR($V45="",$V45&gt;=Thr_Green)),"Complete",IF(AND($U45="",$V45=""),"Not started",IF(OR(AND($U45&lt;&gt;"",$U45&lt;Thr_Red),AND($V45&lt;&gt;"",$V45&lt;Thr_Red)),"Red",IF(OR(AND($U45&lt;&gt;"",$U45&lt;Thr_Green),AND($V45&lt;&gt;"",$V45&lt;Thr_Green)),"Amber","Green")))))</f>
        <v/>
      </c>
      <c r="AB45" s="63" t="n"/>
      <c r="AC45" s="63" t="n"/>
      <c r="AD45" s="63" t="n"/>
    </row>
    <row r="46" ht="24" customHeight="1">
      <c r="A46" s="15" t="n"/>
      <c r="B46" s="13" t="n"/>
      <c r="C46" s="15" t="n"/>
      <c r="D46" s="63" t="n"/>
      <c r="E46" s="15" t="n"/>
      <c r="F46" s="15" t="n"/>
      <c r="G46" s="64" t="n"/>
      <c r="H46" s="40">
        <f>IF(OR($A46="",SUM($G$9:$G$208)=0,$G46=""),"",$G46/SUM($G$9:$G$208))</f>
        <v/>
      </c>
      <c r="I46" s="15" t="n"/>
      <c r="J46" s="14" t="n"/>
      <c r="K46" s="14" t="n"/>
      <c r="L46" s="65">
        <f>IF(OR($A46="",$J46="",$K46="",Data_Date=""),"",IF(Data_Date&lt;=$J46,0,IF(Data_Date&gt;=$K46,1,(Data_Date-$J46)/($K46-$J46))))</f>
        <v/>
      </c>
      <c r="M46" s="31">
        <f>IF(OR($A46="",$G46="",$L46=""),"",$G46*$L46)</f>
        <v/>
      </c>
      <c r="N46" s="65" t="n"/>
      <c r="O46" s="31">
        <f>IF(OR($A46="",$G46="",$N46=""),"",$G46*$N46)</f>
        <v/>
      </c>
      <c r="P46" s="64" t="n"/>
      <c r="Q46" s="35">
        <f>IF(OR($O46="",$M46=""),"",$O46-$M46)</f>
        <v/>
      </c>
      <c r="R46" s="35">
        <f>IF(OR($O46="",$P46=""),"",$O46-$P46)</f>
        <v/>
      </c>
      <c r="S46" s="40">
        <f>IF(OR($Q46="",$M46="",$M46=0),"",$Q46/$M46)</f>
        <v/>
      </c>
      <c r="T46" s="40">
        <f>IF(OR($R46="",$O46="",$O46=0),"",$R46/$O46)</f>
        <v/>
      </c>
      <c r="U46" s="61">
        <f>IF(OR($O46="",$M46="",$M46=0),"",$O46/$M46)</f>
        <v/>
      </c>
      <c r="V46" s="61">
        <f>IF(OR($O46="",$P46="",$P46=0),"",$O46/$P46)</f>
        <v/>
      </c>
      <c r="W46" s="31">
        <f>IF(OR($A46="",$G46=""),"",IF(EAC_Idx=1,IF(OR($P46="",$O46=""),"",$P46+($G46-$O46)),IF(EAC_Idx=2,IF(OR($V46="",$V46=0),"",$G46/$V46),IF(EAC_Idx=3,IF(OR($V46="",$U46=""),"",IF($V46*$U46=0,"",$P46+($G46-$O46)/($V46*$U46))),IF(OR($P46="",$O46="",ETC_BottomUp="",ETC_BottomUp&lt;=0),"",$P46+($G46-$O46)*EAC_BU_Factor)))))</f>
        <v/>
      </c>
      <c r="X46" s="31">
        <f>IF(OR($W46="",$P46=""),"",$W46-$P46)</f>
        <v/>
      </c>
      <c r="Y46" s="35">
        <f>IF(OR($W46="",$G46=""),"",$G46-$W46)</f>
        <v/>
      </c>
      <c r="Z46" s="61">
        <f>IF(OR($A46="",$G46="",$O46="",$P46="",$G46-$P46=0),"",($G46-$O46)/($G46-$P46))</f>
        <v/>
      </c>
      <c r="AA46" s="54">
        <f>IF($A46="","",IF(AND($N46&lt;&gt;"",$N46&gt;=1,OR($V46="",$V46&gt;=Thr_Green)),"Complete",IF(AND($U46="",$V46=""),"Not started",IF(OR(AND($U46&lt;&gt;"",$U46&lt;Thr_Red),AND($V46&lt;&gt;"",$V46&lt;Thr_Red)),"Red",IF(OR(AND($U46&lt;&gt;"",$U46&lt;Thr_Green),AND($V46&lt;&gt;"",$V46&lt;Thr_Green)),"Amber","Green")))))</f>
        <v/>
      </c>
      <c r="AB46" s="63" t="n"/>
      <c r="AC46" s="63" t="n"/>
      <c r="AD46" s="63" t="n"/>
    </row>
    <row r="47" ht="24" customHeight="1">
      <c r="A47" s="15" t="n"/>
      <c r="B47" s="13" t="n"/>
      <c r="C47" s="15" t="n"/>
      <c r="D47" s="63" t="n"/>
      <c r="E47" s="15" t="n"/>
      <c r="F47" s="15" t="n"/>
      <c r="G47" s="64" t="n"/>
      <c r="H47" s="40">
        <f>IF(OR($A47="",SUM($G$9:$G$208)=0,$G47=""),"",$G47/SUM($G$9:$G$208))</f>
        <v/>
      </c>
      <c r="I47" s="15" t="n"/>
      <c r="J47" s="14" t="n"/>
      <c r="K47" s="14" t="n"/>
      <c r="L47" s="65">
        <f>IF(OR($A47="",$J47="",$K47="",Data_Date=""),"",IF(Data_Date&lt;=$J47,0,IF(Data_Date&gt;=$K47,1,(Data_Date-$J47)/($K47-$J47))))</f>
        <v/>
      </c>
      <c r="M47" s="31">
        <f>IF(OR($A47="",$G47="",$L47=""),"",$G47*$L47)</f>
        <v/>
      </c>
      <c r="N47" s="65" t="n"/>
      <c r="O47" s="31">
        <f>IF(OR($A47="",$G47="",$N47=""),"",$G47*$N47)</f>
        <v/>
      </c>
      <c r="P47" s="64" t="n"/>
      <c r="Q47" s="35">
        <f>IF(OR($O47="",$M47=""),"",$O47-$M47)</f>
        <v/>
      </c>
      <c r="R47" s="35">
        <f>IF(OR($O47="",$P47=""),"",$O47-$P47)</f>
        <v/>
      </c>
      <c r="S47" s="40">
        <f>IF(OR($Q47="",$M47="",$M47=0),"",$Q47/$M47)</f>
        <v/>
      </c>
      <c r="T47" s="40">
        <f>IF(OR($R47="",$O47="",$O47=0),"",$R47/$O47)</f>
        <v/>
      </c>
      <c r="U47" s="61">
        <f>IF(OR($O47="",$M47="",$M47=0),"",$O47/$M47)</f>
        <v/>
      </c>
      <c r="V47" s="61">
        <f>IF(OR($O47="",$P47="",$P47=0),"",$O47/$P47)</f>
        <v/>
      </c>
      <c r="W47" s="31">
        <f>IF(OR($A47="",$G47=""),"",IF(EAC_Idx=1,IF(OR($P47="",$O47=""),"",$P47+($G47-$O47)),IF(EAC_Idx=2,IF(OR($V47="",$V47=0),"",$G47/$V47),IF(EAC_Idx=3,IF(OR($V47="",$U47=""),"",IF($V47*$U47=0,"",$P47+($G47-$O47)/($V47*$U47))),IF(OR($P47="",$O47="",ETC_BottomUp="",ETC_BottomUp&lt;=0),"",$P47+($G47-$O47)*EAC_BU_Factor)))))</f>
        <v/>
      </c>
      <c r="X47" s="31">
        <f>IF(OR($W47="",$P47=""),"",$W47-$P47)</f>
        <v/>
      </c>
      <c r="Y47" s="35">
        <f>IF(OR($W47="",$G47=""),"",$G47-$W47)</f>
        <v/>
      </c>
      <c r="Z47" s="61">
        <f>IF(OR($A47="",$G47="",$O47="",$P47="",$G47-$P47=0),"",($G47-$O47)/($G47-$P47))</f>
        <v/>
      </c>
      <c r="AA47" s="54">
        <f>IF($A47="","",IF(AND($N47&lt;&gt;"",$N47&gt;=1,OR($V47="",$V47&gt;=Thr_Green)),"Complete",IF(AND($U47="",$V47=""),"Not started",IF(OR(AND($U47&lt;&gt;"",$U47&lt;Thr_Red),AND($V47&lt;&gt;"",$V47&lt;Thr_Red)),"Red",IF(OR(AND($U47&lt;&gt;"",$U47&lt;Thr_Green),AND($V47&lt;&gt;"",$V47&lt;Thr_Green)),"Amber","Green")))))</f>
        <v/>
      </c>
      <c r="AB47" s="63" t="n"/>
      <c r="AC47" s="63" t="n"/>
      <c r="AD47" s="63" t="n"/>
    </row>
    <row r="48" ht="24" customHeight="1">
      <c r="A48" s="15" t="n"/>
      <c r="B48" s="13" t="n"/>
      <c r="C48" s="15" t="n"/>
      <c r="D48" s="63" t="n"/>
      <c r="E48" s="15" t="n"/>
      <c r="F48" s="15" t="n"/>
      <c r="G48" s="64" t="n"/>
      <c r="H48" s="40">
        <f>IF(OR($A48="",SUM($G$9:$G$208)=0,$G48=""),"",$G48/SUM($G$9:$G$208))</f>
        <v/>
      </c>
      <c r="I48" s="15" t="n"/>
      <c r="J48" s="14" t="n"/>
      <c r="K48" s="14" t="n"/>
      <c r="L48" s="65">
        <f>IF(OR($A48="",$J48="",$K48="",Data_Date=""),"",IF(Data_Date&lt;=$J48,0,IF(Data_Date&gt;=$K48,1,(Data_Date-$J48)/($K48-$J48))))</f>
        <v/>
      </c>
      <c r="M48" s="31">
        <f>IF(OR($A48="",$G48="",$L48=""),"",$G48*$L48)</f>
        <v/>
      </c>
      <c r="N48" s="65" t="n"/>
      <c r="O48" s="31">
        <f>IF(OR($A48="",$G48="",$N48=""),"",$G48*$N48)</f>
        <v/>
      </c>
      <c r="P48" s="64" t="n"/>
      <c r="Q48" s="35">
        <f>IF(OR($O48="",$M48=""),"",$O48-$M48)</f>
        <v/>
      </c>
      <c r="R48" s="35">
        <f>IF(OR($O48="",$P48=""),"",$O48-$P48)</f>
        <v/>
      </c>
      <c r="S48" s="40">
        <f>IF(OR($Q48="",$M48="",$M48=0),"",$Q48/$M48)</f>
        <v/>
      </c>
      <c r="T48" s="40">
        <f>IF(OR($R48="",$O48="",$O48=0),"",$R48/$O48)</f>
        <v/>
      </c>
      <c r="U48" s="61">
        <f>IF(OR($O48="",$M48="",$M48=0),"",$O48/$M48)</f>
        <v/>
      </c>
      <c r="V48" s="61">
        <f>IF(OR($O48="",$P48="",$P48=0),"",$O48/$P48)</f>
        <v/>
      </c>
      <c r="W48" s="31">
        <f>IF(OR($A48="",$G48=""),"",IF(EAC_Idx=1,IF(OR($P48="",$O48=""),"",$P48+($G48-$O48)),IF(EAC_Idx=2,IF(OR($V48="",$V48=0),"",$G48/$V48),IF(EAC_Idx=3,IF(OR($V48="",$U48=""),"",IF($V48*$U48=0,"",$P48+($G48-$O48)/($V48*$U48))),IF(OR($P48="",$O48="",ETC_BottomUp="",ETC_BottomUp&lt;=0),"",$P48+($G48-$O48)*EAC_BU_Factor)))))</f>
        <v/>
      </c>
      <c r="X48" s="31">
        <f>IF(OR($W48="",$P48=""),"",$W48-$P48)</f>
        <v/>
      </c>
      <c r="Y48" s="35">
        <f>IF(OR($W48="",$G48=""),"",$G48-$W48)</f>
        <v/>
      </c>
      <c r="Z48" s="61">
        <f>IF(OR($A48="",$G48="",$O48="",$P48="",$G48-$P48=0),"",($G48-$O48)/($G48-$P48))</f>
        <v/>
      </c>
      <c r="AA48" s="54">
        <f>IF($A48="","",IF(AND($N48&lt;&gt;"",$N48&gt;=1,OR($V48="",$V48&gt;=Thr_Green)),"Complete",IF(AND($U48="",$V48=""),"Not started",IF(OR(AND($U48&lt;&gt;"",$U48&lt;Thr_Red),AND($V48&lt;&gt;"",$V48&lt;Thr_Red)),"Red",IF(OR(AND($U48&lt;&gt;"",$U48&lt;Thr_Green),AND($V48&lt;&gt;"",$V48&lt;Thr_Green)),"Amber","Green")))))</f>
        <v/>
      </c>
      <c r="AB48" s="63" t="n"/>
      <c r="AC48" s="63" t="n"/>
      <c r="AD48" s="63" t="n"/>
    </row>
    <row r="49" ht="24" customHeight="1">
      <c r="A49" s="15" t="n"/>
      <c r="B49" s="13" t="n"/>
      <c r="C49" s="15" t="n"/>
      <c r="D49" s="63" t="n"/>
      <c r="E49" s="15" t="n"/>
      <c r="F49" s="15" t="n"/>
      <c r="G49" s="64" t="n"/>
      <c r="H49" s="40">
        <f>IF(OR($A49="",SUM($G$9:$G$208)=0,$G49=""),"",$G49/SUM($G$9:$G$208))</f>
        <v/>
      </c>
      <c r="I49" s="15" t="n"/>
      <c r="J49" s="14" t="n"/>
      <c r="K49" s="14" t="n"/>
      <c r="L49" s="65">
        <f>IF(OR($A49="",$J49="",$K49="",Data_Date=""),"",IF(Data_Date&lt;=$J49,0,IF(Data_Date&gt;=$K49,1,(Data_Date-$J49)/($K49-$J49))))</f>
        <v/>
      </c>
      <c r="M49" s="31">
        <f>IF(OR($A49="",$G49="",$L49=""),"",$G49*$L49)</f>
        <v/>
      </c>
      <c r="N49" s="65" t="n"/>
      <c r="O49" s="31">
        <f>IF(OR($A49="",$G49="",$N49=""),"",$G49*$N49)</f>
        <v/>
      </c>
      <c r="P49" s="64" t="n"/>
      <c r="Q49" s="35">
        <f>IF(OR($O49="",$M49=""),"",$O49-$M49)</f>
        <v/>
      </c>
      <c r="R49" s="35">
        <f>IF(OR($O49="",$P49=""),"",$O49-$P49)</f>
        <v/>
      </c>
      <c r="S49" s="40">
        <f>IF(OR($Q49="",$M49="",$M49=0),"",$Q49/$M49)</f>
        <v/>
      </c>
      <c r="T49" s="40">
        <f>IF(OR($R49="",$O49="",$O49=0),"",$R49/$O49)</f>
        <v/>
      </c>
      <c r="U49" s="61">
        <f>IF(OR($O49="",$M49="",$M49=0),"",$O49/$M49)</f>
        <v/>
      </c>
      <c r="V49" s="61">
        <f>IF(OR($O49="",$P49="",$P49=0),"",$O49/$P49)</f>
        <v/>
      </c>
      <c r="W49" s="31">
        <f>IF(OR($A49="",$G49=""),"",IF(EAC_Idx=1,IF(OR($P49="",$O49=""),"",$P49+($G49-$O49)),IF(EAC_Idx=2,IF(OR($V49="",$V49=0),"",$G49/$V49),IF(EAC_Idx=3,IF(OR($V49="",$U49=""),"",IF($V49*$U49=0,"",$P49+($G49-$O49)/($V49*$U49))),IF(OR($P49="",$O49="",ETC_BottomUp="",ETC_BottomUp&lt;=0),"",$P49+($G49-$O49)*EAC_BU_Factor)))))</f>
        <v/>
      </c>
      <c r="X49" s="31">
        <f>IF(OR($W49="",$P49=""),"",$W49-$P49)</f>
        <v/>
      </c>
      <c r="Y49" s="35">
        <f>IF(OR($W49="",$G49=""),"",$G49-$W49)</f>
        <v/>
      </c>
      <c r="Z49" s="61">
        <f>IF(OR($A49="",$G49="",$O49="",$P49="",$G49-$P49=0),"",($G49-$O49)/($G49-$P49))</f>
        <v/>
      </c>
      <c r="AA49" s="54">
        <f>IF($A49="","",IF(AND($N49&lt;&gt;"",$N49&gt;=1,OR($V49="",$V49&gt;=Thr_Green)),"Complete",IF(AND($U49="",$V49=""),"Not started",IF(OR(AND($U49&lt;&gt;"",$U49&lt;Thr_Red),AND($V49&lt;&gt;"",$V49&lt;Thr_Red)),"Red",IF(OR(AND($U49&lt;&gt;"",$U49&lt;Thr_Green),AND($V49&lt;&gt;"",$V49&lt;Thr_Green)),"Amber","Green")))))</f>
        <v/>
      </c>
      <c r="AB49" s="63" t="n"/>
      <c r="AC49" s="63" t="n"/>
      <c r="AD49" s="63" t="n"/>
    </row>
    <row r="50" ht="24" customHeight="1">
      <c r="A50" s="15" t="n"/>
      <c r="B50" s="13" t="n"/>
      <c r="C50" s="15" t="n"/>
      <c r="D50" s="63" t="n"/>
      <c r="E50" s="15" t="n"/>
      <c r="F50" s="15" t="n"/>
      <c r="G50" s="64" t="n"/>
      <c r="H50" s="40">
        <f>IF(OR($A50="",SUM($G$9:$G$208)=0,$G50=""),"",$G50/SUM($G$9:$G$208))</f>
        <v/>
      </c>
      <c r="I50" s="15" t="n"/>
      <c r="J50" s="14" t="n"/>
      <c r="K50" s="14" t="n"/>
      <c r="L50" s="65">
        <f>IF(OR($A50="",$J50="",$K50="",Data_Date=""),"",IF(Data_Date&lt;=$J50,0,IF(Data_Date&gt;=$K50,1,(Data_Date-$J50)/($K50-$J50))))</f>
        <v/>
      </c>
      <c r="M50" s="31">
        <f>IF(OR($A50="",$G50="",$L50=""),"",$G50*$L50)</f>
        <v/>
      </c>
      <c r="N50" s="65" t="n"/>
      <c r="O50" s="31">
        <f>IF(OR($A50="",$G50="",$N50=""),"",$G50*$N50)</f>
        <v/>
      </c>
      <c r="P50" s="64" t="n"/>
      <c r="Q50" s="35">
        <f>IF(OR($O50="",$M50=""),"",$O50-$M50)</f>
        <v/>
      </c>
      <c r="R50" s="35">
        <f>IF(OR($O50="",$P50=""),"",$O50-$P50)</f>
        <v/>
      </c>
      <c r="S50" s="40">
        <f>IF(OR($Q50="",$M50="",$M50=0),"",$Q50/$M50)</f>
        <v/>
      </c>
      <c r="T50" s="40">
        <f>IF(OR($R50="",$O50="",$O50=0),"",$R50/$O50)</f>
        <v/>
      </c>
      <c r="U50" s="61">
        <f>IF(OR($O50="",$M50="",$M50=0),"",$O50/$M50)</f>
        <v/>
      </c>
      <c r="V50" s="61">
        <f>IF(OR($O50="",$P50="",$P50=0),"",$O50/$P50)</f>
        <v/>
      </c>
      <c r="W50" s="31">
        <f>IF(OR($A50="",$G50=""),"",IF(EAC_Idx=1,IF(OR($P50="",$O50=""),"",$P50+($G50-$O50)),IF(EAC_Idx=2,IF(OR($V50="",$V50=0),"",$G50/$V50),IF(EAC_Idx=3,IF(OR($V50="",$U50=""),"",IF($V50*$U50=0,"",$P50+($G50-$O50)/($V50*$U50))),IF(OR($P50="",$O50="",ETC_BottomUp="",ETC_BottomUp&lt;=0),"",$P50+($G50-$O50)*EAC_BU_Factor)))))</f>
        <v/>
      </c>
      <c r="X50" s="31">
        <f>IF(OR($W50="",$P50=""),"",$W50-$P50)</f>
        <v/>
      </c>
      <c r="Y50" s="35">
        <f>IF(OR($W50="",$G50=""),"",$G50-$W50)</f>
        <v/>
      </c>
      <c r="Z50" s="61">
        <f>IF(OR($A50="",$G50="",$O50="",$P50="",$G50-$P50=0),"",($G50-$O50)/($G50-$P50))</f>
        <v/>
      </c>
      <c r="AA50" s="54">
        <f>IF($A50="","",IF(AND($N50&lt;&gt;"",$N50&gt;=1,OR($V50="",$V50&gt;=Thr_Green)),"Complete",IF(AND($U50="",$V50=""),"Not started",IF(OR(AND($U50&lt;&gt;"",$U50&lt;Thr_Red),AND($V50&lt;&gt;"",$V50&lt;Thr_Red)),"Red",IF(OR(AND($U50&lt;&gt;"",$U50&lt;Thr_Green),AND($V50&lt;&gt;"",$V50&lt;Thr_Green)),"Amber","Green")))))</f>
        <v/>
      </c>
      <c r="AB50" s="63" t="n"/>
      <c r="AC50" s="63" t="n"/>
      <c r="AD50" s="63" t="n"/>
    </row>
    <row r="51" ht="24" customHeight="1">
      <c r="A51" s="15" t="n"/>
      <c r="B51" s="13" t="n"/>
      <c r="C51" s="15" t="n"/>
      <c r="D51" s="63" t="n"/>
      <c r="E51" s="15" t="n"/>
      <c r="F51" s="15" t="n"/>
      <c r="G51" s="64" t="n"/>
      <c r="H51" s="40">
        <f>IF(OR($A51="",SUM($G$9:$G$208)=0,$G51=""),"",$G51/SUM($G$9:$G$208))</f>
        <v/>
      </c>
      <c r="I51" s="15" t="n"/>
      <c r="J51" s="14" t="n"/>
      <c r="K51" s="14" t="n"/>
      <c r="L51" s="65">
        <f>IF(OR($A51="",$J51="",$K51="",Data_Date=""),"",IF(Data_Date&lt;=$J51,0,IF(Data_Date&gt;=$K51,1,(Data_Date-$J51)/($K51-$J51))))</f>
        <v/>
      </c>
      <c r="M51" s="31">
        <f>IF(OR($A51="",$G51="",$L51=""),"",$G51*$L51)</f>
        <v/>
      </c>
      <c r="N51" s="65" t="n"/>
      <c r="O51" s="31">
        <f>IF(OR($A51="",$G51="",$N51=""),"",$G51*$N51)</f>
        <v/>
      </c>
      <c r="P51" s="64" t="n"/>
      <c r="Q51" s="35">
        <f>IF(OR($O51="",$M51=""),"",$O51-$M51)</f>
        <v/>
      </c>
      <c r="R51" s="35">
        <f>IF(OR($O51="",$P51=""),"",$O51-$P51)</f>
        <v/>
      </c>
      <c r="S51" s="40">
        <f>IF(OR($Q51="",$M51="",$M51=0),"",$Q51/$M51)</f>
        <v/>
      </c>
      <c r="T51" s="40">
        <f>IF(OR($R51="",$O51="",$O51=0),"",$R51/$O51)</f>
        <v/>
      </c>
      <c r="U51" s="61">
        <f>IF(OR($O51="",$M51="",$M51=0),"",$O51/$M51)</f>
        <v/>
      </c>
      <c r="V51" s="61">
        <f>IF(OR($O51="",$P51="",$P51=0),"",$O51/$P51)</f>
        <v/>
      </c>
      <c r="W51" s="31">
        <f>IF(OR($A51="",$G51=""),"",IF(EAC_Idx=1,IF(OR($P51="",$O51=""),"",$P51+($G51-$O51)),IF(EAC_Idx=2,IF(OR($V51="",$V51=0),"",$G51/$V51),IF(EAC_Idx=3,IF(OR($V51="",$U51=""),"",IF($V51*$U51=0,"",$P51+($G51-$O51)/($V51*$U51))),IF(OR($P51="",$O51="",ETC_BottomUp="",ETC_BottomUp&lt;=0),"",$P51+($G51-$O51)*EAC_BU_Factor)))))</f>
        <v/>
      </c>
      <c r="X51" s="31">
        <f>IF(OR($W51="",$P51=""),"",$W51-$P51)</f>
        <v/>
      </c>
      <c r="Y51" s="35">
        <f>IF(OR($W51="",$G51=""),"",$G51-$W51)</f>
        <v/>
      </c>
      <c r="Z51" s="61">
        <f>IF(OR($A51="",$G51="",$O51="",$P51="",$G51-$P51=0),"",($G51-$O51)/($G51-$P51))</f>
        <v/>
      </c>
      <c r="AA51" s="54">
        <f>IF($A51="","",IF(AND($N51&lt;&gt;"",$N51&gt;=1,OR($V51="",$V51&gt;=Thr_Green)),"Complete",IF(AND($U51="",$V51=""),"Not started",IF(OR(AND($U51&lt;&gt;"",$U51&lt;Thr_Red),AND($V51&lt;&gt;"",$V51&lt;Thr_Red)),"Red",IF(OR(AND($U51&lt;&gt;"",$U51&lt;Thr_Green),AND($V51&lt;&gt;"",$V51&lt;Thr_Green)),"Amber","Green")))))</f>
        <v/>
      </c>
      <c r="AB51" s="63" t="n"/>
      <c r="AC51" s="63" t="n"/>
      <c r="AD51" s="63" t="n"/>
    </row>
    <row r="52" ht="24" customHeight="1">
      <c r="A52" s="15" t="n"/>
      <c r="B52" s="13" t="n"/>
      <c r="C52" s="15" t="n"/>
      <c r="D52" s="63" t="n"/>
      <c r="E52" s="15" t="n"/>
      <c r="F52" s="15" t="n"/>
      <c r="G52" s="64" t="n"/>
      <c r="H52" s="40">
        <f>IF(OR($A52="",SUM($G$9:$G$208)=0,$G52=""),"",$G52/SUM($G$9:$G$208))</f>
        <v/>
      </c>
      <c r="I52" s="15" t="n"/>
      <c r="J52" s="14" t="n"/>
      <c r="K52" s="14" t="n"/>
      <c r="L52" s="65">
        <f>IF(OR($A52="",$J52="",$K52="",Data_Date=""),"",IF(Data_Date&lt;=$J52,0,IF(Data_Date&gt;=$K52,1,(Data_Date-$J52)/($K52-$J52))))</f>
        <v/>
      </c>
      <c r="M52" s="31">
        <f>IF(OR($A52="",$G52="",$L52=""),"",$G52*$L52)</f>
        <v/>
      </c>
      <c r="N52" s="65" t="n"/>
      <c r="O52" s="31">
        <f>IF(OR($A52="",$G52="",$N52=""),"",$G52*$N52)</f>
        <v/>
      </c>
      <c r="P52" s="64" t="n"/>
      <c r="Q52" s="35">
        <f>IF(OR($O52="",$M52=""),"",$O52-$M52)</f>
        <v/>
      </c>
      <c r="R52" s="35">
        <f>IF(OR($O52="",$P52=""),"",$O52-$P52)</f>
        <v/>
      </c>
      <c r="S52" s="40">
        <f>IF(OR($Q52="",$M52="",$M52=0),"",$Q52/$M52)</f>
        <v/>
      </c>
      <c r="T52" s="40">
        <f>IF(OR($R52="",$O52="",$O52=0),"",$R52/$O52)</f>
        <v/>
      </c>
      <c r="U52" s="61">
        <f>IF(OR($O52="",$M52="",$M52=0),"",$O52/$M52)</f>
        <v/>
      </c>
      <c r="V52" s="61">
        <f>IF(OR($O52="",$P52="",$P52=0),"",$O52/$P52)</f>
        <v/>
      </c>
      <c r="W52" s="31">
        <f>IF(OR($A52="",$G52=""),"",IF(EAC_Idx=1,IF(OR($P52="",$O52=""),"",$P52+($G52-$O52)),IF(EAC_Idx=2,IF(OR($V52="",$V52=0),"",$G52/$V52),IF(EAC_Idx=3,IF(OR($V52="",$U52=""),"",IF($V52*$U52=0,"",$P52+($G52-$O52)/($V52*$U52))),IF(OR($P52="",$O52="",ETC_BottomUp="",ETC_BottomUp&lt;=0),"",$P52+($G52-$O52)*EAC_BU_Factor)))))</f>
        <v/>
      </c>
      <c r="X52" s="31">
        <f>IF(OR($W52="",$P52=""),"",$W52-$P52)</f>
        <v/>
      </c>
      <c r="Y52" s="35">
        <f>IF(OR($W52="",$G52=""),"",$G52-$W52)</f>
        <v/>
      </c>
      <c r="Z52" s="61">
        <f>IF(OR($A52="",$G52="",$O52="",$P52="",$G52-$P52=0),"",($G52-$O52)/($G52-$P52))</f>
        <v/>
      </c>
      <c r="AA52" s="54">
        <f>IF($A52="","",IF(AND($N52&lt;&gt;"",$N52&gt;=1,OR($V52="",$V52&gt;=Thr_Green)),"Complete",IF(AND($U52="",$V52=""),"Not started",IF(OR(AND($U52&lt;&gt;"",$U52&lt;Thr_Red),AND($V52&lt;&gt;"",$V52&lt;Thr_Red)),"Red",IF(OR(AND($U52&lt;&gt;"",$U52&lt;Thr_Green),AND($V52&lt;&gt;"",$V52&lt;Thr_Green)),"Amber","Green")))))</f>
        <v/>
      </c>
      <c r="AB52" s="63" t="n"/>
      <c r="AC52" s="63" t="n"/>
      <c r="AD52" s="63" t="n"/>
    </row>
    <row r="53" ht="24" customHeight="1">
      <c r="A53" s="15" t="n"/>
      <c r="B53" s="13" t="n"/>
      <c r="C53" s="15" t="n"/>
      <c r="D53" s="63" t="n"/>
      <c r="E53" s="15" t="n"/>
      <c r="F53" s="15" t="n"/>
      <c r="G53" s="64" t="n"/>
      <c r="H53" s="40">
        <f>IF(OR($A53="",SUM($G$9:$G$208)=0,$G53=""),"",$G53/SUM($G$9:$G$208))</f>
        <v/>
      </c>
      <c r="I53" s="15" t="n"/>
      <c r="J53" s="14" t="n"/>
      <c r="K53" s="14" t="n"/>
      <c r="L53" s="65">
        <f>IF(OR($A53="",$J53="",$K53="",Data_Date=""),"",IF(Data_Date&lt;=$J53,0,IF(Data_Date&gt;=$K53,1,(Data_Date-$J53)/($K53-$J53))))</f>
        <v/>
      </c>
      <c r="M53" s="31">
        <f>IF(OR($A53="",$G53="",$L53=""),"",$G53*$L53)</f>
        <v/>
      </c>
      <c r="N53" s="65" t="n"/>
      <c r="O53" s="31">
        <f>IF(OR($A53="",$G53="",$N53=""),"",$G53*$N53)</f>
        <v/>
      </c>
      <c r="P53" s="64" t="n"/>
      <c r="Q53" s="35">
        <f>IF(OR($O53="",$M53=""),"",$O53-$M53)</f>
        <v/>
      </c>
      <c r="R53" s="35">
        <f>IF(OR($O53="",$P53=""),"",$O53-$P53)</f>
        <v/>
      </c>
      <c r="S53" s="40">
        <f>IF(OR($Q53="",$M53="",$M53=0),"",$Q53/$M53)</f>
        <v/>
      </c>
      <c r="T53" s="40">
        <f>IF(OR($R53="",$O53="",$O53=0),"",$R53/$O53)</f>
        <v/>
      </c>
      <c r="U53" s="61">
        <f>IF(OR($O53="",$M53="",$M53=0),"",$O53/$M53)</f>
        <v/>
      </c>
      <c r="V53" s="61">
        <f>IF(OR($O53="",$P53="",$P53=0),"",$O53/$P53)</f>
        <v/>
      </c>
      <c r="W53" s="31">
        <f>IF(OR($A53="",$G53=""),"",IF(EAC_Idx=1,IF(OR($P53="",$O53=""),"",$P53+($G53-$O53)),IF(EAC_Idx=2,IF(OR($V53="",$V53=0),"",$G53/$V53),IF(EAC_Idx=3,IF(OR($V53="",$U53=""),"",IF($V53*$U53=0,"",$P53+($G53-$O53)/($V53*$U53))),IF(OR($P53="",$O53="",ETC_BottomUp="",ETC_BottomUp&lt;=0),"",$P53+($G53-$O53)*EAC_BU_Factor)))))</f>
        <v/>
      </c>
      <c r="X53" s="31">
        <f>IF(OR($W53="",$P53=""),"",$W53-$P53)</f>
        <v/>
      </c>
      <c r="Y53" s="35">
        <f>IF(OR($W53="",$G53=""),"",$G53-$W53)</f>
        <v/>
      </c>
      <c r="Z53" s="61">
        <f>IF(OR($A53="",$G53="",$O53="",$P53="",$G53-$P53=0),"",($G53-$O53)/($G53-$P53))</f>
        <v/>
      </c>
      <c r="AA53" s="54">
        <f>IF($A53="","",IF(AND($N53&lt;&gt;"",$N53&gt;=1,OR($V53="",$V53&gt;=Thr_Green)),"Complete",IF(AND($U53="",$V53=""),"Not started",IF(OR(AND($U53&lt;&gt;"",$U53&lt;Thr_Red),AND($V53&lt;&gt;"",$V53&lt;Thr_Red)),"Red",IF(OR(AND($U53&lt;&gt;"",$U53&lt;Thr_Green),AND($V53&lt;&gt;"",$V53&lt;Thr_Green)),"Amber","Green")))))</f>
        <v/>
      </c>
      <c r="AB53" s="63" t="n"/>
      <c r="AC53" s="63" t="n"/>
      <c r="AD53" s="63" t="n"/>
    </row>
    <row r="54" ht="24" customHeight="1">
      <c r="A54" s="15" t="n"/>
      <c r="B54" s="13" t="n"/>
      <c r="C54" s="15" t="n"/>
      <c r="D54" s="63" t="n"/>
      <c r="E54" s="15" t="n"/>
      <c r="F54" s="15" t="n"/>
      <c r="G54" s="64" t="n"/>
      <c r="H54" s="40">
        <f>IF(OR($A54="",SUM($G$9:$G$208)=0,$G54=""),"",$G54/SUM($G$9:$G$208))</f>
        <v/>
      </c>
      <c r="I54" s="15" t="n"/>
      <c r="J54" s="14" t="n"/>
      <c r="K54" s="14" t="n"/>
      <c r="L54" s="65">
        <f>IF(OR($A54="",$J54="",$K54="",Data_Date=""),"",IF(Data_Date&lt;=$J54,0,IF(Data_Date&gt;=$K54,1,(Data_Date-$J54)/($K54-$J54))))</f>
        <v/>
      </c>
      <c r="M54" s="31">
        <f>IF(OR($A54="",$G54="",$L54=""),"",$G54*$L54)</f>
        <v/>
      </c>
      <c r="N54" s="65" t="n"/>
      <c r="O54" s="31">
        <f>IF(OR($A54="",$G54="",$N54=""),"",$G54*$N54)</f>
        <v/>
      </c>
      <c r="P54" s="64" t="n"/>
      <c r="Q54" s="35">
        <f>IF(OR($O54="",$M54=""),"",$O54-$M54)</f>
        <v/>
      </c>
      <c r="R54" s="35">
        <f>IF(OR($O54="",$P54=""),"",$O54-$P54)</f>
        <v/>
      </c>
      <c r="S54" s="40">
        <f>IF(OR($Q54="",$M54="",$M54=0),"",$Q54/$M54)</f>
        <v/>
      </c>
      <c r="T54" s="40">
        <f>IF(OR($R54="",$O54="",$O54=0),"",$R54/$O54)</f>
        <v/>
      </c>
      <c r="U54" s="61">
        <f>IF(OR($O54="",$M54="",$M54=0),"",$O54/$M54)</f>
        <v/>
      </c>
      <c r="V54" s="61">
        <f>IF(OR($O54="",$P54="",$P54=0),"",$O54/$P54)</f>
        <v/>
      </c>
      <c r="W54" s="31">
        <f>IF(OR($A54="",$G54=""),"",IF(EAC_Idx=1,IF(OR($P54="",$O54=""),"",$P54+($G54-$O54)),IF(EAC_Idx=2,IF(OR($V54="",$V54=0),"",$G54/$V54),IF(EAC_Idx=3,IF(OR($V54="",$U54=""),"",IF($V54*$U54=0,"",$P54+($G54-$O54)/($V54*$U54))),IF(OR($P54="",$O54="",ETC_BottomUp="",ETC_BottomUp&lt;=0),"",$P54+($G54-$O54)*EAC_BU_Factor)))))</f>
        <v/>
      </c>
      <c r="X54" s="31">
        <f>IF(OR($W54="",$P54=""),"",$W54-$P54)</f>
        <v/>
      </c>
      <c r="Y54" s="35">
        <f>IF(OR($W54="",$G54=""),"",$G54-$W54)</f>
        <v/>
      </c>
      <c r="Z54" s="61">
        <f>IF(OR($A54="",$G54="",$O54="",$P54="",$G54-$P54=0),"",($G54-$O54)/($G54-$P54))</f>
        <v/>
      </c>
      <c r="AA54" s="54">
        <f>IF($A54="","",IF(AND($N54&lt;&gt;"",$N54&gt;=1,OR($V54="",$V54&gt;=Thr_Green)),"Complete",IF(AND($U54="",$V54=""),"Not started",IF(OR(AND($U54&lt;&gt;"",$U54&lt;Thr_Red),AND($V54&lt;&gt;"",$V54&lt;Thr_Red)),"Red",IF(OR(AND($U54&lt;&gt;"",$U54&lt;Thr_Green),AND($V54&lt;&gt;"",$V54&lt;Thr_Green)),"Amber","Green")))))</f>
        <v/>
      </c>
      <c r="AB54" s="63" t="n"/>
      <c r="AC54" s="63" t="n"/>
      <c r="AD54" s="63" t="n"/>
    </row>
    <row r="55" ht="24" customHeight="1">
      <c r="A55" s="15" t="n"/>
      <c r="B55" s="13" t="n"/>
      <c r="C55" s="15" t="n"/>
      <c r="D55" s="63" t="n"/>
      <c r="E55" s="15" t="n"/>
      <c r="F55" s="15" t="n"/>
      <c r="G55" s="64" t="n"/>
      <c r="H55" s="40">
        <f>IF(OR($A55="",SUM($G$9:$G$208)=0,$G55=""),"",$G55/SUM($G$9:$G$208))</f>
        <v/>
      </c>
      <c r="I55" s="15" t="n"/>
      <c r="J55" s="14" t="n"/>
      <c r="K55" s="14" t="n"/>
      <c r="L55" s="65">
        <f>IF(OR($A55="",$J55="",$K55="",Data_Date=""),"",IF(Data_Date&lt;=$J55,0,IF(Data_Date&gt;=$K55,1,(Data_Date-$J55)/($K55-$J55))))</f>
        <v/>
      </c>
      <c r="M55" s="31">
        <f>IF(OR($A55="",$G55="",$L55=""),"",$G55*$L55)</f>
        <v/>
      </c>
      <c r="N55" s="65" t="n"/>
      <c r="O55" s="31">
        <f>IF(OR($A55="",$G55="",$N55=""),"",$G55*$N55)</f>
        <v/>
      </c>
      <c r="P55" s="64" t="n"/>
      <c r="Q55" s="35">
        <f>IF(OR($O55="",$M55=""),"",$O55-$M55)</f>
        <v/>
      </c>
      <c r="R55" s="35">
        <f>IF(OR($O55="",$P55=""),"",$O55-$P55)</f>
        <v/>
      </c>
      <c r="S55" s="40">
        <f>IF(OR($Q55="",$M55="",$M55=0),"",$Q55/$M55)</f>
        <v/>
      </c>
      <c r="T55" s="40">
        <f>IF(OR($R55="",$O55="",$O55=0),"",$R55/$O55)</f>
        <v/>
      </c>
      <c r="U55" s="61">
        <f>IF(OR($O55="",$M55="",$M55=0),"",$O55/$M55)</f>
        <v/>
      </c>
      <c r="V55" s="61">
        <f>IF(OR($O55="",$P55="",$P55=0),"",$O55/$P55)</f>
        <v/>
      </c>
      <c r="W55" s="31">
        <f>IF(OR($A55="",$G55=""),"",IF(EAC_Idx=1,IF(OR($P55="",$O55=""),"",$P55+($G55-$O55)),IF(EAC_Idx=2,IF(OR($V55="",$V55=0),"",$G55/$V55),IF(EAC_Idx=3,IF(OR($V55="",$U55=""),"",IF($V55*$U55=0,"",$P55+($G55-$O55)/($V55*$U55))),IF(OR($P55="",$O55="",ETC_BottomUp="",ETC_BottomUp&lt;=0),"",$P55+($G55-$O55)*EAC_BU_Factor)))))</f>
        <v/>
      </c>
      <c r="X55" s="31">
        <f>IF(OR($W55="",$P55=""),"",$W55-$P55)</f>
        <v/>
      </c>
      <c r="Y55" s="35">
        <f>IF(OR($W55="",$G55=""),"",$G55-$W55)</f>
        <v/>
      </c>
      <c r="Z55" s="61">
        <f>IF(OR($A55="",$G55="",$O55="",$P55="",$G55-$P55=0),"",($G55-$O55)/($G55-$P55))</f>
        <v/>
      </c>
      <c r="AA55" s="54">
        <f>IF($A55="","",IF(AND($N55&lt;&gt;"",$N55&gt;=1,OR($V55="",$V55&gt;=Thr_Green)),"Complete",IF(AND($U55="",$V55=""),"Not started",IF(OR(AND($U55&lt;&gt;"",$U55&lt;Thr_Red),AND($V55&lt;&gt;"",$V55&lt;Thr_Red)),"Red",IF(OR(AND($U55&lt;&gt;"",$U55&lt;Thr_Green),AND($V55&lt;&gt;"",$V55&lt;Thr_Green)),"Amber","Green")))))</f>
        <v/>
      </c>
      <c r="AB55" s="63" t="n"/>
      <c r="AC55" s="63" t="n"/>
      <c r="AD55" s="63" t="n"/>
    </row>
    <row r="56" ht="24" customHeight="1">
      <c r="A56" s="15" t="n"/>
      <c r="B56" s="13" t="n"/>
      <c r="C56" s="15" t="n"/>
      <c r="D56" s="63" t="n"/>
      <c r="E56" s="15" t="n"/>
      <c r="F56" s="15" t="n"/>
      <c r="G56" s="64" t="n"/>
      <c r="H56" s="40">
        <f>IF(OR($A56="",SUM($G$9:$G$208)=0,$G56=""),"",$G56/SUM($G$9:$G$208))</f>
        <v/>
      </c>
      <c r="I56" s="15" t="n"/>
      <c r="J56" s="14" t="n"/>
      <c r="K56" s="14" t="n"/>
      <c r="L56" s="65">
        <f>IF(OR($A56="",$J56="",$K56="",Data_Date=""),"",IF(Data_Date&lt;=$J56,0,IF(Data_Date&gt;=$K56,1,(Data_Date-$J56)/($K56-$J56))))</f>
        <v/>
      </c>
      <c r="M56" s="31">
        <f>IF(OR($A56="",$G56="",$L56=""),"",$G56*$L56)</f>
        <v/>
      </c>
      <c r="N56" s="65" t="n"/>
      <c r="O56" s="31">
        <f>IF(OR($A56="",$G56="",$N56=""),"",$G56*$N56)</f>
        <v/>
      </c>
      <c r="P56" s="64" t="n"/>
      <c r="Q56" s="35">
        <f>IF(OR($O56="",$M56=""),"",$O56-$M56)</f>
        <v/>
      </c>
      <c r="R56" s="35">
        <f>IF(OR($O56="",$P56=""),"",$O56-$P56)</f>
        <v/>
      </c>
      <c r="S56" s="40">
        <f>IF(OR($Q56="",$M56="",$M56=0),"",$Q56/$M56)</f>
        <v/>
      </c>
      <c r="T56" s="40">
        <f>IF(OR($R56="",$O56="",$O56=0),"",$R56/$O56)</f>
        <v/>
      </c>
      <c r="U56" s="61">
        <f>IF(OR($O56="",$M56="",$M56=0),"",$O56/$M56)</f>
        <v/>
      </c>
      <c r="V56" s="61">
        <f>IF(OR($O56="",$P56="",$P56=0),"",$O56/$P56)</f>
        <v/>
      </c>
      <c r="W56" s="31">
        <f>IF(OR($A56="",$G56=""),"",IF(EAC_Idx=1,IF(OR($P56="",$O56=""),"",$P56+($G56-$O56)),IF(EAC_Idx=2,IF(OR($V56="",$V56=0),"",$G56/$V56),IF(EAC_Idx=3,IF(OR($V56="",$U56=""),"",IF($V56*$U56=0,"",$P56+($G56-$O56)/($V56*$U56))),IF(OR($P56="",$O56="",ETC_BottomUp="",ETC_BottomUp&lt;=0),"",$P56+($G56-$O56)*EAC_BU_Factor)))))</f>
        <v/>
      </c>
      <c r="X56" s="31">
        <f>IF(OR($W56="",$P56=""),"",$W56-$P56)</f>
        <v/>
      </c>
      <c r="Y56" s="35">
        <f>IF(OR($W56="",$G56=""),"",$G56-$W56)</f>
        <v/>
      </c>
      <c r="Z56" s="61">
        <f>IF(OR($A56="",$G56="",$O56="",$P56="",$G56-$P56=0),"",($G56-$O56)/($G56-$P56))</f>
        <v/>
      </c>
      <c r="AA56" s="54">
        <f>IF($A56="","",IF(AND($N56&lt;&gt;"",$N56&gt;=1,OR($V56="",$V56&gt;=Thr_Green)),"Complete",IF(AND($U56="",$V56=""),"Not started",IF(OR(AND($U56&lt;&gt;"",$U56&lt;Thr_Red),AND($V56&lt;&gt;"",$V56&lt;Thr_Red)),"Red",IF(OR(AND($U56&lt;&gt;"",$U56&lt;Thr_Green),AND($V56&lt;&gt;"",$V56&lt;Thr_Green)),"Amber","Green")))))</f>
        <v/>
      </c>
      <c r="AB56" s="63" t="n"/>
      <c r="AC56" s="63" t="n"/>
      <c r="AD56" s="63" t="n"/>
    </row>
    <row r="57" ht="24" customHeight="1">
      <c r="A57" s="15" t="n"/>
      <c r="B57" s="13" t="n"/>
      <c r="C57" s="15" t="n"/>
      <c r="D57" s="63" t="n"/>
      <c r="E57" s="15" t="n"/>
      <c r="F57" s="15" t="n"/>
      <c r="G57" s="64" t="n"/>
      <c r="H57" s="40">
        <f>IF(OR($A57="",SUM($G$9:$G$208)=0,$G57=""),"",$G57/SUM($G$9:$G$208))</f>
        <v/>
      </c>
      <c r="I57" s="15" t="n"/>
      <c r="J57" s="14" t="n"/>
      <c r="K57" s="14" t="n"/>
      <c r="L57" s="65">
        <f>IF(OR($A57="",$J57="",$K57="",Data_Date=""),"",IF(Data_Date&lt;=$J57,0,IF(Data_Date&gt;=$K57,1,(Data_Date-$J57)/($K57-$J57))))</f>
        <v/>
      </c>
      <c r="M57" s="31">
        <f>IF(OR($A57="",$G57="",$L57=""),"",$G57*$L57)</f>
        <v/>
      </c>
      <c r="N57" s="65" t="n"/>
      <c r="O57" s="31">
        <f>IF(OR($A57="",$G57="",$N57=""),"",$G57*$N57)</f>
        <v/>
      </c>
      <c r="P57" s="64" t="n"/>
      <c r="Q57" s="35">
        <f>IF(OR($O57="",$M57=""),"",$O57-$M57)</f>
        <v/>
      </c>
      <c r="R57" s="35">
        <f>IF(OR($O57="",$P57=""),"",$O57-$P57)</f>
        <v/>
      </c>
      <c r="S57" s="40">
        <f>IF(OR($Q57="",$M57="",$M57=0),"",$Q57/$M57)</f>
        <v/>
      </c>
      <c r="T57" s="40">
        <f>IF(OR($R57="",$O57="",$O57=0),"",$R57/$O57)</f>
        <v/>
      </c>
      <c r="U57" s="61">
        <f>IF(OR($O57="",$M57="",$M57=0),"",$O57/$M57)</f>
        <v/>
      </c>
      <c r="V57" s="61">
        <f>IF(OR($O57="",$P57="",$P57=0),"",$O57/$P57)</f>
        <v/>
      </c>
      <c r="W57" s="31">
        <f>IF(OR($A57="",$G57=""),"",IF(EAC_Idx=1,IF(OR($P57="",$O57=""),"",$P57+($G57-$O57)),IF(EAC_Idx=2,IF(OR($V57="",$V57=0),"",$G57/$V57),IF(EAC_Idx=3,IF(OR($V57="",$U57=""),"",IF($V57*$U57=0,"",$P57+($G57-$O57)/($V57*$U57))),IF(OR($P57="",$O57="",ETC_BottomUp="",ETC_BottomUp&lt;=0),"",$P57+($G57-$O57)*EAC_BU_Factor)))))</f>
        <v/>
      </c>
      <c r="X57" s="31">
        <f>IF(OR($W57="",$P57=""),"",$W57-$P57)</f>
        <v/>
      </c>
      <c r="Y57" s="35">
        <f>IF(OR($W57="",$G57=""),"",$G57-$W57)</f>
        <v/>
      </c>
      <c r="Z57" s="61">
        <f>IF(OR($A57="",$G57="",$O57="",$P57="",$G57-$P57=0),"",($G57-$O57)/($G57-$P57))</f>
        <v/>
      </c>
      <c r="AA57" s="54">
        <f>IF($A57="","",IF(AND($N57&lt;&gt;"",$N57&gt;=1,OR($V57="",$V57&gt;=Thr_Green)),"Complete",IF(AND($U57="",$V57=""),"Not started",IF(OR(AND($U57&lt;&gt;"",$U57&lt;Thr_Red),AND($V57&lt;&gt;"",$V57&lt;Thr_Red)),"Red",IF(OR(AND($U57&lt;&gt;"",$U57&lt;Thr_Green),AND($V57&lt;&gt;"",$V57&lt;Thr_Green)),"Amber","Green")))))</f>
        <v/>
      </c>
      <c r="AB57" s="63" t="n"/>
      <c r="AC57" s="63" t="n"/>
      <c r="AD57" s="63" t="n"/>
    </row>
    <row r="58" ht="24" customHeight="1">
      <c r="A58" s="15" t="n"/>
      <c r="B58" s="13" t="n"/>
      <c r="C58" s="15" t="n"/>
      <c r="D58" s="63" t="n"/>
      <c r="E58" s="15" t="n"/>
      <c r="F58" s="15" t="n"/>
      <c r="G58" s="64" t="n"/>
      <c r="H58" s="40">
        <f>IF(OR($A58="",SUM($G$9:$G$208)=0,$G58=""),"",$G58/SUM($G$9:$G$208))</f>
        <v/>
      </c>
      <c r="I58" s="15" t="n"/>
      <c r="J58" s="14" t="n"/>
      <c r="K58" s="14" t="n"/>
      <c r="L58" s="65">
        <f>IF(OR($A58="",$J58="",$K58="",Data_Date=""),"",IF(Data_Date&lt;=$J58,0,IF(Data_Date&gt;=$K58,1,(Data_Date-$J58)/($K58-$J58))))</f>
        <v/>
      </c>
      <c r="M58" s="31">
        <f>IF(OR($A58="",$G58="",$L58=""),"",$G58*$L58)</f>
        <v/>
      </c>
      <c r="N58" s="65" t="n"/>
      <c r="O58" s="31">
        <f>IF(OR($A58="",$G58="",$N58=""),"",$G58*$N58)</f>
        <v/>
      </c>
      <c r="P58" s="64" t="n"/>
      <c r="Q58" s="35">
        <f>IF(OR($O58="",$M58=""),"",$O58-$M58)</f>
        <v/>
      </c>
      <c r="R58" s="35">
        <f>IF(OR($O58="",$P58=""),"",$O58-$P58)</f>
        <v/>
      </c>
      <c r="S58" s="40">
        <f>IF(OR($Q58="",$M58="",$M58=0),"",$Q58/$M58)</f>
        <v/>
      </c>
      <c r="T58" s="40">
        <f>IF(OR($R58="",$O58="",$O58=0),"",$R58/$O58)</f>
        <v/>
      </c>
      <c r="U58" s="61">
        <f>IF(OR($O58="",$M58="",$M58=0),"",$O58/$M58)</f>
        <v/>
      </c>
      <c r="V58" s="61">
        <f>IF(OR($O58="",$P58="",$P58=0),"",$O58/$P58)</f>
        <v/>
      </c>
      <c r="W58" s="31">
        <f>IF(OR($A58="",$G58=""),"",IF(EAC_Idx=1,IF(OR($P58="",$O58=""),"",$P58+($G58-$O58)),IF(EAC_Idx=2,IF(OR($V58="",$V58=0),"",$G58/$V58),IF(EAC_Idx=3,IF(OR($V58="",$U58=""),"",IF($V58*$U58=0,"",$P58+($G58-$O58)/($V58*$U58))),IF(OR($P58="",$O58="",ETC_BottomUp="",ETC_BottomUp&lt;=0),"",$P58+($G58-$O58)*EAC_BU_Factor)))))</f>
        <v/>
      </c>
      <c r="X58" s="31">
        <f>IF(OR($W58="",$P58=""),"",$W58-$P58)</f>
        <v/>
      </c>
      <c r="Y58" s="35">
        <f>IF(OR($W58="",$G58=""),"",$G58-$W58)</f>
        <v/>
      </c>
      <c r="Z58" s="61">
        <f>IF(OR($A58="",$G58="",$O58="",$P58="",$G58-$P58=0),"",($G58-$O58)/($G58-$P58))</f>
        <v/>
      </c>
      <c r="AA58" s="54">
        <f>IF($A58="","",IF(AND($N58&lt;&gt;"",$N58&gt;=1,OR($V58="",$V58&gt;=Thr_Green)),"Complete",IF(AND($U58="",$V58=""),"Not started",IF(OR(AND($U58&lt;&gt;"",$U58&lt;Thr_Red),AND($V58&lt;&gt;"",$V58&lt;Thr_Red)),"Red",IF(OR(AND($U58&lt;&gt;"",$U58&lt;Thr_Green),AND($V58&lt;&gt;"",$V58&lt;Thr_Green)),"Amber","Green")))))</f>
        <v/>
      </c>
      <c r="AB58" s="63" t="n"/>
      <c r="AC58" s="63" t="n"/>
      <c r="AD58" s="63" t="n"/>
    </row>
    <row r="59" ht="24" customHeight="1">
      <c r="A59" s="15" t="n"/>
      <c r="B59" s="13" t="n"/>
      <c r="C59" s="15" t="n"/>
      <c r="D59" s="63" t="n"/>
      <c r="E59" s="15" t="n"/>
      <c r="F59" s="15" t="n"/>
      <c r="G59" s="64" t="n"/>
      <c r="H59" s="40">
        <f>IF(OR($A59="",SUM($G$9:$G$208)=0,$G59=""),"",$G59/SUM($G$9:$G$208))</f>
        <v/>
      </c>
      <c r="I59" s="15" t="n"/>
      <c r="J59" s="14" t="n"/>
      <c r="K59" s="14" t="n"/>
      <c r="L59" s="65">
        <f>IF(OR($A59="",$J59="",$K59="",Data_Date=""),"",IF(Data_Date&lt;=$J59,0,IF(Data_Date&gt;=$K59,1,(Data_Date-$J59)/($K59-$J59))))</f>
        <v/>
      </c>
      <c r="M59" s="31">
        <f>IF(OR($A59="",$G59="",$L59=""),"",$G59*$L59)</f>
        <v/>
      </c>
      <c r="N59" s="65" t="n"/>
      <c r="O59" s="31">
        <f>IF(OR($A59="",$G59="",$N59=""),"",$G59*$N59)</f>
        <v/>
      </c>
      <c r="P59" s="64" t="n"/>
      <c r="Q59" s="35">
        <f>IF(OR($O59="",$M59=""),"",$O59-$M59)</f>
        <v/>
      </c>
      <c r="R59" s="35">
        <f>IF(OR($O59="",$P59=""),"",$O59-$P59)</f>
        <v/>
      </c>
      <c r="S59" s="40">
        <f>IF(OR($Q59="",$M59="",$M59=0),"",$Q59/$M59)</f>
        <v/>
      </c>
      <c r="T59" s="40">
        <f>IF(OR($R59="",$O59="",$O59=0),"",$R59/$O59)</f>
        <v/>
      </c>
      <c r="U59" s="61">
        <f>IF(OR($O59="",$M59="",$M59=0),"",$O59/$M59)</f>
        <v/>
      </c>
      <c r="V59" s="61">
        <f>IF(OR($O59="",$P59="",$P59=0),"",$O59/$P59)</f>
        <v/>
      </c>
      <c r="W59" s="31">
        <f>IF(OR($A59="",$G59=""),"",IF(EAC_Idx=1,IF(OR($P59="",$O59=""),"",$P59+($G59-$O59)),IF(EAC_Idx=2,IF(OR($V59="",$V59=0),"",$G59/$V59),IF(EAC_Idx=3,IF(OR($V59="",$U59=""),"",IF($V59*$U59=0,"",$P59+($G59-$O59)/($V59*$U59))),IF(OR($P59="",$O59="",ETC_BottomUp="",ETC_BottomUp&lt;=0),"",$P59+($G59-$O59)*EAC_BU_Factor)))))</f>
        <v/>
      </c>
      <c r="X59" s="31">
        <f>IF(OR($W59="",$P59=""),"",$W59-$P59)</f>
        <v/>
      </c>
      <c r="Y59" s="35">
        <f>IF(OR($W59="",$G59=""),"",$G59-$W59)</f>
        <v/>
      </c>
      <c r="Z59" s="61">
        <f>IF(OR($A59="",$G59="",$O59="",$P59="",$G59-$P59=0),"",($G59-$O59)/($G59-$P59))</f>
        <v/>
      </c>
      <c r="AA59" s="54">
        <f>IF($A59="","",IF(AND($N59&lt;&gt;"",$N59&gt;=1,OR($V59="",$V59&gt;=Thr_Green)),"Complete",IF(AND($U59="",$V59=""),"Not started",IF(OR(AND($U59&lt;&gt;"",$U59&lt;Thr_Red),AND($V59&lt;&gt;"",$V59&lt;Thr_Red)),"Red",IF(OR(AND($U59&lt;&gt;"",$U59&lt;Thr_Green),AND($V59&lt;&gt;"",$V59&lt;Thr_Green)),"Amber","Green")))))</f>
        <v/>
      </c>
      <c r="AB59" s="63" t="n"/>
      <c r="AC59" s="63" t="n"/>
      <c r="AD59" s="63" t="n"/>
    </row>
    <row r="60" ht="24" customHeight="1">
      <c r="A60" s="15" t="n"/>
      <c r="B60" s="13" t="n"/>
      <c r="C60" s="15" t="n"/>
      <c r="D60" s="63" t="n"/>
      <c r="E60" s="15" t="n"/>
      <c r="F60" s="15" t="n"/>
      <c r="G60" s="64" t="n"/>
      <c r="H60" s="40">
        <f>IF(OR($A60="",SUM($G$9:$G$208)=0,$G60=""),"",$G60/SUM($G$9:$G$208))</f>
        <v/>
      </c>
      <c r="I60" s="15" t="n"/>
      <c r="J60" s="14" t="n"/>
      <c r="K60" s="14" t="n"/>
      <c r="L60" s="65">
        <f>IF(OR($A60="",$J60="",$K60="",Data_Date=""),"",IF(Data_Date&lt;=$J60,0,IF(Data_Date&gt;=$K60,1,(Data_Date-$J60)/($K60-$J60))))</f>
        <v/>
      </c>
      <c r="M60" s="31">
        <f>IF(OR($A60="",$G60="",$L60=""),"",$G60*$L60)</f>
        <v/>
      </c>
      <c r="N60" s="65" t="n"/>
      <c r="O60" s="31">
        <f>IF(OR($A60="",$G60="",$N60=""),"",$G60*$N60)</f>
        <v/>
      </c>
      <c r="P60" s="64" t="n"/>
      <c r="Q60" s="35">
        <f>IF(OR($O60="",$M60=""),"",$O60-$M60)</f>
        <v/>
      </c>
      <c r="R60" s="35">
        <f>IF(OR($O60="",$P60=""),"",$O60-$P60)</f>
        <v/>
      </c>
      <c r="S60" s="40">
        <f>IF(OR($Q60="",$M60="",$M60=0),"",$Q60/$M60)</f>
        <v/>
      </c>
      <c r="T60" s="40">
        <f>IF(OR($R60="",$O60="",$O60=0),"",$R60/$O60)</f>
        <v/>
      </c>
      <c r="U60" s="61">
        <f>IF(OR($O60="",$M60="",$M60=0),"",$O60/$M60)</f>
        <v/>
      </c>
      <c r="V60" s="61">
        <f>IF(OR($O60="",$P60="",$P60=0),"",$O60/$P60)</f>
        <v/>
      </c>
      <c r="W60" s="31">
        <f>IF(OR($A60="",$G60=""),"",IF(EAC_Idx=1,IF(OR($P60="",$O60=""),"",$P60+($G60-$O60)),IF(EAC_Idx=2,IF(OR($V60="",$V60=0),"",$G60/$V60),IF(EAC_Idx=3,IF(OR($V60="",$U60=""),"",IF($V60*$U60=0,"",$P60+($G60-$O60)/($V60*$U60))),IF(OR($P60="",$O60="",ETC_BottomUp="",ETC_BottomUp&lt;=0),"",$P60+($G60-$O60)*EAC_BU_Factor)))))</f>
        <v/>
      </c>
      <c r="X60" s="31">
        <f>IF(OR($W60="",$P60=""),"",$W60-$P60)</f>
        <v/>
      </c>
      <c r="Y60" s="35">
        <f>IF(OR($W60="",$G60=""),"",$G60-$W60)</f>
        <v/>
      </c>
      <c r="Z60" s="61">
        <f>IF(OR($A60="",$G60="",$O60="",$P60="",$G60-$P60=0),"",($G60-$O60)/($G60-$P60))</f>
        <v/>
      </c>
      <c r="AA60" s="54">
        <f>IF($A60="","",IF(AND($N60&lt;&gt;"",$N60&gt;=1,OR($V60="",$V60&gt;=Thr_Green)),"Complete",IF(AND($U60="",$V60=""),"Not started",IF(OR(AND($U60&lt;&gt;"",$U60&lt;Thr_Red),AND($V60&lt;&gt;"",$V60&lt;Thr_Red)),"Red",IF(OR(AND($U60&lt;&gt;"",$U60&lt;Thr_Green),AND($V60&lt;&gt;"",$V60&lt;Thr_Green)),"Amber","Green")))))</f>
        <v/>
      </c>
      <c r="AB60" s="63" t="n"/>
      <c r="AC60" s="63" t="n"/>
      <c r="AD60" s="63" t="n"/>
    </row>
    <row r="61" ht="24" customHeight="1">
      <c r="A61" s="15" t="n"/>
      <c r="B61" s="13" t="n"/>
      <c r="C61" s="15" t="n"/>
      <c r="D61" s="63" t="n"/>
      <c r="E61" s="15" t="n"/>
      <c r="F61" s="15" t="n"/>
      <c r="G61" s="64" t="n"/>
      <c r="H61" s="40">
        <f>IF(OR($A61="",SUM($G$9:$G$208)=0,$G61=""),"",$G61/SUM($G$9:$G$208))</f>
        <v/>
      </c>
      <c r="I61" s="15" t="n"/>
      <c r="J61" s="14" t="n"/>
      <c r="K61" s="14" t="n"/>
      <c r="L61" s="65">
        <f>IF(OR($A61="",$J61="",$K61="",Data_Date=""),"",IF(Data_Date&lt;=$J61,0,IF(Data_Date&gt;=$K61,1,(Data_Date-$J61)/($K61-$J61))))</f>
        <v/>
      </c>
      <c r="M61" s="31">
        <f>IF(OR($A61="",$G61="",$L61=""),"",$G61*$L61)</f>
        <v/>
      </c>
      <c r="N61" s="65" t="n"/>
      <c r="O61" s="31">
        <f>IF(OR($A61="",$G61="",$N61=""),"",$G61*$N61)</f>
        <v/>
      </c>
      <c r="P61" s="64" t="n"/>
      <c r="Q61" s="35">
        <f>IF(OR($O61="",$M61=""),"",$O61-$M61)</f>
        <v/>
      </c>
      <c r="R61" s="35">
        <f>IF(OR($O61="",$P61=""),"",$O61-$P61)</f>
        <v/>
      </c>
      <c r="S61" s="40">
        <f>IF(OR($Q61="",$M61="",$M61=0),"",$Q61/$M61)</f>
        <v/>
      </c>
      <c r="T61" s="40">
        <f>IF(OR($R61="",$O61="",$O61=0),"",$R61/$O61)</f>
        <v/>
      </c>
      <c r="U61" s="61">
        <f>IF(OR($O61="",$M61="",$M61=0),"",$O61/$M61)</f>
        <v/>
      </c>
      <c r="V61" s="61">
        <f>IF(OR($O61="",$P61="",$P61=0),"",$O61/$P61)</f>
        <v/>
      </c>
      <c r="W61" s="31">
        <f>IF(OR($A61="",$G61=""),"",IF(EAC_Idx=1,IF(OR($P61="",$O61=""),"",$P61+($G61-$O61)),IF(EAC_Idx=2,IF(OR($V61="",$V61=0),"",$G61/$V61),IF(EAC_Idx=3,IF(OR($V61="",$U61=""),"",IF($V61*$U61=0,"",$P61+($G61-$O61)/($V61*$U61))),IF(OR($P61="",$O61="",ETC_BottomUp="",ETC_BottomUp&lt;=0),"",$P61+($G61-$O61)*EAC_BU_Factor)))))</f>
        <v/>
      </c>
      <c r="X61" s="31">
        <f>IF(OR($W61="",$P61=""),"",$W61-$P61)</f>
        <v/>
      </c>
      <c r="Y61" s="35">
        <f>IF(OR($W61="",$G61=""),"",$G61-$W61)</f>
        <v/>
      </c>
      <c r="Z61" s="61">
        <f>IF(OR($A61="",$G61="",$O61="",$P61="",$G61-$P61=0),"",($G61-$O61)/($G61-$P61))</f>
        <v/>
      </c>
      <c r="AA61" s="54">
        <f>IF($A61="","",IF(AND($N61&lt;&gt;"",$N61&gt;=1,OR($V61="",$V61&gt;=Thr_Green)),"Complete",IF(AND($U61="",$V61=""),"Not started",IF(OR(AND($U61&lt;&gt;"",$U61&lt;Thr_Red),AND($V61&lt;&gt;"",$V61&lt;Thr_Red)),"Red",IF(OR(AND($U61&lt;&gt;"",$U61&lt;Thr_Green),AND($V61&lt;&gt;"",$V61&lt;Thr_Green)),"Amber","Green")))))</f>
        <v/>
      </c>
      <c r="AB61" s="63" t="n"/>
      <c r="AC61" s="63" t="n"/>
      <c r="AD61" s="63" t="n"/>
    </row>
    <row r="62" ht="24" customHeight="1">
      <c r="A62" s="15" t="n"/>
      <c r="B62" s="13" t="n"/>
      <c r="C62" s="15" t="n"/>
      <c r="D62" s="63" t="n"/>
      <c r="E62" s="15" t="n"/>
      <c r="F62" s="15" t="n"/>
      <c r="G62" s="64" t="n"/>
      <c r="H62" s="40">
        <f>IF(OR($A62="",SUM($G$9:$G$208)=0,$G62=""),"",$G62/SUM($G$9:$G$208))</f>
        <v/>
      </c>
      <c r="I62" s="15" t="n"/>
      <c r="J62" s="14" t="n"/>
      <c r="K62" s="14" t="n"/>
      <c r="L62" s="65">
        <f>IF(OR($A62="",$J62="",$K62="",Data_Date=""),"",IF(Data_Date&lt;=$J62,0,IF(Data_Date&gt;=$K62,1,(Data_Date-$J62)/($K62-$J62))))</f>
        <v/>
      </c>
      <c r="M62" s="31">
        <f>IF(OR($A62="",$G62="",$L62=""),"",$G62*$L62)</f>
        <v/>
      </c>
      <c r="N62" s="65" t="n"/>
      <c r="O62" s="31">
        <f>IF(OR($A62="",$G62="",$N62=""),"",$G62*$N62)</f>
        <v/>
      </c>
      <c r="P62" s="64" t="n"/>
      <c r="Q62" s="35">
        <f>IF(OR($O62="",$M62=""),"",$O62-$M62)</f>
        <v/>
      </c>
      <c r="R62" s="35">
        <f>IF(OR($O62="",$P62=""),"",$O62-$P62)</f>
        <v/>
      </c>
      <c r="S62" s="40">
        <f>IF(OR($Q62="",$M62="",$M62=0),"",$Q62/$M62)</f>
        <v/>
      </c>
      <c r="T62" s="40">
        <f>IF(OR($R62="",$O62="",$O62=0),"",$R62/$O62)</f>
        <v/>
      </c>
      <c r="U62" s="61">
        <f>IF(OR($O62="",$M62="",$M62=0),"",$O62/$M62)</f>
        <v/>
      </c>
      <c r="V62" s="61">
        <f>IF(OR($O62="",$P62="",$P62=0),"",$O62/$P62)</f>
        <v/>
      </c>
      <c r="W62" s="31">
        <f>IF(OR($A62="",$G62=""),"",IF(EAC_Idx=1,IF(OR($P62="",$O62=""),"",$P62+($G62-$O62)),IF(EAC_Idx=2,IF(OR($V62="",$V62=0),"",$G62/$V62),IF(EAC_Idx=3,IF(OR($V62="",$U62=""),"",IF($V62*$U62=0,"",$P62+($G62-$O62)/($V62*$U62))),IF(OR($P62="",$O62="",ETC_BottomUp="",ETC_BottomUp&lt;=0),"",$P62+($G62-$O62)*EAC_BU_Factor)))))</f>
        <v/>
      </c>
      <c r="X62" s="31">
        <f>IF(OR($W62="",$P62=""),"",$W62-$P62)</f>
        <v/>
      </c>
      <c r="Y62" s="35">
        <f>IF(OR($W62="",$G62=""),"",$G62-$W62)</f>
        <v/>
      </c>
      <c r="Z62" s="61">
        <f>IF(OR($A62="",$G62="",$O62="",$P62="",$G62-$P62=0),"",($G62-$O62)/($G62-$P62))</f>
        <v/>
      </c>
      <c r="AA62" s="54">
        <f>IF($A62="","",IF(AND($N62&lt;&gt;"",$N62&gt;=1,OR($V62="",$V62&gt;=Thr_Green)),"Complete",IF(AND($U62="",$V62=""),"Not started",IF(OR(AND($U62&lt;&gt;"",$U62&lt;Thr_Red),AND($V62&lt;&gt;"",$V62&lt;Thr_Red)),"Red",IF(OR(AND($U62&lt;&gt;"",$U62&lt;Thr_Green),AND($V62&lt;&gt;"",$V62&lt;Thr_Green)),"Amber","Green")))))</f>
        <v/>
      </c>
      <c r="AB62" s="63" t="n"/>
      <c r="AC62" s="63" t="n"/>
      <c r="AD62" s="63" t="n"/>
    </row>
    <row r="63" ht="24" customHeight="1">
      <c r="A63" s="15" t="n"/>
      <c r="B63" s="13" t="n"/>
      <c r="C63" s="15" t="n"/>
      <c r="D63" s="63" t="n"/>
      <c r="E63" s="15" t="n"/>
      <c r="F63" s="15" t="n"/>
      <c r="G63" s="64" t="n"/>
      <c r="H63" s="40">
        <f>IF(OR($A63="",SUM($G$9:$G$208)=0,$G63=""),"",$G63/SUM($G$9:$G$208))</f>
        <v/>
      </c>
      <c r="I63" s="15" t="n"/>
      <c r="J63" s="14" t="n"/>
      <c r="K63" s="14" t="n"/>
      <c r="L63" s="65">
        <f>IF(OR($A63="",$J63="",$K63="",Data_Date=""),"",IF(Data_Date&lt;=$J63,0,IF(Data_Date&gt;=$K63,1,(Data_Date-$J63)/($K63-$J63))))</f>
        <v/>
      </c>
      <c r="M63" s="31">
        <f>IF(OR($A63="",$G63="",$L63=""),"",$G63*$L63)</f>
        <v/>
      </c>
      <c r="N63" s="65" t="n"/>
      <c r="O63" s="31">
        <f>IF(OR($A63="",$G63="",$N63=""),"",$G63*$N63)</f>
        <v/>
      </c>
      <c r="P63" s="64" t="n"/>
      <c r="Q63" s="35">
        <f>IF(OR($O63="",$M63=""),"",$O63-$M63)</f>
        <v/>
      </c>
      <c r="R63" s="35">
        <f>IF(OR($O63="",$P63=""),"",$O63-$P63)</f>
        <v/>
      </c>
      <c r="S63" s="40">
        <f>IF(OR($Q63="",$M63="",$M63=0),"",$Q63/$M63)</f>
        <v/>
      </c>
      <c r="T63" s="40">
        <f>IF(OR($R63="",$O63="",$O63=0),"",$R63/$O63)</f>
        <v/>
      </c>
      <c r="U63" s="61">
        <f>IF(OR($O63="",$M63="",$M63=0),"",$O63/$M63)</f>
        <v/>
      </c>
      <c r="V63" s="61">
        <f>IF(OR($O63="",$P63="",$P63=0),"",$O63/$P63)</f>
        <v/>
      </c>
      <c r="W63" s="31">
        <f>IF(OR($A63="",$G63=""),"",IF(EAC_Idx=1,IF(OR($P63="",$O63=""),"",$P63+($G63-$O63)),IF(EAC_Idx=2,IF(OR($V63="",$V63=0),"",$G63/$V63),IF(EAC_Idx=3,IF(OR($V63="",$U63=""),"",IF($V63*$U63=0,"",$P63+($G63-$O63)/($V63*$U63))),IF(OR($P63="",$O63="",ETC_BottomUp="",ETC_BottomUp&lt;=0),"",$P63+($G63-$O63)*EAC_BU_Factor)))))</f>
        <v/>
      </c>
      <c r="X63" s="31">
        <f>IF(OR($W63="",$P63=""),"",$W63-$P63)</f>
        <v/>
      </c>
      <c r="Y63" s="35">
        <f>IF(OR($W63="",$G63=""),"",$G63-$W63)</f>
        <v/>
      </c>
      <c r="Z63" s="61">
        <f>IF(OR($A63="",$G63="",$O63="",$P63="",$G63-$P63=0),"",($G63-$O63)/($G63-$P63))</f>
        <v/>
      </c>
      <c r="AA63" s="54">
        <f>IF($A63="","",IF(AND($N63&lt;&gt;"",$N63&gt;=1,OR($V63="",$V63&gt;=Thr_Green)),"Complete",IF(AND($U63="",$V63=""),"Not started",IF(OR(AND($U63&lt;&gt;"",$U63&lt;Thr_Red),AND($V63&lt;&gt;"",$V63&lt;Thr_Red)),"Red",IF(OR(AND($U63&lt;&gt;"",$U63&lt;Thr_Green),AND($V63&lt;&gt;"",$V63&lt;Thr_Green)),"Amber","Green")))))</f>
        <v/>
      </c>
      <c r="AB63" s="63" t="n"/>
      <c r="AC63" s="63" t="n"/>
      <c r="AD63" s="63" t="n"/>
    </row>
    <row r="64" ht="24" customHeight="1">
      <c r="A64" s="15" t="n"/>
      <c r="B64" s="13" t="n"/>
      <c r="C64" s="15" t="n"/>
      <c r="D64" s="63" t="n"/>
      <c r="E64" s="15" t="n"/>
      <c r="F64" s="15" t="n"/>
      <c r="G64" s="64" t="n"/>
      <c r="H64" s="40">
        <f>IF(OR($A64="",SUM($G$9:$G$208)=0,$G64=""),"",$G64/SUM($G$9:$G$208))</f>
        <v/>
      </c>
      <c r="I64" s="15" t="n"/>
      <c r="J64" s="14" t="n"/>
      <c r="K64" s="14" t="n"/>
      <c r="L64" s="65">
        <f>IF(OR($A64="",$J64="",$K64="",Data_Date=""),"",IF(Data_Date&lt;=$J64,0,IF(Data_Date&gt;=$K64,1,(Data_Date-$J64)/($K64-$J64))))</f>
        <v/>
      </c>
      <c r="M64" s="31">
        <f>IF(OR($A64="",$G64="",$L64=""),"",$G64*$L64)</f>
        <v/>
      </c>
      <c r="N64" s="65" t="n"/>
      <c r="O64" s="31">
        <f>IF(OR($A64="",$G64="",$N64=""),"",$G64*$N64)</f>
        <v/>
      </c>
      <c r="P64" s="64" t="n"/>
      <c r="Q64" s="35">
        <f>IF(OR($O64="",$M64=""),"",$O64-$M64)</f>
        <v/>
      </c>
      <c r="R64" s="35">
        <f>IF(OR($O64="",$P64=""),"",$O64-$P64)</f>
        <v/>
      </c>
      <c r="S64" s="40">
        <f>IF(OR($Q64="",$M64="",$M64=0),"",$Q64/$M64)</f>
        <v/>
      </c>
      <c r="T64" s="40">
        <f>IF(OR($R64="",$O64="",$O64=0),"",$R64/$O64)</f>
        <v/>
      </c>
      <c r="U64" s="61">
        <f>IF(OR($O64="",$M64="",$M64=0),"",$O64/$M64)</f>
        <v/>
      </c>
      <c r="V64" s="61">
        <f>IF(OR($O64="",$P64="",$P64=0),"",$O64/$P64)</f>
        <v/>
      </c>
      <c r="W64" s="31">
        <f>IF(OR($A64="",$G64=""),"",IF(EAC_Idx=1,IF(OR($P64="",$O64=""),"",$P64+($G64-$O64)),IF(EAC_Idx=2,IF(OR($V64="",$V64=0),"",$G64/$V64),IF(EAC_Idx=3,IF(OR($V64="",$U64=""),"",IF($V64*$U64=0,"",$P64+($G64-$O64)/($V64*$U64))),IF(OR($P64="",$O64="",ETC_BottomUp="",ETC_BottomUp&lt;=0),"",$P64+($G64-$O64)*EAC_BU_Factor)))))</f>
        <v/>
      </c>
      <c r="X64" s="31">
        <f>IF(OR($W64="",$P64=""),"",$W64-$P64)</f>
        <v/>
      </c>
      <c r="Y64" s="35">
        <f>IF(OR($W64="",$G64=""),"",$G64-$W64)</f>
        <v/>
      </c>
      <c r="Z64" s="61">
        <f>IF(OR($A64="",$G64="",$O64="",$P64="",$G64-$P64=0),"",($G64-$O64)/($G64-$P64))</f>
        <v/>
      </c>
      <c r="AA64" s="54">
        <f>IF($A64="","",IF(AND($N64&lt;&gt;"",$N64&gt;=1,OR($V64="",$V64&gt;=Thr_Green)),"Complete",IF(AND($U64="",$V64=""),"Not started",IF(OR(AND($U64&lt;&gt;"",$U64&lt;Thr_Red),AND($V64&lt;&gt;"",$V64&lt;Thr_Red)),"Red",IF(OR(AND($U64&lt;&gt;"",$U64&lt;Thr_Green),AND($V64&lt;&gt;"",$V64&lt;Thr_Green)),"Amber","Green")))))</f>
        <v/>
      </c>
      <c r="AB64" s="63" t="n"/>
      <c r="AC64" s="63" t="n"/>
      <c r="AD64" s="63" t="n"/>
    </row>
    <row r="65" ht="24" customHeight="1">
      <c r="A65" s="15" t="n"/>
      <c r="B65" s="13" t="n"/>
      <c r="C65" s="15" t="n"/>
      <c r="D65" s="63" t="n"/>
      <c r="E65" s="15" t="n"/>
      <c r="F65" s="15" t="n"/>
      <c r="G65" s="64" t="n"/>
      <c r="H65" s="40">
        <f>IF(OR($A65="",SUM($G$9:$G$208)=0,$G65=""),"",$G65/SUM($G$9:$G$208))</f>
        <v/>
      </c>
      <c r="I65" s="15" t="n"/>
      <c r="J65" s="14" t="n"/>
      <c r="K65" s="14" t="n"/>
      <c r="L65" s="65">
        <f>IF(OR($A65="",$J65="",$K65="",Data_Date=""),"",IF(Data_Date&lt;=$J65,0,IF(Data_Date&gt;=$K65,1,(Data_Date-$J65)/($K65-$J65))))</f>
        <v/>
      </c>
      <c r="M65" s="31">
        <f>IF(OR($A65="",$G65="",$L65=""),"",$G65*$L65)</f>
        <v/>
      </c>
      <c r="N65" s="65" t="n"/>
      <c r="O65" s="31">
        <f>IF(OR($A65="",$G65="",$N65=""),"",$G65*$N65)</f>
        <v/>
      </c>
      <c r="P65" s="64" t="n"/>
      <c r="Q65" s="35">
        <f>IF(OR($O65="",$M65=""),"",$O65-$M65)</f>
        <v/>
      </c>
      <c r="R65" s="35">
        <f>IF(OR($O65="",$P65=""),"",$O65-$P65)</f>
        <v/>
      </c>
      <c r="S65" s="40">
        <f>IF(OR($Q65="",$M65="",$M65=0),"",$Q65/$M65)</f>
        <v/>
      </c>
      <c r="T65" s="40">
        <f>IF(OR($R65="",$O65="",$O65=0),"",$R65/$O65)</f>
        <v/>
      </c>
      <c r="U65" s="61">
        <f>IF(OR($O65="",$M65="",$M65=0),"",$O65/$M65)</f>
        <v/>
      </c>
      <c r="V65" s="61">
        <f>IF(OR($O65="",$P65="",$P65=0),"",$O65/$P65)</f>
        <v/>
      </c>
      <c r="W65" s="31">
        <f>IF(OR($A65="",$G65=""),"",IF(EAC_Idx=1,IF(OR($P65="",$O65=""),"",$P65+($G65-$O65)),IF(EAC_Idx=2,IF(OR($V65="",$V65=0),"",$G65/$V65),IF(EAC_Idx=3,IF(OR($V65="",$U65=""),"",IF($V65*$U65=0,"",$P65+($G65-$O65)/($V65*$U65))),IF(OR($P65="",$O65="",ETC_BottomUp="",ETC_BottomUp&lt;=0),"",$P65+($G65-$O65)*EAC_BU_Factor)))))</f>
        <v/>
      </c>
      <c r="X65" s="31">
        <f>IF(OR($W65="",$P65=""),"",$W65-$P65)</f>
        <v/>
      </c>
      <c r="Y65" s="35">
        <f>IF(OR($W65="",$G65=""),"",$G65-$W65)</f>
        <v/>
      </c>
      <c r="Z65" s="61">
        <f>IF(OR($A65="",$G65="",$O65="",$P65="",$G65-$P65=0),"",($G65-$O65)/($G65-$P65))</f>
        <v/>
      </c>
      <c r="AA65" s="54">
        <f>IF($A65="","",IF(AND($N65&lt;&gt;"",$N65&gt;=1,OR($V65="",$V65&gt;=Thr_Green)),"Complete",IF(AND($U65="",$V65=""),"Not started",IF(OR(AND($U65&lt;&gt;"",$U65&lt;Thr_Red),AND($V65&lt;&gt;"",$V65&lt;Thr_Red)),"Red",IF(OR(AND($U65&lt;&gt;"",$U65&lt;Thr_Green),AND($V65&lt;&gt;"",$V65&lt;Thr_Green)),"Amber","Green")))))</f>
        <v/>
      </c>
      <c r="AB65" s="63" t="n"/>
      <c r="AC65" s="63" t="n"/>
      <c r="AD65" s="63" t="n"/>
    </row>
    <row r="66" ht="24" customHeight="1">
      <c r="A66" s="15" t="n"/>
      <c r="B66" s="13" t="n"/>
      <c r="C66" s="15" t="n"/>
      <c r="D66" s="63" t="n"/>
      <c r="E66" s="15" t="n"/>
      <c r="F66" s="15" t="n"/>
      <c r="G66" s="64" t="n"/>
      <c r="H66" s="40">
        <f>IF(OR($A66="",SUM($G$9:$G$208)=0,$G66=""),"",$G66/SUM($G$9:$G$208))</f>
        <v/>
      </c>
      <c r="I66" s="15" t="n"/>
      <c r="J66" s="14" t="n"/>
      <c r="K66" s="14" t="n"/>
      <c r="L66" s="65">
        <f>IF(OR($A66="",$J66="",$K66="",Data_Date=""),"",IF(Data_Date&lt;=$J66,0,IF(Data_Date&gt;=$K66,1,(Data_Date-$J66)/($K66-$J66))))</f>
        <v/>
      </c>
      <c r="M66" s="31">
        <f>IF(OR($A66="",$G66="",$L66=""),"",$G66*$L66)</f>
        <v/>
      </c>
      <c r="N66" s="65" t="n"/>
      <c r="O66" s="31">
        <f>IF(OR($A66="",$G66="",$N66=""),"",$G66*$N66)</f>
        <v/>
      </c>
      <c r="P66" s="64" t="n"/>
      <c r="Q66" s="35">
        <f>IF(OR($O66="",$M66=""),"",$O66-$M66)</f>
        <v/>
      </c>
      <c r="R66" s="35">
        <f>IF(OR($O66="",$P66=""),"",$O66-$P66)</f>
        <v/>
      </c>
      <c r="S66" s="40">
        <f>IF(OR($Q66="",$M66="",$M66=0),"",$Q66/$M66)</f>
        <v/>
      </c>
      <c r="T66" s="40">
        <f>IF(OR($R66="",$O66="",$O66=0),"",$R66/$O66)</f>
        <v/>
      </c>
      <c r="U66" s="61">
        <f>IF(OR($O66="",$M66="",$M66=0),"",$O66/$M66)</f>
        <v/>
      </c>
      <c r="V66" s="61">
        <f>IF(OR($O66="",$P66="",$P66=0),"",$O66/$P66)</f>
        <v/>
      </c>
      <c r="W66" s="31">
        <f>IF(OR($A66="",$G66=""),"",IF(EAC_Idx=1,IF(OR($P66="",$O66=""),"",$P66+($G66-$O66)),IF(EAC_Idx=2,IF(OR($V66="",$V66=0),"",$G66/$V66),IF(EAC_Idx=3,IF(OR($V66="",$U66=""),"",IF($V66*$U66=0,"",$P66+($G66-$O66)/($V66*$U66))),IF(OR($P66="",$O66="",ETC_BottomUp="",ETC_BottomUp&lt;=0),"",$P66+($G66-$O66)*EAC_BU_Factor)))))</f>
        <v/>
      </c>
      <c r="X66" s="31">
        <f>IF(OR($W66="",$P66=""),"",$W66-$P66)</f>
        <v/>
      </c>
      <c r="Y66" s="35">
        <f>IF(OR($W66="",$G66=""),"",$G66-$W66)</f>
        <v/>
      </c>
      <c r="Z66" s="61">
        <f>IF(OR($A66="",$G66="",$O66="",$P66="",$G66-$P66=0),"",($G66-$O66)/($G66-$P66))</f>
        <v/>
      </c>
      <c r="AA66" s="54">
        <f>IF($A66="","",IF(AND($N66&lt;&gt;"",$N66&gt;=1,OR($V66="",$V66&gt;=Thr_Green)),"Complete",IF(AND($U66="",$V66=""),"Not started",IF(OR(AND($U66&lt;&gt;"",$U66&lt;Thr_Red),AND($V66&lt;&gt;"",$V66&lt;Thr_Red)),"Red",IF(OR(AND($U66&lt;&gt;"",$U66&lt;Thr_Green),AND($V66&lt;&gt;"",$V66&lt;Thr_Green)),"Amber","Green")))))</f>
        <v/>
      </c>
      <c r="AB66" s="63" t="n"/>
      <c r="AC66" s="63" t="n"/>
      <c r="AD66" s="63" t="n"/>
    </row>
    <row r="67" ht="24" customHeight="1">
      <c r="A67" s="15" t="n"/>
      <c r="B67" s="13" t="n"/>
      <c r="C67" s="15" t="n"/>
      <c r="D67" s="63" t="n"/>
      <c r="E67" s="15" t="n"/>
      <c r="F67" s="15" t="n"/>
      <c r="G67" s="64" t="n"/>
      <c r="H67" s="40">
        <f>IF(OR($A67="",SUM($G$9:$G$208)=0,$G67=""),"",$G67/SUM($G$9:$G$208))</f>
        <v/>
      </c>
      <c r="I67" s="15" t="n"/>
      <c r="J67" s="14" t="n"/>
      <c r="K67" s="14" t="n"/>
      <c r="L67" s="65">
        <f>IF(OR($A67="",$J67="",$K67="",Data_Date=""),"",IF(Data_Date&lt;=$J67,0,IF(Data_Date&gt;=$K67,1,(Data_Date-$J67)/($K67-$J67))))</f>
        <v/>
      </c>
      <c r="M67" s="31">
        <f>IF(OR($A67="",$G67="",$L67=""),"",$G67*$L67)</f>
        <v/>
      </c>
      <c r="N67" s="65" t="n"/>
      <c r="O67" s="31">
        <f>IF(OR($A67="",$G67="",$N67=""),"",$G67*$N67)</f>
        <v/>
      </c>
      <c r="P67" s="64" t="n"/>
      <c r="Q67" s="35">
        <f>IF(OR($O67="",$M67=""),"",$O67-$M67)</f>
        <v/>
      </c>
      <c r="R67" s="35">
        <f>IF(OR($O67="",$P67=""),"",$O67-$P67)</f>
        <v/>
      </c>
      <c r="S67" s="40">
        <f>IF(OR($Q67="",$M67="",$M67=0),"",$Q67/$M67)</f>
        <v/>
      </c>
      <c r="T67" s="40">
        <f>IF(OR($R67="",$O67="",$O67=0),"",$R67/$O67)</f>
        <v/>
      </c>
      <c r="U67" s="61">
        <f>IF(OR($O67="",$M67="",$M67=0),"",$O67/$M67)</f>
        <v/>
      </c>
      <c r="V67" s="61">
        <f>IF(OR($O67="",$P67="",$P67=0),"",$O67/$P67)</f>
        <v/>
      </c>
      <c r="W67" s="31">
        <f>IF(OR($A67="",$G67=""),"",IF(EAC_Idx=1,IF(OR($P67="",$O67=""),"",$P67+($G67-$O67)),IF(EAC_Idx=2,IF(OR($V67="",$V67=0),"",$G67/$V67),IF(EAC_Idx=3,IF(OR($V67="",$U67=""),"",IF($V67*$U67=0,"",$P67+($G67-$O67)/($V67*$U67))),IF(OR($P67="",$O67="",ETC_BottomUp="",ETC_BottomUp&lt;=0),"",$P67+($G67-$O67)*EAC_BU_Factor)))))</f>
        <v/>
      </c>
      <c r="X67" s="31">
        <f>IF(OR($W67="",$P67=""),"",$W67-$P67)</f>
        <v/>
      </c>
      <c r="Y67" s="35">
        <f>IF(OR($W67="",$G67=""),"",$G67-$W67)</f>
        <v/>
      </c>
      <c r="Z67" s="61">
        <f>IF(OR($A67="",$G67="",$O67="",$P67="",$G67-$P67=0),"",($G67-$O67)/($G67-$P67))</f>
        <v/>
      </c>
      <c r="AA67" s="54">
        <f>IF($A67="","",IF(AND($N67&lt;&gt;"",$N67&gt;=1,OR($V67="",$V67&gt;=Thr_Green)),"Complete",IF(AND($U67="",$V67=""),"Not started",IF(OR(AND($U67&lt;&gt;"",$U67&lt;Thr_Red),AND($V67&lt;&gt;"",$V67&lt;Thr_Red)),"Red",IF(OR(AND($U67&lt;&gt;"",$U67&lt;Thr_Green),AND($V67&lt;&gt;"",$V67&lt;Thr_Green)),"Amber","Green")))))</f>
        <v/>
      </c>
      <c r="AB67" s="63" t="n"/>
      <c r="AC67" s="63" t="n"/>
      <c r="AD67" s="63" t="n"/>
    </row>
    <row r="68" ht="24" customHeight="1">
      <c r="A68" s="15" t="n"/>
      <c r="B68" s="13" t="n"/>
      <c r="C68" s="15" t="n"/>
      <c r="D68" s="63" t="n"/>
      <c r="E68" s="15" t="n"/>
      <c r="F68" s="15" t="n"/>
      <c r="G68" s="64" t="n"/>
      <c r="H68" s="40">
        <f>IF(OR($A68="",SUM($G$9:$G$208)=0,$G68=""),"",$G68/SUM($G$9:$G$208))</f>
        <v/>
      </c>
      <c r="I68" s="15" t="n"/>
      <c r="J68" s="14" t="n"/>
      <c r="K68" s="14" t="n"/>
      <c r="L68" s="65">
        <f>IF(OR($A68="",$J68="",$K68="",Data_Date=""),"",IF(Data_Date&lt;=$J68,0,IF(Data_Date&gt;=$K68,1,(Data_Date-$J68)/($K68-$J68))))</f>
        <v/>
      </c>
      <c r="M68" s="31">
        <f>IF(OR($A68="",$G68="",$L68=""),"",$G68*$L68)</f>
        <v/>
      </c>
      <c r="N68" s="65" t="n"/>
      <c r="O68" s="31">
        <f>IF(OR($A68="",$G68="",$N68=""),"",$G68*$N68)</f>
        <v/>
      </c>
      <c r="P68" s="64" t="n"/>
      <c r="Q68" s="35">
        <f>IF(OR($O68="",$M68=""),"",$O68-$M68)</f>
        <v/>
      </c>
      <c r="R68" s="35">
        <f>IF(OR($O68="",$P68=""),"",$O68-$P68)</f>
        <v/>
      </c>
      <c r="S68" s="40">
        <f>IF(OR($Q68="",$M68="",$M68=0),"",$Q68/$M68)</f>
        <v/>
      </c>
      <c r="T68" s="40">
        <f>IF(OR($R68="",$O68="",$O68=0),"",$R68/$O68)</f>
        <v/>
      </c>
      <c r="U68" s="61">
        <f>IF(OR($O68="",$M68="",$M68=0),"",$O68/$M68)</f>
        <v/>
      </c>
      <c r="V68" s="61">
        <f>IF(OR($O68="",$P68="",$P68=0),"",$O68/$P68)</f>
        <v/>
      </c>
      <c r="W68" s="31">
        <f>IF(OR($A68="",$G68=""),"",IF(EAC_Idx=1,IF(OR($P68="",$O68=""),"",$P68+($G68-$O68)),IF(EAC_Idx=2,IF(OR($V68="",$V68=0),"",$G68/$V68),IF(EAC_Idx=3,IF(OR($V68="",$U68=""),"",IF($V68*$U68=0,"",$P68+($G68-$O68)/($V68*$U68))),IF(OR($P68="",$O68="",ETC_BottomUp="",ETC_BottomUp&lt;=0),"",$P68+($G68-$O68)*EAC_BU_Factor)))))</f>
        <v/>
      </c>
      <c r="X68" s="31">
        <f>IF(OR($W68="",$P68=""),"",$W68-$P68)</f>
        <v/>
      </c>
      <c r="Y68" s="35">
        <f>IF(OR($W68="",$G68=""),"",$G68-$W68)</f>
        <v/>
      </c>
      <c r="Z68" s="61">
        <f>IF(OR($A68="",$G68="",$O68="",$P68="",$G68-$P68=0),"",($G68-$O68)/($G68-$P68))</f>
        <v/>
      </c>
      <c r="AA68" s="54">
        <f>IF($A68="","",IF(AND($N68&lt;&gt;"",$N68&gt;=1,OR($V68="",$V68&gt;=Thr_Green)),"Complete",IF(AND($U68="",$V68=""),"Not started",IF(OR(AND($U68&lt;&gt;"",$U68&lt;Thr_Red),AND($V68&lt;&gt;"",$V68&lt;Thr_Red)),"Red",IF(OR(AND($U68&lt;&gt;"",$U68&lt;Thr_Green),AND($V68&lt;&gt;"",$V68&lt;Thr_Green)),"Amber","Green")))))</f>
        <v/>
      </c>
      <c r="AB68" s="63" t="n"/>
      <c r="AC68" s="63" t="n"/>
      <c r="AD68" s="63" t="n"/>
    </row>
    <row r="69" ht="24" customHeight="1">
      <c r="A69" s="15" t="n"/>
      <c r="B69" s="13" t="n"/>
      <c r="C69" s="15" t="n"/>
      <c r="D69" s="63" t="n"/>
      <c r="E69" s="15" t="n"/>
      <c r="F69" s="15" t="n"/>
      <c r="G69" s="64" t="n"/>
      <c r="H69" s="40">
        <f>IF(OR($A69="",SUM($G$9:$G$208)=0,$G69=""),"",$G69/SUM($G$9:$G$208))</f>
        <v/>
      </c>
      <c r="I69" s="15" t="n"/>
      <c r="J69" s="14" t="n"/>
      <c r="K69" s="14" t="n"/>
      <c r="L69" s="65">
        <f>IF(OR($A69="",$J69="",$K69="",Data_Date=""),"",IF(Data_Date&lt;=$J69,0,IF(Data_Date&gt;=$K69,1,(Data_Date-$J69)/($K69-$J69))))</f>
        <v/>
      </c>
      <c r="M69" s="31">
        <f>IF(OR($A69="",$G69="",$L69=""),"",$G69*$L69)</f>
        <v/>
      </c>
      <c r="N69" s="65" t="n"/>
      <c r="O69" s="31">
        <f>IF(OR($A69="",$G69="",$N69=""),"",$G69*$N69)</f>
        <v/>
      </c>
      <c r="P69" s="64" t="n"/>
      <c r="Q69" s="35">
        <f>IF(OR($O69="",$M69=""),"",$O69-$M69)</f>
        <v/>
      </c>
      <c r="R69" s="35">
        <f>IF(OR($O69="",$P69=""),"",$O69-$P69)</f>
        <v/>
      </c>
      <c r="S69" s="40">
        <f>IF(OR($Q69="",$M69="",$M69=0),"",$Q69/$M69)</f>
        <v/>
      </c>
      <c r="T69" s="40">
        <f>IF(OR($R69="",$O69="",$O69=0),"",$R69/$O69)</f>
        <v/>
      </c>
      <c r="U69" s="61">
        <f>IF(OR($O69="",$M69="",$M69=0),"",$O69/$M69)</f>
        <v/>
      </c>
      <c r="V69" s="61">
        <f>IF(OR($O69="",$P69="",$P69=0),"",$O69/$P69)</f>
        <v/>
      </c>
      <c r="W69" s="31">
        <f>IF(OR($A69="",$G69=""),"",IF(EAC_Idx=1,IF(OR($P69="",$O69=""),"",$P69+($G69-$O69)),IF(EAC_Idx=2,IF(OR($V69="",$V69=0),"",$G69/$V69),IF(EAC_Idx=3,IF(OR($V69="",$U69=""),"",IF($V69*$U69=0,"",$P69+($G69-$O69)/($V69*$U69))),IF(OR($P69="",$O69="",ETC_BottomUp="",ETC_BottomUp&lt;=0),"",$P69+($G69-$O69)*EAC_BU_Factor)))))</f>
        <v/>
      </c>
      <c r="X69" s="31">
        <f>IF(OR($W69="",$P69=""),"",$W69-$P69)</f>
        <v/>
      </c>
      <c r="Y69" s="35">
        <f>IF(OR($W69="",$G69=""),"",$G69-$W69)</f>
        <v/>
      </c>
      <c r="Z69" s="61">
        <f>IF(OR($A69="",$G69="",$O69="",$P69="",$G69-$P69=0),"",($G69-$O69)/($G69-$P69))</f>
        <v/>
      </c>
      <c r="AA69" s="54">
        <f>IF($A69="","",IF(AND($N69&lt;&gt;"",$N69&gt;=1,OR($V69="",$V69&gt;=Thr_Green)),"Complete",IF(AND($U69="",$V69=""),"Not started",IF(OR(AND($U69&lt;&gt;"",$U69&lt;Thr_Red),AND($V69&lt;&gt;"",$V69&lt;Thr_Red)),"Red",IF(OR(AND($U69&lt;&gt;"",$U69&lt;Thr_Green),AND($V69&lt;&gt;"",$V69&lt;Thr_Green)),"Amber","Green")))))</f>
        <v/>
      </c>
      <c r="AB69" s="63" t="n"/>
      <c r="AC69" s="63" t="n"/>
      <c r="AD69" s="63" t="n"/>
    </row>
    <row r="70" ht="24" customHeight="1">
      <c r="A70" s="15" t="n"/>
      <c r="B70" s="13" t="n"/>
      <c r="C70" s="15" t="n"/>
      <c r="D70" s="63" t="n"/>
      <c r="E70" s="15" t="n"/>
      <c r="F70" s="15" t="n"/>
      <c r="G70" s="64" t="n"/>
      <c r="H70" s="40">
        <f>IF(OR($A70="",SUM($G$9:$G$208)=0,$G70=""),"",$G70/SUM($G$9:$G$208))</f>
        <v/>
      </c>
      <c r="I70" s="15" t="n"/>
      <c r="J70" s="14" t="n"/>
      <c r="K70" s="14" t="n"/>
      <c r="L70" s="65">
        <f>IF(OR($A70="",$J70="",$K70="",Data_Date=""),"",IF(Data_Date&lt;=$J70,0,IF(Data_Date&gt;=$K70,1,(Data_Date-$J70)/($K70-$J70))))</f>
        <v/>
      </c>
      <c r="M70" s="31">
        <f>IF(OR($A70="",$G70="",$L70=""),"",$G70*$L70)</f>
        <v/>
      </c>
      <c r="N70" s="65" t="n"/>
      <c r="O70" s="31">
        <f>IF(OR($A70="",$G70="",$N70=""),"",$G70*$N70)</f>
        <v/>
      </c>
      <c r="P70" s="64" t="n"/>
      <c r="Q70" s="35">
        <f>IF(OR($O70="",$M70=""),"",$O70-$M70)</f>
        <v/>
      </c>
      <c r="R70" s="35">
        <f>IF(OR($O70="",$P70=""),"",$O70-$P70)</f>
        <v/>
      </c>
      <c r="S70" s="40">
        <f>IF(OR($Q70="",$M70="",$M70=0),"",$Q70/$M70)</f>
        <v/>
      </c>
      <c r="T70" s="40">
        <f>IF(OR($R70="",$O70="",$O70=0),"",$R70/$O70)</f>
        <v/>
      </c>
      <c r="U70" s="61">
        <f>IF(OR($O70="",$M70="",$M70=0),"",$O70/$M70)</f>
        <v/>
      </c>
      <c r="V70" s="61">
        <f>IF(OR($O70="",$P70="",$P70=0),"",$O70/$P70)</f>
        <v/>
      </c>
      <c r="W70" s="31">
        <f>IF(OR($A70="",$G70=""),"",IF(EAC_Idx=1,IF(OR($P70="",$O70=""),"",$P70+($G70-$O70)),IF(EAC_Idx=2,IF(OR($V70="",$V70=0),"",$G70/$V70),IF(EAC_Idx=3,IF(OR($V70="",$U70=""),"",IF($V70*$U70=0,"",$P70+($G70-$O70)/($V70*$U70))),IF(OR($P70="",$O70="",ETC_BottomUp="",ETC_BottomUp&lt;=0),"",$P70+($G70-$O70)*EAC_BU_Factor)))))</f>
        <v/>
      </c>
      <c r="X70" s="31">
        <f>IF(OR($W70="",$P70=""),"",$W70-$P70)</f>
        <v/>
      </c>
      <c r="Y70" s="35">
        <f>IF(OR($W70="",$G70=""),"",$G70-$W70)</f>
        <v/>
      </c>
      <c r="Z70" s="61">
        <f>IF(OR($A70="",$G70="",$O70="",$P70="",$G70-$P70=0),"",($G70-$O70)/($G70-$P70))</f>
        <v/>
      </c>
      <c r="AA70" s="54">
        <f>IF($A70="","",IF(AND($N70&lt;&gt;"",$N70&gt;=1,OR($V70="",$V70&gt;=Thr_Green)),"Complete",IF(AND($U70="",$V70=""),"Not started",IF(OR(AND($U70&lt;&gt;"",$U70&lt;Thr_Red),AND($V70&lt;&gt;"",$V70&lt;Thr_Red)),"Red",IF(OR(AND($U70&lt;&gt;"",$U70&lt;Thr_Green),AND($V70&lt;&gt;"",$V70&lt;Thr_Green)),"Amber","Green")))))</f>
        <v/>
      </c>
      <c r="AB70" s="63" t="n"/>
      <c r="AC70" s="63" t="n"/>
      <c r="AD70" s="63" t="n"/>
    </row>
    <row r="71" ht="24" customHeight="1">
      <c r="A71" s="15" t="n"/>
      <c r="B71" s="13" t="n"/>
      <c r="C71" s="15" t="n"/>
      <c r="D71" s="63" t="n"/>
      <c r="E71" s="15" t="n"/>
      <c r="F71" s="15" t="n"/>
      <c r="G71" s="64" t="n"/>
      <c r="H71" s="40">
        <f>IF(OR($A71="",SUM($G$9:$G$208)=0,$G71=""),"",$G71/SUM($G$9:$G$208))</f>
        <v/>
      </c>
      <c r="I71" s="15" t="n"/>
      <c r="J71" s="14" t="n"/>
      <c r="K71" s="14" t="n"/>
      <c r="L71" s="65">
        <f>IF(OR($A71="",$J71="",$K71="",Data_Date=""),"",IF(Data_Date&lt;=$J71,0,IF(Data_Date&gt;=$K71,1,(Data_Date-$J71)/($K71-$J71))))</f>
        <v/>
      </c>
      <c r="M71" s="31">
        <f>IF(OR($A71="",$G71="",$L71=""),"",$G71*$L71)</f>
        <v/>
      </c>
      <c r="N71" s="65" t="n"/>
      <c r="O71" s="31">
        <f>IF(OR($A71="",$G71="",$N71=""),"",$G71*$N71)</f>
        <v/>
      </c>
      <c r="P71" s="64" t="n"/>
      <c r="Q71" s="35">
        <f>IF(OR($O71="",$M71=""),"",$O71-$M71)</f>
        <v/>
      </c>
      <c r="R71" s="35">
        <f>IF(OR($O71="",$P71=""),"",$O71-$P71)</f>
        <v/>
      </c>
      <c r="S71" s="40">
        <f>IF(OR($Q71="",$M71="",$M71=0),"",$Q71/$M71)</f>
        <v/>
      </c>
      <c r="T71" s="40">
        <f>IF(OR($R71="",$O71="",$O71=0),"",$R71/$O71)</f>
        <v/>
      </c>
      <c r="U71" s="61">
        <f>IF(OR($O71="",$M71="",$M71=0),"",$O71/$M71)</f>
        <v/>
      </c>
      <c r="V71" s="61">
        <f>IF(OR($O71="",$P71="",$P71=0),"",$O71/$P71)</f>
        <v/>
      </c>
      <c r="W71" s="31">
        <f>IF(OR($A71="",$G71=""),"",IF(EAC_Idx=1,IF(OR($P71="",$O71=""),"",$P71+($G71-$O71)),IF(EAC_Idx=2,IF(OR($V71="",$V71=0),"",$G71/$V71),IF(EAC_Idx=3,IF(OR($V71="",$U71=""),"",IF($V71*$U71=0,"",$P71+($G71-$O71)/($V71*$U71))),IF(OR($P71="",$O71="",ETC_BottomUp="",ETC_BottomUp&lt;=0),"",$P71+($G71-$O71)*EAC_BU_Factor)))))</f>
        <v/>
      </c>
      <c r="X71" s="31">
        <f>IF(OR($W71="",$P71=""),"",$W71-$P71)</f>
        <v/>
      </c>
      <c r="Y71" s="35">
        <f>IF(OR($W71="",$G71=""),"",$G71-$W71)</f>
        <v/>
      </c>
      <c r="Z71" s="61">
        <f>IF(OR($A71="",$G71="",$O71="",$P71="",$G71-$P71=0),"",($G71-$O71)/($G71-$P71))</f>
        <v/>
      </c>
      <c r="AA71" s="54">
        <f>IF($A71="","",IF(AND($N71&lt;&gt;"",$N71&gt;=1,OR($V71="",$V71&gt;=Thr_Green)),"Complete",IF(AND($U71="",$V71=""),"Not started",IF(OR(AND($U71&lt;&gt;"",$U71&lt;Thr_Red),AND($V71&lt;&gt;"",$V71&lt;Thr_Red)),"Red",IF(OR(AND($U71&lt;&gt;"",$U71&lt;Thr_Green),AND($V71&lt;&gt;"",$V71&lt;Thr_Green)),"Amber","Green")))))</f>
        <v/>
      </c>
      <c r="AB71" s="63" t="n"/>
      <c r="AC71" s="63" t="n"/>
      <c r="AD71" s="63" t="n"/>
    </row>
    <row r="72" ht="24" customHeight="1">
      <c r="A72" s="15" t="n"/>
      <c r="B72" s="13" t="n"/>
      <c r="C72" s="15" t="n"/>
      <c r="D72" s="63" t="n"/>
      <c r="E72" s="15" t="n"/>
      <c r="F72" s="15" t="n"/>
      <c r="G72" s="64" t="n"/>
      <c r="H72" s="40">
        <f>IF(OR($A72="",SUM($G$9:$G$208)=0,$G72=""),"",$G72/SUM($G$9:$G$208))</f>
        <v/>
      </c>
      <c r="I72" s="15" t="n"/>
      <c r="J72" s="14" t="n"/>
      <c r="K72" s="14" t="n"/>
      <c r="L72" s="65">
        <f>IF(OR($A72="",$J72="",$K72="",Data_Date=""),"",IF(Data_Date&lt;=$J72,0,IF(Data_Date&gt;=$K72,1,(Data_Date-$J72)/($K72-$J72))))</f>
        <v/>
      </c>
      <c r="M72" s="31">
        <f>IF(OR($A72="",$G72="",$L72=""),"",$G72*$L72)</f>
        <v/>
      </c>
      <c r="N72" s="65" t="n"/>
      <c r="O72" s="31">
        <f>IF(OR($A72="",$G72="",$N72=""),"",$G72*$N72)</f>
        <v/>
      </c>
      <c r="P72" s="64" t="n"/>
      <c r="Q72" s="35">
        <f>IF(OR($O72="",$M72=""),"",$O72-$M72)</f>
        <v/>
      </c>
      <c r="R72" s="35">
        <f>IF(OR($O72="",$P72=""),"",$O72-$P72)</f>
        <v/>
      </c>
      <c r="S72" s="40">
        <f>IF(OR($Q72="",$M72="",$M72=0),"",$Q72/$M72)</f>
        <v/>
      </c>
      <c r="T72" s="40">
        <f>IF(OR($R72="",$O72="",$O72=0),"",$R72/$O72)</f>
        <v/>
      </c>
      <c r="U72" s="61">
        <f>IF(OR($O72="",$M72="",$M72=0),"",$O72/$M72)</f>
        <v/>
      </c>
      <c r="V72" s="61">
        <f>IF(OR($O72="",$P72="",$P72=0),"",$O72/$P72)</f>
        <v/>
      </c>
      <c r="W72" s="31">
        <f>IF(OR($A72="",$G72=""),"",IF(EAC_Idx=1,IF(OR($P72="",$O72=""),"",$P72+($G72-$O72)),IF(EAC_Idx=2,IF(OR($V72="",$V72=0),"",$G72/$V72),IF(EAC_Idx=3,IF(OR($V72="",$U72=""),"",IF($V72*$U72=0,"",$P72+($G72-$O72)/($V72*$U72))),IF(OR($P72="",$O72="",ETC_BottomUp="",ETC_BottomUp&lt;=0),"",$P72+($G72-$O72)*EAC_BU_Factor)))))</f>
        <v/>
      </c>
      <c r="X72" s="31">
        <f>IF(OR($W72="",$P72=""),"",$W72-$P72)</f>
        <v/>
      </c>
      <c r="Y72" s="35">
        <f>IF(OR($W72="",$G72=""),"",$G72-$W72)</f>
        <v/>
      </c>
      <c r="Z72" s="61">
        <f>IF(OR($A72="",$G72="",$O72="",$P72="",$G72-$P72=0),"",($G72-$O72)/($G72-$P72))</f>
        <v/>
      </c>
      <c r="AA72" s="54">
        <f>IF($A72="","",IF(AND($N72&lt;&gt;"",$N72&gt;=1,OR($V72="",$V72&gt;=Thr_Green)),"Complete",IF(AND($U72="",$V72=""),"Not started",IF(OR(AND($U72&lt;&gt;"",$U72&lt;Thr_Red),AND($V72&lt;&gt;"",$V72&lt;Thr_Red)),"Red",IF(OR(AND($U72&lt;&gt;"",$U72&lt;Thr_Green),AND($V72&lt;&gt;"",$V72&lt;Thr_Green)),"Amber","Green")))))</f>
        <v/>
      </c>
      <c r="AB72" s="63" t="n"/>
      <c r="AC72" s="63" t="n"/>
      <c r="AD72" s="63" t="n"/>
    </row>
    <row r="73" ht="24" customHeight="1">
      <c r="A73" s="15" t="n"/>
      <c r="B73" s="13" t="n"/>
      <c r="C73" s="15" t="n"/>
      <c r="D73" s="63" t="n"/>
      <c r="E73" s="15" t="n"/>
      <c r="F73" s="15" t="n"/>
      <c r="G73" s="64" t="n"/>
      <c r="H73" s="40">
        <f>IF(OR($A73="",SUM($G$9:$G$208)=0,$G73=""),"",$G73/SUM($G$9:$G$208))</f>
        <v/>
      </c>
      <c r="I73" s="15" t="n"/>
      <c r="J73" s="14" t="n"/>
      <c r="K73" s="14" t="n"/>
      <c r="L73" s="65">
        <f>IF(OR($A73="",$J73="",$K73="",Data_Date=""),"",IF(Data_Date&lt;=$J73,0,IF(Data_Date&gt;=$K73,1,(Data_Date-$J73)/($K73-$J73))))</f>
        <v/>
      </c>
      <c r="M73" s="31">
        <f>IF(OR($A73="",$G73="",$L73=""),"",$G73*$L73)</f>
        <v/>
      </c>
      <c r="N73" s="65" t="n"/>
      <c r="O73" s="31">
        <f>IF(OR($A73="",$G73="",$N73=""),"",$G73*$N73)</f>
        <v/>
      </c>
      <c r="P73" s="64" t="n"/>
      <c r="Q73" s="35">
        <f>IF(OR($O73="",$M73=""),"",$O73-$M73)</f>
        <v/>
      </c>
      <c r="R73" s="35">
        <f>IF(OR($O73="",$P73=""),"",$O73-$P73)</f>
        <v/>
      </c>
      <c r="S73" s="40">
        <f>IF(OR($Q73="",$M73="",$M73=0),"",$Q73/$M73)</f>
        <v/>
      </c>
      <c r="T73" s="40">
        <f>IF(OR($R73="",$O73="",$O73=0),"",$R73/$O73)</f>
        <v/>
      </c>
      <c r="U73" s="61">
        <f>IF(OR($O73="",$M73="",$M73=0),"",$O73/$M73)</f>
        <v/>
      </c>
      <c r="V73" s="61">
        <f>IF(OR($O73="",$P73="",$P73=0),"",$O73/$P73)</f>
        <v/>
      </c>
      <c r="W73" s="31">
        <f>IF(OR($A73="",$G73=""),"",IF(EAC_Idx=1,IF(OR($P73="",$O73=""),"",$P73+($G73-$O73)),IF(EAC_Idx=2,IF(OR($V73="",$V73=0),"",$G73/$V73),IF(EAC_Idx=3,IF(OR($V73="",$U73=""),"",IF($V73*$U73=0,"",$P73+($G73-$O73)/($V73*$U73))),IF(OR($P73="",$O73="",ETC_BottomUp="",ETC_BottomUp&lt;=0),"",$P73+($G73-$O73)*EAC_BU_Factor)))))</f>
        <v/>
      </c>
      <c r="X73" s="31">
        <f>IF(OR($W73="",$P73=""),"",$W73-$P73)</f>
        <v/>
      </c>
      <c r="Y73" s="35">
        <f>IF(OR($W73="",$G73=""),"",$G73-$W73)</f>
        <v/>
      </c>
      <c r="Z73" s="61">
        <f>IF(OR($A73="",$G73="",$O73="",$P73="",$G73-$P73=0),"",($G73-$O73)/($G73-$P73))</f>
        <v/>
      </c>
      <c r="AA73" s="54">
        <f>IF($A73="","",IF(AND($N73&lt;&gt;"",$N73&gt;=1,OR($V73="",$V73&gt;=Thr_Green)),"Complete",IF(AND($U73="",$V73=""),"Not started",IF(OR(AND($U73&lt;&gt;"",$U73&lt;Thr_Red),AND($V73&lt;&gt;"",$V73&lt;Thr_Red)),"Red",IF(OR(AND($U73&lt;&gt;"",$U73&lt;Thr_Green),AND($V73&lt;&gt;"",$V73&lt;Thr_Green)),"Amber","Green")))))</f>
        <v/>
      </c>
      <c r="AB73" s="63" t="n"/>
      <c r="AC73" s="63" t="n"/>
      <c r="AD73" s="63" t="n"/>
    </row>
    <row r="74" ht="24" customHeight="1">
      <c r="A74" s="15" t="n"/>
      <c r="B74" s="13" t="n"/>
      <c r="C74" s="15" t="n"/>
      <c r="D74" s="63" t="n"/>
      <c r="E74" s="15" t="n"/>
      <c r="F74" s="15" t="n"/>
      <c r="G74" s="64" t="n"/>
      <c r="H74" s="40">
        <f>IF(OR($A74="",SUM($G$9:$G$208)=0,$G74=""),"",$G74/SUM($G$9:$G$208))</f>
        <v/>
      </c>
      <c r="I74" s="15" t="n"/>
      <c r="J74" s="14" t="n"/>
      <c r="K74" s="14" t="n"/>
      <c r="L74" s="65">
        <f>IF(OR($A74="",$J74="",$K74="",Data_Date=""),"",IF(Data_Date&lt;=$J74,0,IF(Data_Date&gt;=$K74,1,(Data_Date-$J74)/($K74-$J74))))</f>
        <v/>
      </c>
      <c r="M74" s="31">
        <f>IF(OR($A74="",$G74="",$L74=""),"",$G74*$L74)</f>
        <v/>
      </c>
      <c r="N74" s="65" t="n"/>
      <c r="O74" s="31">
        <f>IF(OR($A74="",$G74="",$N74=""),"",$G74*$N74)</f>
        <v/>
      </c>
      <c r="P74" s="64" t="n"/>
      <c r="Q74" s="35">
        <f>IF(OR($O74="",$M74=""),"",$O74-$M74)</f>
        <v/>
      </c>
      <c r="R74" s="35">
        <f>IF(OR($O74="",$P74=""),"",$O74-$P74)</f>
        <v/>
      </c>
      <c r="S74" s="40">
        <f>IF(OR($Q74="",$M74="",$M74=0),"",$Q74/$M74)</f>
        <v/>
      </c>
      <c r="T74" s="40">
        <f>IF(OR($R74="",$O74="",$O74=0),"",$R74/$O74)</f>
        <v/>
      </c>
      <c r="U74" s="61">
        <f>IF(OR($O74="",$M74="",$M74=0),"",$O74/$M74)</f>
        <v/>
      </c>
      <c r="V74" s="61">
        <f>IF(OR($O74="",$P74="",$P74=0),"",$O74/$P74)</f>
        <v/>
      </c>
      <c r="W74" s="31">
        <f>IF(OR($A74="",$G74=""),"",IF(EAC_Idx=1,IF(OR($P74="",$O74=""),"",$P74+($G74-$O74)),IF(EAC_Idx=2,IF(OR($V74="",$V74=0),"",$G74/$V74),IF(EAC_Idx=3,IF(OR($V74="",$U74=""),"",IF($V74*$U74=0,"",$P74+($G74-$O74)/($V74*$U74))),IF(OR($P74="",$O74="",ETC_BottomUp="",ETC_BottomUp&lt;=0),"",$P74+($G74-$O74)*EAC_BU_Factor)))))</f>
        <v/>
      </c>
      <c r="X74" s="31">
        <f>IF(OR($W74="",$P74=""),"",$W74-$P74)</f>
        <v/>
      </c>
      <c r="Y74" s="35">
        <f>IF(OR($W74="",$G74=""),"",$G74-$W74)</f>
        <v/>
      </c>
      <c r="Z74" s="61">
        <f>IF(OR($A74="",$G74="",$O74="",$P74="",$G74-$P74=0),"",($G74-$O74)/($G74-$P74))</f>
        <v/>
      </c>
      <c r="AA74" s="54">
        <f>IF($A74="","",IF(AND($N74&lt;&gt;"",$N74&gt;=1,OR($V74="",$V74&gt;=Thr_Green)),"Complete",IF(AND($U74="",$V74=""),"Not started",IF(OR(AND($U74&lt;&gt;"",$U74&lt;Thr_Red),AND($V74&lt;&gt;"",$V74&lt;Thr_Red)),"Red",IF(OR(AND($U74&lt;&gt;"",$U74&lt;Thr_Green),AND($V74&lt;&gt;"",$V74&lt;Thr_Green)),"Amber","Green")))))</f>
        <v/>
      </c>
      <c r="AB74" s="63" t="n"/>
      <c r="AC74" s="63" t="n"/>
      <c r="AD74" s="63" t="n"/>
    </row>
    <row r="75" ht="24" customHeight="1">
      <c r="A75" s="15" t="n"/>
      <c r="B75" s="13" t="n"/>
      <c r="C75" s="15" t="n"/>
      <c r="D75" s="63" t="n"/>
      <c r="E75" s="15" t="n"/>
      <c r="F75" s="15" t="n"/>
      <c r="G75" s="64" t="n"/>
      <c r="H75" s="40">
        <f>IF(OR($A75="",SUM($G$9:$G$208)=0,$G75=""),"",$G75/SUM($G$9:$G$208))</f>
        <v/>
      </c>
      <c r="I75" s="15" t="n"/>
      <c r="J75" s="14" t="n"/>
      <c r="K75" s="14" t="n"/>
      <c r="L75" s="65">
        <f>IF(OR($A75="",$J75="",$K75="",Data_Date=""),"",IF(Data_Date&lt;=$J75,0,IF(Data_Date&gt;=$K75,1,(Data_Date-$J75)/($K75-$J75))))</f>
        <v/>
      </c>
      <c r="M75" s="31">
        <f>IF(OR($A75="",$G75="",$L75=""),"",$G75*$L75)</f>
        <v/>
      </c>
      <c r="N75" s="65" t="n"/>
      <c r="O75" s="31">
        <f>IF(OR($A75="",$G75="",$N75=""),"",$G75*$N75)</f>
        <v/>
      </c>
      <c r="P75" s="64" t="n"/>
      <c r="Q75" s="35">
        <f>IF(OR($O75="",$M75=""),"",$O75-$M75)</f>
        <v/>
      </c>
      <c r="R75" s="35">
        <f>IF(OR($O75="",$P75=""),"",$O75-$P75)</f>
        <v/>
      </c>
      <c r="S75" s="40">
        <f>IF(OR($Q75="",$M75="",$M75=0),"",$Q75/$M75)</f>
        <v/>
      </c>
      <c r="T75" s="40">
        <f>IF(OR($R75="",$O75="",$O75=0),"",$R75/$O75)</f>
        <v/>
      </c>
      <c r="U75" s="61">
        <f>IF(OR($O75="",$M75="",$M75=0),"",$O75/$M75)</f>
        <v/>
      </c>
      <c r="V75" s="61">
        <f>IF(OR($O75="",$P75="",$P75=0),"",$O75/$P75)</f>
        <v/>
      </c>
      <c r="W75" s="31">
        <f>IF(OR($A75="",$G75=""),"",IF(EAC_Idx=1,IF(OR($P75="",$O75=""),"",$P75+($G75-$O75)),IF(EAC_Idx=2,IF(OR($V75="",$V75=0),"",$G75/$V75),IF(EAC_Idx=3,IF(OR($V75="",$U75=""),"",IF($V75*$U75=0,"",$P75+($G75-$O75)/($V75*$U75))),IF(OR($P75="",$O75="",ETC_BottomUp="",ETC_BottomUp&lt;=0),"",$P75+($G75-$O75)*EAC_BU_Factor)))))</f>
        <v/>
      </c>
      <c r="X75" s="31">
        <f>IF(OR($W75="",$P75=""),"",$W75-$P75)</f>
        <v/>
      </c>
      <c r="Y75" s="35">
        <f>IF(OR($W75="",$G75=""),"",$G75-$W75)</f>
        <v/>
      </c>
      <c r="Z75" s="61">
        <f>IF(OR($A75="",$G75="",$O75="",$P75="",$G75-$P75=0),"",($G75-$O75)/($G75-$P75))</f>
        <v/>
      </c>
      <c r="AA75" s="54">
        <f>IF($A75="","",IF(AND($N75&lt;&gt;"",$N75&gt;=1,OR($V75="",$V75&gt;=Thr_Green)),"Complete",IF(AND($U75="",$V75=""),"Not started",IF(OR(AND($U75&lt;&gt;"",$U75&lt;Thr_Red),AND($V75&lt;&gt;"",$V75&lt;Thr_Red)),"Red",IF(OR(AND($U75&lt;&gt;"",$U75&lt;Thr_Green),AND($V75&lt;&gt;"",$V75&lt;Thr_Green)),"Amber","Green")))))</f>
        <v/>
      </c>
      <c r="AB75" s="63" t="n"/>
      <c r="AC75" s="63" t="n"/>
      <c r="AD75" s="63" t="n"/>
    </row>
    <row r="76" ht="24" customHeight="1">
      <c r="A76" s="15" t="n"/>
      <c r="B76" s="13" t="n"/>
      <c r="C76" s="15" t="n"/>
      <c r="D76" s="63" t="n"/>
      <c r="E76" s="15" t="n"/>
      <c r="F76" s="15" t="n"/>
      <c r="G76" s="64" t="n"/>
      <c r="H76" s="40">
        <f>IF(OR($A76="",SUM($G$9:$G$208)=0,$G76=""),"",$G76/SUM($G$9:$G$208))</f>
        <v/>
      </c>
      <c r="I76" s="15" t="n"/>
      <c r="J76" s="14" t="n"/>
      <c r="K76" s="14" t="n"/>
      <c r="L76" s="65">
        <f>IF(OR($A76="",$J76="",$K76="",Data_Date=""),"",IF(Data_Date&lt;=$J76,0,IF(Data_Date&gt;=$K76,1,(Data_Date-$J76)/($K76-$J76))))</f>
        <v/>
      </c>
      <c r="M76" s="31">
        <f>IF(OR($A76="",$G76="",$L76=""),"",$G76*$L76)</f>
        <v/>
      </c>
      <c r="N76" s="65" t="n"/>
      <c r="O76" s="31">
        <f>IF(OR($A76="",$G76="",$N76=""),"",$G76*$N76)</f>
        <v/>
      </c>
      <c r="P76" s="64" t="n"/>
      <c r="Q76" s="35">
        <f>IF(OR($O76="",$M76=""),"",$O76-$M76)</f>
        <v/>
      </c>
      <c r="R76" s="35">
        <f>IF(OR($O76="",$P76=""),"",$O76-$P76)</f>
        <v/>
      </c>
      <c r="S76" s="40">
        <f>IF(OR($Q76="",$M76="",$M76=0),"",$Q76/$M76)</f>
        <v/>
      </c>
      <c r="T76" s="40">
        <f>IF(OR($R76="",$O76="",$O76=0),"",$R76/$O76)</f>
        <v/>
      </c>
      <c r="U76" s="61">
        <f>IF(OR($O76="",$M76="",$M76=0),"",$O76/$M76)</f>
        <v/>
      </c>
      <c r="V76" s="61">
        <f>IF(OR($O76="",$P76="",$P76=0),"",$O76/$P76)</f>
        <v/>
      </c>
      <c r="W76" s="31">
        <f>IF(OR($A76="",$G76=""),"",IF(EAC_Idx=1,IF(OR($P76="",$O76=""),"",$P76+($G76-$O76)),IF(EAC_Idx=2,IF(OR($V76="",$V76=0),"",$G76/$V76),IF(EAC_Idx=3,IF(OR($V76="",$U76=""),"",IF($V76*$U76=0,"",$P76+($G76-$O76)/($V76*$U76))),IF(OR($P76="",$O76="",ETC_BottomUp="",ETC_BottomUp&lt;=0),"",$P76+($G76-$O76)*EAC_BU_Factor)))))</f>
        <v/>
      </c>
      <c r="X76" s="31">
        <f>IF(OR($W76="",$P76=""),"",$W76-$P76)</f>
        <v/>
      </c>
      <c r="Y76" s="35">
        <f>IF(OR($W76="",$G76=""),"",$G76-$W76)</f>
        <v/>
      </c>
      <c r="Z76" s="61">
        <f>IF(OR($A76="",$G76="",$O76="",$P76="",$G76-$P76=0),"",($G76-$O76)/($G76-$P76))</f>
        <v/>
      </c>
      <c r="AA76" s="54">
        <f>IF($A76="","",IF(AND($N76&lt;&gt;"",$N76&gt;=1,OR($V76="",$V76&gt;=Thr_Green)),"Complete",IF(AND($U76="",$V76=""),"Not started",IF(OR(AND($U76&lt;&gt;"",$U76&lt;Thr_Red),AND($V76&lt;&gt;"",$V76&lt;Thr_Red)),"Red",IF(OR(AND($U76&lt;&gt;"",$U76&lt;Thr_Green),AND($V76&lt;&gt;"",$V76&lt;Thr_Green)),"Amber","Green")))))</f>
        <v/>
      </c>
      <c r="AB76" s="63" t="n"/>
      <c r="AC76" s="63" t="n"/>
      <c r="AD76" s="63" t="n"/>
    </row>
    <row r="77" ht="24" customHeight="1">
      <c r="A77" s="15" t="n"/>
      <c r="B77" s="13" t="n"/>
      <c r="C77" s="15" t="n"/>
      <c r="D77" s="63" t="n"/>
      <c r="E77" s="15" t="n"/>
      <c r="F77" s="15" t="n"/>
      <c r="G77" s="64" t="n"/>
      <c r="H77" s="40">
        <f>IF(OR($A77="",SUM($G$9:$G$208)=0,$G77=""),"",$G77/SUM($G$9:$G$208))</f>
        <v/>
      </c>
      <c r="I77" s="15" t="n"/>
      <c r="J77" s="14" t="n"/>
      <c r="K77" s="14" t="n"/>
      <c r="L77" s="65">
        <f>IF(OR($A77="",$J77="",$K77="",Data_Date=""),"",IF(Data_Date&lt;=$J77,0,IF(Data_Date&gt;=$K77,1,(Data_Date-$J77)/($K77-$J77))))</f>
        <v/>
      </c>
      <c r="M77" s="31">
        <f>IF(OR($A77="",$G77="",$L77=""),"",$G77*$L77)</f>
        <v/>
      </c>
      <c r="N77" s="65" t="n"/>
      <c r="O77" s="31">
        <f>IF(OR($A77="",$G77="",$N77=""),"",$G77*$N77)</f>
        <v/>
      </c>
      <c r="P77" s="64" t="n"/>
      <c r="Q77" s="35">
        <f>IF(OR($O77="",$M77=""),"",$O77-$M77)</f>
        <v/>
      </c>
      <c r="R77" s="35">
        <f>IF(OR($O77="",$P77=""),"",$O77-$P77)</f>
        <v/>
      </c>
      <c r="S77" s="40">
        <f>IF(OR($Q77="",$M77="",$M77=0),"",$Q77/$M77)</f>
        <v/>
      </c>
      <c r="T77" s="40">
        <f>IF(OR($R77="",$O77="",$O77=0),"",$R77/$O77)</f>
        <v/>
      </c>
      <c r="U77" s="61">
        <f>IF(OR($O77="",$M77="",$M77=0),"",$O77/$M77)</f>
        <v/>
      </c>
      <c r="V77" s="61">
        <f>IF(OR($O77="",$P77="",$P77=0),"",$O77/$P77)</f>
        <v/>
      </c>
      <c r="W77" s="31">
        <f>IF(OR($A77="",$G77=""),"",IF(EAC_Idx=1,IF(OR($P77="",$O77=""),"",$P77+($G77-$O77)),IF(EAC_Idx=2,IF(OR($V77="",$V77=0),"",$G77/$V77),IF(EAC_Idx=3,IF(OR($V77="",$U77=""),"",IF($V77*$U77=0,"",$P77+($G77-$O77)/($V77*$U77))),IF(OR($P77="",$O77="",ETC_BottomUp="",ETC_BottomUp&lt;=0),"",$P77+($G77-$O77)*EAC_BU_Factor)))))</f>
        <v/>
      </c>
      <c r="X77" s="31">
        <f>IF(OR($W77="",$P77=""),"",$W77-$P77)</f>
        <v/>
      </c>
      <c r="Y77" s="35">
        <f>IF(OR($W77="",$G77=""),"",$G77-$W77)</f>
        <v/>
      </c>
      <c r="Z77" s="61">
        <f>IF(OR($A77="",$G77="",$O77="",$P77="",$G77-$P77=0),"",($G77-$O77)/($G77-$P77))</f>
        <v/>
      </c>
      <c r="AA77" s="54">
        <f>IF($A77="","",IF(AND($N77&lt;&gt;"",$N77&gt;=1,OR($V77="",$V77&gt;=Thr_Green)),"Complete",IF(AND($U77="",$V77=""),"Not started",IF(OR(AND($U77&lt;&gt;"",$U77&lt;Thr_Red),AND($V77&lt;&gt;"",$V77&lt;Thr_Red)),"Red",IF(OR(AND($U77&lt;&gt;"",$U77&lt;Thr_Green),AND($V77&lt;&gt;"",$V77&lt;Thr_Green)),"Amber","Green")))))</f>
        <v/>
      </c>
      <c r="AB77" s="63" t="n"/>
      <c r="AC77" s="63" t="n"/>
      <c r="AD77" s="63" t="n"/>
    </row>
    <row r="78" ht="24" customHeight="1">
      <c r="A78" s="15" t="n"/>
      <c r="B78" s="13" t="n"/>
      <c r="C78" s="15" t="n"/>
      <c r="D78" s="63" t="n"/>
      <c r="E78" s="15" t="n"/>
      <c r="F78" s="15" t="n"/>
      <c r="G78" s="64" t="n"/>
      <c r="H78" s="40">
        <f>IF(OR($A78="",SUM($G$9:$G$208)=0,$G78=""),"",$G78/SUM($G$9:$G$208))</f>
        <v/>
      </c>
      <c r="I78" s="15" t="n"/>
      <c r="J78" s="14" t="n"/>
      <c r="K78" s="14" t="n"/>
      <c r="L78" s="65">
        <f>IF(OR($A78="",$J78="",$K78="",Data_Date=""),"",IF(Data_Date&lt;=$J78,0,IF(Data_Date&gt;=$K78,1,(Data_Date-$J78)/($K78-$J78))))</f>
        <v/>
      </c>
      <c r="M78" s="31">
        <f>IF(OR($A78="",$G78="",$L78=""),"",$G78*$L78)</f>
        <v/>
      </c>
      <c r="N78" s="65" t="n"/>
      <c r="O78" s="31">
        <f>IF(OR($A78="",$G78="",$N78=""),"",$G78*$N78)</f>
        <v/>
      </c>
      <c r="P78" s="64" t="n"/>
      <c r="Q78" s="35">
        <f>IF(OR($O78="",$M78=""),"",$O78-$M78)</f>
        <v/>
      </c>
      <c r="R78" s="35">
        <f>IF(OR($O78="",$P78=""),"",$O78-$P78)</f>
        <v/>
      </c>
      <c r="S78" s="40">
        <f>IF(OR($Q78="",$M78="",$M78=0),"",$Q78/$M78)</f>
        <v/>
      </c>
      <c r="T78" s="40">
        <f>IF(OR($R78="",$O78="",$O78=0),"",$R78/$O78)</f>
        <v/>
      </c>
      <c r="U78" s="61">
        <f>IF(OR($O78="",$M78="",$M78=0),"",$O78/$M78)</f>
        <v/>
      </c>
      <c r="V78" s="61">
        <f>IF(OR($O78="",$P78="",$P78=0),"",$O78/$P78)</f>
        <v/>
      </c>
      <c r="W78" s="31">
        <f>IF(OR($A78="",$G78=""),"",IF(EAC_Idx=1,IF(OR($P78="",$O78=""),"",$P78+($G78-$O78)),IF(EAC_Idx=2,IF(OR($V78="",$V78=0),"",$G78/$V78),IF(EAC_Idx=3,IF(OR($V78="",$U78=""),"",IF($V78*$U78=0,"",$P78+($G78-$O78)/($V78*$U78))),IF(OR($P78="",$O78="",ETC_BottomUp="",ETC_BottomUp&lt;=0),"",$P78+($G78-$O78)*EAC_BU_Factor)))))</f>
        <v/>
      </c>
      <c r="X78" s="31">
        <f>IF(OR($W78="",$P78=""),"",$W78-$P78)</f>
        <v/>
      </c>
      <c r="Y78" s="35">
        <f>IF(OR($W78="",$G78=""),"",$G78-$W78)</f>
        <v/>
      </c>
      <c r="Z78" s="61">
        <f>IF(OR($A78="",$G78="",$O78="",$P78="",$G78-$P78=0),"",($G78-$O78)/($G78-$P78))</f>
        <v/>
      </c>
      <c r="AA78" s="54">
        <f>IF($A78="","",IF(AND($N78&lt;&gt;"",$N78&gt;=1,OR($V78="",$V78&gt;=Thr_Green)),"Complete",IF(AND($U78="",$V78=""),"Not started",IF(OR(AND($U78&lt;&gt;"",$U78&lt;Thr_Red),AND($V78&lt;&gt;"",$V78&lt;Thr_Red)),"Red",IF(OR(AND($U78&lt;&gt;"",$U78&lt;Thr_Green),AND($V78&lt;&gt;"",$V78&lt;Thr_Green)),"Amber","Green")))))</f>
        <v/>
      </c>
      <c r="AB78" s="63" t="n"/>
      <c r="AC78" s="63" t="n"/>
      <c r="AD78" s="63" t="n"/>
    </row>
    <row r="79" ht="24" customHeight="1">
      <c r="A79" s="15" t="n"/>
      <c r="B79" s="13" t="n"/>
      <c r="C79" s="15" t="n"/>
      <c r="D79" s="63" t="n"/>
      <c r="E79" s="15" t="n"/>
      <c r="F79" s="15" t="n"/>
      <c r="G79" s="64" t="n"/>
      <c r="H79" s="40">
        <f>IF(OR($A79="",SUM($G$9:$G$208)=0,$G79=""),"",$G79/SUM($G$9:$G$208))</f>
        <v/>
      </c>
      <c r="I79" s="15" t="n"/>
      <c r="J79" s="14" t="n"/>
      <c r="K79" s="14" t="n"/>
      <c r="L79" s="65">
        <f>IF(OR($A79="",$J79="",$K79="",Data_Date=""),"",IF(Data_Date&lt;=$J79,0,IF(Data_Date&gt;=$K79,1,(Data_Date-$J79)/($K79-$J79))))</f>
        <v/>
      </c>
      <c r="M79" s="31">
        <f>IF(OR($A79="",$G79="",$L79=""),"",$G79*$L79)</f>
        <v/>
      </c>
      <c r="N79" s="65" t="n"/>
      <c r="O79" s="31">
        <f>IF(OR($A79="",$G79="",$N79=""),"",$G79*$N79)</f>
        <v/>
      </c>
      <c r="P79" s="64" t="n"/>
      <c r="Q79" s="35">
        <f>IF(OR($O79="",$M79=""),"",$O79-$M79)</f>
        <v/>
      </c>
      <c r="R79" s="35">
        <f>IF(OR($O79="",$P79=""),"",$O79-$P79)</f>
        <v/>
      </c>
      <c r="S79" s="40">
        <f>IF(OR($Q79="",$M79="",$M79=0),"",$Q79/$M79)</f>
        <v/>
      </c>
      <c r="T79" s="40">
        <f>IF(OR($R79="",$O79="",$O79=0),"",$R79/$O79)</f>
        <v/>
      </c>
      <c r="U79" s="61">
        <f>IF(OR($O79="",$M79="",$M79=0),"",$O79/$M79)</f>
        <v/>
      </c>
      <c r="V79" s="61">
        <f>IF(OR($O79="",$P79="",$P79=0),"",$O79/$P79)</f>
        <v/>
      </c>
      <c r="W79" s="31">
        <f>IF(OR($A79="",$G79=""),"",IF(EAC_Idx=1,IF(OR($P79="",$O79=""),"",$P79+($G79-$O79)),IF(EAC_Idx=2,IF(OR($V79="",$V79=0),"",$G79/$V79),IF(EAC_Idx=3,IF(OR($V79="",$U79=""),"",IF($V79*$U79=0,"",$P79+($G79-$O79)/($V79*$U79))),IF(OR($P79="",$O79="",ETC_BottomUp="",ETC_BottomUp&lt;=0),"",$P79+($G79-$O79)*EAC_BU_Factor)))))</f>
        <v/>
      </c>
      <c r="X79" s="31">
        <f>IF(OR($W79="",$P79=""),"",$W79-$P79)</f>
        <v/>
      </c>
      <c r="Y79" s="35">
        <f>IF(OR($W79="",$G79=""),"",$G79-$W79)</f>
        <v/>
      </c>
      <c r="Z79" s="61">
        <f>IF(OR($A79="",$G79="",$O79="",$P79="",$G79-$P79=0),"",($G79-$O79)/($G79-$P79))</f>
        <v/>
      </c>
      <c r="AA79" s="54">
        <f>IF($A79="","",IF(AND($N79&lt;&gt;"",$N79&gt;=1,OR($V79="",$V79&gt;=Thr_Green)),"Complete",IF(AND($U79="",$V79=""),"Not started",IF(OR(AND($U79&lt;&gt;"",$U79&lt;Thr_Red),AND($V79&lt;&gt;"",$V79&lt;Thr_Red)),"Red",IF(OR(AND($U79&lt;&gt;"",$U79&lt;Thr_Green),AND($V79&lt;&gt;"",$V79&lt;Thr_Green)),"Amber","Green")))))</f>
        <v/>
      </c>
      <c r="AB79" s="63" t="n"/>
      <c r="AC79" s="63" t="n"/>
      <c r="AD79" s="63" t="n"/>
    </row>
    <row r="80" ht="24" customHeight="1">
      <c r="A80" s="15" t="n"/>
      <c r="B80" s="13" t="n"/>
      <c r="C80" s="15" t="n"/>
      <c r="D80" s="63" t="n"/>
      <c r="E80" s="15" t="n"/>
      <c r="F80" s="15" t="n"/>
      <c r="G80" s="64" t="n"/>
      <c r="H80" s="40">
        <f>IF(OR($A80="",SUM($G$9:$G$208)=0,$G80=""),"",$G80/SUM($G$9:$G$208))</f>
        <v/>
      </c>
      <c r="I80" s="15" t="n"/>
      <c r="J80" s="14" t="n"/>
      <c r="K80" s="14" t="n"/>
      <c r="L80" s="65">
        <f>IF(OR($A80="",$J80="",$K80="",Data_Date=""),"",IF(Data_Date&lt;=$J80,0,IF(Data_Date&gt;=$K80,1,(Data_Date-$J80)/($K80-$J80))))</f>
        <v/>
      </c>
      <c r="M80" s="31">
        <f>IF(OR($A80="",$G80="",$L80=""),"",$G80*$L80)</f>
        <v/>
      </c>
      <c r="N80" s="65" t="n"/>
      <c r="O80" s="31">
        <f>IF(OR($A80="",$G80="",$N80=""),"",$G80*$N80)</f>
        <v/>
      </c>
      <c r="P80" s="64" t="n"/>
      <c r="Q80" s="35">
        <f>IF(OR($O80="",$M80=""),"",$O80-$M80)</f>
        <v/>
      </c>
      <c r="R80" s="35">
        <f>IF(OR($O80="",$P80=""),"",$O80-$P80)</f>
        <v/>
      </c>
      <c r="S80" s="40">
        <f>IF(OR($Q80="",$M80="",$M80=0),"",$Q80/$M80)</f>
        <v/>
      </c>
      <c r="T80" s="40">
        <f>IF(OR($R80="",$O80="",$O80=0),"",$R80/$O80)</f>
        <v/>
      </c>
      <c r="U80" s="61">
        <f>IF(OR($O80="",$M80="",$M80=0),"",$O80/$M80)</f>
        <v/>
      </c>
      <c r="V80" s="61">
        <f>IF(OR($O80="",$P80="",$P80=0),"",$O80/$P80)</f>
        <v/>
      </c>
      <c r="W80" s="31">
        <f>IF(OR($A80="",$G80=""),"",IF(EAC_Idx=1,IF(OR($P80="",$O80=""),"",$P80+($G80-$O80)),IF(EAC_Idx=2,IF(OR($V80="",$V80=0),"",$G80/$V80),IF(EAC_Idx=3,IF(OR($V80="",$U80=""),"",IF($V80*$U80=0,"",$P80+($G80-$O80)/($V80*$U80))),IF(OR($P80="",$O80="",ETC_BottomUp="",ETC_BottomUp&lt;=0),"",$P80+($G80-$O80)*EAC_BU_Factor)))))</f>
        <v/>
      </c>
      <c r="X80" s="31">
        <f>IF(OR($W80="",$P80=""),"",$W80-$P80)</f>
        <v/>
      </c>
      <c r="Y80" s="35">
        <f>IF(OR($W80="",$G80=""),"",$G80-$W80)</f>
        <v/>
      </c>
      <c r="Z80" s="61">
        <f>IF(OR($A80="",$G80="",$O80="",$P80="",$G80-$P80=0),"",($G80-$O80)/($G80-$P80))</f>
        <v/>
      </c>
      <c r="AA80" s="54">
        <f>IF($A80="","",IF(AND($N80&lt;&gt;"",$N80&gt;=1,OR($V80="",$V80&gt;=Thr_Green)),"Complete",IF(AND($U80="",$V80=""),"Not started",IF(OR(AND($U80&lt;&gt;"",$U80&lt;Thr_Red),AND($V80&lt;&gt;"",$V80&lt;Thr_Red)),"Red",IF(OR(AND($U80&lt;&gt;"",$U80&lt;Thr_Green),AND($V80&lt;&gt;"",$V80&lt;Thr_Green)),"Amber","Green")))))</f>
        <v/>
      </c>
      <c r="AB80" s="63" t="n"/>
      <c r="AC80" s="63" t="n"/>
      <c r="AD80" s="63" t="n"/>
    </row>
    <row r="81" ht="24" customHeight="1">
      <c r="A81" s="15" t="n"/>
      <c r="B81" s="13" t="n"/>
      <c r="C81" s="15" t="n"/>
      <c r="D81" s="63" t="n"/>
      <c r="E81" s="15" t="n"/>
      <c r="F81" s="15" t="n"/>
      <c r="G81" s="64" t="n"/>
      <c r="H81" s="40">
        <f>IF(OR($A81="",SUM($G$9:$G$208)=0,$G81=""),"",$G81/SUM($G$9:$G$208))</f>
        <v/>
      </c>
      <c r="I81" s="15" t="n"/>
      <c r="J81" s="14" t="n"/>
      <c r="K81" s="14" t="n"/>
      <c r="L81" s="65">
        <f>IF(OR($A81="",$J81="",$K81="",Data_Date=""),"",IF(Data_Date&lt;=$J81,0,IF(Data_Date&gt;=$K81,1,(Data_Date-$J81)/($K81-$J81))))</f>
        <v/>
      </c>
      <c r="M81" s="31">
        <f>IF(OR($A81="",$G81="",$L81=""),"",$G81*$L81)</f>
        <v/>
      </c>
      <c r="N81" s="65" t="n"/>
      <c r="O81" s="31">
        <f>IF(OR($A81="",$G81="",$N81=""),"",$G81*$N81)</f>
        <v/>
      </c>
      <c r="P81" s="64" t="n"/>
      <c r="Q81" s="35">
        <f>IF(OR($O81="",$M81=""),"",$O81-$M81)</f>
        <v/>
      </c>
      <c r="R81" s="35">
        <f>IF(OR($O81="",$P81=""),"",$O81-$P81)</f>
        <v/>
      </c>
      <c r="S81" s="40">
        <f>IF(OR($Q81="",$M81="",$M81=0),"",$Q81/$M81)</f>
        <v/>
      </c>
      <c r="T81" s="40">
        <f>IF(OR($R81="",$O81="",$O81=0),"",$R81/$O81)</f>
        <v/>
      </c>
      <c r="U81" s="61">
        <f>IF(OR($O81="",$M81="",$M81=0),"",$O81/$M81)</f>
        <v/>
      </c>
      <c r="V81" s="61">
        <f>IF(OR($O81="",$P81="",$P81=0),"",$O81/$P81)</f>
        <v/>
      </c>
      <c r="W81" s="31">
        <f>IF(OR($A81="",$G81=""),"",IF(EAC_Idx=1,IF(OR($P81="",$O81=""),"",$P81+($G81-$O81)),IF(EAC_Idx=2,IF(OR($V81="",$V81=0),"",$G81/$V81),IF(EAC_Idx=3,IF(OR($V81="",$U81=""),"",IF($V81*$U81=0,"",$P81+($G81-$O81)/($V81*$U81))),IF(OR($P81="",$O81="",ETC_BottomUp="",ETC_BottomUp&lt;=0),"",$P81+($G81-$O81)*EAC_BU_Factor)))))</f>
        <v/>
      </c>
      <c r="X81" s="31">
        <f>IF(OR($W81="",$P81=""),"",$W81-$P81)</f>
        <v/>
      </c>
      <c r="Y81" s="35">
        <f>IF(OR($W81="",$G81=""),"",$G81-$W81)</f>
        <v/>
      </c>
      <c r="Z81" s="61">
        <f>IF(OR($A81="",$G81="",$O81="",$P81="",$G81-$P81=0),"",($G81-$O81)/($G81-$P81))</f>
        <v/>
      </c>
      <c r="AA81" s="54">
        <f>IF($A81="","",IF(AND($N81&lt;&gt;"",$N81&gt;=1,OR($V81="",$V81&gt;=Thr_Green)),"Complete",IF(AND($U81="",$V81=""),"Not started",IF(OR(AND($U81&lt;&gt;"",$U81&lt;Thr_Red),AND($V81&lt;&gt;"",$V81&lt;Thr_Red)),"Red",IF(OR(AND($U81&lt;&gt;"",$U81&lt;Thr_Green),AND($V81&lt;&gt;"",$V81&lt;Thr_Green)),"Amber","Green")))))</f>
        <v/>
      </c>
      <c r="AB81" s="63" t="n"/>
      <c r="AC81" s="63" t="n"/>
      <c r="AD81" s="63" t="n"/>
    </row>
    <row r="82" ht="24" customHeight="1">
      <c r="A82" s="15" t="n"/>
      <c r="B82" s="13" t="n"/>
      <c r="C82" s="15" t="n"/>
      <c r="D82" s="63" t="n"/>
      <c r="E82" s="15" t="n"/>
      <c r="F82" s="15" t="n"/>
      <c r="G82" s="64" t="n"/>
      <c r="H82" s="40">
        <f>IF(OR($A82="",SUM($G$9:$G$208)=0,$G82=""),"",$G82/SUM($G$9:$G$208))</f>
        <v/>
      </c>
      <c r="I82" s="15" t="n"/>
      <c r="J82" s="14" t="n"/>
      <c r="K82" s="14" t="n"/>
      <c r="L82" s="65">
        <f>IF(OR($A82="",$J82="",$K82="",Data_Date=""),"",IF(Data_Date&lt;=$J82,0,IF(Data_Date&gt;=$K82,1,(Data_Date-$J82)/($K82-$J82))))</f>
        <v/>
      </c>
      <c r="M82" s="31">
        <f>IF(OR($A82="",$G82="",$L82=""),"",$G82*$L82)</f>
        <v/>
      </c>
      <c r="N82" s="65" t="n"/>
      <c r="O82" s="31">
        <f>IF(OR($A82="",$G82="",$N82=""),"",$G82*$N82)</f>
        <v/>
      </c>
      <c r="P82" s="64" t="n"/>
      <c r="Q82" s="35">
        <f>IF(OR($O82="",$M82=""),"",$O82-$M82)</f>
        <v/>
      </c>
      <c r="R82" s="35">
        <f>IF(OR($O82="",$P82=""),"",$O82-$P82)</f>
        <v/>
      </c>
      <c r="S82" s="40">
        <f>IF(OR($Q82="",$M82="",$M82=0),"",$Q82/$M82)</f>
        <v/>
      </c>
      <c r="T82" s="40">
        <f>IF(OR($R82="",$O82="",$O82=0),"",$R82/$O82)</f>
        <v/>
      </c>
      <c r="U82" s="61">
        <f>IF(OR($O82="",$M82="",$M82=0),"",$O82/$M82)</f>
        <v/>
      </c>
      <c r="V82" s="61">
        <f>IF(OR($O82="",$P82="",$P82=0),"",$O82/$P82)</f>
        <v/>
      </c>
      <c r="W82" s="31">
        <f>IF(OR($A82="",$G82=""),"",IF(EAC_Idx=1,IF(OR($P82="",$O82=""),"",$P82+($G82-$O82)),IF(EAC_Idx=2,IF(OR($V82="",$V82=0),"",$G82/$V82),IF(EAC_Idx=3,IF(OR($V82="",$U82=""),"",IF($V82*$U82=0,"",$P82+($G82-$O82)/($V82*$U82))),IF(OR($P82="",$O82="",ETC_BottomUp="",ETC_BottomUp&lt;=0),"",$P82+($G82-$O82)*EAC_BU_Factor)))))</f>
        <v/>
      </c>
      <c r="X82" s="31">
        <f>IF(OR($W82="",$P82=""),"",$W82-$P82)</f>
        <v/>
      </c>
      <c r="Y82" s="35">
        <f>IF(OR($W82="",$G82=""),"",$G82-$W82)</f>
        <v/>
      </c>
      <c r="Z82" s="61">
        <f>IF(OR($A82="",$G82="",$O82="",$P82="",$G82-$P82=0),"",($G82-$O82)/($G82-$P82))</f>
        <v/>
      </c>
      <c r="AA82" s="54">
        <f>IF($A82="","",IF(AND($N82&lt;&gt;"",$N82&gt;=1,OR($V82="",$V82&gt;=Thr_Green)),"Complete",IF(AND($U82="",$V82=""),"Not started",IF(OR(AND($U82&lt;&gt;"",$U82&lt;Thr_Red),AND($V82&lt;&gt;"",$V82&lt;Thr_Red)),"Red",IF(OR(AND($U82&lt;&gt;"",$U82&lt;Thr_Green),AND($V82&lt;&gt;"",$V82&lt;Thr_Green)),"Amber","Green")))))</f>
        <v/>
      </c>
      <c r="AB82" s="63" t="n"/>
      <c r="AC82" s="63" t="n"/>
      <c r="AD82" s="63" t="n"/>
    </row>
    <row r="83" ht="24" customHeight="1">
      <c r="A83" s="15" t="n"/>
      <c r="B83" s="13" t="n"/>
      <c r="C83" s="15" t="n"/>
      <c r="D83" s="63" t="n"/>
      <c r="E83" s="15" t="n"/>
      <c r="F83" s="15" t="n"/>
      <c r="G83" s="64" t="n"/>
      <c r="H83" s="40">
        <f>IF(OR($A83="",SUM($G$9:$G$208)=0,$G83=""),"",$G83/SUM($G$9:$G$208))</f>
        <v/>
      </c>
      <c r="I83" s="15" t="n"/>
      <c r="J83" s="14" t="n"/>
      <c r="K83" s="14" t="n"/>
      <c r="L83" s="65">
        <f>IF(OR($A83="",$J83="",$K83="",Data_Date=""),"",IF(Data_Date&lt;=$J83,0,IF(Data_Date&gt;=$K83,1,(Data_Date-$J83)/($K83-$J83))))</f>
        <v/>
      </c>
      <c r="M83" s="31">
        <f>IF(OR($A83="",$G83="",$L83=""),"",$G83*$L83)</f>
        <v/>
      </c>
      <c r="N83" s="65" t="n"/>
      <c r="O83" s="31">
        <f>IF(OR($A83="",$G83="",$N83=""),"",$G83*$N83)</f>
        <v/>
      </c>
      <c r="P83" s="64" t="n"/>
      <c r="Q83" s="35">
        <f>IF(OR($O83="",$M83=""),"",$O83-$M83)</f>
        <v/>
      </c>
      <c r="R83" s="35">
        <f>IF(OR($O83="",$P83=""),"",$O83-$P83)</f>
        <v/>
      </c>
      <c r="S83" s="40">
        <f>IF(OR($Q83="",$M83="",$M83=0),"",$Q83/$M83)</f>
        <v/>
      </c>
      <c r="T83" s="40">
        <f>IF(OR($R83="",$O83="",$O83=0),"",$R83/$O83)</f>
        <v/>
      </c>
      <c r="U83" s="61">
        <f>IF(OR($O83="",$M83="",$M83=0),"",$O83/$M83)</f>
        <v/>
      </c>
      <c r="V83" s="61">
        <f>IF(OR($O83="",$P83="",$P83=0),"",$O83/$P83)</f>
        <v/>
      </c>
      <c r="W83" s="31">
        <f>IF(OR($A83="",$G83=""),"",IF(EAC_Idx=1,IF(OR($P83="",$O83=""),"",$P83+($G83-$O83)),IF(EAC_Idx=2,IF(OR($V83="",$V83=0),"",$G83/$V83),IF(EAC_Idx=3,IF(OR($V83="",$U83=""),"",IF($V83*$U83=0,"",$P83+($G83-$O83)/($V83*$U83))),IF(OR($P83="",$O83="",ETC_BottomUp="",ETC_BottomUp&lt;=0),"",$P83+($G83-$O83)*EAC_BU_Factor)))))</f>
        <v/>
      </c>
      <c r="X83" s="31">
        <f>IF(OR($W83="",$P83=""),"",$W83-$P83)</f>
        <v/>
      </c>
      <c r="Y83" s="35">
        <f>IF(OR($W83="",$G83=""),"",$G83-$W83)</f>
        <v/>
      </c>
      <c r="Z83" s="61">
        <f>IF(OR($A83="",$G83="",$O83="",$P83="",$G83-$P83=0),"",($G83-$O83)/($G83-$P83))</f>
        <v/>
      </c>
      <c r="AA83" s="54">
        <f>IF($A83="","",IF(AND($N83&lt;&gt;"",$N83&gt;=1,OR($V83="",$V83&gt;=Thr_Green)),"Complete",IF(AND($U83="",$V83=""),"Not started",IF(OR(AND($U83&lt;&gt;"",$U83&lt;Thr_Red),AND($V83&lt;&gt;"",$V83&lt;Thr_Red)),"Red",IF(OR(AND($U83&lt;&gt;"",$U83&lt;Thr_Green),AND($V83&lt;&gt;"",$V83&lt;Thr_Green)),"Amber","Green")))))</f>
        <v/>
      </c>
      <c r="AB83" s="63" t="n"/>
      <c r="AC83" s="63" t="n"/>
      <c r="AD83" s="63" t="n"/>
    </row>
    <row r="84" ht="24" customHeight="1">
      <c r="A84" s="15" t="n"/>
      <c r="B84" s="13" t="n"/>
      <c r="C84" s="15" t="n"/>
      <c r="D84" s="63" t="n"/>
      <c r="E84" s="15" t="n"/>
      <c r="F84" s="15" t="n"/>
      <c r="G84" s="64" t="n"/>
      <c r="H84" s="40">
        <f>IF(OR($A84="",SUM($G$9:$G$208)=0,$G84=""),"",$G84/SUM($G$9:$G$208))</f>
        <v/>
      </c>
      <c r="I84" s="15" t="n"/>
      <c r="J84" s="14" t="n"/>
      <c r="K84" s="14" t="n"/>
      <c r="L84" s="65">
        <f>IF(OR($A84="",$J84="",$K84="",Data_Date=""),"",IF(Data_Date&lt;=$J84,0,IF(Data_Date&gt;=$K84,1,(Data_Date-$J84)/($K84-$J84))))</f>
        <v/>
      </c>
      <c r="M84" s="31">
        <f>IF(OR($A84="",$G84="",$L84=""),"",$G84*$L84)</f>
        <v/>
      </c>
      <c r="N84" s="65" t="n"/>
      <c r="O84" s="31">
        <f>IF(OR($A84="",$G84="",$N84=""),"",$G84*$N84)</f>
        <v/>
      </c>
      <c r="P84" s="64" t="n"/>
      <c r="Q84" s="35">
        <f>IF(OR($O84="",$M84=""),"",$O84-$M84)</f>
        <v/>
      </c>
      <c r="R84" s="35">
        <f>IF(OR($O84="",$P84=""),"",$O84-$P84)</f>
        <v/>
      </c>
      <c r="S84" s="40">
        <f>IF(OR($Q84="",$M84="",$M84=0),"",$Q84/$M84)</f>
        <v/>
      </c>
      <c r="T84" s="40">
        <f>IF(OR($R84="",$O84="",$O84=0),"",$R84/$O84)</f>
        <v/>
      </c>
      <c r="U84" s="61">
        <f>IF(OR($O84="",$M84="",$M84=0),"",$O84/$M84)</f>
        <v/>
      </c>
      <c r="V84" s="61">
        <f>IF(OR($O84="",$P84="",$P84=0),"",$O84/$P84)</f>
        <v/>
      </c>
      <c r="W84" s="31">
        <f>IF(OR($A84="",$G84=""),"",IF(EAC_Idx=1,IF(OR($P84="",$O84=""),"",$P84+($G84-$O84)),IF(EAC_Idx=2,IF(OR($V84="",$V84=0),"",$G84/$V84),IF(EAC_Idx=3,IF(OR($V84="",$U84=""),"",IF($V84*$U84=0,"",$P84+($G84-$O84)/($V84*$U84))),IF(OR($P84="",$O84="",ETC_BottomUp="",ETC_BottomUp&lt;=0),"",$P84+($G84-$O84)*EAC_BU_Factor)))))</f>
        <v/>
      </c>
      <c r="X84" s="31">
        <f>IF(OR($W84="",$P84=""),"",$W84-$P84)</f>
        <v/>
      </c>
      <c r="Y84" s="35">
        <f>IF(OR($W84="",$G84=""),"",$G84-$W84)</f>
        <v/>
      </c>
      <c r="Z84" s="61">
        <f>IF(OR($A84="",$G84="",$O84="",$P84="",$G84-$P84=0),"",($G84-$O84)/($G84-$P84))</f>
        <v/>
      </c>
      <c r="AA84" s="54">
        <f>IF($A84="","",IF(AND($N84&lt;&gt;"",$N84&gt;=1,OR($V84="",$V84&gt;=Thr_Green)),"Complete",IF(AND($U84="",$V84=""),"Not started",IF(OR(AND($U84&lt;&gt;"",$U84&lt;Thr_Red),AND($V84&lt;&gt;"",$V84&lt;Thr_Red)),"Red",IF(OR(AND($U84&lt;&gt;"",$U84&lt;Thr_Green),AND($V84&lt;&gt;"",$V84&lt;Thr_Green)),"Amber","Green")))))</f>
        <v/>
      </c>
      <c r="AB84" s="63" t="n"/>
      <c r="AC84" s="63" t="n"/>
      <c r="AD84" s="63" t="n"/>
    </row>
    <row r="85" ht="24" customHeight="1">
      <c r="A85" s="15" t="n"/>
      <c r="B85" s="13" t="n"/>
      <c r="C85" s="15" t="n"/>
      <c r="D85" s="63" t="n"/>
      <c r="E85" s="15" t="n"/>
      <c r="F85" s="15" t="n"/>
      <c r="G85" s="64" t="n"/>
      <c r="H85" s="40">
        <f>IF(OR($A85="",SUM($G$9:$G$208)=0,$G85=""),"",$G85/SUM($G$9:$G$208))</f>
        <v/>
      </c>
      <c r="I85" s="15" t="n"/>
      <c r="J85" s="14" t="n"/>
      <c r="K85" s="14" t="n"/>
      <c r="L85" s="65">
        <f>IF(OR($A85="",$J85="",$K85="",Data_Date=""),"",IF(Data_Date&lt;=$J85,0,IF(Data_Date&gt;=$K85,1,(Data_Date-$J85)/($K85-$J85))))</f>
        <v/>
      </c>
      <c r="M85" s="31">
        <f>IF(OR($A85="",$G85="",$L85=""),"",$G85*$L85)</f>
        <v/>
      </c>
      <c r="N85" s="65" t="n"/>
      <c r="O85" s="31">
        <f>IF(OR($A85="",$G85="",$N85=""),"",$G85*$N85)</f>
        <v/>
      </c>
      <c r="P85" s="64" t="n"/>
      <c r="Q85" s="35">
        <f>IF(OR($O85="",$M85=""),"",$O85-$M85)</f>
        <v/>
      </c>
      <c r="R85" s="35">
        <f>IF(OR($O85="",$P85=""),"",$O85-$P85)</f>
        <v/>
      </c>
      <c r="S85" s="40">
        <f>IF(OR($Q85="",$M85="",$M85=0),"",$Q85/$M85)</f>
        <v/>
      </c>
      <c r="T85" s="40">
        <f>IF(OR($R85="",$O85="",$O85=0),"",$R85/$O85)</f>
        <v/>
      </c>
      <c r="U85" s="61">
        <f>IF(OR($O85="",$M85="",$M85=0),"",$O85/$M85)</f>
        <v/>
      </c>
      <c r="V85" s="61">
        <f>IF(OR($O85="",$P85="",$P85=0),"",$O85/$P85)</f>
        <v/>
      </c>
      <c r="W85" s="31">
        <f>IF(OR($A85="",$G85=""),"",IF(EAC_Idx=1,IF(OR($P85="",$O85=""),"",$P85+($G85-$O85)),IF(EAC_Idx=2,IF(OR($V85="",$V85=0),"",$G85/$V85),IF(EAC_Idx=3,IF(OR($V85="",$U85=""),"",IF($V85*$U85=0,"",$P85+($G85-$O85)/($V85*$U85))),IF(OR($P85="",$O85="",ETC_BottomUp="",ETC_BottomUp&lt;=0),"",$P85+($G85-$O85)*EAC_BU_Factor)))))</f>
        <v/>
      </c>
      <c r="X85" s="31">
        <f>IF(OR($W85="",$P85=""),"",$W85-$P85)</f>
        <v/>
      </c>
      <c r="Y85" s="35">
        <f>IF(OR($W85="",$G85=""),"",$G85-$W85)</f>
        <v/>
      </c>
      <c r="Z85" s="61">
        <f>IF(OR($A85="",$G85="",$O85="",$P85="",$G85-$P85=0),"",($G85-$O85)/($G85-$P85))</f>
        <v/>
      </c>
      <c r="AA85" s="54">
        <f>IF($A85="","",IF(AND($N85&lt;&gt;"",$N85&gt;=1,OR($V85="",$V85&gt;=Thr_Green)),"Complete",IF(AND($U85="",$V85=""),"Not started",IF(OR(AND($U85&lt;&gt;"",$U85&lt;Thr_Red),AND($V85&lt;&gt;"",$V85&lt;Thr_Red)),"Red",IF(OR(AND($U85&lt;&gt;"",$U85&lt;Thr_Green),AND($V85&lt;&gt;"",$V85&lt;Thr_Green)),"Amber","Green")))))</f>
        <v/>
      </c>
      <c r="AB85" s="63" t="n"/>
      <c r="AC85" s="63" t="n"/>
      <c r="AD85" s="63" t="n"/>
    </row>
    <row r="86" ht="24" customHeight="1">
      <c r="A86" s="15" t="n"/>
      <c r="B86" s="13" t="n"/>
      <c r="C86" s="15" t="n"/>
      <c r="D86" s="63" t="n"/>
      <c r="E86" s="15" t="n"/>
      <c r="F86" s="15" t="n"/>
      <c r="G86" s="64" t="n"/>
      <c r="H86" s="40">
        <f>IF(OR($A86="",SUM($G$9:$G$208)=0,$G86=""),"",$G86/SUM($G$9:$G$208))</f>
        <v/>
      </c>
      <c r="I86" s="15" t="n"/>
      <c r="J86" s="14" t="n"/>
      <c r="K86" s="14" t="n"/>
      <c r="L86" s="65">
        <f>IF(OR($A86="",$J86="",$K86="",Data_Date=""),"",IF(Data_Date&lt;=$J86,0,IF(Data_Date&gt;=$K86,1,(Data_Date-$J86)/($K86-$J86))))</f>
        <v/>
      </c>
      <c r="M86" s="31">
        <f>IF(OR($A86="",$G86="",$L86=""),"",$G86*$L86)</f>
        <v/>
      </c>
      <c r="N86" s="65" t="n"/>
      <c r="O86" s="31">
        <f>IF(OR($A86="",$G86="",$N86=""),"",$G86*$N86)</f>
        <v/>
      </c>
      <c r="P86" s="64" t="n"/>
      <c r="Q86" s="35">
        <f>IF(OR($O86="",$M86=""),"",$O86-$M86)</f>
        <v/>
      </c>
      <c r="R86" s="35">
        <f>IF(OR($O86="",$P86=""),"",$O86-$P86)</f>
        <v/>
      </c>
      <c r="S86" s="40">
        <f>IF(OR($Q86="",$M86="",$M86=0),"",$Q86/$M86)</f>
        <v/>
      </c>
      <c r="T86" s="40">
        <f>IF(OR($R86="",$O86="",$O86=0),"",$R86/$O86)</f>
        <v/>
      </c>
      <c r="U86" s="61">
        <f>IF(OR($O86="",$M86="",$M86=0),"",$O86/$M86)</f>
        <v/>
      </c>
      <c r="V86" s="61">
        <f>IF(OR($O86="",$P86="",$P86=0),"",$O86/$P86)</f>
        <v/>
      </c>
      <c r="W86" s="31">
        <f>IF(OR($A86="",$G86=""),"",IF(EAC_Idx=1,IF(OR($P86="",$O86=""),"",$P86+($G86-$O86)),IF(EAC_Idx=2,IF(OR($V86="",$V86=0),"",$G86/$V86),IF(EAC_Idx=3,IF(OR($V86="",$U86=""),"",IF($V86*$U86=0,"",$P86+($G86-$O86)/($V86*$U86))),IF(OR($P86="",$O86="",ETC_BottomUp="",ETC_BottomUp&lt;=0),"",$P86+($G86-$O86)*EAC_BU_Factor)))))</f>
        <v/>
      </c>
      <c r="X86" s="31">
        <f>IF(OR($W86="",$P86=""),"",$W86-$P86)</f>
        <v/>
      </c>
      <c r="Y86" s="35">
        <f>IF(OR($W86="",$G86=""),"",$G86-$W86)</f>
        <v/>
      </c>
      <c r="Z86" s="61">
        <f>IF(OR($A86="",$G86="",$O86="",$P86="",$G86-$P86=0),"",($G86-$O86)/($G86-$P86))</f>
        <v/>
      </c>
      <c r="AA86" s="54">
        <f>IF($A86="","",IF(AND($N86&lt;&gt;"",$N86&gt;=1,OR($V86="",$V86&gt;=Thr_Green)),"Complete",IF(AND($U86="",$V86=""),"Not started",IF(OR(AND($U86&lt;&gt;"",$U86&lt;Thr_Red),AND($V86&lt;&gt;"",$V86&lt;Thr_Red)),"Red",IF(OR(AND($U86&lt;&gt;"",$U86&lt;Thr_Green),AND($V86&lt;&gt;"",$V86&lt;Thr_Green)),"Amber","Green")))))</f>
        <v/>
      </c>
      <c r="AB86" s="63" t="n"/>
      <c r="AC86" s="63" t="n"/>
      <c r="AD86" s="63" t="n"/>
    </row>
    <row r="87" ht="24" customHeight="1">
      <c r="A87" s="15" t="n"/>
      <c r="B87" s="13" t="n"/>
      <c r="C87" s="15" t="n"/>
      <c r="D87" s="63" t="n"/>
      <c r="E87" s="15" t="n"/>
      <c r="F87" s="15" t="n"/>
      <c r="G87" s="64" t="n"/>
      <c r="H87" s="40">
        <f>IF(OR($A87="",SUM($G$9:$G$208)=0,$G87=""),"",$G87/SUM($G$9:$G$208))</f>
        <v/>
      </c>
      <c r="I87" s="15" t="n"/>
      <c r="J87" s="14" t="n"/>
      <c r="K87" s="14" t="n"/>
      <c r="L87" s="65">
        <f>IF(OR($A87="",$J87="",$K87="",Data_Date=""),"",IF(Data_Date&lt;=$J87,0,IF(Data_Date&gt;=$K87,1,(Data_Date-$J87)/($K87-$J87))))</f>
        <v/>
      </c>
      <c r="M87" s="31">
        <f>IF(OR($A87="",$G87="",$L87=""),"",$G87*$L87)</f>
        <v/>
      </c>
      <c r="N87" s="65" t="n"/>
      <c r="O87" s="31">
        <f>IF(OR($A87="",$G87="",$N87=""),"",$G87*$N87)</f>
        <v/>
      </c>
      <c r="P87" s="64" t="n"/>
      <c r="Q87" s="35">
        <f>IF(OR($O87="",$M87=""),"",$O87-$M87)</f>
        <v/>
      </c>
      <c r="R87" s="35">
        <f>IF(OR($O87="",$P87=""),"",$O87-$P87)</f>
        <v/>
      </c>
      <c r="S87" s="40">
        <f>IF(OR($Q87="",$M87="",$M87=0),"",$Q87/$M87)</f>
        <v/>
      </c>
      <c r="T87" s="40">
        <f>IF(OR($R87="",$O87="",$O87=0),"",$R87/$O87)</f>
        <v/>
      </c>
      <c r="U87" s="61">
        <f>IF(OR($O87="",$M87="",$M87=0),"",$O87/$M87)</f>
        <v/>
      </c>
      <c r="V87" s="61">
        <f>IF(OR($O87="",$P87="",$P87=0),"",$O87/$P87)</f>
        <v/>
      </c>
      <c r="W87" s="31">
        <f>IF(OR($A87="",$G87=""),"",IF(EAC_Idx=1,IF(OR($P87="",$O87=""),"",$P87+($G87-$O87)),IF(EAC_Idx=2,IF(OR($V87="",$V87=0),"",$G87/$V87),IF(EAC_Idx=3,IF(OR($V87="",$U87=""),"",IF($V87*$U87=0,"",$P87+($G87-$O87)/($V87*$U87))),IF(OR($P87="",$O87="",ETC_BottomUp="",ETC_BottomUp&lt;=0),"",$P87+($G87-$O87)*EAC_BU_Factor)))))</f>
        <v/>
      </c>
      <c r="X87" s="31">
        <f>IF(OR($W87="",$P87=""),"",$W87-$P87)</f>
        <v/>
      </c>
      <c r="Y87" s="35">
        <f>IF(OR($W87="",$G87=""),"",$G87-$W87)</f>
        <v/>
      </c>
      <c r="Z87" s="61">
        <f>IF(OR($A87="",$G87="",$O87="",$P87="",$G87-$P87=0),"",($G87-$O87)/($G87-$P87))</f>
        <v/>
      </c>
      <c r="AA87" s="54">
        <f>IF($A87="","",IF(AND($N87&lt;&gt;"",$N87&gt;=1,OR($V87="",$V87&gt;=Thr_Green)),"Complete",IF(AND($U87="",$V87=""),"Not started",IF(OR(AND($U87&lt;&gt;"",$U87&lt;Thr_Red),AND($V87&lt;&gt;"",$V87&lt;Thr_Red)),"Red",IF(OR(AND($U87&lt;&gt;"",$U87&lt;Thr_Green),AND($V87&lt;&gt;"",$V87&lt;Thr_Green)),"Amber","Green")))))</f>
        <v/>
      </c>
      <c r="AB87" s="63" t="n"/>
      <c r="AC87" s="63" t="n"/>
      <c r="AD87" s="63" t="n"/>
    </row>
    <row r="88" ht="24" customHeight="1">
      <c r="A88" s="15" t="n"/>
      <c r="B88" s="13" t="n"/>
      <c r="C88" s="15" t="n"/>
      <c r="D88" s="63" t="n"/>
      <c r="E88" s="15" t="n"/>
      <c r="F88" s="15" t="n"/>
      <c r="G88" s="64" t="n"/>
      <c r="H88" s="40">
        <f>IF(OR($A88="",SUM($G$9:$G$208)=0,$G88=""),"",$G88/SUM($G$9:$G$208))</f>
        <v/>
      </c>
      <c r="I88" s="15" t="n"/>
      <c r="J88" s="14" t="n"/>
      <c r="K88" s="14" t="n"/>
      <c r="L88" s="65">
        <f>IF(OR($A88="",$J88="",$K88="",Data_Date=""),"",IF(Data_Date&lt;=$J88,0,IF(Data_Date&gt;=$K88,1,(Data_Date-$J88)/($K88-$J88))))</f>
        <v/>
      </c>
      <c r="M88" s="31">
        <f>IF(OR($A88="",$G88="",$L88=""),"",$G88*$L88)</f>
        <v/>
      </c>
      <c r="N88" s="65" t="n"/>
      <c r="O88" s="31">
        <f>IF(OR($A88="",$G88="",$N88=""),"",$G88*$N88)</f>
        <v/>
      </c>
      <c r="P88" s="64" t="n"/>
      <c r="Q88" s="35">
        <f>IF(OR($O88="",$M88=""),"",$O88-$M88)</f>
        <v/>
      </c>
      <c r="R88" s="35">
        <f>IF(OR($O88="",$P88=""),"",$O88-$P88)</f>
        <v/>
      </c>
      <c r="S88" s="40">
        <f>IF(OR($Q88="",$M88="",$M88=0),"",$Q88/$M88)</f>
        <v/>
      </c>
      <c r="T88" s="40">
        <f>IF(OR($R88="",$O88="",$O88=0),"",$R88/$O88)</f>
        <v/>
      </c>
      <c r="U88" s="61">
        <f>IF(OR($O88="",$M88="",$M88=0),"",$O88/$M88)</f>
        <v/>
      </c>
      <c r="V88" s="61">
        <f>IF(OR($O88="",$P88="",$P88=0),"",$O88/$P88)</f>
        <v/>
      </c>
      <c r="W88" s="31">
        <f>IF(OR($A88="",$G88=""),"",IF(EAC_Idx=1,IF(OR($P88="",$O88=""),"",$P88+($G88-$O88)),IF(EAC_Idx=2,IF(OR($V88="",$V88=0),"",$G88/$V88),IF(EAC_Idx=3,IF(OR($V88="",$U88=""),"",IF($V88*$U88=0,"",$P88+($G88-$O88)/($V88*$U88))),IF(OR($P88="",$O88="",ETC_BottomUp="",ETC_BottomUp&lt;=0),"",$P88+($G88-$O88)*EAC_BU_Factor)))))</f>
        <v/>
      </c>
      <c r="X88" s="31">
        <f>IF(OR($W88="",$P88=""),"",$W88-$P88)</f>
        <v/>
      </c>
      <c r="Y88" s="35">
        <f>IF(OR($W88="",$G88=""),"",$G88-$W88)</f>
        <v/>
      </c>
      <c r="Z88" s="61">
        <f>IF(OR($A88="",$G88="",$O88="",$P88="",$G88-$P88=0),"",($G88-$O88)/($G88-$P88))</f>
        <v/>
      </c>
      <c r="AA88" s="54">
        <f>IF($A88="","",IF(AND($N88&lt;&gt;"",$N88&gt;=1,OR($V88="",$V88&gt;=Thr_Green)),"Complete",IF(AND($U88="",$V88=""),"Not started",IF(OR(AND($U88&lt;&gt;"",$U88&lt;Thr_Red),AND($V88&lt;&gt;"",$V88&lt;Thr_Red)),"Red",IF(OR(AND($U88&lt;&gt;"",$U88&lt;Thr_Green),AND($V88&lt;&gt;"",$V88&lt;Thr_Green)),"Amber","Green")))))</f>
        <v/>
      </c>
      <c r="AB88" s="63" t="n"/>
      <c r="AC88" s="63" t="n"/>
      <c r="AD88" s="63" t="n"/>
    </row>
    <row r="89" ht="24" customHeight="1">
      <c r="A89" s="15" t="n"/>
      <c r="B89" s="13" t="n"/>
      <c r="C89" s="15" t="n"/>
      <c r="D89" s="63" t="n"/>
      <c r="E89" s="15" t="n"/>
      <c r="F89" s="15" t="n"/>
      <c r="G89" s="64" t="n"/>
      <c r="H89" s="40">
        <f>IF(OR($A89="",SUM($G$9:$G$208)=0,$G89=""),"",$G89/SUM($G$9:$G$208))</f>
        <v/>
      </c>
      <c r="I89" s="15" t="n"/>
      <c r="J89" s="14" t="n"/>
      <c r="K89" s="14" t="n"/>
      <c r="L89" s="65">
        <f>IF(OR($A89="",$J89="",$K89="",Data_Date=""),"",IF(Data_Date&lt;=$J89,0,IF(Data_Date&gt;=$K89,1,(Data_Date-$J89)/($K89-$J89))))</f>
        <v/>
      </c>
      <c r="M89" s="31">
        <f>IF(OR($A89="",$G89="",$L89=""),"",$G89*$L89)</f>
        <v/>
      </c>
      <c r="N89" s="65" t="n"/>
      <c r="O89" s="31">
        <f>IF(OR($A89="",$G89="",$N89=""),"",$G89*$N89)</f>
        <v/>
      </c>
      <c r="P89" s="64" t="n"/>
      <c r="Q89" s="35">
        <f>IF(OR($O89="",$M89=""),"",$O89-$M89)</f>
        <v/>
      </c>
      <c r="R89" s="35">
        <f>IF(OR($O89="",$P89=""),"",$O89-$P89)</f>
        <v/>
      </c>
      <c r="S89" s="40">
        <f>IF(OR($Q89="",$M89="",$M89=0),"",$Q89/$M89)</f>
        <v/>
      </c>
      <c r="T89" s="40">
        <f>IF(OR($R89="",$O89="",$O89=0),"",$R89/$O89)</f>
        <v/>
      </c>
      <c r="U89" s="61">
        <f>IF(OR($O89="",$M89="",$M89=0),"",$O89/$M89)</f>
        <v/>
      </c>
      <c r="V89" s="61">
        <f>IF(OR($O89="",$P89="",$P89=0),"",$O89/$P89)</f>
        <v/>
      </c>
      <c r="W89" s="31">
        <f>IF(OR($A89="",$G89=""),"",IF(EAC_Idx=1,IF(OR($P89="",$O89=""),"",$P89+($G89-$O89)),IF(EAC_Idx=2,IF(OR($V89="",$V89=0),"",$G89/$V89),IF(EAC_Idx=3,IF(OR($V89="",$U89=""),"",IF($V89*$U89=0,"",$P89+($G89-$O89)/($V89*$U89))),IF(OR($P89="",$O89="",ETC_BottomUp="",ETC_BottomUp&lt;=0),"",$P89+($G89-$O89)*EAC_BU_Factor)))))</f>
        <v/>
      </c>
      <c r="X89" s="31">
        <f>IF(OR($W89="",$P89=""),"",$W89-$P89)</f>
        <v/>
      </c>
      <c r="Y89" s="35">
        <f>IF(OR($W89="",$G89=""),"",$G89-$W89)</f>
        <v/>
      </c>
      <c r="Z89" s="61">
        <f>IF(OR($A89="",$G89="",$O89="",$P89="",$G89-$P89=0),"",($G89-$O89)/($G89-$P89))</f>
        <v/>
      </c>
      <c r="AA89" s="54">
        <f>IF($A89="","",IF(AND($N89&lt;&gt;"",$N89&gt;=1,OR($V89="",$V89&gt;=Thr_Green)),"Complete",IF(AND($U89="",$V89=""),"Not started",IF(OR(AND($U89&lt;&gt;"",$U89&lt;Thr_Red),AND($V89&lt;&gt;"",$V89&lt;Thr_Red)),"Red",IF(OR(AND($U89&lt;&gt;"",$U89&lt;Thr_Green),AND($V89&lt;&gt;"",$V89&lt;Thr_Green)),"Amber","Green")))))</f>
        <v/>
      </c>
      <c r="AB89" s="63" t="n"/>
      <c r="AC89" s="63" t="n"/>
      <c r="AD89" s="63" t="n"/>
    </row>
    <row r="90" ht="24" customHeight="1">
      <c r="A90" s="15" t="n"/>
      <c r="B90" s="13" t="n"/>
      <c r="C90" s="15" t="n"/>
      <c r="D90" s="63" t="n"/>
      <c r="E90" s="15" t="n"/>
      <c r="F90" s="15" t="n"/>
      <c r="G90" s="64" t="n"/>
      <c r="H90" s="40">
        <f>IF(OR($A90="",SUM($G$9:$G$208)=0,$G90=""),"",$G90/SUM($G$9:$G$208))</f>
        <v/>
      </c>
      <c r="I90" s="15" t="n"/>
      <c r="J90" s="14" t="n"/>
      <c r="K90" s="14" t="n"/>
      <c r="L90" s="65">
        <f>IF(OR($A90="",$J90="",$K90="",Data_Date=""),"",IF(Data_Date&lt;=$J90,0,IF(Data_Date&gt;=$K90,1,(Data_Date-$J90)/($K90-$J90))))</f>
        <v/>
      </c>
      <c r="M90" s="31">
        <f>IF(OR($A90="",$G90="",$L90=""),"",$G90*$L90)</f>
        <v/>
      </c>
      <c r="N90" s="65" t="n"/>
      <c r="O90" s="31">
        <f>IF(OR($A90="",$G90="",$N90=""),"",$G90*$N90)</f>
        <v/>
      </c>
      <c r="P90" s="64" t="n"/>
      <c r="Q90" s="35">
        <f>IF(OR($O90="",$M90=""),"",$O90-$M90)</f>
        <v/>
      </c>
      <c r="R90" s="35">
        <f>IF(OR($O90="",$P90=""),"",$O90-$P90)</f>
        <v/>
      </c>
      <c r="S90" s="40">
        <f>IF(OR($Q90="",$M90="",$M90=0),"",$Q90/$M90)</f>
        <v/>
      </c>
      <c r="T90" s="40">
        <f>IF(OR($R90="",$O90="",$O90=0),"",$R90/$O90)</f>
        <v/>
      </c>
      <c r="U90" s="61">
        <f>IF(OR($O90="",$M90="",$M90=0),"",$O90/$M90)</f>
        <v/>
      </c>
      <c r="V90" s="61">
        <f>IF(OR($O90="",$P90="",$P90=0),"",$O90/$P90)</f>
        <v/>
      </c>
      <c r="W90" s="31">
        <f>IF(OR($A90="",$G90=""),"",IF(EAC_Idx=1,IF(OR($P90="",$O90=""),"",$P90+($G90-$O90)),IF(EAC_Idx=2,IF(OR($V90="",$V90=0),"",$G90/$V90),IF(EAC_Idx=3,IF(OR($V90="",$U90=""),"",IF($V90*$U90=0,"",$P90+($G90-$O90)/($V90*$U90))),IF(OR($P90="",$O90="",ETC_BottomUp="",ETC_BottomUp&lt;=0),"",$P90+($G90-$O90)*EAC_BU_Factor)))))</f>
        <v/>
      </c>
      <c r="X90" s="31">
        <f>IF(OR($W90="",$P90=""),"",$W90-$P90)</f>
        <v/>
      </c>
      <c r="Y90" s="35">
        <f>IF(OR($W90="",$G90=""),"",$G90-$W90)</f>
        <v/>
      </c>
      <c r="Z90" s="61">
        <f>IF(OR($A90="",$G90="",$O90="",$P90="",$G90-$P90=0),"",($G90-$O90)/($G90-$P90))</f>
        <v/>
      </c>
      <c r="AA90" s="54">
        <f>IF($A90="","",IF(AND($N90&lt;&gt;"",$N90&gt;=1,OR($V90="",$V90&gt;=Thr_Green)),"Complete",IF(AND($U90="",$V90=""),"Not started",IF(OR(AND($U90&lt;&gt;"",$U90&lt;Thr_Red),AND($V90&lt;&gt;"",$V90&lt;Thr_Red)),"Red",IF(OR(AND($U90&lt;&gt;"",$U90&lt;Thr_Green),AND($V90&lt;&gt;"",$V90&lt;Thr_Green)),"Amber","Green")))))</f>
        <v/>
      </c>
      <c r="AB90" s="63" t="n"/>
      <c r="AC90" s="63" t="n"/>
      <c r="AD90" s="63" t="n"/>
    </row>
    <row r="91" ht="24" customHeight="1">
      <c r="A91" s="15" t="n"/>
      <c r="B91" s="13" t="n"/>
      <c r="C91" s="15" t="n"/>
      <c r="D91" s="63" t="n"/>
      <c r="E91" s="15" t="n"/>
      <c r="F91" s="15" t="n"/>
      <c r="G91" s="64" t="n"/>
      <c r="H91" s="40">
        <f>IF(OR($A91="",SUM($G$9:$G$208)=0,$G91=""),"",$G91/SUM($G$9:$G$208))</f>
        <v/>
      </c>
      <c r="I91" s="15" t="n"/>
      <c r="J91" s="14" t="n"/>
      <c r="K91" s="14" t="n"/>
      <c r="L91" s="65">
        <f>IF(OR($A91="",$J91="",$K91="",Data_Date=""),"",IF(Data_Date&lt;=$J91,0,IF(Data_Date&gt;=$K91,1,(Data_Date-$J91)/($K91-$J91))))</f>
        <v/>
      </c>
      <c r="M91" s="31">
        <f>IF(OR($A91="",$G91="",$L91=""),"",$G91*$L91)</f>
        <v/>
      </c>
      <c r="N91" s="65" t="n"/>
      <c r="O91" s="31">
        <f>IF(OR($A91="",$G91="",$N91=""),"",$G91*$N91)</f>
        <v/>
      </c>
      <c r="P91" s="64" t="n"/>
      <c r="Q91" s="35">
        <f>IF(OR($O91="",$M91=""),"",$O91-$M91)</f>
        <v/>
      </c>
      <c r="R91" s="35">
        <f>IF(OR($O91="",$P91=""),"",$O91-$P91)</f>
        <v/>
      </c>
      <c r="S91" s="40">
        <f>IF(OR($Q91="",$M91="",$M91=0),"",$Q91/$M91)</f>
        <v/>
      </c>
      <c r="T91" s="40">
        <f>IF(OR($R91="",$O91="",$O91=0),"",$R91/$O91)</f>
        <v/>
      </c>
      <c r="U91" s="61">
        <f>IF(OR($O91="",$M91="",$M91=0),"",$O91/$M91)</f>
        <v/>
      </c>
      <c r="V91" s="61">
        <f>IF(OR($O91="",$P91="",$P91=0),"",$O91/$P91)</f>
        <v/>
      </c>
      <c r="W91" s="31">
        <f>IF(OR($A91="",$G91=""),"",IF(EAC_Idx=1,IF(OR($P91="",$O91=""),"",$P91+($G91-$O91)),IF(EAC_Idx=2,IF(OR($V91="",$V91=0),"",$G91/$V91),IF(EAC_Idx=3,IF(OR($V91="",$U91=""),"",IF($V91*$U91=0,"",$P91+($G91-$O91)/($V91*$U91))),IF(OR($P91="",$O91="",ETC_BottomUp="",ETC_BottomUp&lt;=0),"",$P91+($G91-$O91)*EAC_BU_Factor)))))</f>
        <v/>
      </c>
      <c r="X91" s="31">
        <f>IF(OR($W91="",$P91=""),"",$W91-$P91)</f>
        <v/>
      </c>
      <c r="Y91" s="35">
        <f>IF(OR($W91="",$G91=""),"",$G91-$W91)</f>
        <v/>
      </c>
      <c r="Z91" s="61">
        <f>IF(OR($A91="",$G91="",$O91="",$P91="",$G91-$P91=0),"",($G91-$O91)/($G91-$P91))</f>
        <v/>
      </c>
      <c r="AA91" s="54">
        <f>IF($A91="","",IF(AND($N91&lt;&gt;"",$N91&gt;=1,OR($V91="",$V91&gt;=Thr_Green)),"Complete",IF(AND($U91="",$V91=""),"Not started",IF(OR(AND($U91&lt;&gt;"",$U91&lt;Thr_Red),AND($V91&lt;&gt;"",$V91&lt;Thr_Red)),"Red",IF(OR(AND($U91&lt;&gt;"",$U91&lt;Thr_Green),AND($V91&lt;&gt;"",$V91&lt;Thr_Green)),"Amber","Green")))))</f>
        <v/>
      </c>
      <c r="AB91" s="63" t="n"/>
      <c r="AC91" s="63" t="n"/>
      <c r="AD91" s="63" t="n"/>
    </row>
    <row r="92" ht="24" customHeight="1">
      <c r="A92" s="15" t="n"/>
      <c r="B92" s="13" t="n"/>
      <c r="C92" s="15" t="n"/>
      <c r="D92" s="63" t="n"/>
      <c r="E92" s="15" t="n"/>
      <c r="F92" s="15" t="n"/>
      <c r="G92" s="64" t="n"/>
      <c r="H92" s="40">
        <f>IF(OR($A92="",SUM($G$9:$G$208)=0,$G92=""),"",$G92/SUM($G$9:$G$208))</f>
        <v/>
      </c>
      <c r="I92" s="15" t="n"/>
      <c r="J92" s="14" t="n"/>
      <c r="K92" s="14" t="n"/>
      <c r="L92" s="65">
        <f>IF(OR($A92="",$J92="",$K92="",Data_Date=""),"",IF(Data_Date&lt;=$J92,0,IF(Data_Date&gt;=$K92,1,(Data_Date-$J92)/($K92-$J92))))</f>
        <v/>
      </c>
      <c r="M92" s="31">
        <f>IF(OR($A92="",$G92="",$L92=""),"",$G92*$L92)</f>
        <v/>
      </c>
      <c r="N92" s="65" t="n"/>
      <c r="O92" s="31">
        <f>IF(OR($A92="",$G92="",$N92=""),"",$G92*$N92)</f>
        <v/>
      </c>
      <c r="P92" s="64" t="n"/>
      <c r="Q92" s="35">
        <f>IF(OR($O92="",$M92=""),"",$O92-$M92)</f>
        <v/>
      </c>
      <c r="R92" s="35">
        <f>IF(OR($O92="",$P92=""),"",$O92-$P92)</f>
        <v/>
      </c>
      <c r="S92" s="40">
        <f>IF(OR($Q92="",$M92="",$M92=0),"",$Q92/$M92)</f>
        <v/>
      </c>
      <c r="T92" s="40">
        <f>IF(OR($R92="",$O92="",$O92=0),"",$R92/$O92)</f>
        <v/>
      </c>
      <c r="U92" s="61">
        <f>IF(OR($O92="",$M92="",$M92=0),"",$O92/$M92)</f>
        <v/>
      </c>
      <c r="V92" s="61">
        <f>IF(OR($O92="",$P92="",$P92=0),"",$O92/$P92)</f>
        <v/>
      </c>
      <c r="W92" s="31">
        <f>IF(OR($A92="",$G92=""),"",IF(EAC_Idx=1,IF(OR($P92="",$O92=""),"",$P92+($G92-$O92)),IF(EAC_Idx=2,IF(OR($V92="",$V92=0),"",$G92/$V92),IF(EAC_Idx=3,IF(OR($V92="",$U92=""),"",IF($V92*$U92=0,"",$P92+($G92-$O92)/($V92*$U92))),IF(OR($P92="",$O92="",ETC_BottomUp="",ETC_BottomUp&lt;=0),"",$P92+($G92-$O92)*EAC_BU_Factor)))))</f>
        <v/>
      </c>
      <c r="X92" s="31">
        <f>IF(OR($W92="",$P92=""),"",$W92-$P92)</f>
        <v/>
      </c>
      <c r="Y92" s="35">
        <f>IF(OR($W92="",$G92=""),"",$G92-$W92)</f>
        <v/>
      </c>
      <c r="Z92" s="61">
        <f>IF(OR($A92="",$G92="",$O92="",$P92="",$G92-$P92=0),"",($G92-$O92)/($G92-$P92))</f>
        <v/>
      </c>
      <c r="AA92" s="54">
        <f>IF($A92="","",IF(AND($N92&lt;&gt;"",$N92&gt;=1,OR($V92="",$V92&gt;=Thr_Green)),"Complete",IF(AND($U92="",$V92=""),"Not started",IF(OR(AND($U92&lt;&gt;"",$U92&lt;Thr_Red),AND($V92&lt;&gt;"",$V92&lt;Thr_Red)),"Red",IF(OR(AND($U92&lt;&gt;"",$U92&lt;Thr_Green),AND($V92&lt;&gt;"",$V92&lt;Thr_Green)),"Amber","Green")))))</f>
        <v/>
      </c>
      <c r="AB92" s="63" t="n"/>
      <c r="AC92" s="63" t="n"/>
      <c r="AD92" s="63" t="n"/>
    </row>
    <row r="93" ht="24" customHeight="1">
      <c r="A93" s="15" t="n"/>
      <c r="B93" s="13" t="n"/>
      <c r="C93" s="15" t="n"/>
      <c r="D93" s="63" t="n"/>
      <c r="E93" s="15" t="n"/>
      <c r="F93" s="15" t="n"/>
      <c r="G93" s="64" t="n"/>
      <c r="H93" s="40">
        <f>IF(OR($A93="",SUM($G$9:$G$208)=0,$G93=""),"",$G93/SUM($G$9:$G$208))</f>
        <v/>
      </c>
      <c r="I93" s="15" t="n"/>
      <c r="J93" s="14" t="n"/>
      <c r="K93" s="14" t="n"/>
      <c r="L93" s="65">
        <f>IF(OR($A93="",$J93="",$K93="",Data_Date=""),"",IF(Data_Date&lt;=$J93,0,IF(Data_Date&gt;=$K93,1,(Data_Date-$J93)/($K93-$J93))))</f>
        <v/>
      </c>
      <c r="M93" s="31">
        <f>IF(OR($A93="",$G93="",$L93=""),"",$G93*$L93)</f>
        <v/>
      </c>
      <c r="N93" s="65" t="n"/>
      <c r="O93" s="31">
        <f>IF(OR($A93="",$G93="",$N93=""),"",$G93*$N93)</f>
        <v/>
      </c>
      <c r="P93" s="64" t="n"/>
      <c r="Q93" s="35">
        <f>IF(OR($O93="",$M93=""),"",$O93-$M93)</f>
        <v/>
      </c>
      <c r="R93" s="35">
        <f>IF(OR($O93="",$P93=""),"",$O93-$P93)</f>
        <v/>
      </c>
      <c r="S93" s="40">
        <f>IF(OR($Q93="",$M93="",$M93=0),"",$Q93/$M93)</f>
        <v/>
      </c>
      <c r="T93" s="40">
        <f>IF(OR($R93="",$O93="",$O93=0),"",$R93/$O93)</f>
        <v/>
      </c>
      <c r="U93" s="61">
        <f>IF(OR($O93="",$M93="",$M93=0),"",$O93/$M93)</f>
        <v/>
      </c>
      <c r="V93" s="61">
        <f>IF(OR($O93="",$P93="",$P93=0),"",$O93/$P93)</f>
        <v/>
      </c>
      <c r="W93" s="31">
        <f>IF(OR($A93="",$G93=""),"",IF(EAC_Idx=1,IF(OR($P93="",$O93=""),"",$P93+($G93-$O93)),IF(EAC_Idx=2,IF(OR($V93="",$V93=0),"",$G93/$V93),IF(EAC_Idx=3,IF(OR($V93="",$U93=""),"",IF($V93*$U93=0,"",$P93+($G93-$O93)/($V93*$U93))),IF(OR($P93="",$O93="",ETC_BottomUp="",ETC_BottomUp&lt;=0),"",$P93+($G93-$O93)*EAC_BU_Factor)))))</f>
        <v/>
      </c>
      <c r="X93" s="31">
        <f>IF(OR($W93="",$P93=""),"",$W93-$P93)</f>
        <v/>
      </c>
      <c r="Y93" s="35">
        <f>IF(OR($W93="",$G93=""),"",$G93-$W93)</f>
        <v/>
      </c>
      <c r="Z93" s="61">
        <f>IF(OR($A93="",$G93="",$O93="",$P93="",$G93-$P93=0),"",($G93-$O93)/($G93-$P93))</f>
        <v/>
      </c>
      <c r="AA93" s="54">
        <f>IF($A93="","",IF(AND($N93&lt;&gt;"",$N93&gt;=1,OR($V93="",$V93&gt;=Thr_Green)),"Complete",IF(AND($U93="",$V93=""),"Not started",IF(OR(AND($U93&lt;&gt;"",$U93&lt;Thr_Red),AND($V93&lt;&gt;"",$V93&lt;Thr_Red)),"Red",IF(OR(AND($U93&lt;&gt;"",$U93&lt;Thr_Green),AND($V93&lt;&gt;"",$V93&lt;Thr_Green)),"Amber","Green")))))</f>
        <v/>
      </c>
      <c r="AB93" s="63" t="n"/>
      <c r="AC93" s="63" t="n"/>
      <c r="AD93" s="63" t="n"/>
    </row>
    <row r="94" ht="24" customHeight="1">
      <c r="A94" s="15" t="n"/>
      <c r="B94" s="13" t="n"/>
      <c r="C94" s="15" t="n"/>
      <c r="D94" s="63" t="n"/>
      <c r="E94" s="15" t="n"/>
      <c r="F94" s="15" t="n"/>
      <c r="G94" s="64" t="n"/>
      <c r="H94" s="40">
        <f>IF(OR($A94="",SUM($G$9:$G$208)=0,$G94=""),"",$G94/SUM($G$9:$G$208))</f>
        <v/>
      </c>
      <c r="I94" s="15" t="n"/>
      <c r="J94" s="14" t="n"/>
      <c r="K94" s="14" t="n"/>
      <c r="L94" s="65">
        <f>IF(OR($A94="",$J94="",$K94="",Data_Date=""),"",IF(Data_Date&lt;=$J94,0,IF(Data_Date&gt;=$K94,1,(Data_Date-$J94)/($K94-$J94))))</f>
        <v/>
      </c>
      <c r="M94" s="31">
        <f>IF(OR($A94="",$G94="",$L94=""),"",$G94*$L94)</f>
        <v/>
      </c>
      <c r="N94" s="65" t="n"/>
      <c r="O94" s="31">
        <f>IF(OR($A94="",$G94="",$N94=""),"",$G94*$N94)</f>
        <v/>
      </c>
      <c r="P94" s="64" t="n"/>
      <c r="Q94" s="35">
        <f>IF(OR($O94="",$M94=""),"",$O94-$M94)</f>
        <v/>
      </c>
      <c r="R94" s="35">
        <f>IF(OR($O94="",$P94=""),"",$O94-$P94)</f>
        <v/>
      </c>
      <c r="S94" s="40">
        <f>IF(OR($Q94="",$M94="",$M94=0),"",$Q94/$M94)</f>
        <v/>
      </c>
      <c r="T94" s="40">
        <f>IF(OR($R94="",$O94="",$O94=0),"",$R94/$O94)</f>
        <v/>
      </c>
      <c r="U94" s="61">
        <f>IF(OR($O94="",$M94="",$M94=0),"",$O94/$M94)</f>
        <v/>
      </c>
      <c r="V94" s="61">
        <f>IF(OR($O94="",$P94="",$P94=0),"",$O94/$P94)</f>
        <v/>
      </c>
      <c r="W94" s="31">
        <f>IF(OR($A94="",$G94=""),"",IF(EAC_Idx=1,IF(OR($P94="",$O94=""),"",$P94+($G94-$O94)),IF(EAC_Idx=2,IF(OR($V94="",$V94=0),"",$G94/$V94),IF(EAC_Idx=3,IF(OR($V94="",$U94=""),"",IF($V94*$U94=0,"",$P94+($G94-$O94)/($V94*$U94))),IF(OR($P94="",$O94="",ETC_BottomUp="",ETC_BottomUp&lt;=0),"",$P94+($G94-$O94)*EAC_BU_Factor)))))</f>
        <v/>
      </c>
      <c r="X94" s="31">
        <f>IF(OR($W94="",$P94=""),"",$W94-$P94)</f>
        <v/>
      </c>
      <c r="Y94" s="35">
        <f>IF(OR($W94="",$G94=""),"",$G94-$W94)</f>
        <v/>
      </c>
      <c r="Z94" s="61">
        <f>IF(OR($A94="",$G94="",$O94="",$P94="",$G94-$P94=0),"",($G94-$O94)/($G94-$P94))</f>
        <v/>
      </c>
      <c r="AA94" s="54">
        <f>IF($A94="","",IF(AND($N94&lt;&gt;"",$N94&gt;=1,OR($V94="",$V94&gt;=Thr_Green)),"Complete",IF(AND($U94="",$V94=""),"Not started",IF(OR(AND($U94&lt;&gt;"",$U94&lt;Thr_Red),AND($V94&lt;&gt;"",$V94&lt;Thr_Red)),"Red",IF(OR(AND($U94&lt;&gt;"",$U94&lt;Thr_Green),AND($V94&lt;&gt;"",$V94&lt;Thr_Green)),"Amber","Green")))))</f>
        <v/>
      </c>
      <c r="AB94" s="63" t="n"/>
      <c r="AC94" s="63" t="n"/>
      <c r="AD94" s="63" t="n"/>
    </row>
    <row r="95" ht="24" customHeight="1">
      <c r="A95" s="15" t="n"/>
      <c r="B95" s="13" t="n"/>
      <c r="C95" s="15" t="n"/>
      <c r="D95" s="63" t="n"/>
      <c r="E95" s="15" t="n"/>
      <c r="F95" s="15" t="n"/>
      <c r="G95" s="64" t="n"/>
      <c r="H95" s="40">
        <f>IF(OR($A95="",SUM($G$9:$G$208)=0,$G95=""),"",$G95/SUM($G$9:$G$208))</f>
        <v/>
      </c>
      <c r="I95" s="15" t="n"/>
      <c r="J95" s="14" t="n"/>
      <c r="K95" s="14" t="n"/>
      <c r="L95" s="65">
        <f>IF(OR($A95="",$J95="",$K95="",Data_Date=""),"",IF(Data_Date&lt;=$J95,0,IF(Data_Date&gt;=$K95,1,(Data_Date-$J95)/($K95-$J95))))</f>
        <v/>
      </c>
      <c r="M95" s="31">
        <f>IF(OR($A95="",$G95="",$L95=""),"",$G95*$L95)</f>
        <v/>
      </c>
      <c r="N95" s="65" t="n"/>
      <c r="O95" s="31">
        <f>IF(OR($A95="",$G95="",$N95=""),"",$G95*$N95)</f>
        <v/>
      </c>
      <c r="P95" s="64" t="n"/>
      <c r="Q95" s="35">
        <f>IF(OR($O95="",$M95=""),"",$O95-$M95)</f>
        <v/>
      </c>
      <c r="R95" s="35">
        <f>IF(OR($O95="",$P95=""),"",$O95-$P95)</f>
        <v/>
      </c>
      <c r="S95" s="40">
        <f>IF(OR($Q95="",$M95="",$M95=0),"",$Q95/$M95)</f>
        <v/>
      </c>
      <c r="T95" s="40">
        <f>IF(OR($R95="",$O95="",$O95=0),"",$R95/$O95)</f>
        <v/>
      </c>
      <c r="U95" s="61">
        <f>IF(OR($O95="",$M95="",$M95=0),"",$O95/$M95)</f>
        <v/>
      </c>
      <c r="V95" s="61">
        <f>IF(OR($O95="",$P95="",$P95=0),"",$O95/$P95)</f>
        <v/>
      </c>
      <c r="W95" s="31">
        <f>IF(OR($A95="",$G95=""),"",IF(EAC_Idx=1,IF(OR($P95="",$O95=""),"",$P95+($G95-$O95)),IF(EAC_Idx=2,IF(OR($V95="",$V95=0),"",$G95/$V95),IF(EAC_Idx=3,IF(OR($V95="",$U95=""),"",IF($V95*$U95=0,"",$P95+($G95-$O95)/($V95*$U95))),IF(OR($P95="",$O95="",ETC_BottomUp="",ETC_BottomUp&lt;=0),"",$P95+($G95-$O95)*EAC_BU_Factor)))))</f>
        <v/>
      </c>
      <c r="X95" s="31">
        <f>IF(OR($W95="",$P95=""),"",$W95-$P95)</f>
        <v/>
      </c>
      <c r="Y95" s="35">
        <f>IF(OR($W95="",$G95=""),"",$G95-$W95)</f>
        <v/>
      </c>
      <c r="Z95" s="61">
        <f>IF(OR($A95="",$G95="",$O95="",$P95="",$G95-$P95=0),"",($G95-$O95)/($G95-$P95))</f>
        <v/>
      </c>
      <c r="AA95" s="54">
        <f>IF($A95="","",IF(AND($N95&lt;&gt;"",$N95&gt;=1,OR($V95="",$V95&gt;=Thr_Green)),"Complete",IF(AND($U95="",$V95=""),"Not started",IF(OR(AND($U95&lt;&gt;"",$U95&lt;Thr_Red),AND($V95&lt;&gt;"",$V95&lt;Thr_Red)),"Red",IF(OR(AND($U95&lt;&gt;"",$U95&lt;Thr_Green),AND($V95&lt;&gt;"",$V95&lt;Thr_Green)),"Amber","Green")))))</f>
        <v/>
      </c>
      <c r="AB95" s="63" t="n"/>
      <c r="AC95" s="63" t="n"/>
      <c r="AD95" s="63" t="n"/>
    </row>
    <row r="96" ht="24" customHeight="1">
      <c r="A96" s="15" t="n"/>
      <c r="B96" s="13" t="n"/>
      <c r="C96" s="15" t="n"/>
      <c r="D96" s="63" t="n"/>
      <c r="E96" s="15" t="n"/>
      <c r="F96" s="15" t="n"/>
      <c r="G96" s="64" t="n"/>
      <c r="H96" s="40">
        <f>IF(OR($A96="",SUM($G$9:$G$208)=0,$G96=""),"",$G96/SUM($G$9:$G$208))</f>
        <v/>
      </c>
      <c r="I96" s="15" t="n"/>
      <c r="J96" s="14" t="n"/>
      <c r="K96" s="14" t="n"/>
      <c r="L96" s="65">
        <f>IF(OR($A96="",$J96="",$K96="",Data_Date=""),"",IF(Data_Date&lt;=$J96,0,IF(Data_Date&gt;=$K96,1,(Data_Date-$J96)/($K96-$J96))))</f>
        <v/>
      </c>
      <c r="M96" s="31">
        <f>IF(OR($A96="",$G96="",$L96=""),"",$G96*$L96)</f>
        <v/>
      </c>
      <c r="N96" s="65" t="n"/>
      <c r="O96" s="31">
        <f>IF(OR($A96="",$G96="",$N96=""),"",$G96*$N96)</f>
        <v/>
      </c>
      <c r="P96" s="64" t="n"/>
      <c r="Q96" s="35">
        <f>IF(OR($O96="",$M96=""),"",$O96-$M96)</f>
        <v/>
      </c>
      <c r="R96" s="35">
        <f>IF(OR($O96="",$P96=""),"",$O96-$P96)</f>
        <v/>
      </c>
      <c r="S96" s="40">
        <f>IF(OR($Q96="",$M96="",$M96=0),"",$Q96/$M96)</f>
        <v/>
      </c>
      <c r="T96" s="40">
        <f>IF(OR($R96="",$O96="",$O96=0),"",$R96/$O96)</f>
        <v/>
      </c>
      <c r="U96" s="61">
        <f>IF(OR($O96="",$M96="",$M96=0),"",$O96/$M96)</f>
        <v/>
      </c>
      <c r="V96" s="61">
        <f>IF(OR($O96="",$P96="",$P96=0),"",$O96/$P96)</f>
        <v/>
      </c>
      <c r="W96" s="31">
        <f>IF(OR($A96="",$G96=""),"",IF(EAC_Idx=1,IF(OR($P96="",$O96=""),"",$P96+($G96-$O96)),IF(EAC_Idx=2,IF(OR($V96="",$V96=0),"",$G96/$V96),IF(EAC_Idx=3,IF(OR($V96="",$U96=""),"",IF($V96*$U96=0,"",$P96+($G96-$O96)/($V96*$U96))),IF(OR($P96="",$O96="",ETC_BottomUp="",ETC_BottomUp&lt;=0),"",$P96+($G96-$O96)*EAC_BU_Factor)))))</f>
        <v/>
      </c>
      <c r="X96" s="31">
        <f>IF(OR($W96="",$P96=""),"",$W96-$P96)</f>
        <v/>
      </c>
      <c r="Y96" s="35">
        <f>IF(OR($W96="",$G96=""),"",$G96-$W96)</f>
        <v/>
      </c>
      <c r="Z96" s="61">
        <f>IF(OR($A96="",$G96="",$O96="",$P96="",$G96-$P96=0),"",($G96-$O96)/($G96-$P96))</f>
        <v/>
      </c>
      <c r="AA96" s="54">
        <f>IF($A96="","",IF(AND($N96&lt;&gt;"",$N96&gt;=1,OR($V96="",$V96&gt;=Thr_Green)),"Complete",IF(AND($U96="",$V96=""),"Not started",IF(OR(AND($U96&lt;&gt;"",$U96&lt;Thr_Red),AND($V96&lt;&gt;"",$V96&lt;Thr_Red)),"Red",IF(OR(AND($U96&lt;&gt;"",$U96&lt;Thr_Green),AND($V96&lt;&gt;"",$V96&lt;Thr_Green)),"Amber","Green")))))</f>
        <v/>
      </c>
      <c r="AB96" s="63" t="n"/>
      <c r="AC96" s="63" t="n"/>
      <c r="AD96" s="63" t="n"/>
    </row>
    <row r="97" ht="24" customHeight="1">
      <c r="A97" s="15" t="n"/>
      <c r="B97" s="13" t="n"/>
      <c r="C97" s="15" t="n"/>
      <c r="D97" s="63" t="n"/>
      <c r="E97" s="15" t="n"/>
      <c r="F97" s="15" t="n"/>
      <c r="G97" s="64" t="n"/>
      <c r="H97" s="40">
        <f>IF(OR($A97="",SUM($G$9:$G$208)=0,$G97=""),"",$G97/SUM($G$9:$G$208))</f>
        <v/>
      </c>
      <c r="I97" s="15" t="n"/>
      <c r="J97" s="14" t="n"/>
      <c r="K97" s="14" t="n"/>
      <c r="L97" s="65">
        <f>IF(OR($A97="",$J97="",$K97="",Data_Date=""),"",IF(Data_Date&lt;=$J97,0,IF(Data_Date&gt;=$K97,1,(Data_Date-$J97)/($K97-$J97))))</f>
        <v/>
      </c>
      <c r="M97" s="31">
        <f>IF(OR($A97="",$G97="",$L97=""),"",$G97*$L97)</f>
        <v/>
      </c>
      <c r="N97" s="65" t="n"/>
      <c r="O97" s="31">
        <f>IF(OR($A97="",$G97="",$N97=""),"",$G97*$N97)</f>
        <v/>
      </c>
      <c r="P97" s="64" t="n"/>
      <c r="Q97" s="35">
        <f>IF(OR($O97="",$M97=""),"",$O97-$M97)</f>
        <v/>
      </c>
      <c r="R97" s="35">
        <f>IF(OR($O97="",$P97=""),"",$O97-$P97)</f>
        <v/>
      </c>
      <c r="S97" s="40">
        <f>IF(OR($Q97="",$M97="",$M97=0),"",$Q97/$M97)</f>
        <v/>
      </c>
      <c r="T97" s="40">
        <f>IF(OR($R97="",$O97="",$O97=0),"",$R97/$O97)</f>
        <v/>
      </c>
      <c r="U97" s="61">
        <f>IF(OR($O97="",$M97="",$M97=0),"",$O97/$M97)</f>
        <v/>
      </c>
      <c r="V97" s="61">
        <f>IF(OR($O97="",$P97="",$P97=0),"",$O97/$P97)</f>
        <v/>
      </c>
      <c r="W97" s="31">
        <f>IF(OR($A97="",$G97=""),"",IF(EAC_Idx=1,IF(OR($P97="",$O97=""),"",$P97+($G97-$O97)),IF(EAC_Idx=2,IF(OR($V97="",$V97=0),"",$G97/$V97),IF(EAC_Idx=3,IF(OR($V97="",$U97=""),"",IF($V97*$U97=0,"",$P97+($G97-$O97)/($V97*$U97))),IF(OR($P97="",$O97="",ETC_BottomUp="",ETC_BottomUp&lt;=0),"",$P97+($G97-$O97)*EAC_BU_Factor)))))</f>
        <v/>
      </c>
      <c r="X97" s="31">
        <f>IF(OR($W97="",$P97=""),"",$W97-$P97)</f>
        <v/>
      </c>
      <c r="Y97" s="35">
        <f>IF(OR($W97="",$G97=""),"",$G97-$W97)</f>
        <v/>
      </c>
      <c r="Z97" s="61">
        <f>IF(OR($A97="",$G97="",$O97="",$P97="",$G97-$P97=0),"",($G97-$O97)/($G97-$P97))</f>
        <v/>
      </c>
      <c r="AA97" s="54">
        <f>IF($A97="","",IF(AND($N97&lt;&gt;"",$N97&gt;=1,OR($V97="",$V97&gt;=Thr_Green)),"Complete",IF(AND($U97="",$V97=""),"Not started",IF(OR(AND($U97&lt;&gt;"",$U97&lt;Thr_Red),AND($V97&lt;&gt;"",$V97&lt;Thr_Red)),"Red",IF(OR(AND($U97&lt;&gt;"",$U97&lt;Thr_Green),AND($V97&lt;&gt;"",$V97&lt;Thr_Green)),"Amber","Green")))))</f>
        <v/>
      </c>
      <c r="AB97" s="63" t="n"/>
      <c r="AC97" s="63" t="n"/>
      <c r="AD97" s="63" t="n"/>
    </row>
    <row r="98" ht="24" customHeight="1">
      <c r="A98" s="15" t="n"/>
      <c r="B98" s="13" t="n"/>
      <c r="C98" s="15" t="n"/>
      <c r="D98" s="63" t="n"/>
      <c r="E98" s="15" t="n"/>
      <c r="F98" s="15" t="n"/>
      <c r="G98" s="64" t="n"/>
      <c r="H98" s="40">
        <f>IF(OR($A98="",SUM($G$9:$G$208)=0,$G98=""),"",$G98/SUM($G$9:$G$208))</f>
        <v/>
      </c>
      <c r="I98" s="15" t="n"/>
      <c r="J98" s="14" t="n"/>
      <c r="K98" s="14" t="n"/>
      <c r="L98" s="65">
        <f>IF(OR($A98="",$J98="",$K98="",Data_Date=""),"",IF(Data_Date&lt;=$J98,0,IF(Data_Date&gt;=$K98,1,(Data_Date-$J98)/($K98-$J98))))</f>
        <v/>
      </c>
      <c r="M98" s="31">
        <f>IF(OR($A98="",$G98="",$L98=""),"",$G98*$L98)</f>
        <v/>
      </c>
      <c r="N98" s="65" t="n"/>
      <c r="O98" s="31">
        <f>IF(OR($A98="",$G98="",$N98=""),"",$G98*$N98)</f>
        <v/>
      </c>
      <c r="P98" s="64" t="n"/>
      <c r="Q98" s="35">
        <f>IF(OR($O98="",$M98=""),"",$O98-$M98)</f>
        <v/>
      </c>
      <c r="R98" s="35">
        <f>IF(OR($O98="",$P98=""),"",$O98-$P98)</f>
        <v/>
      </c>
      <c r="S98" s="40">
        <f>IF(OR($Q98="",$M98="",$M98=0),"",$Q98/$M98)</f>
        <v/>
      </c>
      <c r="T98" s="40">
        <f>IF(OR($R98="",$O98="",$O98=0),"",$R98/$O98)</f>
        <v/>
      </c>
      <c r="U98" s="61">
        <f>IF(OR($O98="",$M98="",$M98=0),"",$O98/$M98)</f>
        <v/>
      </c>
      <c r="V98" s="61">
        <f>IF(OR($O98="",$P98="",$P98=0),"",$O98/$P98)</f>
        <v/>
      </c>
      <c r="W98" s="31">
        <f>IF(OR($A98="",$G98=""),"",IF(EAC_Idx=1,IF(OR($P98="",$O98=""),"",$P98+($G98-$O98)),IF(EAC_Idx=2,IF(OR($V98="",$V98=0),"",$G98/$V98),IF(EAC_Idx=3,IF(OR($V98="",$U98=""),"",IF($V98*$U98=0,"",$P98+($G98-$O98)/($V98*$U98))),IF(OR($P98="",$O98="",ETC_BottomUp="",ETC_BottomUp&lt;=0),"",$P98+($G98-$O98)*EAC_BU_Factor)))))</f>
        <v/>
      </c>
      <c r="X98" s="31">
        <f>IF(OR($W98="",$P98=""),"",$W98-$P98)</f>
        <v/>
      </c>
      <c r="Y98" s="35">
        <f>IF(OR($W98="",$G98=""),"",$G98-$W98)</f>
        <v/>
      </c>
      <c r="Z98" s="61">
        <f>IF(OR($A98="",$G98="",$O98="",$P98="",$G98-$P98=0),"",($G98-$O98)/($G98-$P98))</f>
        <v/>
      </c>
      <c r="AA98" s="54">
        <f>IF($A98="","",IF(AND($N98&lt;&gt;"",$N98&gt;=1,OR($V98="",$V98&gt;=Thr_Green)),"Complete",IF(AND($U98="",$V98=""),"Not started",IF(OR(AND($U98&lt;&gt;"",$U98&lt;Thr_Red),AND($V98&lt;&gt;"",$V98&lt;Thr_Red)),"Red",IF(OR(AND($U98&lt;&gt;"",$U98&lt;Thr_Green),AND($V98&lt;&gt;"",$V98&lt;Thr_Green)),"Amber","Green")))))</f>
        <v/>
      </c>
      <c r="AB98" s="63" t="n"/>
      <c r="AC98" s="63" t="n"/>
      <c r="AD98" s="63" t="n"/>
    </row>
    <row r="99" ht="24" customHeight="1">
      <c r="A99" s="15" t="n"/>
      <c r="B99" s="13" t="n"/>
      <c r="C99" s="15" t="n"/>
      <c r="D99" s="63" t="n"/>
      <c r="E99" s="15" t="n"/>
      <c r="F99" s="15" t="n"/>
      <c r="G99" s="64" t="n"/>
      <c r="H99" s="40">
        <f>IF(OR($A99="",SUM($G$9:$G$208)=0,$G99=""),"",$G99/SUM($G$9:$G$208))</f>
        <v/>
      </c>
      <c r="I99" s="15" t="n"/>
      <c r="J99" s="14" t="n"/>
      <c r="K99" s="14" t="n"/>
      <c r="L99" s="65">
        <f>IF(OR($A99="",$J99="",$K99="",Data_Date=""),"",IF(Data_Date&lt;=$J99,0,IF(Data_Date&gt;=$K99,1,(Data_Date-$J99)/($K99-$J99))))</f>
        <v/>
      </c>
      <c r="M99" s="31">
        <f>IF(OR($A99="",$G99="",$L99=""),"",$G99*$L99)</f>
        <v/>
      </c>
      <c r="N99" s="65" t="n"/>
      <c r="O99" s="31">
        <f>IF(OR($A99="",$G99="",$N99=""),"",$G99*$N99)</f>
        <v/>
      </c>
      <c r="P99" s="64" t="n"/>
      <c r="Q99" s="35">
        <f>IF(OR($O99="",$M99=""),"",$O99-$M99)</f>
        <v/>
      </c>
      <c r="R99" s="35">
        <f>IF(OR($O99="",$P99=""),"",$O99-$P99)</f>
        <v/>
      </c>
      <c r="S99" s="40">
        <f>IF(OR($Q99="",$M99="",$M99=0),"",$Q99/$M99)</f>
        <v/>
      </c>
      <c r="T99" s="40">
        <f>IF(OR($R99="",$O99="",$O99=0),"",$R99/$O99)</f>
        <v/>
      </c>
      <c r="U99" s="61">
        <f>IF(OR($O99="",$M99="",$M99=0),"",$O99/$M99)</f>
        <v/>
      </c>
      <c r="V99" s="61">
        <f>IF(OR($O99="",$P99="",$P99=0),"",$O99/$P99)</f>
        <v/>
      </c>
      <c r="W99" s="31">
        <f>IF(OR($A99="",$G99=""),"",IF(EAC_Idx=1,IF(OR($P99="",$O99=""),"",$P99+($G99-$O99)),IF(EAC_Idx=2,IF(OR($V99="",$V99=0),"",$G99/$V99),IF(EAC_Idx=3,IF(OR($V99="",$U99=""),"",IF($V99*$U99=0,"",$P99+($G99-$O99)/($V99*$U99))),IF(OR($P99="",$O99="",ETC_BottomUp="",ETC_BottomUp&lt;=0),"",$P99+($G99-$O99)*EAC_BU_Factor)))))</f>
        <v/>
      </c>
      <c r="X99" s="31">
        <f>IF(OR($W99="",$P99=""),"",$W99-$P99)</f>
        <v/>
      </c>
      <c r="Y99" s="35">
        <f>IF(OR($W99="",$G99=""),"",$G99-$W99)</f>
        <v/>
      </c>
      <c r="Z99" s="61">
        <f>IF(OR($A99="",$G99="",$O99="",$P99="",$G99-$P99=0),"",($G99-$O99)/($G99-$P99))</f>
        <v/>
      </c>
      <c r="AA99" s="54">
        <f>IF($A99="","",IF(AND($N99&lt;&gt;"",$N99&gt;=1,OR($V99="",$V99&gt;=Thr_Green)),"Complete",IF(AND($U99="",$V99=""),"Not started",IF(OR(AND($U99&lt;&gt;"",$U99&lt;Thr_Red),AND($V99&lt;&gt;"",$V99&lt;Thr_Red)),"Red",IF(OR(AND($U99&lt;&gt;"",$U99&lt;Thr_Green),AND($V99&lt;&gt;"",$V99&lt;Thr_Green)),"Amber","Green")))))</f>
        <v/>
      </c>
      <c r="AB99" s="63" t="n"/>
      <c r="AC99" s="63" t="n"/>
      <c r="AD99" s="63" t="n"/>
    </row>
    <row r="100" ht="24" customHeight="1">
      <c r="A100" s="15" t="n"/>
      <c r="B100" s="13" t="n"/>
      <c r="C100" s="15" t="n"/>
      <c r="D100" s="63" t="n"/>
      <c r="E100" s="15" t="n"/>
      <c r="F100" s="15" t="n"/>
      <c r="G100" s="64" t="n"/>
      <c r="H100" s="40">
        <f>IF(OR($A100="",SUM($G$9:$G$208)=0,$G100=""),"",$G100/SUM($G$9:$G$208))</f>
        <v/>
      </c>
      <c r="I100" s="15" t="n"/>
      <c r="J100" s="14" t="n"/>
      <c r="K100" s="14" t="n"/>
      <c r="L100" s="65">
        <f>IF(OR($A100="",$J100="",$K100="",Data_Date=""),"",IF(Data_Date&lt;=$J100,0,IF(Data_Date&gt;=$K100,1,(Data_Date-$J100)/($K100-$J100))))</f>
        <v/>
      </c>
      <c r="M100" s="31">
        <f>IF(OR($A100="",$G100="",$L100=""),"",$G100*$L100)</f>
        <v/>
      </c>
      <c r="N100" s="65" t="n"/>
      <c r="O100" s="31">
        <f>IF(OR($A100="",$G100="",$N100=""),"",$G100*$N100)</f>
        <v/>
      </c>
      <c r="P100" s="64" t="n"/>
      <c r="Q100" s="35">
        <f>IF(OR($O100="",$M100=""),"",$O100-$M100)</f>
        <v/>
      </c>
      <c r="R100" s="35">
        <f>IF(OR($O100="",$P100=""),"",$O100-$P100)</f>
        <v/>
      </c>
      <c r="S100" s="40">
        <f>IF(OR($Q100="",$M100="",$M100=0),"",$Q100/$M100)</f>
        <v/>
      </c>
      <c r="T100" s="40">
        <f>IF(OR($R100="",$O100="",$O100=0),"",$R100/$O100)</f>
        <v/>
      </c>
      <c r="U100" s="61">
        <f>IF(OR($O100="",$M100="",$M100=0),"",$O100/$M100)</f>
        <v/>
      </c>
      <c r="V100" s="61">
        <f>IF(OR($O100="",$P100="",$P100=0),"",$O100/$P100)</f>
        <v/>
      </c>
      <c r="W100" s="31">
        <f>IF(OR($A100="",$G100=""),"",IF(EAC_Idx=1,IF(OR($P100="",$O100=""),"",$P100+($G100-$O100)),IF(EAC_Idx=2,IF(OR($V100="",$V100=0),"",$G100/$V100),IF(EAC_Idx=3,IF(OR($V100="",$U100=""),"",IF($V100*$U100=0,"",$P100+($G100-$O100)/($V100*$U100))),IF(OR($P100="",$O100="",ETC_BottomUp="",ETC_BottomUp&lt;=0),"",$P100+($G100-$O100)*EAC_BU_Factor)))))</f>
        <v/>
      </c>
      <c r="X100" s="31">
        <f>IF(OR($W100="",$P100=""),"",$W100-$P100)</f>
        <v/>
      </c>
      <c r="Y100" s="35">
        <f>IF(OR($W100="",$G100=""),"",$G100-$W100)</f>
        <v/>
      </c>
      <c r="Z100" s="61">
        <f>IF(OR($A100="",$G100="",$O100="",$P100="",$G100-$P100=0),"",($G100-$O100)/($G100-$P100))</f>
        <v/>
      </c>
      <c r="AA100" s="54">
        <f>IF($A100="","",IF(AND($N100&lt;&gt;"",$N100&gt;=1,OR($V100="",$V100&gt;=Thr_Green)),"Complete",IF(AND($U100="",$V100=""),"Not started",IF(OR(AND($U100&lt;&gt;"",$U100&lt;Thr_Red),AND($V100&lt;&gt;"",$V100&lt;Thr_Red)),"Red",IF(OR(AND($U100&lt;&gt;"",$U100&lt;Thr_Green),AND($V100&lt;&gt;"",$V100&lt;Thr_Green)),"Amber","Green")))))</f>
        <v/>
      </c>
      <c r="AB100" s="63" t="n"/>
      <c r="AC100" s="63" t="n"/>
      <c r="AD100" s="63" t="n"/>
    </row>
    <row r="101" ht="24" customHeight="1">
      <c r="A101" s="15" t="n"/>
      <c r="B101" s="13" t="n"/>
      <c r="C101" s="15" t="n"/>
      <c r="D101" s="63" t="n"/>
      <c r="E101" s="15" t="n"/>
      <c r="F101" s="15" t="n"/>
      <c r="G101" s="64" t="n"/>
      <c r="H101" s="40">
        <f>IF(OR($A101="",SUM($G$9:$G$208)=0,$G101=""),"",$G101/SUM($G$9:$G$208))</f>
        <v/>
      </c>
      <c r="I101" s="15" t="n"/>
      <c r="J101" s="14" t="n"/>
      <c r="K101" s="14" t="n"/>
      <c r="L101" s="65">
        <f>IF(OR($A101="",$J101="",$K101="",Data_Date=""),"",IF(Data_Date&lt;=$J101,0,IF(Data_Date&gt;=$K101,1,(Data_Date-$J101)/($K101-$J101))))</f>
        <v/>
      </c>
      <c r="M101" s="31">
        <f>IF(OR($A101="",$G101="",$L101=""),"",$G101*$L101)</f>
        <v/>
      </c>
      <c r="N101" s="65" t="n"/>
      <c r="O101" s="31">
        <f>IF(OR($A101="",$G101="",$N101=""),"",$G101*$N101)</f>
        <v/>
      </c>
      <c r="P101" s="64" t="n"/>
      <c r="Q101" s="35">
        <f>IF(OR($O101="",$M101=""),"",$O101-$M101)</f>
        <v/>
      </c>
      <c r="R101" s="35">
        <f>IF(OR($O101="",$P101=""),"",$O101-$P101)</f>
        <v/>
      </c>
      <c r="S101" s="40">
        <f>IF(OR($Q101="",$M101="",$M101=0),"",$Q101/$M101)</f>
        <v/>
      </c>
      <c r="T101" s="40">
        <f>IF(OR($R101="",$O101="",$O101=0),"",$R101/$O101)</f>
        <v/>
      </c>
      <c r="U101" s="61">
        <f>IF(OR($O101="",$M101="",$M101=0),"",$O101/$M101)</f>
        <v/>
      </c>
      <c r="V101" s="61">
        <f>IF(OR($O101="",$P101="",$P101=0),"",$O101/$P101)</f>
        <v/>
      </c>
      <c r="W101" s="31">
        <f>IF(OR($A101="",$G101=""),"",IF(EAC_Idx=1,IF(OR($P101="",$O101=""),"",$P101+($G101-$O101)),IF(EAC_Idx=2,IF(OR($V101="",$V101=0),"",$G101/$V101),IF(EAC_Idx=3,IF(OR($V101="",$U101=""),"",IF($V101*$U101=0,"",$P101+($G101-$O101)/($V101*$U101))),IF(OR($P101="",$O101="",ETC_BottomUp="",ETC_BottomUp&lt;=0),"",$P101+($G101-$O101)*EAC_BU_Factor)))))</f>
        <v/>
      </c>
      <c r="X101" s="31">
        <f>IF(OR($W101="",$P101=""),"",$W101-$P101)</f>
        <v/>
      </c>
      <c r="Y101" s="35">
        <f>IF(OR($W101="",$G101=""),"",$G101-$W101)</f>
        <v/>
      </c>
      <c r="Z101" s="61">
        <f>IF(OR($A101="",$G101="",$O101="",$P101="",$G101-$P101=0),"",($G101-$O101)/($G101-$P101))</f>
        <v/>
      </c>
      <c r="AA101" s="54">
        <f>IF($A101="","",IF(AND($N101&lt;&gt;"",$N101&gt;=1,OR($V101="",$V101&gt;=Thr_Green)),"Complete",IF(AND($U101="",$V101=""),"Not started",IF(OR(AND($U101&lt;&gt;"",$U101&lt;Thr_Red),AND($V101&lt;&gt;"",$V101&lt;Thr_Red)),"Red",IF(OR(AND($U101&lt;&gt;"",$U101&lt;Thr_Green),AND($V101&lt;&gt;"",$V101&lt;Thr_Green)),"Amber","Green")))))</f>
        <v/>
      </c>
      <c r="AB101" s="63" t="n"/>
      <c r="AC101" s="63" t="n"/>
      <c r="AD101" s="63" t="n"/>
    </row>
    <row r="102" ht="24" customHeight="1">
      <c r="A102" s="15" t="n"/>
      <c r="B102" s="13" t="n"/>
      <c r="C102" s="15" t="n"/>
      <c r="D102" s="63" t="n"/>
      <c r="E102" s="15" t="n"/>
      <c r="F102" s="15" t="n"/>
      <c r="G102" s="64" t="n"/>
      <c r="H102" s="40">
        <f>IF(OR($A102="",SUM($G$9:$G$208)=0,$G102=""),"",$G102/SUM($G$9:$G$208))</f>
        <v/>
      </c>
      <c r="I102" s="15" t="n"/>
      <c r="J102" s="14" t="n"/>
      <c r="K102" s="14" t="n"/>
      <c r="L102" s="65">
        <f>IF(OR($A102="",$J102="",$K102="",Data_Date=""),"",IF(Data_Date&lt;=$J102,0,IF(Data_Date&gt;=$K102,1,(Data_Date-$J102)/($K102-$J102))))</f>
        <v/>
      </c>
      <c r="M102" s="31">
        <f>IF(OR($A102="",$G102="",$L102=""),"",$G102*$L102)</f>
        <v/>
      </c>
      <c r="N102" s="65" t="n"/>
      <c r="O102" s="31">
        <f>IF(OR($A102="",$G102="",$N102=""),"",$G102*$N102)</f>
        <v/>
      </c>
      <c r="P102" s="64" t="n"/>
      <c r="Q102" s="35">
        <f>IF(OR($O102="",$M102=""),"",$O102-$M102)</f>
        <v/>
      </c>
      <c r="R102" s="35">
        <f>IF(OR($O102="",$P102=""),"",$O102-$P102)</f>
        <v/>
      </c>
      <c r="S102" s="40">
        <f>IF(OR($Q102="",$M102="",$M102=0),"",$Q102/$M102)</f>
        <v/>
      </c>
      <c r="T102" s="40">
        <f>IF(OR($R102="",$O102="",$O102=0),"",$R102/$O102)</f>
        <v/>
      </c>
      <c r="U102" s="61">
        <f>IF(OR($O102="",$M102="",$M102=0),"",$O102/$M102)</f>
        <v/>
      </c>
      <c r="V102" s="61">
        <f>IF(OR($O102="",$P102="",$P102=0),"",$O102/$P102)</f>
        <v/>
      </c>
      <c r="W102" s="31">
        <f>IF(OR($A102="",$G102=""),"",IF(EAC_Idx=1,IF(OR($P102="",$O102=""),"",$P102+($G102-$O102)),IF(EAC_Idx=2,IF(OR($V102="",$V102=0),"",$G102/$V102),IF(EAC_Idx=3,IF(OR($V102="",$U102=""),"",IF($V102*$U102=0,"",$P102+($G102-$O102)/($V102*$U102))),IF(OR($P102="",$O102="",ETC_BottomUp="",ETC_BottomUp&lt;=0),"",$P102+($G102-$O102)*EAC_BU_Factor)))))</f>
        <v/>
      </c>
      <c r="X102" s="31">
        <f>IF(OR($W102="",$P102=""),"",$W102-$P102)</f>
        <v/>
      </c>
      <c r="Y102" s="35">
        <f>IF(OR($W102="",$G102=""),"",$G102-$W102)</f>
        <v/>
      </c>
      <c r="Z102" s="61">
        <f>IF(OR($A102="",$G102="",$O102="",$P102="",$G102-$P102=0),"",($G102-$O102)/($G102-$P102))</f>
        <v/>
      </c>
      <c r="AA102" s="54">
        <f>IF($A102="","",IF(AND($N102&lt;&gt;"",$N102&gt;=1,OR($V102="",$V102&gt;=Thr_Green)),"Complete",IF(AND($U102="",$V102=""),"Not started",IF(OR(AND($U102&lt;&gt;"",$U102&lt;Thr_Red),AND($V102&lt;&gt;"",$V102&lt;Thr_Red)),"Red",IF(OR(AND($U102&lt;&gt;"",$U102&lt;Thr_Green),AND($V102&lt;&gt;"",$V102&lt;Thr_Green)),"Amber","Green")))))</f>
        <v/>
      </c>
      <c r="AB102" s="63" t="n"/>
      <c r="AC102" s="63" t="n"/>
      <c r="AD102" s="63" t="n"/>
    </row>
    <row r="103" ht="24" customHeight="1">
      <c r="A103" s="15" t="n"/>
      <c r="B103" s="13" t="n"/>
      <c r="C103" s="15" t="n"/>
      <c r="D103" s="63" t="n"/>
      <c r="E103" s="15" t="n"/>
      <c r="F103" s="15" t="n"/>
      <c r="G103" s="64" t="n"/>
      <c r="H103" s="40">
        <f>IF(OR($A103="",SUM($G$9:$G$208)=0,$G103=""),"",$G103/SUM($G$9:$G$208))</f>
        <v/>
      </c>
      <c r="I103" s="15" t="n"/>
      <c r="J103" s="14" t="n"/>
      <c r="K103" s="14" t="n"/>
      <c r="L103" s="65">
        <f>IF(OR($A103="",$J103="",$K103="",Data_Date=""),"",IF(Data_Date&lt;=$J103,0,IF(Data_Date&gt;=$K103,1,(Data_Date-$J103)/($K103-$J103))))</f>
        <v/>
      </c>
      <c r="M103" s="31">
        <f>IF(OR($A103="",$G103="",$L103=""),"",$G103*$L103)</f>
        <v/>
      </c>
      <c r="N103" s="65" t="n"/>
      <c r="O103" s="31">
        <f>IF(OR($A103="",$G103="",$N103=""),"",$G103*$N103)</f>
        <v/>
      </c>
      <c r="P103" s="64" t="n"/>
      <c r="Q103" s="35">
        <f>IF(OR($O103="",$M103=""),"",$O103-$M103)</f>
        <v/>
      </c>
      <c r="R103" s="35">
        <f>IF(OR($O103="",$P103=""),"",$O103-$P103)</f>
        <v/>
      </c>
      <c r="S103" s="40">
        <f>IF(OR($Q103="",$M103="",$M103=0),"",$Q103/$M103)</f>
        <v/>
      </c>
      <c r="T103" s="40">
        <f>IF(OR($R103="",$O103="",$O103=0),"",$R103/$O103)</f>
        <v/>
      </c>
      <c r="U103" s="61">
        <f>IF(OR($O103="",$M103="",$M103=0),"",$O103/$M103)</f>
        <v/>
      </c>
      <c r="V103" s="61">
        <f>IF(OR($O103="",$P103="",$P103=0),"",$O103/$P103)</f>
        <v/>
      </c>
      <c r="W103" s="31">
        <f>IF(OR($A103="",$G103=""),"",IF(EAC_Idx=1,IF(OR($P103="",$O103=""),"",$P103+($G103-$O103)),IF(EAC_Idx=2,IF(OR($V103="",$V103=0),"",$G103/$V103),IF(EAC_Idx=3,IF(OR($V103="",$U103=""),"",IF($V103*$U103=0,"",$P103+($G103-$O103)/($V103*$U103))),IF(OR($P103="",$O103="",ETC_BottomUp="",ETC_BottomUp&lt;=0),"",$P103+($G103-$O103)*EAC_BU_Factor)))))</f>
        <v/>
      </c>
      <c r="X103" s="31">
        <f>IF(OR($W103="",$P103=""),"",$W103-$P103)</f>
        <v/>
      </c>
      <c r="Y103" s="35">
        <f>IF(OR($W103="",$G103=""),"",$G103-$W103)</f>
        <v/>
      </c>
      <c r="Z103" s="61">
        <f>IF(OR($A103="",$G103="",$O103="",$P103="",$G103-$P103=0),"",($G103-$O103)/($G103-$P103))</f>
        <v/>
      </c>
      <c r="AA103" s="54">
        <f>IF($A103="","",IF(AND($N103&lt;&gt;"",$N103&gt;=1,OR($V103="",$V103&gt;=Thr_Green)),"Complete",IF(AND($U103="",$V103=""),"Not started",IF(OR(AND($U103&lt;&gt;"",$U103&lt;Thr_Red),AND($V103&lt;&gt;"",$V103&lt;Thr_Red)),"Red",IF(OR(AND($U103&lt;&gt;"",$U103&lt;Thr_Green),AND($V103&lt;&gt;"",$V103&lt;Thr_Green)),"Amber","Green")))))</f>
        <v/>
      </c>
      <c r="AB103" s="63" t="n"/>
      <c r="AC103" s="63" t="n"/>
      <c r="AD103" s="63" t="n"/>
    </row>
    <row r="104" ht="24" customHeight="1">
      <c r="A104" s="15" t="n"/>
      <c r="B104" s="13" t="n"/>
      <c r="C104" s="15" t="n"/>
      <c r="D104" s="63" t="n"/>
      <c r="E104" s="15" t="n"/>
      <c r="F104" s="15" t="n"/>
      <c r="G104" s="64" t="n"/>
      <c r="H104" s="40">
        <f>IF(OR($A104="",SUM($G$9:$G$208)=0,$G104=""),"",$G104/SUM($G$9:$G$208))</f>
        <v/>
      </c>
      <c r="I104" s="15" t="n"/>
      <c r="J104" s="14" t="n"/>
      <c r="K104" s="14" t="n"/>
      <c r="L104" s="65">
        <f>IF(OR($A104="",$J104="",$K104="",Data_Date=""),"",IF(Data_Date&lt;=$J104,0,IF(Data_Date&gt;=$K104,1,(Data_Date-$J104)/($K104-$J104))))</f>
        <v/>
      </c>
      <c r="M104" s="31">
        <f>IF(OR($A104="",$G104="",$L104=""),"",$G104*$L104)</f>
        <v/>
      </c>
      <c r="N104" s="65" t="n"/>
      <c r="O104" s="31">
        <f>IF(OR($A104="",$G104="",$N104=""),"",$G104*$N104)</f>
        <v/>
      </c>
      <c r="P104" s="64" t="n"/>
      <c r="Q104" s="35">
        <f>IF(OR($O104="",$M104=""),"",$O104-$M104)</f>
        <v/>
      </c>
      <c r="R104" s="35">
        <f>IF(OR($O104="",$P104=""),"",$O104-$P104)</f>
        <v/>
      </c>
      <c r="S104" s="40">
        <f>IF(OR($Q104="",$M104="",$M104=0),"",$Q104/$M104)</f>
        <v/>
      </c>
      <c r="T104" s="40">
        <f>IF(OR($R104="",$O104="",$O104=0),"",$R104/$O104)</f>
        <v/>
      </c>
      <c r="U104" s="61">
        <f>IF(OR($O104="",$M104="",$M104=0),"",$O104/$M104)</f>
        <v/>
      </c>
      <c r="V104" s="61">
        <f>IF(OR($O104="",$P104="",$P104=0),"",$O104/$P104)</f>
        <v/>
      </c>
      <c r="W104" s="31">
        <f>IF(OR($A104="",$G104=""),"",IF(EAC_Idx=1,IF(OR($P104="",$O104=""),"",$P104+($G104-$O104)),IF(EAC_Idx=2,IF(OR($V104="",$V104=0),"",$G104/$V104),IF(EAC_Idx=3,IF(OR($V104="",$U104=""),"",IF($V104*$U104=0,"",$P104+($G104-$O104)/($V104*$U104))),IF(OR($P104="",$O104="",ETC_BottomUp="",ETC_BottomUp&lt;=0),"",$P104+($G104-$O104)*EAC_BU_Factor)))))</f>
        <v/>
      </c>
      <c r="X104" s="31">
        <f>IF(OR($W104="",$P104=""),"",$W104-$P104)</f>
        <v/>
      </c>
      <c r="Y104" s="35">
        <f>IF(OR($W104="",$G104=""),"",$G104-$W104)</f>
        <v/>
      </c>
      <c r="Z104" s="61">
        <f>IF(OR($A104="",$G104="",$O104="",$P104="",$G104-$P104=0),"",($G104-$O104)/($G104-$P104))</f>
        <v/>
      </c>
      <c r="AA104" s="54">
        <f>IF($A104="","",IF(AND($N104&lt;&gt;"",$N104&gt;=1,OR($V104="",$V104&gt;=Thr_Green)),"Complete",IF(AND($U104="",$V104=""),"Not started",IF(OR(AND($U104&lt;&gt;"",$U104&lt;Thr_Red),AND($V104&lt;&gt;"",$V104&lt;Thr_Red)),"Red",IF(OR(AND($U104&lt;&gt;"",$U104&lt;Thr_Green),AND($V104&lt;&gt;"",$V104&lt;Thr_Green)),"Amber","Green")))))</f>
        <v/>
      </c>
      <c r="AB104" s="63" t="n"/>
      <c r="AC104" s="63" t="n"/>
      <c r="AD104" s="63" t="n"/>
    </row>
    <row r="105" ht="24" customHeight="1">
      <c r="A105" s="15" t="n"/>
      <c r="B105" s="13" t="n"/>
      <c r="C105" s="15" t="n"/>
      <c r="D105" s="63" t="n"/>
      <c r="E105" s="15" t="n"/>
      <c r="F105" s="15" t="n"/>
      <c r="G105" s="64" t="n"/>
      <c r="H105" s="40">
        <f>IF(OR($A105="",SUM($G$9:$G$208)=0,$G105=""),"",$G105/SUM($G$9:$G$208))</f>
        <v/>
      </c>
      <c r="I105" s="15" t="n"/>
      <c r="J105" s="14" t="n"/>
      <c r="K105" s="14" t="n"/>
      <c r="L105" s="65">
        <f>IF(OR($A105="",$J105="",$K105="",Data_Date=""),"",IF(Data_Date&lt;=$J105,0,IF(Data_Date&gt;=$K105,1,(Data_Date-$J105)/($K105-$J105))))</f>
        <v/>
      </c>
      <c r="M105" s="31">
        <f>IF(OR($A105="",$G105="",$L105=""),"",$G105*$L105)</f>
        <v/>
      </c>
      <c r="N105" s="65" t="n"/>
      <c r="O105" s="31">
        <f>IF(OR($A105="",$G105="",$N105=""),"",$G105*$N105)</f>
        <v/>
      </c>
      <c r="P105" s="64" t="n"/>
      <c r="Q105" s="35">
        <f>IF(OR($O105="",$M105=""),"",$O105-$M105)</f>
        <v/>
      </c>
      <c r="R105" s="35">
        <f>IF(OR($O105="",$P105=""),"",$O105-$P105)</f>
        <v/>
      </c>
      <c r="S105" s="40">
        <f>IF(OR($Q105="",$M105="",$M105=0),"",$Q105/$M105)</f>
        <v/>
      </c>
      <c r="T105" s="40">
        <f>IF(OR($R105="",$O105="",$O105=0),"",$R105/$O105)</f>
        <v/>
      </c>
      <c r="U105" s="61">
        <f>IF(OR($O105="",$M105="",$M105=0),"",$O105/$M105)</f>
        <v/>
      </c>
      <c r="V105" s="61">
        <f>IF(OR($O105="",$P105="",$P105=0),"",$O105/$P105)</f>
        <v/>
      </c>
      <c r="W105" s="31">
        <f>IF(OR($A105="",$G105=""),"",IF(EAC_Idx=1,IF(OR($P105="",$O105=""),"",$P105+($G105-$O105)),IF(EAC_Idx=2,IF(OR($V105="",$V105=0),"",$G105/$V105),IF(EAC_Idx=3,IF(OR($V105="",$U105=""),"",IF($V105*$U105=0,"",$P105+($G105-$O105)/($V105*$U105))),IF(OR($P105="",$O105="",ETC_BottomUp="",ETC_BottomUp&lt;=0),"",$P105+($G105-$O105)*EAC_BU_Factor)))))</f>
        <v/>
      </c>
      <c r="X105" s="31">
        <f>IF(OR($W105="",$P105=""),"",$W105-$P105)</f>
        <v/>
      </c>
      <c r="Y105" s="35">
        <f>IF(OR($W105="",$G105=""),"",$G105-$W105)</f>
        <v/>
      </c>
      <c r="Z105" s="61">
        <f>IF(OR($A105="",$G105="",$O105="",$P105="",$G105-$P105=0),"",($G105-$O105)/($G105-$P105))</f>
        <v/>
      </c>
      <c r="AA105" s="54">
        <f>IF($A105="","",IF(AND($N105&lt;&gt;"",$N105&gt;=1,OR($V105="",$V105&gt;=Thr_Green)),"Complete",IF(AND($U105="",$V105=""),"Not started",IF(OR(AND($U105&lt;&gt;"",$U105&lt;Thr_Red),AND($V105&lt;&gt;"",$V105&lt;Thr_Red)),"Red",IF(OR(AND($U105&lt;&gt;"",$U105&lt;Thr_Green),AND($V105&lt;&gt;"",$V105&lt;Thr_Green)),"Amber","Green")))))</f>
        <v/>
      </c>
      <c r="AB105" s="63" t="n"/>
      <c r="AC105" s="63" t="n"/>
      <c r="AD105" s="63" t="n"/>
    </row>
    <row r="106" ht="24" customHeight="1">
      <c r="A106" s="15" t="n"/>
      <c r="B106" s="13" t="n"/>
      <c r="C106" s="15" t="n"/>
      <c r="D106" s="63" t="n"/>
      <c r="E106" s="15" t="n"/>
      <c r="F106" s="15" t="n"/>
      <c r="G106" s="64" t="n"/>
      <c r="H106" s="40">
        <f>IF(OR($A106="",SUM($G$9:$G$208)=0,$G106=""),"",$G106/SUM($G$9:$G$208))</f>
        <v/>
      </c>
      <c r="I106" s="15" t="n"/>
      <c r="J106" s="14" t="n"/>
      <c r="K106" s="14" t="n"/>
      <c r="L106" s="65">
        <f>IF(OR($A106="",$J106="",$K106="",Data_Date=""),"",IF(Data_Date&lt;=$J106,0,IF(Data_Date&gt;=$K106,1,(Data_Date-$J106)/($K106-$J106))))</f>
        <v/>
      </c>
      <c r="M106" s="31">
        <f>IF(OR($A106="",$G106="",$L106=""),"",$G106*$L106)</f>
        <v/>
      </c>
      <c r="N106" s="65" t="n"/>
      <c r="O106" s="31">
        <f>IF(OR($A106="",$G106="",$N106=""),"",$G106*$N106)</f>
        <v/>
      </c>
      <c r="P106" s="64" t="n"/>
      <c r="Q106" s="35">
        <f>IF(OR($O106="",$M106=""),"",$O106-$M106)</f>
        <v/>
      </c>
      <c r="R106" s="35">
        <f>IF(OR($O106="",$P106=""),"",$O106-$P106)</f>
        <v/>
      </c>
      <c r="S106" s="40">
        <f>IF(OR($Q106="",$M106="",$M106=0),"",$Q106/$M106)</f>
        <v/>
      </c>
      <c r="T106" s="40">
        <f>IF(OR($R106="",$O106="",$O106=0),"",$R106/$O106)</f>
        <v/>
      </c>
      <c r="U106" s="61">
        <f>IF(OR($O106="",$M106="",$M106=0),"",$O106/$M106)</f>
        <v/>
      </c>
      <c r="V106" s="61">
        <f>IF(OR($O106="",$P106="",$P106=0),"",$O106/$P106)</f>
        <v/>
      </c>
      <c r="W106" s="31">
        <f>IF(OR($A106="",$G106=""),"",IF(EAC_Idx=1,IF(OR($P106="",$O106=""),"",$P106+($G106-$O106)),IF(EAC_Idx=2,IF(OR($V106="",$V106=0),"",$G106/$V106),IF(EAC_Idx=3,IF(OR($V106="",$U106=""),"",IF($V106*$U106=0,"",$P106+($G106-$O106)/($V106*$U106))),IF(OR($P106="",$O106="",ETC_BottomUp="",ETC_BottomUp&lt;=0),"",$P106+($G106-$O106)*EAC_BU_Factor)))))</f>
        <v/>
      </c>
      <c r="X106" s="31">
        <f>IF(OR($W106="",$P106=""),"",$W106-$P106)</f>
        <v/>
      </c>
      <c r="Y106" s="35">
        <f>IF(OR($W106="",$G106=""),"",$G106-$W106)</f>
        <v/>
      </c>
      <c r="Z106" s="61">
        <f>IF(OR($A106="",$G106="",$O106="",$P106="",$G106-$P106=0),"",($G106-$O106)/($G106-$P106))</f>
        <v/>
      </c>
      <c r="AA106" s="54">
        <f>IF($A106="","",IF(AND($N106&lt;&gt;"",$N106&gt;=1,OR($V106="",$V106&gt;=Thr_Green)),"Complete",IF(AND($U106="",$V106=""),"Not started",IF(OR(AND($U106&lt;&gt;"",$U106&lt;Thr_Red),AND($V106&lt;&gt;"",$V106&lt;Thr_Red)),"Red",IF(OR(AND($U106&lt;&gt;"",$U106&lt;Thr_Green),AND($V106&lt;&gt;"",$V106&lt;Thr_Green)),"Amber","Green")))))</f>
        <v/>
      </c>
      <c r="AB106" s="63" t="n"/>
      <c r="AC106" s="63" t="n"/>
      <c r="AD106" s="63" t="n"/>
    </row>
    <row r="107" ht="24" customHeight="1">
      <c r="A107" s="15" t="n"/>
      <c r="B107" s="13" t="n"/>
      <c r="C107" s="15" t="n"/>
      <c r="D107" s="63" t="n"/>
      <c r="E107" s="15" t="n"/>
      <c r="F107" s="15" t="n"/>
      <c r="G107" s="64" t="n"/>
      <c r="H107" s="40">
        <f>IF(OR($A107="",SUM($G$9:$G$208)=0,$G107=""),"",$G107/SUM($G$9:$G$208))</f>
        <v/>
      </c>
      <c r="I107" s="15" t="n"/>
      <c r="J107" s="14" t="n"/>
      <c r="K107" s="14" t="n"/>
      <c r="L107" s="65">
        <f>IF(OR($A107="",$J107="",$K107="",Data_Date=""),"",IF(Data_Date&lt;=$J107,0,IF(Data_Date&gt;=$K107,1,(Data_Date-$J107)/($K107-$J107))))</f>
        <v/>
      </c>
      <c r="M107" s="31">
        <f>IF(OR($A107="",$G107="",$L107=""),"",$G107*$L107)</f>
        <v/>
      </c>
      <c r="N107" s="65" t="n"/>
      <c r="O107" s="31">
        <f>IF(OR($A107="",$G107="",$N107=""),"",$G107*$N107)</f>
        <v/>
      </c>
      <c r="P107" s="64" t="n"/>
      <c r="Q107" s="35">
        <f>IF(OR($O107="",$M107=""),"",$O107-$M107)</f>
        <v/>
      </c>
      <c r="R107" s="35">
        <f>IF(OR($O107="",$P107=""),"",$O107-$P107)</f>
        <v/>
      </c>
      <c r="S107" s="40">
        <f>IF(OR($Q107="",$M107="",$M107=0),"",$Q107/$M107)</f>
        <v/>
      </c>
      <c r="T107" s="40">
        <f>IF(OR($R107="",$O107="",$O107=0),"",$R107/$O107)</f>
        <v/>
      </c>
      <c r="U107" s="61">
        <f>IF(OR($O107="",$M107="",$M107=0),"",$O107/$M107)</f>
        <v/>
      </c>
      <c r="V107" s="61">
        <f>IF(OR($O107="",$P107="",$P107=0),"",$O107/$P107)</f>
        <v/>
      </c>
      <c r="W107" s="31">
        <f>IF(OR($A107="",$G107=""),"",IF(EAC_Idx=1,IF(OR($P107="",$O107=""),"",$P107+($G107-$O107)),IF(EAC_Idx=2,IF(OR($V107="",$V107=0),"",$G107/$V107),IF(EAC_Idx=3,IF(OR($V107="",$U107=""),"",IF($V107*$U107=0,"",$P107+($G107-$O107)/($V107*$U107))),IF(OR($P107="",$O107="",ETC_BottomUp="",ETC_BottomUp&lt;=0),"",$P107+($G107-$O107)*EAC_BU_Factor)))))</f>
        <v/>
      </c>
      <c r="X107" s="31">
        <f>IF(OR($W107="",$P107=""),"",$W107-$P107)</f>
        <v/>
      </c>
      <c r="Y107" s="35">
        <f>IF(OR($W107="",$G107=""),"",$G107-$W107)</f>
        <v/>
      </c>
      <c r="Z107" s="61">
        <f>IF(OR($A107="",$G107="",$O107="",$P107="",$G107-$P107=0),"",($G107-$O107)/($G107-$P107))</f>
        <v/>
      </c>
      <c r="AA107" s="54">
        <f>IF($A107="","",IF(AND($N107&lt;&gt;"",$N107&gt;=1,OR($V107="",$V107&gt;=Thr_Green)),"Complete",IF(AND($U107="",$V107=""),"Not started",IF(OR(AND($U107&lt;&gt;"",$U107&lt;Thr_Red),AND($V107&lt;&gt;"",$V107&lt;Thr_Red)),"Red",IF(OR(AND($U107&lt;&gt;"",$U107&lt;Thr_Green),AND($V107&lt;&gt;"",$V107&lt;Thr_Green)),"Amber","Green")))))</f>
        <v/>
      </c>
      <c r="AB107" s="63" t="n"/>
      <c r="AC107" s="63" t="n"/>
      <c r="AD107" s="63" t="n"/>
    </row>
    <row r="108" ht="24" customHeight="1">
      <c r="A108" s="15" t="n"/>
      <c r="B108" s="13" t="n"/>
      <c r="C108" s="15" t="n"/>
      <c r="D108" s="63" t="n"/>
      <c r="E108" s="15" t="n"/>
      <c r="F108" s="15" t="n"/>
      <c r="G108" s="64" t="n"/>
      <c r="H108" s="40">
        <f>IF(OR($A108="",SUM($G$9:$G$208)=0,$G108=""),"",$G108/SUM($G$9:$G$208))</f>
        <v/>
      </c>
      <c r="I108" s="15" t="n"/>
      <c r="J108" s="14" t="n"/>
      <c r="K108" s="14" t="n"/>
      <c r="L108" s="65">
        <f>IF(OR($A108="",$J108="",$K108="",Data_Date=""),"",IF(Data_Date&lt;=$J108,0,IF(Data_Date&gt;=$K108,1,(Data_Date-$J108)/($K108-$J108))))</f>
        <v/>
      </c>
      <c r="M108" s="31">
        <f>IF(OR($A108="",$G108="",$L108=""),"",$G108*$L108)</f>
        <v/>
      </c>
      <c r="N108" s="65" t="n"/>
      <c r="O108" s="31">
        <f>IF(OR($A108="",$G108="",$N108=""),"",$G108*$N108)</f>
        <v/>
      </c>
      <c r="P108" s="64" t="n"/>
      <c r="Q108" s="35">
        <f>IF(OR($O108="",$M108=""),"",$O108-$M108)</f>
        <v/>
      </c>
      <c r="R108" s="35">
        <f>IF(OR($O108="",$P108=""),"",$O108-$P108)</f>
        <v/>
      </c>
      <c r="S108" s="40">
        <f>IF(OR($Q108="",$M108="",$M108=0),"",$Q108/$M108)</f>
        <v/>
      </c>
      <c r="T108" s="40">
        <f>IF(OR($R108="",$O108="",$O108=0),"",$R108/$O108)</f>
        <v/>
      </c>
      <c r="U108" s="61">
        <f>IF(OR($O108="",$M108="",$M108=0),"",$O108/$M108)</f>
        <v/>
      </c>
      <c r="V108" s="61">
        <f>IF(OR($O108="",$P108="",$P108=0),"",$O108/$P108)</f>
        <v/>
      </c>
      <c r="W108" s="31">
        <f>IF(OR($A108="",$G108=""),"",IF(EAC_Idx=1,IF(OR($P108="",$O108=""),"",$P108+($G108-$O108)),IF(EAC_Idx=2,IF(OR($V108="",$V108=0),"",$G108/$V108),IF(EAC_Idx=3,IF(OR($V108="",$U108=""),"",IF($V108*$U108=0,"",$P108+($G108-$O108)/($V108*$U108))),IF(OR($P108="",$O108="",ETC_BottomUp="",ETC_BottomUp&lt;=0),"",$P108+($G108-$O108)*EAC_BU_Factor)))))</f>
        <v/>
      </c>
      <c r="X108" s="31">
        <f>IF(OR($W108="",$P108=""),"",$W108-$P108)</f>
        <v/>
      </c>
      <c r="Y108" s="35">
        <f>IF(OR($W108="",$G108=""),"",$G108-$W108)</f>
        <v/>
      </c>
      <c r="Z108" s="61">
        <f>IF(OR($A108="",$G108="",$O108="",$P108="",$G108-$P108=0),"",($G108-$O108)/($G108-$P108))</f>
        <v/>
      </c>
      <c r="AA108" s="54">
        <f>IF($A108="","",IF(AND($N108&lt;&gt;"",$N108&gt;=1,OR($V108="",$V108&gt;=Thr_Green)),"Complete",IF(AND($U108="",$V108=""),"Not started",IF(OR(AND($U108&lt;&gt;"",$U108&lt;Thr_Red),AND($V108&lt;&gt;"",$V108&lt;Thr_Red)),"Red",IF(OR(AND($U108&lt;&gt;"",$U108&lt;Thr_Green),AND($V108&lt;&gt;"",$V108&lt;Thr_Green)),"Amber","Green")))))</f>
        <v/>
      </c>
      <c r="AB108" s="63" t="n"/>
      <c r="AC108" s="63" t="n"/>
      <c r="AD108" s="63" t="n"/>
    </row>
    <row r="109" ht="24" customHeight="1">
      <c r="A109" s="15" t="n"/>
      <c r="B109" s="13" t="n"/>
      <c r="C109" s="15" t="n"/>
      <c r="D109" s="63" t="n"/>
      <c r="E109" s="15" t="n"/>
      <c r="F109" s="15" t="n"/>
      <c r="G109" s="64" t="n"/>
      <c r="H109" s="40">
        <f>IF(OR($A109="",SUM($G$9:$G$208)=0,$G109=""),"",$G109/SUM($G$9:$G$208))</f>
        <v/>
      </c>
      <c r="I109" s="15" t="n"/>
      <c r="J109" s="14" t="n"/>
      <c r="K109" s="14" t="n"/>
      <c r="L109" s="65">
        <f>IF(OR($A109="",$J109="",$K109="",Data_Date=""),"",IF(Data_Date&lt;=$J109,0,IF(Data_Date&gt;=$K109,1,(Data_Date-$J109)/($K109-$J109))))</f>
        <v/>
      </c>
      <c r="M109" s="31">
        <f>IF(OR($A109="",$G109="",$L109=""),"",$G109*$L109)</f>
        <v/>
      </c>
      <c r="N109" s="65" t="n"/>
      <c r="O109" s="31">
        <f>IF(OR($A109="",$G109="",$N109=""),"",$G109*$N109)</f>
        <v/>
      </c>
      <c r="P109" s="64" t="n"/>
      <c r="Q109" s="35">
        <f>IF(OR($O109="",$M109=""),"",$O109-$M109)</f>
        <v/>
      </c>
      <c r="R109" s="35">
        <f>IF(OR($O109="",$P109=""),"",$O109-$P109)</f>
        <v/>
      </c>
      <c r="S109" s="40">
        <f>IF(OR($Q109="",$M109="",$M109=0),"",$Q109/$M109)</f>
        <v/>
      </c>
      <c r="T109" s="40">
        <f>IF(OR($R109="",$O109="",$O109=0),"",$R109/$O109)</f>
        <v/>
      </c>
      <c r="U109" s="61">
        <f>IF(OR($O109="",$M109="",$M109=0),"",$O109/$M109)</f>
        <v/>
      </c>
      <c r="V109" s="61">
        <f>IF(OR($O109="",$P109="",$P109=0),"",$O109/$P109)</f>
        <v/>
      </c>
      <c r="W109" s="31">
        <f>IF(OR($A109="",$G109=""),"",IF(EAC_Idx=1,IF(OR($P109="",$O109=""),"",$P109+($G109-$O109)),IF(EAC_Idx=2,IF(OR($V109="",$V109=0),"",$G109/$V109),IF(EAC_Idx=3,IF(OR($V109="",$U109=""),"",IF($V109*$U109=0,"",$P109+($G109-$O109)/($V109*$U109))),IF(OR($P109="",$O109="",ETC_BottomUp="",ETC_BottomUp&lt;=0),"",$P109+($G109-$O109)*EAC_BU_Factor)))))</f>
        <v/>
      </c>
      <c r="X109" s="31">
        <f>IF(OR($W109="",$P109=""),"",$W109-$P109)</f>
        <v/>
      </c>
      <c r="Y109" s="35">
        <f>IF(OR($W109="",$G109=""),"",$G109-$W109)</f>
        <v/>
      </c>
      <c r="Z109" s="61">
        <f>IF(OR($A109="",$G109="",$O109="",$P109="",$G109-$P109=0),"",($G109-$O109)/($G109-$P109))</f>
        <v/>
      </c>
      <c r="AA109" s="54">
        <f>IF($A109="","",IF(AND($N109&lt;&gt;"",$N109&gt;=1,OR($V109="",$V109&gt;=Thr_Green)),"Complete",IF(AND($U109="",$V109=""),"Not started",IF(OR(AND($U109&lt;&gt;"",$U109&lt;Thr_Red),AND($V109&lt;&gt;"",$V109&lt;Thr_Red)),"Red",IF(OR(AND($U109&lt;&gt;"",$U109&lt;Thr_Green),AND($V109&lt;&gt;"",$V109&lt;Thr_Green)),"Amber","Green")))))</f>
        <v/>
      </c>
      <c r="AB109" s="63" t="n"/>
      <c r="AC109" s="63" t="n"/>
      <c r="AD109" s="63" t="n"/>
    </row>
    <row r="110" ht="24" customHeight="1">
      <c r="A110" s="15" t="n"/>
      <c r="B110" s="13" t="n"/>
      <c r="C110" s="15" t="n"/>
      <c r="D110" s="63" t="n"/>
      <c r="E110" s="15" t="n"/>
      <c r="F110" s="15" t="n"/>
      <c r="G110" s="64" t="n"/>
      <c r="H110" s="40">
        <f>IF(OR($A110="",SUM($G$9:$G$208)=0,$G110=""),"",$G110/SUM($G$9:$G$208))</f>
        <v/>
      </c>
      <c r="I110" s="15" t="n"/>
      <c r="J110" s="14" t="n"/>
      <c r="K110" s="14" t="n"/>
      <c r="L110" s="65">
        <f>IF(OR($A110="",$J110="",$K110="",Data_Date=""),"",IF(Data_Date&lt;=$J110,0,IF(Data_Date&gt;=$K110,1,(Data_Date-$J110)/($K110-$J110))))</f>
        <v/>
      </c>
      <c r="M110" s="31">
        <f>IF(OR($A110="",$G110="",$L110=""),"",$G110*$L110)</f>
        <v/>
      </c>
      <c r="N110" s="65" t="n"/>
      <c r="O110" s="31">
        <f>IF(OR($A110="",$G110="",$N110=""),"",$G110*$N110)</f>
        <v/>
      </c>
      <c r="P110" s="64" t="n"/>
      <c r="Q110" s="35">
        <f>IF(OR($O110="",$M110=""),"",$O110-$M110)</f>
        <v/>
      </c>
      <c r="R110" s="35">
        <f>IF(OR($O110="",$P110=""),"",$O110-$P110)</f>
        <v/>
      </c>
      <c r="S110" s="40">
        <f>IF(OR($Q110="",$M110="",$M110=0),"",$Q110/$M110)</f>
        <v/>
      </c>
      <c r="T110" s="40">
        <f>IF(OR($R110="",$O110="",$O110=0),"",$R110/$O110)</f>
        <v/>
      </c>
      <c r="U110" s="61">
        <f>IF(OR($O110="",$M110="",$M110=0),"",$O110/$M110)</f>
        <v/>
      </c>
      <c r="V110" s="61">
        <f>IF(OR($O110="",$P110="",$P110=0),"",$O110/$P110)</f>
        <v/>
      </c>
      <c r="W110" s="31">
        <f>IF(OR($A110="",$G110=""),"",IF(EAC_Idx=1,IF(OR($P110="",$O110=""),"",$P110+($G110-$O110)),IF(EAC_Idx=2,IF(OR($V110="",$V110=0),"",$G110/$V110),IF(EAC_Idx=3,IF(OR($V110="",$U110=""),"",IF($V110*$U110=0,"",$P110+($G110-$O110)/($V110*$U110))),IF(OR($P110="",$O110="",ETC_BottomUp="",ETC_BottomUp&lt;=0),"",$P110+($G110-$O110)*EAC_BU_Factor)))))</f>
        <v/>
      </c>
      <c r="X110" s="31">
        <f>IF(OR($W110="",$P110=""),"",$W110-$P110)</f>
        <v/>
      </c>
      <c r="Y110" s="35">
        <f>IF(OR($W110="",$G110=""),"",$G110-$W110)</f>
        <v/>
      </c>
      <c r="Z110" s="61">
        <f>IF(OR($A110="",$G110="",$O110="",$P110="",$G110-$P110=0),"",($G110-$O110)/($G110-$P110))</f>
        <v/>
      </c>
      <c r="AA110" s="54">
        <f>IF($A110="","",IF(AND($N110&lt;&gt;"",$N110&gt;=1,OR($V110="",$V110&gt;=Thr_Green)),"Complete",IF(AND($U110="",$V110=""),"Not started",IF(OR(AND($U110&lt;&gt;"",$U110&lt;Thr_Red),AND($V110&lt;&gt;"",$V110&lt;Thr_Red)),"Red",IF(OR(AND($U110&lt;&gt;"",$U110&lt;Thr_Green),AND($V110&lt;&gt;"",$V110&lt;Thr_Green)),"Amber","Green")))))</f>
        <v/>
      </c>
      <c r="AB110" s="63" t="n"/>
      <c r="AC110" s="63" t="n"/>
      <c r="AD110" s="63" t="n"/>
    </row>
    <row r="111" ht="24" customHeight="1">
      <c r="A111" s="15" t="n"/>
      <c r="B111" s="13" t="n"/>
      <c r="C111" s="15" t="n"/>
      <c r="D111" s="63" t="n"/>
      <c r="E111" s="15" t="n"/>
      <c r="F111" s="15" t="n"/>
      <c r="G111" s="64" t="n"/>
      <c r="H111" s="40">
        <f>IF(OR($A111="",SUM($G$9:$G$208)=0,$G111=""),"",$G111/SUM($G$9:$G$208))</f>
        <v/>
      </c>
      <c r="I111" s="15" t="n"/>
      <c r="J111" s="14" t="n"/>
      <c r="K111" s="14" t="n"/>
      <c r="L111" s="65">
        <f>IF(OR($A111="",$J111="",$K111="",Data_Date=""),"",IF(Data_Date&lt;=$J111,0,IF(Data_Date&gt;=$K111,1,(Data_Date-$J111)/($K111-$J111))))</f>
        <v/>
      </c>
      <c r="M111" s="31">
        <f>IF(OR($A111="",$G111="",$L111=""),"",$G111*$L111)</f>
        <v/>
      </c>
      <c r="N111" s="65" t="n"/>
      <c r="O111" s="31">
        <f>IF(OR($A111="",$G111="",$N111=""),"",$G111*$N111)</f>
        <v/>
      </c>
      <c r="P111" s="64" t="n"/>
      <c r="Q111" s="35">
        <f>IF(OR($O111="",$M111=""),"",$O111-$M111)</f>
        <v/>
      </c>
      <c r="R111" s="35">
        <f>IF(OR($O111="",$P111=""),"",$O111-$P111)</f>
        <v/>
      </c>
      <c r="S111" s="40">
        <f>IF(OR($Q111="",$M111="",$M111=0),"",$Q111/$M111)</f>
        <v/>
      </c>
      <c r="T111" s="40">
        <f>IF(OR($R111="",$O111="",$O111=0),"",$R111/$O111)</f>
        <v/>
      </c>
      <c r="U111" s="61">
        <f>IF(OR($O111="",$M111="",$M111=0),"",$O111/$M111)</f>
        <v/>
      </c>
      <c r="V111" s="61">
        <f>IF(OR($O111="",$P111="",$P111=0),"",$O111/$P111)</f>
        <v/>
      </c>
      <c r="W111" s="31">
        <f>IF(OR($A111="",$G111=""),"",IF(EAC_Idx=1,IF(OR($P111="",$O111=""),"",$P111+($G111-$O111)),IF(EAC_Idx=2,IF(OR($V111="",$V111=0),"",$G111/$V111),IF(EAC_Idx=3,IF(OR($V111="",$U111=""),"",IF($V111*$U111=0,"",$P111+($G111-$O111)/($V111*$U111))),IF(OR($P111="",$O111="",ETC_BottomUp="",ETC_BottomUp&lt;=0),"",$P111+($G111-$O111)*EAC_BU_Factor)))))</f>
        <v/>
      </c>
      <c r="X111" s="31">
        <f>IF(OR($W111="",$P111=""),"",$W111-$P111)</f>
        <v/>
      </c>
      <c r="Y111" s="35">
        <f>IF(OR($W111="",$G111=""),"",$G111-$W111)</f>
        <v/>
      </c>
      <c r="Z111" s="61">
        <f>IF(OR($A111="",$G111="",$O111="",$P111="",$G111-$P111=0),"",($G111-$O111)/($G111-$P111))</f>
        <v/>
      </c>
      <c r="AA111" s="54">
        <f>IF($A111="","",IF(AND($N111&lt;&gt;"",$N111&gt;=1,OR($V111="",$V111&gt;=Thr_Green)),"Complete",IF(AND($U111="",$V111=""),"Not started",IF(OR(AND($U111&lt;&gt;"",$U111&lt;Thr_Red),AND($V111&lt;&gt;"",$V111&lt;Thr_Red)),"Red",IF(OR(AND($U111&lt;&gt;"",$U111&lt;Thr_Green),AND($V111&lt;&gt;"",$V111&lt;Thr_Green)),"Amber","Green")))))</f>
        <v/>
      </c>
      <c r="AB111" s="63" t="n"/>
      <c r="AC111" s="63" t="n"/>
      <c r="AD111" s="63" t="n"/>
    </row>
    <row r="112" ht="24" customHeight="1">
      <c r="A112" s="15" t="n"/>
      <c r="B112" s="13" t="n"/>
      <c r="C112" s="15" t="n"/>
      <c r="D112" s="63" t="n"/>
      <c r="E112" s="15" t="n"/>
      <c r="F112" s="15" t="n"/>
      <c r="G112" s="64" t="n"/>
      <c r="H112" s="40">
        <f>IF(OR($A112="",SUM($G$9:$G$208)=0,$G112=""),"",$G112/SUM($G$9:$G$208))</f>
        <v/>
      </c>
      <c r="I112" s="15" t="n"/>
      <c r="J112" s="14" t="n"/>
      <c r="K112" s="14" t="n"/>
      <c r="L112" s="65">
        <f>IF(OR($A112="",$J112="",$K112="",Data_Date=""),"",IF(Data_Date&lt;=$J112,0,IF(Data_Date&gt;=$K112,1,(Data_Date-$J112)/($K112-$J112))))</f>
        <v/>
      </c>
      <c r="M112" s="31">
        <f>IF(OR($A112="",$G112="",$L112=""),"",$G112*$L112)</f>
        <v/>
      </c>
      <c r="N112" s="65" t="n"/>
      <c r="O112" s="31">
        <f>IF(OR($A112="",$G112="",$N112=""),"",$G112*$N112)</f>
        <v/>
      </c>
      <c r="P112" s="64" t="n"/>
      <c r="Q112" s="35">
        <f>IF(OR($O112="",$M112=""),"",$O112-$M112)</f>
        <v/>
      </c>
      <c r="R112" s="35">
        <f>IF(OR($O112="",$P112=""),"",$O112-$P112)</f>
        <v/>
      </c>
      <c r="S112" s="40">
        <f>IF(OR($Q112="",$M112="",$M112=0),"",$Q112/$M112)</f>
        <v/>
      </c>
      <c r="T112" s="40">
        <f>IF(OR($R112="",$O112="",$O112=0),"",$R112/$O112)</f>
        <v/>
      </c>
      <c r="U112" s="61">
        <f>IF(OR($O112="",$M112="",$M112=0),"",$O112/$M112)</f>
        <v/>
      </c>
      <c r="V112" s="61">
        <f>IF(OR($O112="",$P112="",$P112=0),"",$O112/$P112)</f>
        <v/>
      </c>
      <c r="W112" s="31">
        <f>IF(OR($A112="",$G112=""),"",IF(EAC_Idx=1,IF(OR($P112="",$O112=""),"",$P112+($G112-$O112)),IF(EAC_Idx=2,IF(OR($V112="",$V112=0),"",$G112/$V112),IF(EAC_Idx=3,IF(OR($V112="",$U112=""),"",IF($V112*$U112=0,"",$P112+($G112-$O112)/($V112*$U112))),IF(OR($P112="",$O112="",ETC_BottomUp="",ETC_BottomUp&lt;=0),"",$P112+($G112-$O112)*EAC_BU_Factor)))))</f>
        <v/>
      </c>
      <c r="X112" s="31">
        <f>IF(OR($W112="",$P112=""),"",$W112-$P112)</f>
        <v/>
      </c>
      <c r="Y112" s="35">
        <f>IF(OR($W112="",$G112=""),"",$G112-$W112)</f>
        <v/>
      </c>
      <c r="Z112" s="61">
        <f>IF(OR($A112="",$G112="",$O112="",$P112="",$G112-$P112=0),"",($G112-$O112)/($G112-$P112))</f>
        <v/>
      </c>
      <c r="AA112" s="54">
        <f>IF($A112="","",IF(AND($N112&lt;&gt;"",$N112&gt;=1,OR($V112="",$V112&gt;=Thr_Green)),"Complete",IF(AND($U112="",$V112=""),"Not started",IF(OR(AND($U112&lt;&gt;"",$U112&lt;Thr_Red),AND($V112&lt;&gt;"",$V112&lt;Thr_Red)),"Red",IF(OR(AND($U112&lt;&gt;"",$U112&lt;Thr_Green),AND($V112&lt;&gt;"",$V112&lt;Thr_Green)),"Amber","Green")))))</f>
        <v/>
      </c>
      <c r="AB112" s="63" t="n"/>
      <c r="AC112" s="63" t="n"/>
      <c r="AD112" s="63" t="n"/>
    </row>
    <row r="113" ht="24" customHeight="1">
      <c r="A113" s="15" t="n"/>
      <c r="B113" s="13" t="n"/>
      <c r="C113" s="15" t="n"/>
      <c r="D113" s="63" t="n"/>
      <c r="E113" s="15" t="n"/>
      <c r="F113" s="15" t="n"/>
      <c r="G113" s="64" t="n"/>
      <c r="H113" s="40">
        <f>IF(OR($A113="",SUM($G$9:$G$208)=0,$G113=""),"",$G113/SUM($G$9:$G$208))</f>
        <v/>
      </c>
      <c r="I113" s="15" t="n"/>
      <c r="J113" s="14" t="n"/>
      <c r="K113" s="14" t="n"/>
      <c r="L113" s="65">
        <f>IF(OR($A113="",$J113="",$K113="",Data_Date=""),"",IF(Data_Date&lt;=$J113,0,IF(Data_Date&gt;=$K113,1,(Data_Date-$J113)/($K113-$J113))))</f>
        <v/>
      </c>
      <c r="M113" s="31">
        <f>IF(OR($A113="",$G113="",$L113=""),"",$G113*$L113)</f>
        <v/>
      </c>
      <c r="N113" s="65" t="n"/>
      <c r="O113" s="31">
        <f>IF(OR($A113="",$G113="",$N113=""),"",$G113*$N113)</f>
        <v/>
      </c>
      <c r="P113" s="64" t="n"/>
      <c r="Q113" s="35">
        <f>IF(OR($O113="",$M113=""),"",$O113-$M113)</f>
        <v/>
      </c>
      <c r="R113" s="35">
        <f>IF(OR($O113="",$P113=""),"",$O113-$P113)</f>
        <v/>
      </c>
      <c r="S113" s="40">
        <f>IF(OR($Q113="",$M113="",$M113=0),"",$Q113/$M113)</f>
        <v/>
      </c>
      <c r="T113" s="40">
        <f>IF(OR($R113="",$O113="",$O113=0),"",$R113/$O113)</f>
        <v/>
      </c>
      <c r="U113" s="61">
        <f>IF(OR($O113="",$M113="",$M113=0),"",$O113/$M113)</f>
        <v/>
      </c>
      <c r="V113" s="61">
        <f>IF(OR($O113="",$P113="",$P113=0),"",$O113/$P113)</f>
        <v/>
      </c>
      <c r="W113" s="31">
        <f>IF(OR($A113="",$G113=""),"",IF(EAC_Idx=1,IF(OR($P113="",$O113=""),"",$P113+($G113-$O113)),IF(EAC_Idx=2,IF(OR($V113="",$V113=0),"",$G113/$V113),IF(EAC_Idx=3,IF(OR($V113="",$U113=""),"",IF($V113*$U113=0,"",$P113+($G113-$O113)/($V113*$U113))),IF(OR($P113="",$O113="",ETC_BottomUp="",ETC_BottomUp&lt;=0),"",$P113+($G113-$O113)*EAC_BU_Factor)))))</f>
        <v/>
      </c>
      <c r="X113" s="31">
        <f>IF(OR($W113="",$P113=""),"",$W113-$P113)</f>
        <v/>
      </c>
      <c r="Y113" s="35">
        <f>IF(OR($W113="",$G113=""),"",$G113-$W113)</f>
        <v/>
      </c>
      <c r="Z113" s="61">
        <f>IF(OR($A113="",$G113="",$O113="",$P113="",$G113-$P113=0),"",($G113-$O113)/($G113-$P113))</f>
        <v/>
      </c>
      <c r="AA113" s="54">
        <f>IF($A113="","",IF(AND($N113&lt;&gt;"",$N113&gt;=1,OR($V113="",$V113&gt;=Thr_Green)),"Complete",IF(AND($U113="",$V113=""),"Not started",IF(OR(AND($U113&lt;&gt;"",$U113&lt;Thr_Red),AND($V113&lt;&gt;"",$V113&lt;Thr_Red)),"Red",IF(OR(AND($U113&lt;&gt;"",$U113&lt;Thr_Green),AND($V113&lt;&gt;"",$V113&lt;Thr_Green)),"Amber","Green")))))</f>
        <v/>
      </c>
      <c r="AB113" s="63" t="n"/>
      <c r="AC113" s="63" t="n"/>
      <c r="AD113" s="63" t="n"/>
    </row>
    <row r="114" ht="24" customHeight="1">
      <c r="A114" s="15" t="n"/>
      <c r="B114" s="13" t="n"/>
      <c r="C114" s="15" t="n"/>
      <c r="D114" s="63" t="n"/>
      <c r="E114" s="15" t="n"/>
      <c r="F114" s="15" t="n"/>
      <c r="G114" s="64" t="n"/>
      <c r="H114" s="40">
        <f>IF(OR($A114="",SUM($G$9:$G$208)=0,$G114=""),"",$G114/SUM($G$9:$G$208))</f>
        <v/>
      </c>
      <c r="I114" s="15" t="n"/>
      <c r="J114" s="14" t="n"/>
      <c r="K114" s="14" t="n"/>
      <c r="L114" s="65">
        <f>IF(OR($A114="",$J114="",$K114="",Data_Date=""),"",IF(Data_Date&lt;=$J114,0,IF(Data_Date&gt;=$K114,1,(Data_Date-$J114)/($K114-$J114))))</f>
        <v/>
      </c>
      <c r="M114" s="31">
        <f>IF(OR($A114="",$G114="",$L114=""),"",$G114*$L114)</f>
        <v/>
      </c>
      <c r="N114" s="65" t="n"/>
      <c r="O114" s="31">
        <f>IF(OR($A114="",$G114="",$N114=""),"",$G114*$N114)</f>
        <v/>
      </c>
      <c r="P114" s="64" t="n"/>
      <c r="Q114" s="35">
        <f>IF(OR($O114="",$M114=""),"",$O114-$M114)</f>
        <v/>
      </c>
      <c r="R114" s="35">
        <f>IF(OR($O114="",$P114=""),"",$O114-$P114)</f>
        <v/>
      </c>
      <c r="S114" s="40">
        <f>IF(OR($Q114="",$M114="",$M114=0),"",$Q114/$M114)</f>
        <v/>
      </c>
      <c r="T114" s="40">
        <f>IF(OR($R114="",$O114="",$O114=0),"",$R114/$O114)</f>
        <v/>
      </c>
      <c r="U114" s="61">
        <f>IF(OR($O114="",$M114="",$M114=0),"",$O114/$M114)</f>
        <v/>
      </c>
      <c r="V114" s="61">
        <f>IF(OR($O114="",$P114="",$P114=0),"",$O114/$P114)</f>
        <v/>
      </c>
      <c r="W114" s="31">
        <f>IF(OR($A114="",$G114=""),"",IF(EAC_Idx=1,IF(OR($P114="",$O114=""),"",$P114+($G114-$O114)),IF(EAC_Idx=2,IF(OR($V114="",$V114=0),"",$G114/$V114),IF(EAC_Idx=3,IF(OR($V114="",$U114=""),"",IF($V114*$U114=0,"",$P114+($G114-$O114)/($V114*$U114))),IF(OR($P114="",$O114="",ETC_BottomUp="",ETC_BottomUp&lt;=0),"",$P114+($G114-$O114)*EAC_BU_Factor)))))</f>
        <v/>
      </c>
      <c r="X114" s="31">
        <f>IF(OR($W114="",$P114=""),"",$W114-$P114)</f>
        <v/>
      </c>
      <c r="Y114" s="35">
        <f>IF(OR($W114="",$G114=""),"",$G114-$W114)</f>
        <v/>
      </c>
      <c r="Z114" s="61">
        <f>IF(OR($A114="",$G114="",$O114="",$P114="",$G114-$P114=0),"",($G114-$O114)/($G114-$P114))</f>
        <v/>
      </c>
      <c r="AA114" s="54">
        <f>IF($A114="","",IF(AND($N114&lt;&gt;"",$N114&gt;=1,OR($V114="",$V114&gt;=Thr_Green)),"Complete",IF(AND($U114="",$V114=""),"Not started",IF(OR(AND($U114&lt;&gt;"",$U114&lt;Thr_Red),AND($V114&lt;&gt;"",$V114&lt;Thr_Red)),"Red",IF(OR(AND($U114&lt;&gt;"",$U114&lt;Thr_Green),AND($V114&lt;&gt;"",$V114&lt;Thr_Green)),"Amber","Green")))))</f>
        <v/>
      </c>
      <c r="AB114" s="63" t="n"/>
      <c r="AC114" s="63" t="n"/>
      <c r="AD114" s="63" t="n"/>
    </row>
    <row r="115" ht="24" customHeight="1">
      <c r="A115" s="15" t="n"/>
      <c r="B115" s="13" t="n"/>
      <c r="C115" s="15" t="n"/>
      <c r="D115" s="63" t="n"/>
      <c r="E115" s="15" t="n"/>
      <c r="F115" s="15" t="n"/>
      <c r="G115" s="64" t="n"/>
      <c r="H115" s="40">
        <f>IF(OR($A115="",SUM($G$9:$G$208)=0,$G115=""),"",$G115/SUM($G$9:$G$208))</f>
        <v/>
      </c>
      <c r="I115" s="15" t="n"/>
      <c r="J115" s="14" t="n"/>
      <c r="K115" s="14" t="n"/>
      <c r="L115" s="65">
        <f>IF(OR($A115="",$J115="",$K115="",Data_Date=""),"",IF(Data_Date&lt;=$J115,0,IF(Data_Date&gt;=$K115,1,(Data_Date-$J115)/($K115-$J115))))</f>
        <v/>
      </c>
      <c r="M115" s="31">
        <f>IF(OR($A115="",$G115="",$L115=""),"",$G115*$L115)</f>
        <v/>
      </c>
      <c r="N115" s="65" t="n"/>
      <c r="O115" s="31">
        <f>IF(OR($A115="",$G115="",$N115=""),"",$G115*$N115)</f>
        <v/>
      </c>
      <c r="P115" s="64" t="n"/>
      <c r="Q115" s="35">
        <f>IF(OR($O115="",$M115=""),"",$O115-$M115)</f>
        <v/>
      </c>
      <c r="R115" s="35">
        <f>IF(OR($O115="",$P115=""),"",$O115-$P115)</f>
        <v/>
      </c>
      <c r="S115" s="40">
        <f>IF(OR($Q115="",$M115="",$M115=0),"",$Q115/$M115)</f>
        <v/>
      </c>
      <c r="T115" s="40">
        <f>IF(OR($R115="",$O115="",$O115=0),"",$R115/$O115)</f>
        <v/>
      </c>
      <c r="U115" s="61">
        <f>IF(OR($O115="",$M115="",$M115=0),"",$O115/$M115)</f>
        <v/>
      </c>
      <c r="V115" s="61">
        <f>IF(OR($O115="",$P115="",$P115=0),"",$O115/$P115)</f>
        <v/>
      </c>
      <c r="W115" s="31">
        <f>IF(OR($A115="",$G115=""),"",IF(EAC_Idx=1,IF(OR($P115="",$O115=""),"",$P115+($G115-$O115)),IF(EAC_Idx=2,IF(OR($V115="",$V115=0),"",$G115/$V115),IF(EAC_Idx=3,IF(OR($V115="",$U115=""),"",IF($V115*$U115=0,"",$P115+($G115-$O115)/($V115*$U115))),IF(OR($P115="",$O115="",ETC_BottomUp="",ETC_BottomUp&lt;=0),"",$P115+($G115-$O115)*EAC_BU_Factor)))))</f>
        <v/>
      </c>
      <c r="X115" s="31">
        <f>IF(OR($W115="",$P115=""),"",$W115-$P115)</f>
        <v/>
      </c>
      <c r="Y115" s="35">
        <f>IF(OR($W115="",$G115=""),"",$G115-$W115)</f>
        <v/>
      </c>
      <c r="Z115" s="61">
        <f>IF(OR($A115="",$G115="",$O115="",$P115="",$G115-$P115=0),"",($G115-$O115)/($G115-$P115))</f>
        <v/>
      </c>
      <c r="AA115" s="54">
        <f>IF($A115="","",IF(AND($N115&lt;&gt;"",$N115&gt;=1,OR($V115="",$V115&gt;=Thr_Green)),"Complete",IF(AND($U115="",$V115=""),"Not started",IF(OR(AND($U115&lt;&gt;"",$U115&lt;Thr_Red),AND($V115&lt;&gt;"",$V115&lt;Thr_Red)),"Red",IF(OR(AND($U115&lt;&gt;"",$U115&lt;Thr_Green),AND($V115&lt;&gt;"",$V115&lt;Thr_Green)),"Amber","Green")))))</f>
        <v/>
      </c>
      <c r="AB115" s="63" t="n"/>
      <c r="AC115" s="63" t="n"/>
      <c r="AD115" s="63" t="n"/>
    </row>
    <row r="116" ht="24" customHeight="1">
      <c r="A116" s="15" t="n"/>
      <c r="B116" s="13" t="n"/>
      <c r="C116" s="15" t="n"/>
      <c r="D116" s="63" t="n"/>
      <c r="E116" s="15" t="n"/>
      <c r="F116" s="15" t="n"/>
      <c r="G116" s="64" t="n"/>
      <c r="H116" s="40">
        <f>IF(OR($A116="",SUM($G$9:$G$208)=0,$G116=""),"",$G116/SUM($G$9:$G$208))</f>
        <v/>
      </c>
      <c r="I116" s="15" t="n"/>
      <c r="J116" s="14" t="n"/>
      <c r="K116" s="14" t="n"/>
      <c r="L116" s="65">
        <f>IF(OR($A116="",$J116="",$K116="",Data_Date=""),"",IF(Data_Date&lt;=$J116,0,IF(Data_Date&gt;=$K116,1,(Data_Date-$J116)/($K116-$J116))))</f>
        <v/>
      </c>
      <c r="M116" s="31">
        <f>IF(OR($A116="",$G116="",$L116=""),"",$G116*$L116)</f>
        <v/>
      </c>
      <c r="N116" s="65" t="n"/>
      <c r="O116" s="31">
        <f>IF(OR($A116="",$G116="",$N116=""),"",$G116*$N116)</f>
        <v/>
      </c>
      <c r="P116" s="64" t="n"/>
      <c r="Q116" s="35">
        <f>IF(OR($O116="",$M116=""),"",$O116-$M116)</f>
        <v/>
      </c>
      <c r="R116" s="35">
        <f>IF(OR($O116="",$P116=""),"",$O116-$P116)</f>
        <v/>
      </c>
      <c r="S116" s="40">
        <f>IF(OR($Q116="",$M116="",$M116=0),"",$Q116/$M116)</f>
        <v/>
      </c>
      <c r="T116" s="40">
        <f>IF(OR($R116="",$O116="",$O116=0),"",$R116/$O116)</f>
        <v/>
      </c>
      <c r="U116" s="61">
        <f>IF(OR($O116="",$M116="",$M116=0),"",$O116/$M116)</f>
        <v/>
      </c>
      <c r="V116" s="61">
        <f>IF(OR($O116="",$P116="",$P116=0),"",$O116/$P116)</f>
        <v/>
      </c>
      <c r="W116" s="31">
        <f>IF(OR($A116="",$G116=""),"",IF(EAC_Idx=1,IF(OR($P116="",$O116=""),"",$P116+($G116-$O116)),IF(EAC_Idx=2,IF(OR($V116="",$V116=0),"",$G116/$V116),IF(EAC_Idx=3,IF(OR($V116="",$U116=""),"",IF($V116*$U116=0,"",$P116+($G116-$O116)/($V116*$U116))),IF(OR($P116="",$O116="",ETC_BottomUp="",ETC_BottomUp&lt;=0),"",$P116+($G116-$O116)*EAC_BU_Factor)))))</f>
        <v/>
      </c>
      <c r="X116" s="31">
        <f>IF(OR($W116="",$P116=""),"",$W116-$P116)</f>
        <v/>
      </c>
      <c r="Y116" s="35">
        <f>IF(OR($W116="",$G116=""),"",$G116-$W116)</f>
        <v/>
      </c>
      <c r="Z116" s="61">
        <f>IF(OR($A116="",$G116="",$O116="",$P116="",$G116-$P116=0),"",($G116-$O116)/($G116-$P116))</f>
        <v/>
      </c>
      <c r="AA116" s="54">
        <f>IF($A116="","",IF(AND($N116&lt;&gt;"",$N116&gt;=1,OR($V116="",$V116&gt;=Thr_Green)),"Complete",IF(AND($U116="",$V116=""),"Not started",IF(OR(AND($U116&lt;&gt;"",$U116&lt;Thr_Red),AND($V116&lt;&gt;"",$V116&lt;Thr_Red)),"Red",IF(OR(AND($U116&lt;&gt;"",$U116&lt;Thr_Green),AND($V116&lt;&gt;"",$V116&lt;Thr_Green)),"Amber","Green")))))</f>
        <v/>
      </c>
      <c r="AB116" s="63" t="n"/>
      <c r="AC116" s="63" t="n"/>
      <c r="AD116" s="63" t="n"/>
    </row>
    <row r="117" ht="24" customHeight="1">
      <c r="A117" s="15" t="n"/>
      <c r="B117" s="13" t="n"/>
      <c r="C117" s="15" t="n"/>
      <c r="D117" s="63" t="n"/>
      <c r="E117" s="15" t="n"/>
      <c r="F117" s="15" t="n"/>
      <c r="G117" s="64" t="n"/>
      <c r="H117" s="40">
        <f>IF(OR($A117="",SUM($G$9:$G$208)=0,$G117=""),"",$G117/SUM($G$9:$G$208))</f>
        <v/>
      </c>
      <c r="I117" s="15" t="n"/>
      <c r="J117" s="14" t="n"/>
      <c r="K117" s="14" t="n"/>
      <c r="L117" s="65">
        <f>IF(OR($A117="",$J117="",$K117="",Data_Date=""),"",IF(Data_Date&lt;=$J117,0,IF(Data_Date&gt;=$K117,1,(Data_Date-$J117)/($K117-$J117))))</f>
        <v/>
      </c>
      <c r="M117" s="31">
        <f>IF(OR($A117="",$G117="",$L117=""),"",$G117*$L117)</f>
        <v/>
      </c>
      <c r="N117" s="65" t="n"/>
      <c r="O117" s="31">
        <f>IF(OR($A117="",$G117="",$N117=""),"",$G117*$N117)</f>
        <v/>
      </c>
      <c r="P117" s="64" t="n"/>
      <c r="Q117" s="35">
        <f>IF(OR($O117="",$M117=""),"",$O117-$M117)</f>
        <v/>
      </c>
      <c r="R117" s="35">
        <f>IF(OR($O117="",$P117=""),"",$O117-$P117)</f>
        <v/>
      </c>
      <c r="S117" s="40">
        <f>IF(OR($Q117="",$M117="",$M117=0),"",$Q117/$M117)</f>
        <v/>
      </c>
      <c r="T117" s="40">
        <f>IF(OR($R117="",$O117="",$O117=0),"",$R117/$O117)</f>
        <v/>
      </c>
      <c r="U117" s="61">
        <f>IF(OR($O117="",$M117="",$M117=0),"",$O117/$M117)</f>
        <v/>
      </c>
      <c r="V117" s="61">
        <f>IF(OR($O117="",$P117="",$P117=0),"",$O117/$P117)</f>
        <v/>
      </c>
      <c r="W117" s="31">
        <f>IF(OR($A117="",$G117=""),"",IF(EAC_Idx=1,IF(OR($P117="",$O117=""),"",$P117+($G117-$O117)),IF(EAC_Idx=2,IF(OR($V117="",$V117=0),"",$G117/$V117),IF(EAC_Idx=3,IF(OR($V117="",$U117=""),"",IF($V117*$U117=0,"",$P117+($G117-$O117)/($V117*$U117))),IF(OR($P117="",$O117="",ETC_BottomUp="",ETC_BottomUp&lt;=0),"",$P117+($G117-$O117)*EAC_BU_Factor)))))</f>
        <v/>
      </c>
      <c r="X117" s="31">
        <f>IF(OR($W117="",$P117=""),"",$W117-$P117)</f>
        <v/>
      </c>
      <c r="Y117" s="35">
        <f>IF(OR($W117="",$G117=""),"",$G117-$W117)</f>
        <v/>
      </c>
      <c r="Z117" s="61">
        <f>IF(OR($A117="",$G117="",$O117="",$P117="",$G117-$P117=0),"",($G117-$O117)/($G117-$P117))</f>
        <v/>
      </c>
      <c r="AA117" s="54">
        <f>IF($A117="","",IF(AND($N117&lt;&gt;"",$N117&gt;=1,OR($V117="",$V117&gt;=Thr_Green)),"Complete",IF(AND($U117="",$V117=""),"Not started",IF(OR(AND($U117&lt;&gt;"",$U117&lt;Thr_Red),AND($V117&lt;&gt;"",$V117&lt;Thr_Red)),"Red",IF(OR(AND($U117&lt;&gt;"",$U117&lt;Thr_Green),AND($V117&lt;&gt;"",$V117&lt;Thr_Green)),"Amber","Green")))))</f>
        <v/>
      </c>
      <c r="AB117" s="63" t="n"/>
      <c r="AC117" s="63" t="n"/>
      <c r="AD117" s="63" t="n"/>
    </row>
    <row r="118" ht="24" customHeight="1">
      <c r="A118" s="15" t="n"/>
      <c r="B118" s="13" t="n"/>
      <c r="C118" s="15" t="n"/>
      <c r="D118" s="63" t="n"/>
      <c r="E118" s="15" t="n"/>
      <c r="F118" s="15" t="n"/>
      <c r="G118" s="64" t="n"/>
      <c r="H118" s="40">
        <f>IF(OR($A118="",SUM($G$9:$G$208)=0,$G118=""),"",$G118/SUM($G$9:$G$208))</f>
        <v/>
      </c>
      <c r="I118" s="15" t="n"/>
      <c r="J118" s="14" t="n"/>
      <c r="K118" s="14" t="n"/>
      <c r="L118" s="65">
        <f>IF(OR($A118="",$J118="",$K118="",Data_Date=""),"",IF(Data_Date&lt;=$J118,0,IF(Data_Date&gt;=$K118,1,(Data_Date-$J118)/($K118-$J118))))</f>
        <v/>
      </c>
      <c r="M118" s="31">
        <f>IF(OR($A118="",$G118="",$L118=""),"",$G118*$L118)</f>
        <v/>
      </c>
      <c r="N118" s="65" t="n"/>
      <c r="O118" s="31">
        <f>IF(OR($A118="",$G118="",$N118=""),"",$G118*$N118)</f>
        <v/>
      </c>
      <c r="P118" s="64" t="n"/>
      <c r="Q118" s="35">
        <f>IF(OR($O118="",$M118=""),"",$O118-$M118)</f>
        <v/>
      </c>
      <c r="R118" s="35">
        <f>IF(OR($O118="",$P118=""),"",$O118-$P118)</f>
        <v/>
      </c>
      <c r="S118" s="40">
        <f>IF(OR($Q118="",$M118="",$M118=0),"",$Q118/$M118)</f>
        <v/>
      </c>
      <c r="T118" s="40">
        <f>IF(OR($R118="",$O118="",$O118=0),"",$R118/$O118)</f>
        <v/>
      </c>
      <c r="U118" s="61">
        <f>IF(OR($O118="",$M118="",$M118=0),"",$O118/$M118)</f>
        <v/>
      </c>
      <c r="V118" s="61">
        <f>IF(OR($O118="",$P118="",$P118=0),"",$O118/$P118)</f>
        <v/>
      </c>
      <c r="W118" s="31">
        <f>IF(OR($A118="",$G118=""),"",IF(EAC_Idx=1,IF(OR($P118="",$O118=""),"",$P118+($G118-$O118)),IF(EAC_Idx=2,IF(OR($V118="",$V118=0),"",$G118/$V118),IF(EAC_Idx=3,IF(OR($V118="",$U118=""),"",IF($V118*$U118=0,"",$P118+($G118-$O118)/($V118*$U118))),IF(OR($P118="",$O118="",ETC_BottomUp="",ETC_BottomUp&lt;=0),"",$P118+($G118-$O118)*EAC_BU_Factor)))))</f>
        <v/>
      </c>
      <c r="X118" s="31">
        <f>IF(OR($W118="",$P118=""),"",$W118-$P118)</f>
        <v/>
      </c>
      <c r="Y118" s="35">
        <f>IF(OR($W118="",$G118=""),"",$G118-$W118)</f>
        <v/>
      </c>
      <c r="Z118" s="61">
        <f>IF(OR($A118="",$G118="",$O118="",$P118="",$G118-$P118=0),"",($G118-$O118)/($G118-$P118))</f>
        <v/>
      </c>
      <c r="AA118" s="54">
        <f>IF($A118="","",IF(AND($N118&lt;&gt;"",$N118&gt;=1,OR($V118="",$V118&gt;=Thr_Green)),"Complete",IF(AND($U118="",$V118=""),"Not started",IF(OR(AND($U118&lt;&gt;"",$U118&lt;Thr_Red),AND($V118&lt;&gt;"",$V118&lt;Thr_Red)),"Red",IF(OR(AND($U118&lt;&gt;"",$U118&lt;Thr_Green),AND($V118&lt;&gt;"",$V118&lt;Thr_Green)),"Amber","Green")))))</f>
        <v/>
      </c>
      <c r="AB118" s="63" t="n"/>
      <c r="AC118" s="63" t="n"/>
      <c r="AD118" s="63" t="n"/>
    </row>
    <row r="119" ht="24" customHeight="1">
      <c r="A119" s="15" t="n"/>
      <c r="B119" s="13" t="n"/>
      <c r="C119" s="15" t="n"/>
      <c r="D119" s="63" t="n"/>
      <c r="E119" s="15" t="n"/>
      <c r="F119" s="15" t="n"/>
      <c r="G119" s="64" t="n"/>
      <c r="H119" s="40">
        <f>IF(OR($A119="",SUM($G$9:$G$208)=0,$G119=""),"",$G119/SUM($G$9:$G$208))</f>
        <v/>
      </c>
      <c r="I119" s="15" t="n"/>
      <c r="J119" s="14" t="n"/>
      <c r="K119" s="14" t="n"/>
      <c r="L119" s="65">
        <f>IF(OR($A119="",$J119="",$K119="",Data_Date=""),"",IF(Data_Date&lt;=$J119,0,IF(Data_Date&gt;=$K119,1,(Data_Date-$J119)/($K119-$J119))))</f>
        <v/>
      </c>
      <c r="M119" s="31">
        <f>IF(OR($A119="",$G119="",$L119=""),"",$G119*$L119)</f>
        <v/>
      </c>
      <c r="N119" s="65" t="n"/>
      <c r="O119" s="31">
        <f>IF(OR($A119="",$G119="",$N119=""),"",$G119*$N119)</f>
        <v/>
      </c>
      <c r="P119" s="64" t="n"/>
      <c r="Q119" s="35">
        <f>IF(OR($O119="",$M119=""),"",$O119-$M119)</f>
        <v/>
      </c>
      <c r="R119" s="35">
        <f>IF(OR($O119="",$P119=""),"",$O119-$P119)</f>
        <v/>
      </c>
      <c r="S119" s="40">
        <f>IF(OR($Q119="",$M119="",$M119=0),"",$Q119/$M119)</f>
        <v/>
      </c>
      <c r="T119" s="40">
        <f>IF(OR($R119="",$O119="",$O119=0),"",$R119/$O119)</f>
        <v/>
      </c>
      <c r="U119" s="61">
        <f>IF(OR($O119="",$M119="",$M119=0),"",$O119/$M119)</f>
        <v/>
      </c>
      <c r="V119" s="61">
        <f>IF(OR($O119="",$P119="",$P119=0),"",$O119/$P119)</f>
        <v/>
      </c>
      <c r="W119" s="31">
        <f>IF(OR($A119="",$G119=""),"",IF(EAC_Idx=1,IF(OR($P119="",$O119=""),"",$P119+($G119-$O119)),IF(EAC_Idx=2,IF(OR($V119="",$V119=0),"",$G119/$V119),IF(EAC_Idx=3,IF(OR($V119="",$U119=""),"",IF($V119*$U119=0,"",$P119+($G119-$O119)/($V119*$U119))),IF(OR($P119="",$O119="",ETC_BottomUp="",ETC_BottomUp&lt;=0),"",$P119+($G119-$O119)*EAC_BU_Factor)))))</f>
        <v/>
      </c>
      <c r="X119" s="31">
        <f>IF(OR($W119="",$P119=""),"",$W119-$P119)</f>
        <v/>
      </c>
      <c r="Y119" s="35">
        <f>IF(OR($W119="",$G119=""),"",$G119-$W119)</f>
        <v/>
      </c>
      <c r="Z119" s="61">
        <f>IF(OR($A119="",$G119="",$O119="",$P119="",$G119-$P119=0),"",($G119-$O119)/($G119-$P119))</f>
        <v/>
      </c>
      <c r="AA119" s="54">
        <f>IF($A119="","",IF(AND($N119&lt;&gt;"",$N119&gt;=1,OR($V119="",$V119&gt;=Thr_Green)),"Complete",IF(AND($U119="",$V119=""),"Not started",IF(OR(AND($U119&lt;&gt;"",$U119&lt;Thr_Red),AND($V119&lt;&gt;"",$V119&lt;Thr_Red)),"Red",IF(OR(AND($U119&lt;&gt;"",$U119&lt;Thr_Green),AND($V119&lt;&gt;"",$V119&lt;Thr_Green)),"Amber","Green")))))</f>
        <v/>
      </c>
      <c r="AB119" s="63" t="n"/>
      <c r="AC119" s="63" t="n"/>
      <c r="AD119" s="63" t="n"/>
    </row>
    <row r="120" ht="24" customHeight="1">
      <c r="A120" s="15" t="n"/>
      <c r="B120" s="13" t="n"/>
      <c r="C120" s="15" t="n"/>
      <c r="D120" s="63" t="n"/>
      <c r="E120" s="15" t="n"/>
      <c r="F120" s="15" t="n"/>
      <c r="G120" s="64" t="n"/>
      <c r="H120" s="40">
        <f>IF(OR($A120="",SUM($G$9:$G$208)=0,$G120=""),"",$G120/SUM($G$9:$G$208))</f>
        <v/>
      </c>
      <c r="I120" s="15" t="n"/>
      <c r="J120" s="14" t="n"/>
      <c r="K120" s="14" t="n"/>
      <c r="L120" s="65">
        <f>IF(OR($A120="",$J120="",$K120="",Data_Date=""),"",IF(Data_Date&lt;=$J120,0,IF(Data_Date&gt;=$K120,1,(Data_Date-$J120)/($K120-$J120))))</f>
        <v/>
      </c>
      <c r="M120" s="31">
        <f>IF(OR($A120="",$G120="",$L120=""),"",$G120*$L120)</f>
        <v/>
      </c>
      <c r="N120" s="65" t="n"/>
      <c r="O120" s="31">
        <f>IF(OR($A120="",$G120="",$N120=""),"",$G120*$N120)</f>
        <v/>
      </c>
      <c r="P120" s="64" t="n"/>
      <c r="Q120" s="35">
        <f>IF(OR($O120="",$M120=""),"",$O120-$M120)</f>
        <v/>
      </c>
      <c r="R120" s="35">
        <f>IF(OR($O120="",$P120=""),"",$O120-$P120)</f>
        <v/>
      </c>
      <c r="S120" s="40">
        <f>IF(OR($Q120="",$M120="",$M120=0),"",$Q120/$M120)</f>
        <v/>
      </c>
      <c r="T120" s="40">
        <f>IF(OR($R120="",$O120="",$O120=0),"",$R120/$O120)</f>
        <v/>
      </c>
      <c r="U120" s="61">
        <f>IF(OR($O120="",$M120="",$M120=0),"",$O120/$M120)</f>
        <v/>
      </c>
      <c r="V120" s="61">
        <f>IF(OR($O120="",$P120="",$P120=0),"",$O120/$P120)</f>
        <v/>
      </c>
      <c r="W120" s="31">
        <f>IF(OR($A120="",$G120=""),"",IF(EAC_Idx=1,IF(OR($P120="",$O120=""),"",$P120+($G120-$O120)),IF(EAC_Idx=2,IF(OR($V120="",$V120=0),"",$G120/$V120),IF(EAC_Idx=3,IF(OR($V120="",$U120=""),"",IF($V120*$U120=0,"",$P120+($G120-$O120)/($V120*$U120))),IF(OR($P120="",$O120="",ETC_BottomUp="",ETC_BottomUp&lt;=0),"",$P120+($G120-$O120)*EAC_BU_Factor)))))</f>
        <v/>
      </c>
      <c r="X120" s="31">
        <f>IF(OR($W120="",$P120=""),"",$W120-$P120)</f>
        <v/>
      </c>
      <c r="Y120" s="35">
        <f>IF(OR($W120="",$G120=""),"",$G120-$W120)</f>
        <v/>
      </c>
      <c r="Z120" s="61">
        <f>IF(OR($A120="",$G120="",$O120="",$P120="",$G120-$P120=0),"",($G120-$O120)/($G120-$P120))</f>
        <v/>
      </c>
      <c r="AA120" s="54">
        <f>IF($A120="","",IF(AND($N120&lt;&gt;"",$N120&gt;=1,OR($V120="",$V120&gt;=Thr_Green)),"Complete",IF(AND($U120="",$V120=""),"Not started",IF(OR(AND($U120&lt;&gt;"",$U120&lt;Thr_Red),AND($V120&lt;&gt;"",$V120&lt;Thr_Red)),"Red",IF(OR(AND($U120&lt;&gt;"",$U120&lt;Thr_Green),AND($V120&lt;&gt;"",$V120&lt;Thr_Green)),"Amber","Green")))))</f>
        <v/>
      </c>
      <c r="AB120" s="63" t="n"/>
      <c r="AC120" s="63" t="n"/>
      <c r="AD120" s="63" t="n"/>
    </row>
    <row r="121" ht="24" customHeight="1">
      <c r="A121" s="15" t="n"/>
      <c r="B121" s="13" t="n"/>
      <c r="C121" s="15" t="n"/>
      <c r="D121" s="63" t="n"/>
      <c r="E121" s="15" t="n"/>
      <c r="F121" s="15" t="n"/>
      <c r="G121" s="64" t="n"/>
      <c r="H121" s="40">
        <f>IF(OR($A121="",SUM($G$9:$G$208)=0,$G121=""),"",$G121/SUM($G$9:$G$208))</f>
        <v/>
      </c>
      <c r="I121" s="15" t="n"/>
      <c r="J121" s="14" t="n"/>
      <c r="K121" s="14" t="n"/>
      <c r="L121" s="65">
        <f>IF(OR($A121="",$J121="",$K121="",Data_Date=""),"",IF(Data_Date&lt;=$J121,0,IF(Data_Date&gt;=$K121,1,(Data_Date-$J121)/($K121-$J121))))</f>
        <v/>
      </c>
      <c r="M121" s="31">
        <f>IF(OR($A121="",$G121="",$L121=""),"",$G121*$L121)</f>
        <v/>
      </c>
      <c r="N121" s="65" t="n"/>
      <c r="O121" s="31">
        <f>IF(OR($A121="",$G121="",$N121=""),"",$G121*$N121)</f>
        <v/>
      </c>
      <c r="P121" s="64" t="n"/>
      <c r="Q121" s="35">
        <f>IF(OR($O121="",$M121=""),"",$O121-$M121)</f>
        <v/>
      </c>
      <c r="R121" s="35">
        <f>IF(OR($O121="",$P121=""),"",$O121-$P121)</f>
        <v/>
      </c>
      <c r="S121" s="40">
        <f>IF(OR($Q121="",$M121="",$M121=0),"",$Q121/$M121)</f>
        <v/>
      </c>
      <c r="T121" s="40">
        <f>IF(OR($R121="",$O121="",$O121=0),"",$R121/$O121)</f>
        <v/>
      </c>
      <c r="U121" s="61">
        <f>IF(OR($O121="",$M121="",$M121=0),"",$O121/$M121)</f>
        <v/>
      </c>
      <c r="V121" s="61">
        <f>IF(OR($O121="",$P121="",$P121=0),"",$O121/$P121)</f>
        <v/>
      </c>
      <c r="W121" s="31">
        <f>IF(OR($A121="",$G121=""),"",IF(EAC_Idx=1,IF(OR($P121="",$O121=""),"",$P121+($G121-$O121)),IF(EAC_Idx=2,IF(OR($V121="",$V121=0),"",$G121/$V121),IF(EAC_Idx=3,IF(OR($V121="",$U121=""),"",IF($V121*$U121=0,"",$P121+($G121-$O121)/($V121*$U121))),IF(OR($P121="",$O121="",ETC_BottomUp="",ETC_BottomUp&lt;=0),"",$P121+($G121-$O121)*EAC_BU_Factor)))))</f>
        <v/>
      </c>
      <c r="X121" s="31">
        <f>IF(OR($W121="",$P121=""),"",$W121-$P121)</f>
        <v/>
      </c>
      <c r="Y121" s="35">
        <f>IF(OR($W121="",$G121=""),"",$G121-$W121)</f>
        <v/>
      </c>
      <c r="Z121" s="61">
        <f>IF(OR($A121="",$G121="",$O121="",$P121="",$G121-$P121=0),"",($G121-$O121)/($G121-$P121))</f>
        <v/>
      </c>
      <c r="AA121" s="54">
        <f>IF($A121="","",IF(AND($N121&lt;&gt;"",$N121&gt;=1,OR($V121="",$V121&gt;=Thr_Green)),"Complete",IF(AND($U121="",$V121=""),"Not started",IF(OR(AND($U121&lt;&gt;"",$U121&lt;Thr_Red),AND($V121&lt;&gt;"",$V121&lt;Thr_Red)),"Red",IF(OR(AND($U121&lt;&gt;"",$U121&lt;Thr_Green),AND($V121&lt;&gt;"",$V121&lt;Thr_Green)),"Amber","Green")))))</f>
        <v/>
      </c>
      <c r="AB121" s="63" t="n"/>
      <c r="AC121" s="63" t="n"/>
      <c r="AD121" s="63" t="n"/>
    </row>
    <row r="122" ht="24" customHeight="1">
      <c r="A122" s="15" t="n"/>
      <c r="B122" s="13" t="n"/>
      <c r="C122" s="15" t="n"/>
      <c r="D122" s="63" t="n"/>
      <c r="E122" s="15" t="n"/>
      <c r="F122" s="15" t="n"/>
      <c r="G122" s="64" t="n"/>
      <c r="H122" s="40">
        <f>IF(OR($A122="",SUM($G$9:$G$208)=0,$G122=""),"",$G122/SUM($G$9:$G$208))</f>
        <v/>
      </c>
      <c r="I122" s="15" t="n"/>
      <c r="J122" s="14" t="n"/>
      <c r="K122" s="14" t="n"/>
      <c r="L122" s="65">
        <f>IF(OR($A122="",$J122="",$K122="",Data_Date=""),"",IF(Data_Date&lt;=$J122,0,IF(Data_Date&gt;=$K122,1,(Data_Date-$J122)/($K122-$J122))))</f>
        <v/>
      </c>
      <c r="M122" s="31">
        <f>IF(OR($A122="",$G122="",$L122=""),"",$G122*$L122)</f>
        <v/>
      </c>
      <c r="N122" s="65" t="n"/>
      <c r="O122" s="31">
        <f>IF(OR($A122="",$G122="",$N122=""),"",$G122*$N122)</f>
        <v/>
      </c>
      <c r="P122" s="64" t="n"/>
      <c r="Q122" s="35">
        <f>IF(OR($O122="",$M122=""),"",$O122-$M122)</f>
        <v/>
      </c>
      <c r="R122" s="35">
        <f>IF(OR($O122="",$P122=""),"",$O122-$P122)</f>
        <v/>
      </c>
      <c r="S122" s="40">
        <f>IF(OR($Q122="",$M122="",$M122=0),"",$Q122/$M122)</f>
        <v/>
      </c>
      <c r="T122" s="40">
        <f>IF(OR($R122="",$O122="",$O122=0),"",$R122/$O122)</f>
        <v/>
      </c>
      <c r="U122" s="61">
        <f>IF(OR($O122="",$M122="",$M122=0),"",$O122/$M122)</f>
        <v/>
      </c>
      <c r="V122" s="61">
        <f>IF(OR($O122="",$P122="",$P122=0),"",$O122/$P122)</f>
        <v/>
      </c>
      <c r="W122" s="31">
        <f>IF(OR($A122="",$G122=""),"",IF(EAC_Idx=1,IF(OR($P122="",$O122=""),"",$P122+($G122-$O122)),IF(EAC_Idx=2,IF(OR($V122="",$V122=0),"",$G122/$V122),IF(EAC_Idx=3,IF(OR($V122="",$U122=""),"",IF($V122*$U122=0,"",$P122+($G122-$O122)/($V122*$U122))),IF(OR($P122="",$O122="",ETC_BottomUp="",ETC_BottomUp&lt;=0),"",$P122+($G122-$O122)*EAC_BU_Factor)))))</f>
        <v/>
      </c>
      <c r="X122" s="31">
        <f>IF(OR($W122="",$P122=""),"",$W122-$P122)</f>
        <v/>
      </c>
      <c r="Y122" s="35">
        <f>IF(OR($W122="",$G122=""),"",$G122-$W122)</f>
        <v/>
      </c>
      <c r="Z122" s="61">
        <f>IF(OR($A122="",$G122="",$O122="",$P122="",$G122-$P122=0),"",($G122-$O122)/($G122-$P122))</f>
        <v/>
      </c>
      <c r="AA122" s="54">
        <f>IF($A122="","",IF(AND($N122&lt;&gt;"",$N122&gt;=1,OR($V122="",$V122&gt;=Thr_Green)),"Complete",IF(AND($U122="",$V122=""),"Not started",IF(OR(AND($U122&lt;&gt;"",$U122&lt;Thr_Red),AND($V122&lt;&gt;"",$V122&lt;Thr_Red)),"Red",IF(OR(AND($U122&lt;&gt;"",$U122&lt;Thr_Green),AND($V122&lt;&gt;"",$V122&lt;Thr_Green)),"Amber","Green")))))</f>
        <v/>
      </c>
      <c r="AB122" s="63" t="n"/>
      <c r="AC122" s="63" t="n"/>
      <c r="AD122" s="63" t="n"/>
    </row>
    <row r="123" ht="24" customHeight="1">
      <c r="A123" s="15" t="n"/>
      <c r="B123" s="13" t="n"/>
      <c r="C123" s="15" t="n"/>
      <c r="D123" s="63" t="n"/>
      <c r="E123" s="15" t="n"/>
      <c r="F123" s="15" t="n"/>
      <c r="G123" s="64" t="n"/>
      <c r="H123" s="40">
        <f>IF(OR($A123="",SUM($G$9:$G$208)=0,$G123=""),"",$G123/SUM($G$9:$G$208))</f>
        <v/>
      </c>
      <c r="I123" s="15" t="n"/>
      <c r="J123" s="14" t="n"/>
      <c r="K123" s="14" t="n"/>
      <c r="L123" s="65">
        <f>IF(OR($A123="",$J123="",$K123="",Data_Date=""),"",IF(Data_Date&lt;=$J123,0,IF(Data_Date&gt;=$K123,1,(Data_Date-$J123)/($K123-$J123))))</f>
        <v/>
      </c>
      <c r="M123" s="31">
        <f>IF(OR($A123="",$G123="",$L123=""),"",$G123*$L123)</f>
        <v/>
      </c>
      <c r="N123" s="65" t="n"/>
      <c r="O123" s="31">
        <f>IF(OR($A123="",$G123="",$N123=""),"",$G123*$N123)</f>
        <v/>
      </c>
      <c r="P123" s="64" t="n"/>
      <c r="Q123" s="35">
        <f>IF(OR($O123="",$M123=""),"",$O123-$M123)</f>
        <v/>
      </c>
      <c r="R123" s="35">
        <f>IF(OR($O123="",$P123=""),"",$O123-$P123)</f>
        <v/>
      </c>
      <c r="S123" s="40">
        <f>IF(OR($Q123="",$M123="",$M123=0),"",$Q123/$M123)</f>
        <v/>
      </c>
      <c r="T123" s="40">
        <f>IF(OR($R123="",$O123="",$O123=0),"",$R123/$O123)</f>
        <v/>
      </c>
      <c r="U123" s="61">
        <f>IF(OR($O123="",$M123="",$M123=0),"",$O123/$M123)</f>
        <v/>
      </c>
      <c r="V123" s="61">
        <f>IF(OR($O123="",$P123="",$P123=0),"",$O123/$P123)</f>
        <v/>
      </c>
      <c r="W123" s="31">
        <f>IF(OR($A123="",$G123=""),"",IF(EAC_Idx=1,IF(OR($P123="",$O123=""),"",$P123+($G123-$O123)),IF(EAC_Idx=2,IF(OR($V123="",$V123=0),"",$G123/$V123),IF(EAC_Idx=3,IF(OR($V123="",$U123=""),"",IF($V123*$U123=0,"",$P123+($G123-$O123)/($V123*$U123))),IF(OR($P123="",$O123="",ETC_BottomUp="",ETC_BottomUp&lt;=0),"",$P123+($G123-$O123)*EAC_BU_Factor)))))</f>
        <v/>
      </c>
      <c r="X123" s="31">
        <f>IF(OR($W123="",$P123=""),"",$W123-$P123)</f>
        <v/>
      </c>
      <c r="Y123" s="35">
        <f>IF(OR($W123="",$G123=""),"",$G123-$W123)</f>
        <v/>
      </c>
      <c r="Z123" s="61">
        <f>IF(OR($A123="",$G123="",$O123="",$P123="",$G123-$P123=0),"",($G123-$O123)/($G123-$P123))</f>
        <v/>
      </c>
      <c r="AA123" s="54">
        <f>IF($A123="","",IF(AND($N123&lt;&gt;"",$N123&gt;=1,OR($V123="",$V123&gt;=Thr_Green)),"Complete",IF(AND($U123="",$V123=""),"Not started",IF(OR(AND($U123&lt;&gt;"",$U123&lt;Thr_Red),AND($V123&lt;&gt;"",$V123&lt;Thr_Red)),"Red",IF(OR(AND($U123&lt;&gt;"",$U123&lt;Thr_Green),AND($V123&lt;&gt;"",$V123&lt;Thr_Green)),"Amber","Green")))))</f>
        <v/>
      </c>
      <c r="AB123" s="63" t="n"/>
      <c r="AC123" s="63" t="n"/>
      <c r="AD123" s="63" t="n"/>
    </row>
    <row r="124" ht="24" customHeight="1">
      <c r="A124" s="15" t="n"/>
      <c r="B124" s="13" t="n"/>
      <c r="C124" s="15" t="n"/>
      <c r="D124" s="63" t="n"/>
      <c r="E124" s="15" t="n"/>
      <c r="F124" s="15" t="n"/>
      <c r="G124" s="64" t="n"/>
      <c r="H124" s="40">
        <f>IF(OR($A124="",SUM($G$9:$G$208)=0,$G124=""),"",$G124/SUM($G$9:$G$208))</f>
        <v/>
      </c>
      <c r="I124" s="15" t="n"/>
      <c r="J124" s="14" t="n"/>
      <c r="K124" s="14" t="n"/>
      <c r="L124" s="65">
        <f>IF(OR($A124="",$J124="",$K124="",Data_Date=""),"",IF(Data_Date&lt;=$J124,0,IF(Data_Date&gt;=$K124,1,(Data_Date-$J124)/($K124-$J124))))</f>
        <v/>
      </c>
      <c r="M124" s="31">
        <f>IF(OR($A124="",$G124="",$L124=""),"",$G124*$L124)</f>
        <v/>
      </c>
      <c r="N124" s="65" t="n"/>
      <c r="O124" s="31">
        <f>IF(OR($A124="",$G124="",$N124=""),"",$G124*$N124)</f>
        <v/>
      </c>
      <c r="P124" s="64" t="n"/>
      <c r="Q124" s="35">
        <f>IF(OR($O124="",$M124=""),"",$O124-$M124)</f>
        <v/>
      </c>
      <c r="R124" s="35">
        <f>IF(OR($O124="",$P124=""),"",$O124-$P124)</f>
        <v/>
      </c>
      <c r="S124" s="40">
        <f>IF(OR($Q124="",$M124="",$M124=0),"",$Q124/$M124)</f>
        <v/>
      </c>
      <c r="T124" s="40">
        <f>IF(OR($R124="",$O124="",$O124=0),"",$R124/$O124)</f>
        <v/>
      </c>
      <c r="U124" s="61">
        <f>IF(OR($O124="",$M124="",$M124=0),"",$O124/$M124)</f>
        <v/>
      </c>
      <c r="V124" s="61">
        <f>IF(OR($O124="",$P124="",$P124=0),"",$O124/$P124)</f>
        <v/>
      </c>
      <c r="W124" s="31">
        <f>IF(OR($A124="",$G124=""),"",IF(EAC_Idx=1,IF(OR($P124="",$O124=""),"",$P124+($G124-$O124)),IF(EAC_Idx=2,IF(OR($V124="",$V124=0),"",$G124/$V124),IF(EAC_Idx=3,IF(OR($V124="",$U124=""),"",IF($V124*$U124=0,"",$P124+($G124-$O124)/($V124*$U124))),IF(OR($P124="",$O124="",ETC_BottomUp="",ETC_BottomUp&lt;=0),"",$P124+($G124-$O124)*EAC_BU_Factor)))))</f>
        <v/>
      </c>
      <c r="X124" s="31">
        <f>IF(OR($W124="",$P124=""),"",$W124-$P124)</f>
        <v/>
      </c>
      <c r="Y124" s="35">
        <f>IF(OR($W124="",$G124=""),"",$G124-$W124)</f>
        <v/>
      </c>
      <c r="Z124" s="61">
        <f>IF(OR($A124="",$G124="",$O124="",$P124="",$G124-$P124=0),"",($G124-$O124)/($G124-$P124))</f>
        <v/>
      </c>
      <c r="AA124" s="54">
        <f>IF($A124="","",IF(AND($N124&lt;&gt;"",$N124&gt;=1,OR($V124="",$V124&gt;=Thr_Green)),"Complete",IF(AND($U124="",$V124=""),"Not started",IF(OR(AND($U124&lt;&gt;"",$U124&lt;Thr_Red),AND($V124&lt;&gt;"",$V124&lt;Thr_Red)),"Red",IF(OR(AND($U124&lt;&gt;"",$U124&lt;Thr_Green),AND($V124&lt;&gt;"",$V124&lt;Thr_Green)),"Amber","Green")))))</f>
        <v/>
      </c>
      <c r="AB124" s="63" t="n"/>
      <c r="AC124" s="63" t="n"/>
      <c r="AD124" s="63" t="n"/>
    </row>
    <row r="125" ht="24" customHeight="1">
      <c r="A125" s="15" t="n"/>
      <c r="B125" s="13" t="n"/>
      <c r="C125" s="15" t="n"/>
      <c r="D125" s="63" t="n"/>
      <c r="E125" s="15" t="n"/>
      <c r="F125" s="15" t="n"/>
      <c r="G125" s="64" t="n"/>
      <c r="H125" s="40">
        <f>IF(OR($A125="",SUM($G$9:$G$208)=0,$G125=""),"",$G125/SUM($G$9:$G$208))</f>
        <v/>
      </c>
      <c r="I125" s="15" t="n"/>
      <c r="J125" s="14" t="n"/>
      <c r="K125" s="14" t="n"/>
      <c r="L125" s="65">
        <f>IF(OR($A125="",$J125="",$K125="",Data_Date=""),"",IF(Data_Date&lt;=$J125,0,IF(Data_Date&gt;=$K125,1,(Data_Date-$J125)/($K125-$J125))))</f>
        <v/>
      </c>
      <c r="M125" s="31">
        <f>IF(OR($A125="",$G125="",$L125=""),"",$G125*$L125)</f>
        <v/>
      </c>
      <c r="N125" s="65" t="n"/>
      <c r="O125" s="31">
        <f>IF(OR($A125="",$G125="",$N125=""),"",$G125*$N125)</f>
        <v/>
      </c>
      <c r="P125" s="64" t="n"/>
      <c r="Q125" s="35">
        <f>IF(OR($O125="",$M125=""),"",$O125-$M125)</f>
        <v/>
      </c>
      <c r="R125" s="35">
        <f>IF(OR($O125="",$P125=""),"",$O125-$P125)</f>
        <v/>
      </c>
      <c r="S125" s="40">
        <f>IF(OR($Q125="",$M125="",$M125=0),"",$Q125/$M125)</f>
        <v/>
      </c>
      <c r="T125" s="40">
        <f>IF(OR($R125="",$O125="",$O125=0),"",$R125/$O125)</f>
        <v/>
      </c>
      <c r="U125" s="61">
        <f>IF(OR($O125="",$M125="",$M125=0),"",$O125/$M125)</f>
        <v/>
      </c>
      <c r="V125" s="61">
        <f>IF(OR($O125="",$P125="",$P125=0),"",$O125/$P125)</f>
        <v/>
      </c>
      <c r="W125" s="31">
        <f>IF(OR($A125="",$G125=""),"",IF(EAC_Idx=1,IF(OR($P125="",$O125=""),"",$P125+($G125-$O125)),IF(EAC_Idx=2,IF(OR($V125="",$V125=0),"",$G125/$V125),IF(EAC_Idx=3,IF(OR($V125="",$U125=""),"",IF($V125*$U125=0,"",$P125+($G125-$O125)/($V125*$U125))),IF(OR($P125="",$O125="",ETC_BottomUp="",ETC_BottomUp&lt;=0),"",$P125+($G125-$O125)*EAC_BU_Factor)))))</f>
        <v/>
      </c>
      <c r="X125" s="31">
        <f>IF(OR($W125="",$P125=""),"",$W125-$P125)</f>
        <v/>
      </c>
      <c r="Y125" s="35">
        <f>IF(OR($W125="",$G125=""),"",$G125-$W125)</f>
        <v/>
      </c>
      <c r="Z125" s="61">
        <f>IF(OR($A125="",$G125="",$O125="",$P125="",$G125-$P125=0),"",($G125-$O125)/($G125-$P125))</f>
        <v/>
      </c>
      <c r="AA125" s="54">
        <f>IF($A125="","",IF(AND($N125&lt;&gt;"",$N125&gt;=1,OR($V125="",$V125&gt;=Thr_Green)),"Complete",IF(AND($U125="",$V125=""),"Not started",IF(OR(AND($U125&lt;&gt;"",$U125&lt;Thr_Red),AND($V125&lt;&gt;"",$V125&lt;Thr_Red)),"Red",IF(OR(AND($U125&lt;&gt;"",$U125&lt;Thr_Green),AND($V125&lt;&gt;"",$V125&lt;Thr_Green)),"Amber","Green")))))</f>
        <v/>
      </c>
      <c r="AB125" s="63" t="n"/>
      <c r="AC125" s="63" t="n"/>
      <c r="AD125" s="63" t="n"/>
    </row>
    <row r="126" ht="24" customHeight="1">
      <c r="A126" s="15" t="n"/>
      <c r="B126" s="13" t="n"/>
      <c r="C126" s="15" t="n"/>
      <c r="D126" s="63" t="n"/>
      <c r="E126" s="15" t="n"/>
      <c r="F126" s="15" t="n"/>
      <c r="G126" s="64" t="n"/>
      <c r="H126" s="40">
        <f>IF(OR($A126="",SUM($G$9:$G$208)=0,$G126=""),"",$G126/SUM($G$9:$G$208))</f>
        <v/>
      </c>
      <c r="I126" s="15" t="n"/>
      <c r="J126" s="14" t="n"/>
      <c r="K126" s="14" t="n"/>
      <c r="L126" s="65">
        <f>IF(OR($A126="",$J126="",$K126="",Data_Date=""),"",IF(Data_Date&lt;=$J126,0,IF(Data_Date&gt;=$K126,1,(Data_Date-$J126)/($K126-$J126))))</f>
        <v/>
      </c>
      <c r="M126" s="31">
        <f>IF(OR($A126="",$G126="",$L126=""),"",$G126*$L126)</f>
        <v/>
      </c>
      <c r="N126" s="65" t="n"/>
      <c r="O126" s="31">
        <f>IF(OR($A126="",$G126="",$N126=""),"",$G126*$N126)</f>
        <v/>
      </c>
      <c r="P126" s="64" t="n"/>
      <c r="Q126" s="35">
        <f>IF(OR($O126="",$M126=""),"",$O126-$M126)</f>
        <v/>
      </c>
      <c r="R126" s="35">
        <f>IF(OR($O126="",$P126=""),"",$O126-$P126)</f>
        <v/>
      </c>
      <c r="S126" s="40">
        <f>IF(OR($Q126="",$M126="",$M126=0),"",$Q126/$M126)</f>
        <v/>
      </c>
      <c r="T126" s="40">
        <f>IF(OR($R126="",$O126="",$O126=0),"",$R126/$O126)</f>
        <v/>
      </c>
      <c r="U126" s="61">
        <f>IF(OR($O126="",$M126="",$M126=0),"",$O126/$M126)</f>
        <v/>
      </c>
      <c r="V126" s="61">
        <f>IF(OR($O126="",$P126="",$P126=0),"",$O126/$P126)</f>
        <v/>
      </c>
      <c r="W126" s="31">
        <f>IF(OR($A126="",$G126=""),"",IF(EAC_Idx=1,IF(OR($P126="",$O126=""),"",$P126+($G126-$O126)),IF(EAC_Idx=2,IF(OR($V126="",$V126=0),"",$G126/$V126),IF(EAC_Idx=3,IF(OR($V126="",$U126=""),"",IF($V126*$U126=0,"",$P126+($G126-$O126)/($V126*$U126))),IF(OR($P126="",$O126="",ETC_BottomUp="",ETC_BottomUp&lt;=0),"",$P126+($G126-$O126)*EAC_BU_Factor)))))</f>
        <v/>
      </c>
      <c r="X126" s="31">
        <f>IF(OR($W126="",$P126=""),"",$W126-$P126)</f>
        <v/>
      </c>
      <c r="Y126" s="35">
        <f>IF(OR($W126="",$G126=""),"",$G126-$W126)</f>
        <v/>
      </c>
      <c r="Z126" s="61">
        <f>IF(OR($A126="",$G126="",$O126="",$P126="",$G126-$P126=0),"",($G126-$O126)/($G126-$P126))</f>
        <v/>
      </c>
      <c r="AA126" s="54">
        <f>IF($A126="","",IF(AND($N126&lt;&gt;"",$N126&gt;=1,OR($V126="",$V126&gt;=Thr_Green)),"Complete",IF(AND($U126="",$V126=""),"Not started",IF(OR(AND($U126&lt;&gt;"",$U126&lt;Thr_Red),AND($V126&lt;&gt;"",$V126&lt;Thr_Red)),"Red",IF(OR(AND($U126&lt;&gt;"",$U126&lt;Thr_Green),AND($V126&lt;&gt;"",$V126&lt;Thr_Green)),"Amber","Green")))))</f>
        <v/>
      </c>
      <c r="AB126" s="63" t="n"/>
      <c r="AC126" s="63" t="n"/>
      <c r="AD126" s="63" t="n"/>
    </row>
    <row r="127" ht="24" customHeight="1">
      <c r="A127" s="15" t="n"/>
      <c r="B127" s="13" t="n"/>
      <c r="C127" s="15" t="n"/>
      <c r="D127" s="63" t="n"/>
      <c r="E127" s="15" t="n"/>
      <c r="F127" s="15" t="n"/>
      <c r="G127" s="64" t="n"/>
      <c r="H127" s="40">
        <f>IF(OR($A127="",SUM($G$9:$G$208)=0,$G127=""),"",$G127/SUM($G$9:$G$208))</f>
        <v/>
      </c>
      <c r="I127" s="15" t="n"/>
      <c r="J127" s="14" t="n"/>
      <c r="K127" s="14" t="n"/>
      <c r="L127" s="65">
        <f>IF(OR($A127="",$J127="",$K127="",Data_Date=""),"",IF(Data_Date&lt;=$J127,0,IF(Data_Date&gt;=$K127,1,(Data_Date-$J127)/($K127-$J127))))</f>
        <v/>
      </c>
      <c r="M127" s="31">
        <f>IF(OR($A127="",$G127="",$L127=""),"",$G127*$L127)</f>
        <v/>
      </c>
      <c r="N127" s="65" t="n"/>
      <c r="O127" s="31">
        <f>IF(OR($A127="",$G127="",$N127=""),"",$G127*$N127)</f>
        <v/>
      </c>
      <c r="P127" s="64" t="n"/>
      <c r="Q127" s="35">
        <f>IF(OR($O127="",$M127=""),"",$O127-$M127)</f>
        <v/>
      </c>
      <c r="R127" s="35">
        <f>IF(OR($O127="",$P127=""),"",$O127-$P127)</f>
        <v/>
      </c>
      <c r="S127" s="40">
        <f>IF(OR($Q127="",$M127="",$M127=0),"",$Q127/$M127)</f>
        <v/>
      </c>
      <c r="T127" s="40">
        <f>IF(OR($R127="",$O127="",$O127=0),"",$R127/$O127)</f>
        <v/>
      </c>
      <c r="U127" s="61">
        <f>IF(OR($O127="",$M127="",$M127=0),"",$O127/$M127)</f>
        <v/>
      </c>
      <c r="V127" s="61">
        <f>IF(OR($O127="",$P127="",$P127=0),"",$O127/$P127)</f>
        <v/>
      </c>
      <c r="W127" s="31">
        <f>IF(OR($A127="",$G127=""),"",IF(EAC_Idx=1,IF(OR($P127="",$O127=""),"",$P127+($G127-$O127)),IF(EAC_Idx=2,IF(OR($V127="",$V127=0),"",$G127/$V127),IF(EAC_Idx=3,IF(OR($V127="",$U127=""),"",IF($V127*$U127=0,"",$P127+($G127-$O127)/($V127*$U127))),IF(OR($P127="",$O127="",ETC_BottomUp="",ETC_BottomUp&lt;=0),"",$P127+($G127-$O127)*EAC_BU_Factor)))))</f>
        <v/>
      </c>
      <c r="X127" s="31">
        <f>IF(OR($W127="",$P127=""),"",$W127-$P127)</f>
        <v/>
      </c>
      <c r="Y127" s="35">
        <f>IF(OR($W127="",$G127=""),"",$G127-$W127)</f>
        <v/>
      </c>
      <c r="Z127" s="61">
        <f>IF(OR($A127="",$G127="",$O127="",$P127="",$G127-$P127=0),"",($G127-$O127)/($G127-$P127))</f>
        <v/>
      </c>
      <c r="AA127" s="54">
        <f>IF($A127="","",IF(AND($N127&lt;&gt;"",$N127&gt;=1,OR($V127="",$V127&gt;=Thr_Green)),"Complete",IF(AND($U127="",$V127=""),"Not started",IF(OR(AND($U127&lt;&gt;"",$U127&lt;Thr_Red),AND($V127&lt;&gt;"",$V127&lt;Thr_Red)),"Red",IF(OR(AND($U127&lt;&gt;"",$U127&lt;Thr_Green),AND($V127&lt;&gt;"",$V127&lt;Thr_Green)),"Amber","Green")))))</f>
        <v/>
      </c>
      <c r="AB127" s="63" t="n"/>
      <c r="AC127" s="63" t="n"/>
      <c r="AD127" s="63" t="n"/>
    </row>
    <row r="128" ht="24" customHeight="1">
      <c r="A128" s="15" t="n"/>
      <c r="B128" s="13" t="n"/>
      <c r="C128" s="15" t="n"/>
      <c r="D128" s="63" t="n"/>
      <c r="E128" s="15" t="n"/>
      <c r="F128" s="15" t="n"/>
      <c r="G128" s="64" t="n"/>
      <c r="H128" s="40">
        <f>IF(OR($A128="",SUM($G$9:$G$208)=0,$G128=""),"",$G128/SUM($G$9:$G$208))</f>
        <v/>
      </c>
      <c r="I128" s="15" t="n"/>
      <c r="J128" s="14" t="n"/>
      <c r="K128" s="14" t="n"/>
      <c r="L128" s="65">
        <f>IF(OR($A128="",$J128="",$K128="",Data_Date=""),"",IF(Data_Date&lt;=$J128,0,IF(Data_Date&gt;=$K128,1,(Data_Date-$J128)/($K128-$J128))))</f>
        <v/>
      </c>
      <c r="M128" s="31">
        <f>IF(OR($A128="",$G128="",$L128=""),"",$G128*$L128)</f>
        <v/>
      </c>
      <c r="N128" s="65" t="n"/>
      <c r="O128" s="31">
        <f>IF(OR($A128="",$G128="",$N128=""),"",$G128*$N128)</f>
        <v/>
      </c>
      <c r="P128" s="64" t="n"/>
      <c r="Q128" s="35">
        <f>IF(OR($O128="",$M128=""),"",$O128-$M128)</f>
        <v/>
      </c>
      <c r="R128" s="35">
        <f>IF(OR($O128="",$P128=""),"",$O128-$P128)</f>
        <v/>
      </c>
      <c r="S128" s="40">
        <f>IF(OR($Q128="",$M128="",$M128=0),"",$Q128/$M128)</f>
        <v/>
      </c>
      <c r="T128" s="40">
        <f>IF(OR($R128="",$O128="",$O128=0),"",$R128/$O128)</f>
        <v/>
      </c>
      <c r="U128" s="61">
        <f>IF(OR($O128="",$M128="",$M128=0),"",$O128/$M128)</f>
        <v/>
      </c>
      <c r="V128" s="61">
        <f>IF(OR($O128="",$P128="",$P128=0),"",$O128/$P128)</f>
        <v/>
      </c>
      <c r="W128" s="31">
        <f>IF(OR($A128="",$G128=""),"",IF(EAC_Idx=1,IF(OR($P128="",$O128=""),"",$P128+($G128-$O128)),IF(EAC_Idx=2,IF(OR($V128="",$V128=0),"",$G128/$V128),IF(EAC_Idx=3,IF(OR($V128="",$U128=""),"",IF($V128*$U128=0,"",$P128+($G128-$O128)/($V128*$U128))),IF(OR($P128="",$O128="",ETC_BottomUp="",ETC_BottomUp&lt;=0),"",$P128+($G128-$O128)*EAC_BU_Factor)))))</f>
        <v/>
      </c>
      <c r="X128" s="31">
        <f>IF(OR($W128="",$P128=""),"",$W128-$P128)</f>
        <v/>
      </c>
      <c r="Y128" s="35">
        <f>IF(OR($W128="",$G128=""),"",$G128-$W128)</f>
        <v/>
      </c>
      <c r="Z128" s="61">
        <f>IF(OR($A128="",$G128="",$O128="",$P128="",$G128-$P128=0),"",($G128-$O128)/($G128-$P128))</f>
        <v/>
      </c>
      <c r="AA128" s="54">
        <f>IF($A128="","",IF(AND($N128&lt;&gt;"",$N128&gt;=1,OR($V128="",$V128&gt;=Thr_Green)),"Complete",IF(AND($U128="",$V128=""),"Not started",IF(OR(AND($U128&lt;&gt;"",$U128&lt;Thr_Red),AND($V128&lt;&gt;"",$V128&lt;Thr_Red)),"Red",IF(OR(AND($U128&lt;&gt;"",$U128&lt;Thr_Green),AND($V128&lt;&gt;"",$V128&lt;Thr_Green)),"Amber","Green")))))</f>
        <v/>
      </c>
      <c r="AB128" s="63" t="n"/>
      <c r="AC128" s="63" t="n"/>
      <c r="AD128" s="63" t="n"/>
    </row>
    <row r="129" ht="24" customHeight="1">
      <c r="A129" s="15" t="n"/>
      <c r="B129" s="13" t="n"/>
      <c r="C129" s="15" t="n"/>
      <c r="D129" s="63" t="n"/>
      <c r="E129" s="15" t="n"/>
      <c r="F129" s="15" t="n"/>
      <c r="G129" s="64" t="n"/>
      <c r="H129" s="40">
        <f>IF(OR($A129="",SUM($G$9:$G$208)=0,$G129=""),"",$G129/SUM($G$9:$G$208))</f>
        <v/>
      </c>
      <c r="I129" s="15" t="n"/>
      <c r="J129" s="14" t="n"/>
      <c r="K129" s="14" t="n"/>
      <c r="L129" s="65">
        <f>IF(OR($A129="",$J129="",$K129="",Data_Date=""),"",IF(Data_Date&lt;=$J129,0,IF(Data_Date&gt;=$K129,1,(Data_Date-$J129)/($K129-$J129))))</f>
        <v/>
      </c>
      <c r="M129" s="31">
        <f>IF(OR($A129="",$G129="",$L129=""),"",$G129*$L129)</f>
        <v/>
      </c>
      <c r="N129" s="65" t="n"/>
      <c r="O129" s="31">
        <f>IF(OR($A129="",$G129="",$N129=""),"",$G129*$N129)</f>
        <v/>
      </c>
      <c r="P129" s="64" t="n"/>
      <c r="Q129" s="35">
        <f>IF(OR($O129="",$M129=""),"",$O129-$M129)</f>
        <v/>
      </c>
      <c r="R129" s="35">
        <f>IF(OR($O129="",$P129=""),"",$O129-$P129)</f>
        <v/>
      </c>
      <c r="S129" s="40">
        <f>IF(OR($Q129="",$M129="",$M129=0),"",$Q129/$M129)</f>
        <v/>
      </c>
      <c r="T129" s="40">
        <f>IF(OR($R129="",$O129="",$O129=0),"",$R129/$O129)</f>
        <v/>
      </c>
      <c r="U129" s="61">
        <f>IF(OR($O129="",$M129="",$M129=0),"",$O129/$M129)</f>
        <v/>
      </c>
      <c r="V129" s="61">
        <f>IF(OR($O129="",$P129="",$P129=0),"",$O129/$P129)</f>
        <v/>
      </c>
      <c r="W129" s="31">
        <f>IF(OR($A129="",$G129=""),"",IF(EAC_Idx=1,IF(OR($P129="",$O129=""),"",$P129+($G129-$O129)),IF(EAC_Idx=2,IF(OR($V129="",$V129=0),"",$G129/$V129),IF(EAC_Idx=3,IF(OR($V129="",$U129=""),"",IF($V129*$U129=0,"",$P129+($G129-$O129)/($V129*$U129))),IF(OR($P129="",$O129="",ETC_BottomUp="",ETC_BottomUp&lt;=0),"",$P129+($G129-$O129)*EAC_BU_Factor)))))</f>
        <v/>
      </c>
      <c r="X129" s="31">
        <f>IF(OR($W129="",$P129=""),"",$W129-$P129)</f>
        <v/>
      </c>
      <c r="Y129" s="35">
        <f>IF(OR($W129="",$G129=""),"",$G129-$W129)</f>
        <v/>
      </c>
      <c r="Z129" s="61">
        <f>IF(OR($A129="",$G129="",$O129="",$P129="",$G129-$P129=0),"",($G129-$O129)/($G129-$P129))</f>
        <v/>
      </c>
      <c r="AA129" s="54">
        <f>IF($A129="","",IF(AND($N129&lt;&gt;"",$N129&gt;=1,OR($V129="",$V129&gt;=Thr_Green)),"Complete",IF(AND($U129="",$V129=""),"Not started",IF(OR(AND($U129&lt;&gt;"",$U129&lt;Thr_Red),AND($V129&lt;&gt;"",$V129&lt;Thr_Red)),"Red",IF(OR(AND($U129&lt;&gt;"",$U129&lt;Thr_Green),AND($V129&lt;&gt;"",$V129&lt;Thr_Green)),"Amber","Green")))))</f>
        <v/>
      </c>
      <c r="AB129" s="63" t="n"/>
      <c r="AC129" s="63" t="n"/>
      <c r="AD129" s="63" t="n"/>
    </row>
    <row r="130" ht="24" customHeight="1">
      <c r="A130" s="15" t="n"/>
      <c r="B130" s="13" t="n"/>
      <c r="C130" s="15" t="n"/>
      <c r="D130" s="63" t="n"/>
      <c r="E130" s="15" t="n"/>
      <c r="F130" s="15" t="n"/>
      <c r="G130" s="64" t="n"/>
      <c r="H130" s="40">
        <f>IF(OR($A130="",SUM($G$9:$G$208)=0,$G130=""),"",$G130/SUM($G$9:$G$208))</f>
        <v/>
      </c>
      <c r="I130" s="15" t="n"/>
      <c r="J130" s="14" t="n"/>
      <c r="K130" s="14" t="n"/>
      <c r="L130" s="65">
        <f>IF(OR($A130="",$J130="",$K130="",Data_Date=""),"",IF(Data_Date&lt;=$J130,0,IF(Data_Date&gt;=$K130,1,(Data_Date-$J130)/($K130-$J130))))</f>
        <v/>
      </c>
      <c r="M130" s="31">
        <f>IF(OR($A130="",$G130="",$L130=""),"",$G130*$L130)</f>
        <v/>
      </c>
      <c r="N130" s="65" t="n"/>
      <c r="O130" s="31">
        <f>IF(OR($A130="",$G130="",$N130=""),"",$G130*$N130)</f>
        <v/>
      </c>
      <c r="P130" s="64" t="n"/>
      <c r="Q130" s="35">
        <f>IF(OR($O130="",$M130=""),"",$O130-$M130)</f>
        <v/>
      </c>
      <c r="R130" s="35">
        <f>IF(OR($O130="",$P130=""),"",$O130-$P130)</f>
        <v/>
      </c>
      <c r="S130" s="40">
        <f>IF(OR($Q130="",$M130="",$M130=0),"",$Q130/$M130)</f>
        <v/>
      </c>
      <c r="T130" s="40">
        <f>IF(OR($R130="",$O130="",$O130=0),"",$R130/$O130)</f>
        <v/>
      </c>
      <c r="U130" s="61">
        <f>IF(OR($O130="",$M130="",$M130=0),"",$O130/$M130)</f>
        <v/>
      </c>
      <c r="V130" s="61">
        <f>IF(OR($O130="",$P130="",$P130=0),"",$O130/$P130)</f>
        <v/>
      </c>
      <c r="W130" s="31">
        <f>IF(OR($A130="",$G130=""),"",IF(EAC_Idx=1,IF(OR($P130="",$O130=""),"",$P130+($G130-$O130)),IF(EAC_Idx=2,IF(OR($V130="",$V130=0),"",$G130/$V130),IF(EAC_Idx=3,IF(OR($V130="",$U130=""),"",IF($V130*$U130=0,"",$P130+($G130-$O130)/($V130*$U130))),IF(OR($P130="",$O130="",ETC_BottomUp="",ETC_BottomUp&lt;=0),"",$P130+($G130-$O130)*EAC_BU_Factor)))))</f>
        <v/>
      </c>
      <c r="X130" s="31">
        <f>IF(OR($W130="",$P130=""),"",$W130-$P130)</f>
        <v/>
      </c>
      <c r="Y130" s="35">
        <f>IF(OR($W130="",$G130=""),"",$G130-$W130)</f>
        <v/>
      </c>
      <c r="Z130" s="61">
        <f>IF(OR($A130="",$G130="",$O130="",$P130="",$G130-$P130=0),"",($G130-$O130)/($G130-$P130))</f>
        <v/>
      </c>
      <c r="AA130" s="54">
        <f>IF($A130="","",IF(AND($N130&lt;&gt;"",$N130&gt;=1,OR($V130="",$V130&gt;=Thr_Green)),"Complete",IF(AND($U130="",$V130=""),"Not started",IF(OR(AND($U130&lt;&gt;"",$U130&lt;Thr_Red),AND($V130&lt;&gt;"",$V130&lt;Thr_Red)),"Red",IF(OR(AND($U130&lt;&gt;"",$U130&lt;Thr_Green),AND($V130&lt;&gt;"",$V130&lt;Thr_Green)),"Amber","Green")))))</f>
        <v/>
      </c>
      <c r="AB130" s="63" t="n"/>
      <c r="AC130" s="63" t="n"/>
      <c r="AD130" s="63" t="n"/>
    </row>
    <row r="131" ht="24" customHeight="1">
      <c r="A131" s="15" t="n"/>
      <c r="B131" s="13" t="n"/>
      <c r="C131" s="15" t="n"/>
      <c r="D131" s="63" t="n"/>
      <c r="E131" s="15" t="n"/>
      <c r="F131" s="15" t="n"/>
      <c r="G131" s="64" t="n"/>
      <c r="H131" s="40">
        <f>IF(OR($A131="",SUM($G$9:$G$208)=0,$G131=""),"",$G131/SUM($G$9:$G$208))</f>
        <v/>
      </c>
      <c r="I131" s="15" t="n"/>
      <c r="J131" s="14" t="n"/>
      <c r="K131" s="14" t="n"/>
      <c r="L131" s="65">
        <f>IF(OR($A131="",$J131="",$K131="",Data_Date=""),"",IF(Data_Date&lt;=$J131,0,IF(Data_Date&gt;=$K131,1,(Data_Date-$J131)/($K131-$J131))))</f>
        <v/>
      </c>
      <c r="M131" s="31">
        <f>IF(OR($A131="",$G131="",$L131=""),"",$G131*$L131)</f>
        <v/>
      </c>
      <c r="N131" s="65" t="n"/>
      <c r="O131" s="31">
        <f>IF(OR($A131="",$G131="",$N131=""),"",$G131*$N131)</f>
        <v/>
      </c>
      <c r="P131" s="64" t="n"/>
      <c r="Q131" s="35">
        <f>IF(OR($O131="",$M131=""),"",$O131-$M131)</f>
        <v/>
      </c>
      <c r="R131" s="35">
        <f>IF(OR($O131="",$P131=""),"",$O131-$P131)</f>
        <v/>
      </c>
      <c r="S131" s="40">
        <f>IF(OR($Q131="",$M131="",$M131=0),"",$Q131/$M131)</f>
        <v/>
      </c>
      <c r="T131" s="40">
        <f>IF(OR($R131="",$O131="",$O131=0),"",$R131/$O131)</f>
        <v/>
      </c>
      <c r="U131" s="61">
        <f>IF(OR($O131="",$M131="",$M131=0),"",$O131/$M131)</f>
        <v/>
      </c>
      <c r="V131" s="61">
        <f>IF(OR($O131="",$P131="",$P131=0),"",$O131/$P131)</f>
        <v/>
      </c>
      <c r="W131" s="31">
        <f>IF(OR($A131="",$G131=""),"",IF(EAC_Idx=1,IF(OR($P131="",$O131=""),"",$P131+($G131-$O131)),IF(EAC_Idx=2,IF(OR($V131="",$V131=0),"",$G131/$V131),IF(EAC_Idx=3,IF(OR($V131="",$U131=""),"",IF($V131*$U131=0,"",$P131+($G131-$O131)/($V131*$U131))),IF(OR($P131="",$O131="",ETC_BottomUp="",ETC_BottomUp&lt;=0),"",$P131+($G131-$O131)*EAC_BU_Factor)))))</f>
        <v/>
      </c>
      <c r="X131" s="31">
        <f>IF(OR($W131="",$P131=""),"",$W131-$P131)</f>
        <v/>
      </c>
      <c r="Y131" s="35">
        <f>IF(OR($W131="",$G131=""),"",$G131-$W131)</f>
        <v/>
      </c>
      <c r="Z131" s="61">
        <f>IF(OR($A131="",$G131="",$O131="",$P131="",$G131-$P131=0),"",($G131-$O131)/($G131-$P131))</f>
        <v/>
      </c>
      <c r="AA131" s="54">
        <f>IF($A131="","",IF(AND($N131&lt;&gt;"",$N131&gt;=1,OR($V131="",$V131&gt;=Thr_Green)),"Complete",IF(AND($U131="",$V131=""),"Not started",IF(OR(AND($U131&lt;&gt;"",$U131&lt;Thr_Red),AND($V131&lt;&gt;"",$V131&lt;Thr_Red)),"Red",IF(OR(AND($U131&lt;&gt;"",$U131&lt;Thr_Green),AND($V131&lt;&gt;"",$V131&lt;Thr_Green)),"Amber","Green")))))</f>
        <v/>
      </c>
      <c r="AB131" s="63" t="n"/>
      <c r="AC131" s="63" t="n"/>
      <c r="AD131" s="63" t="n"/>
    </row>
    <row r="132" ht="24" customHeight="1">
      <c r="A132" s="15" t="n"/>
      <c r="B132" s="13" t="n"/>
      <c r="C132" s="15" t="n"/>
      <c r="D132" s="63" t="n"/>
      <c r="E132" s="15" t="n"/>
      <c r="F132" s="15" t="n"/>
      <c r="G132" s="64" t="n"/>
      <c r="H132" s="40">
        <f>IF(OR($A132="",SUM($G$9:$G$208)=0,$G132=""),"",$G132/SUM($G$9:$G$208))</f>
        <v/>
      </c>
      <c r="I132" s="15" t="n"/>
      <c r="J132" s="14" t="n"/>
      <c r="K132" s="14" t="n"/>
      <c r="L132" s="65">
        <f>IF(OR($A132="",$J132="",$K132="",Data_Date=""),"",IF(Data_Date&lt;=$J132,0,IF(Data_Date&gt;=$K132,1,(Data_Date-$J132)/($K132-$J132))))</f>
        <v/>
      </c>
      <c r="M132" s="31">
        <f>IF(OR($A132="",$G132="",$L132=""),"",$G132*$L132)</f>
        <v/>
      </c>
      <c r="N132" s="65" t="n"/>
      <c r="O132" s="31">
        <f>IF(OR($A132="",$G132="",$N132=""),"",$G132*$N132)</f>
        <v/>
      </c>
      <c r="P132" s="64" t="n"/>
      <c r="Q132" s="35">
        <f>IF(OR($O132="",$M132=""),"",$O132-$M132)</f>
        <v/>
      </c>
      <c r="R132" s="35">
        <f>IF(OR($O132="",$P132=""),"",$O132-$P132)</f>
        <v/>
      </c>
      <c r="S132" s="40">
        <f>IF(OR($Q132="",$M132="",$M132=0),"",$Q132/$M132)</f>
        <v/>
      </c>
      <c r="T132" s="40">
        <f>IF(OR($R132="",$O132="",$O132=0),"",$R132/$O132)</f>
        <v/>
      </c>
      <c r="U132" s="61">
        <f>IF(OR($O132="",$M132="",$M132=0),"",$O132/$M132)</f>
        <v/>
      </c>
      <c r="V132" s="61">
        <f>IF(OR($O132="",$P132="",$P132=0),"",$O132/$P132)</f>
        <v/>
      </c>
      <c r="W132" s="31">
        <f>IF(OR($A132="",$G132=""),"",IF(EAC_Idx=1,IF(OR($P132="",$O132=""),"",$P132+($G132-$O132)),IF(EAC_Idx=2,IF(OR($V132="",$V132=0),"",$G132/$V132),IF(EAC_Idx=3,IF(OR($V132="",$U132=""),"",IF($V132*$U132=0,"",$P132+($G132-$O132)/($V132*$U132))),IF(OR($P132="",$O132="",ETC_BottomUp="",ETC_BottomUp&lt;=0),"",$P132+($G132-$O132)*EAC_BU_Factor)))))</f>
        <v/>
      </c>
      <c r="X132" s="31">
        <f>IF(OR($W132="",$P132=""),"",$W132-$P132)</f>
        <v/>
      </c>
      <c r="Y132" s="35">
        <f>IF(OR($W132="",$G132=""),"",$G132-$W132)</f>
        <v/>
      </c>
      <c r="Z132" s="61">
        <f>IF(OR($A132="",$G132="",$O132="",$P132="",$G132-$P132=0),"",($G132-$O132)/($G132-$P132))</f>
        <v/>
      </c>
      <c r="AA132" s="54">
        <f>IF($A132="","",IF(AND($N132&lt;&gt;"",$N132&gt;=1,OR($V132="",$V132&gt;=Thr_Green)),"Complete",IF(AND($U132="",$V132=""),"Not started",IF(OR(AND($U132&lt;&gt;"",$U132&lt;Thr_Red),AND($V132&lt;&gt;"",$V132&lt;Thr_Red)),"Red",IF(OR(AND($U132&lt;&gt;"",$U132&lt;Thr_Green),AND($V132&lt;&gt;"",$V132&lt;Thr_Green)),"Amber","Green")))))</f>
        <v/>
      </c>
      <c r="AB132" s="63" t="n"/>
      <c r="AC132" s="63" t="n"/>
      <c r="AD132" s="63" t="n"/>
    </row>
    <row r="133" ht="24" customHeight="1">
      <c r="A133" s="15" t="n"/>
      <c r="B133" s="13" t="n"/>
      <c r="C133" s="15" t="n"/>
      <c r="D133" s="63" t="n"/>
      <c r="E133" s="15" t="n"/>
      <c r="F133" s="15" t="n"/>
      <c r="G133" s="64" t="n"/>
      <c r="H133" s="40">
        <f>IF(OR($A133="",SUM($G$9:$G$208)=0,$G133=""),"",$G133/SUM($G$9:$G$208))</f>
        <v/>
      </c>
      <c r="I133" s="15" t="n"/>
      <c r="J133" s="14" t="n"/>
      <c r="K133" s="14" t="n"/>
      <c r="L133" s="65">
        <f>IF(OR($A133="",$J133="",$K133="",Data_Date=""),"",IF(Data_Date&lt;=$J133,0,IF(Data_Date&gt;=$K133,1,(Data_Date-$J133)/($K133-$J133))))</f>
        <v/>
      </c>
      <c r="M133" s="31">
        <f>IF(OR($A133="",$G133="",$L133=""),"",$G133*$L133)</f>
        <v/>
      </c>
      <c r="N133" s="65" t="n"/>
      <c r="O133" s="31">
        <f>IF(OR($A133="",$G133="",$N133=""),"",$G133*$N133)</f>
        <v/>
      </c>
      <c r="P133" s="64" t="n"/>
      <c r="Q133" s="35">
        <f>IF(OR($O133="",$M133=""),"",$O133-$M133)</f>
        <v/>
      </c>
      <c r="R133" s="35">
        <f>IF(OR($O133="",$P133=""),"",$O133-$P133)</f>
        <v/>
      </c>
      <c r="S133" s="40">
        <f>IF(OR($Q133="",$M133="",$M133=0),"",$Q133/$M133)</f>
        <v/>
      </c>
      <c r="T133" s="40">
        <f>IF(OR($R133="",$O133="",$O133=0),"",$R133/$O133)</f>
        <v/>
      </c>
      <c r="U133" s="61">
        <f>IF(OR($O133="",$M133="",$M133=0),"",$O133/$M133)</f>
        <v/>
      </c>
      <c r="V133" s="61">
        <f>IF(OR($O133="",$P133="",$P133=0),"",$O133/$P133)</f>
        <v/>
      </c>
      <c r="W133" s="31">
        <f>IF(OR($A133="",$G133=""),"",IF(EAC_Idx=1,IF(OR($P133="",$O133=""),"",$P133+($G133-$O133)),IF(EAC_Idx=2,IF(OR($V133="",$V133=0),"",$G133/$V133),IF(EAC_Idx=3,IF(OR($V133="",$U133=""),"",IF($V133*$U133=0,"",$P133+($G133-$O133)/($V133*$U133))),IF(OR($P133="",$O133="",ETC_BottomUp="",ETC_BottomUp&lt;=0),"",$P133+($G133-$O133)*EAC_BU_Factor)))))</f>
        <v/>
      </c>
      <c r="X133" s="31">
        <f>IF(OR($W133="",$P133=""),"",$W133-$P133)</f>
        <v/>
      </c>
      <c r="Y133" s="35">
        <f>IF(OR($W133="",$G133=""),"",$G133-$W133)</f>
        <v/>
      </c>
      <c r="Z133" s="61">
        <f>IF(OR($A133="",$G133="",$O133="",$P133="",$G133-$P133=0),"",($G133-$O133)/($G133-$P133))</f>
        <v/>
      </c>
      <c r="AA133" s="54">
        <f>IF($A133="","",IF(AND($N133&lt;&gt;"",$N133&gt;=1,OR($V133="",$V133&gt;=Thr_Green)),"Complete",IF(AND($U133="",$V133=""),"Not started",IF(OR(AND($U133&lt;&gt;"",$U133&lt;Thr_Red),AND($V133&lt;&gt;"",$V133&lt;Thr_Red)),"Red",IF(OR(AND($U133&lt;&gt;"",$U133&lt;Thr_Green),AND($V133&lt;&gt;"",$V133&lt;Thr_Green)),"Amber","Green")))))</f>
        <v/>
      </c>
      <c r="AB133" s="63" t="n"/>
      <c r="AC133" s="63" t="n"/>
      <c r="AD133" s="63" t="n"/>
    </row>
    <row r="134" ht="24" customHeight="1">
      <c r="A134" s="15" t="n"/>
      <c r="B134" s="13" t="n"/>
      <c r="C134" s="15" t="n"/>
      <c r="D134" s="63" t="n"/>
      <c r="E134" s="15" t="n"/>
      <c r="F134" s="15" t="n"/>
      <c r="G134" s="64" t="n"/>
      <c r="H134" s="40">
        <f>IF(OR($A134="",SUM($G$9:$G$208)=0,$G134=""),"",$G134/SUM($G$9:$G$208))</f>
        <v/>
      </c>
      <c r="I134" s="15" t="n"/>
      <c r="J134" s="14" t="n"/>
      <c r="K134" s="14" t="n"/>
      <c r="L134" s="65">
        <f>IF(OR($A134="",$J134="",$K134="",Data_Date=""),"",IF(Data_Date&lt;=$J134,0,IF(Data_Date&gt;=$K134,1,(Data_Date-$J134)/($K134-$J134))))</f>
        <v/>
      </c>
      <c r="M134" s="31">
        <f>IF(OR($A134="",$G134="",$L134=""),"",$G134*$L134)</f>
        <v/>
      </c>
      <c r="N134" s="65" t="n"/>
      <c r="O134" s="31">
        <f>IF(OR($A134="",$G134="",$N134=""),"",$G134*$N134)</f>
        <v/>
      </c>
      <c r="P134" s="64" t="n"/>
      <c r="Q134" s="35">
        <f>IF(OR($O134="",$M134=""),"",$O134-$M134)</f>
        <v/>
      </c>
      <c r="R134" s="35">
        <f>IF(OR($O134="",$P134=""),"",$O134-$P134)</f>
        <v/>
      </c>
      <c r="S134" s="40">
        <f>IF(OR($Q134="",$M134="",$M134=0),"",$Q134/$M134)</f>
        <v/>
      </c>
      <c r="T134" s="40">
        <f>IF(OR($R134="",$O134="",$O134=0),"",$R134/$O134)</f>
        <v/>
      </c>
      <c r="U134" s="61">
        <f>IF(OR($O134="",$M134="",$M134=0),"",$O134/$M134)</f>
        <v/>
      </c>
      <c r="V134" s="61">
        <f>IF(OR($O134="",$P134="",$P134=0),"",$O134/$P134)</f>
        <v/>
      </c>
      <c r="W134" s="31">
        <f>IF(OR($A134="",$G134=""),"",IF(EAC_Idx=1,IF(OR($P134="",$O134=""),"",$P134+($G134-$O134)),IF(EAC_Idx=2,IF(OR($V134="",$V134=0),"",$G134/$V134),IF(EAC_Idx=3,IF(OR($V134="",$U134=""),"",IF($V134*$U134=0,"",$P134+($G134-$O134)/($V134*$U134))),IF(OR($P134="",$O134="",ETC_BottomUp="",ETC_BottomUp&lt;=0),"",$P134+($G134-$O134)*EAC_BU_Factor)))))</f>
        <v/>
      </c>
      <c r="X134" s="31">
        <f>IF(OR($W134="",$P134=""),"",$W134-$P134)</f>
        <v/>
      </c>
      <c r="Y134" s="35">
        <f>IF(OR($W134="",$G134=""),"",$G134-$W134)</f>
        <v/>
      </c>
      <c r="Z134" s="61">
        <f>IF(OR($A134="",$G134="",$O134="",$P134="",$G134-$P134=0),"",($G134-$O134)/($G134-$P134))</f>
        <v/>
      </c>
      <c r="AA134" s="54">
        <f>IF($A134="","",IF(AND($N134&lt;&gt;"",$N134&gt;=1,OR($V134="",$V134&gt;=Thr_Green)),"Complete",IF(AND($U134="",$V134=""),"Not started",IF(OR(AND($U134&lt;&gt;"",$U134&lt;Thr_Red),AND($V134&lt;&gt;"",$V134&lt;Thr_Red)),"Red",IF(OR(AND($U134&lt;&gt;"",$U134&lt;Thr_Green),AND($V134&lt;&gt;"",$V134&lt;Thr_Green)),"Amber","Green")))))</f>
        <v/>
      </c>
      <c r="AB134" s="63" t="n"/>
      <c r="AC134" s="63" t="n"/>
      <c r="AD134" s="63" t="n"/>
    </row>
    <row r="135" ht="24" customHeight="1">
      <c r="A135" s="15" t="n"/>
      <c r="B135" s="13" t="n"/>
      <c r="C135" s="15" t="n"/>
      <c r="D135" s="63" t="n"/>
      <c r="E135" s="15" t="n"/>
      <c r="F135" s="15" t="n"/>
      <c r="G135" s="64" t="n"/>
      <c r="H135" s="40">
        <f>IF(OR($A135="",SUM($G$9:$G$208)=0,$G135=""),"",$G135/SUM($G$9:$G$208))</f>
        <v/>
      </c>
      <c r="I135" s="15" t="n"/>
      <c r="J135" s="14" t="n"/>
      <c r="K135" s="14" t="n"/>
      <c r="L135" s="65">
        <f>IF(OR($A135="",$J135="",$K135="",Data_Date=""),"",IF(Data_Date&lt;=$J135,0,IF(Data_Date&gt;=$K135,1,(Data_Date-$J135)/($K135-$J135))))</f>
        <v/>
      </c>
      <c r="M135" s="31">
        <f>IF(OR($A135="",$G135="",$L135=""),"",$G135*$L135)</f>
        <v/>
      </c>
      <c r="N135" s="65" t="n"/>
      <c r="O135" s="31">
        <f>IF(OR($A135="",$G135="",$N135=""),"",$G135*$N135)</f>
        <v/>
      </c>
      <c r="P135" s="64" t="n"/>
      <c r="Q135" s="35">
        <f>IF(OR($O135="",$M135=""),"",$O135-$M135)</f>
        <v/>
      </c>
      <c r="R135" s="35">
        <f>IF(OR($O135="",$P135=""),"",$O135-$P135)</f>
        <v/>
      </c>
      <c r="S135" s="40">
        <f>IF(OR($Q135="",$M135="",$M135=0),"",$Q135/$M135)</f>
        <v/>
      </c>
      <c r="T135" s="40">
        <f>IF(OR($R135="",$O135="",$O135=0),"",$R135/$O135)</f>
        <v/>
      </c>
      <c r="U135" s="61">
        <f>IF(OR($O135="",$M135="",$M135=0),"",$O135/$M135)</f>
        <v/>
      </c>
      <c r="V135" s="61">
        <f>IF(OR($O135="",$P135="",$P135=0),"",$O135/$P135)</f>
        <v/>
      </c>
      <c r="W135" s="31">
        <f>IF(OR($A135="",$G135=""),"",IF(EAC_Idx=1,IF(OR($P135="",$O135=""),"",$P135+($G135-$O135)),IF(EAC_Idx=2,IF(OR($V135="",$V135=0),"",$G135/$V135),IF(EAC_Idx=3,IF(OR($V135="",$U135=""),"",IF($V135*$U135=0,"",$P135+($G135-$O135)/($V135*$U135))),IF(OR($P135="",$O135="",ETC_BottomUp="",ETC_BottomUp&lt;=0),"",$P135+($G135-$O135)*EAC_BU_Factor)))))</f>
        <v/>
      </c>
      <c r="X135" s="31">
        <f>IF(OR($W135="",$P135=""),"",$W135-$P135)</f>
        <v/>
      </c>
      <c r="Y135" s="35">
        <f>IF(OR($W135="",$G135=""),"",$G135-$W135)</f>
        <v/>
      </c>
      <c r="Z135" s="61">
        <f>IF(OR($A135="",$G135="",$O135="",$P135="",$G135-$P135=0),"",($G135-$O135)/($G135-$P135))</f>
        <v/>
      </c>
      <c r="AA135" s="54">
        <f>IF($A135="","",IF(AND($N135&lt;&gt;"",$N135&gt;=1,OR($V135="",$V135&gt;=Thr_Green)),"Complete",IF(AND($U135="",$V135=""),"Not started",IF(OR(AND($U135&lt;&gt;"",$U135&lt;Thr_Red),AND($V135&lt;&gt;"",$V135&lt;Thr_Red)),"Red",IF(OR(AND($U135&lt;&gt;"",$U135&lt;Thr_Green),AND($V135&lt;&gt;"",$V135&lt;Thr_Green)),"Amber","Green")))))</f>
        <v/>
      </c>
      <c r="AB135" s="63" t="n"/>
      <c r="AC135" s="63" t="n"/>
      <c r="AD135" s="63" t="n"/>
    </row>
    <row r="136" ht="24" customHeight="1">
      <c r="A136" s="15" t="n"/>
      <c r="B136" s="13" t="n"/>
      <c r="C136" s="15" t="n"/>
      <c r="D136" s="63" t="n"/>
      <c r="E136" s="15" t="n"/>
      <c r="F136" s="15" t="n"/>
      <c r="G136" s="64" t="n"/>
      <c r="H136" s="40">
        <f>IF(OR($A136="",SUM($G$9:$G$208)=0,$G136=""),"",$G136/SUM($G$9:$G$208))</f>
        <v/>
      </c>
      <c r="I136" s="15" t="n"/>
      <c r="J136" s="14" t="n"/>
      <c r="K136" s="14" t="n"/>
      <c r="L136" s="65">
        <f>IF(OR($A136="",$J136="",$K136="",Data_Date=""),"",IF(Data_Date&lt;=$J136,0,IF(Data_Date&gt;=$K136,1,(Data_Date-$J136)/($K136-$J136))))</f>
        <v/>
      </c>
      <c r="M136" s="31">
        <f>IF(OR($A136="",$G136="",$L136=""),"",$G136*$L136)</f>
        <v/>
      </c>
      <c r="N136" s="65" t="n"/>
      <c r="O136" s="31">
        <f>IF(OR($A136="",$G136="",$N136=""),"",$G136*$N136)</f>
        <v/>
      </c>
      <c r="P136" s="64" t="n"/>
      <c r="Q136" s="35">
        <f>IF(OR($O136="",$M136=""),"",$O136-$M136)</f>
        <v/>
      </c>
      <c r="R136" s="35">
        <f>IF(OR($O136="",$P136=""),"",$O136-$P136)</f>
        <v/>
      </c>
      <c r="S136" s="40">
        <f>IF(OR($Q136="",$M136="",$M136=0),"",$Q136/$M136)</f>
        <v/>
      </c>
      <c r="T136" s="40">
        <f>IF(OR($R136="",$O136="",$O136=0),"",$R136/$O136)</f>
        <v/>
      </c>
      <c r="U136" s="61">
        <f>IF(OR($O136="",$M136="",$M136=0),"",$O136/$M136)</f>
        <v/>
      </c>
      <c r="V136" s="61">
        <f>IF(OR($O136="",$P136="",$P136=0),"",$O136/$P136)</f>
        <v/>
      </c>
      <c r="W136" s="31">
        <f>IF(OR($A136="",$G136=""),"",IF(EAC_Idx=1,IF(OR($P136="",$O136=""),"",$P136+($G136-$O136)),IF(EAC_Idx=2,IF(OR($V136="",$V136=0),"",$G136/$V136),IF(EAC_Idx=3,IF(OR($V136="",$U136=""),"",IF($V136*$U136=0,"",$P136+($G136-$O136)/($V136*$U136))),IF(OR($P136="",$O136="",ETC_BottomUp="",ETC_BottomUp&lt;=0),"",$P136+($G136-$O136)*EAC_BU_Factor)))))</f>
        <v/>
      </c>
      <c r="X136" s="31">
        <f>IF(OR($W136="",$P136=""),"",$W136-$P136)</f>
        <v/>
      </c>
      <c r="Y136" s="35">
        <f>IF(OR($W136="",$G136=""),"",$G136-$W136)</f>
        <v/>
      </c>
      <c r="Z136" s="61">
        <f>IF(OR($A136="",$G136="",$O136="",$P136="",$G136-$P136=0),"",($G136-$O136)/($G136-$P136))</f>
        <v/>
      </c>
      <c r="AA136" s="54">
        <f>IF($A136="","",IF(AND($N136&lt;&gt;"",$N136&gt;=1,OR($V136="",$V136&gt;=Thr_Green)),"Complete",IF(AND($U136="",$V136=""),"Not started",IF(OR(AND($U136&lt;&gt;"",$U136&lt;Thr_Red),AND($V136&lt;&gt;"",$V136&lt;Thr_Red)),"Red",IF(OR(AND($U136&lt;&gt;"",$U136&lt;Thr_Green),AND($V136&lt;&gt;"",$V136&lt;Thr_Green)),"Amber","Green")))))</f>
        <v/>
      </c>
      <c r="AB136" s="63" t="n"/>
      <c r="AC136" s="63" t="n"/>
      <c r="AD136" s="63" t="n"/>
    </row>
    <row r="137" ht="24" customHeight="1">
      <c r="A137" s="15" t="n"/>
      <c r="B137" s="13" t="n"/>
      <c r="C137" s="15" t="n"/>
      <c r="D137" s="63" t="n"/>
      <c r="E137" s="15" t="n"/>
      <c r="F137" s="15" t="n"/>
      <c r="G137" s="64" t="n"/>
      <c r="H137" s="40">
        <f>IF(OR($A137="",SUM($G$9:$G$208)=0,$G137=""),"",$G137/SUM($G$9:$G$208))</f>
        <v/>
      </c>
      <c r="I137" s="15" t="n"/>
      <c r="J137" s="14" t="n"/>
      <c r="K137" s="14" t="n"/>
      <c r="L137" s="65">
        <f>IF(OR($A137="",$J137="",$K137="",Data_Date=""),"",IF(Data_Date&lt;=$J137,0,IF(Data_Date&gt;=$K137,1,(Data_Date-$J137)/($K137-$J137))))</f>
        <v/>
      </c>
      <c r="M137" s="31">
        <f>IF(OR($A137="",$G137="",$L137=""),"",$G137*$L137)</f>
        <v/>
      </c>
      <c r="N137" s="65" t="n"/>
      <c r="O137" s="31">
        <f>IF(OR($A137="",$G137="",$N137=""),"",$G137*$N137)</f>
        <v/>
      </c>
      <c r="P137" s="64" t="n"/>
      <c r="Q137" s="35">
        <f>IF(OR($O137="",$M137=""),"",$O137-$M137)</f>
        <v/>
      </c>
      <c r="R137" s="35">
        <f>IF(OR($O137="",$P137=""),"",$O137-$P137)</f>
        <v/>
      </c>
      <c r="S137" s="40">
        <f>IF(OR($Q137="",$M137="",$M137=0),"",$Q137/$M137)</f>
        <v/>
      </c>
      <c r="T137" s="40">
        <f>IF(OR($R137="",$O137="",$O137=0),"",$R137/$O137)</f>
        <v/>
      </c>
      <c r="U137" s="61">
        <f>IF(OR($O137="",$M137="",$M137=0),"",$O137/$M137)</f>
        <v/>
      </c>
      <c r="V137" s="61">
        <f>IF(OR($O137="",$P137="",$P137=0),"",$O137/$P137)</f>
        <v/>
      </c>
      <c r="W137" s="31">
        <f>IF(OR($A137="",$G137=""),"",IF(EAC_Idx=1,IF(OR($P137="",$O137=""),"",$P137+($G137-$O137)),IF(EAC_Idx=2,IF(OR($V137="",$V137=0),"",$G137/$V137),IF(EAC_Idx=3,IF(OR($V137="",$U137=""),"",IF($V137*$U137=0,"",$P137+($G137-$O137)/($V137*$U137))),IF(OR($P137="",$O137="",ETC_BottomUp="",ETC_BottomUp&lt;=0),"",$P137+($G137-$O137)*EAC_BU_Factor)))))</f>
        <v/>
      </c>
      <c r="X137" s="31">
        <f>IF(OR($W137="",$P137=""),"",$W137-$P137)</f>
        <v/>
      </c>
      <c r="Y137" s="35">
        <f>IF(OR($W137="",$G137=""),"",$G137-$W137)</f>
        <v/>
      </c>
      <c r="Z137" s="61">
        <f>IF(OR($A137="",$G137="",$O137="",$P137="",$G137-$P137=0),"",($G137-$O137)/($G137-$P137))</f>
        <v/>
      </c>
      <c r="AA137" s="54">
        <f>IF($A137="","",IF(AND($N137&lt;&gt;"",$N137&gt;=1,OR($V137="",$V137&gt;=Thr_Green)),"Complete",IF(AND($U137="",$V137=""),"Not started",IF(OR(AND($U137&lt;&gt;"",$U137&lt;Thr_Red),AND($V137&lt;&gt;"",$V137&lt;Thr_Red)),"Red",IF(OR(AND($U137&lt;&gt;"",$U137&lt;Thr_Green),AND($V137&lt;&gt;"",$V137&lt;Thr_Green)),"Amber","Green")))))</f>
        <v/>
      </c>
      <c r="AB137" s="63" t="n"/>
      <c r="AC137" s="63" t="n"/>
      <c r="AD137" s="63" t="n"/>
    </row>
    <row r="138" ht="24" customHeight="1">
      <c r="A138" s="15" t="n"/>
      <c r="B138" s="13" t="n"/>
      <c r="C138" s="15" t="n"/>
      <c r="D138" s="63" t="n"/>
      <c r="E138" s="15" t="n"/>
      <c r="F138" s="15" t="n"/>
      <c r="G138" s="64" t="n"/>
      <c r="H138" s="40">
        <f>IF(OR($A138="",SUM($G$9:$G$208)=0,$G138=""),"",$G138/SUM($G$9:$G$208))</f>
        <v/>
      </c>
      <c r="I138" s="15" t="n"/>
      <c r="J138" s="14" t="n"/>
      <c r="K138" s="14" t="n"/>
      <c r="L138" s="65">
        <f>IF(OR($A138="",$J138="",$K138="",Data_Date=""),"",IF(Data_Date&lt;=$J138,0,IF(Data_Date&gt;=$K138,1,(Data_Date-$J138)/($K138-$J138))))</f>
        <v/>
      </c>
      <c r="M138" s="31">
        <f>IF(OR($A138="",$G138="",$L138=""),"",$G138*$L138)</f>
        <v/>
      </c>
      <c r="N138" s="65" t="n"/>
      <c r="O138" s="31">
        <f>IF(OR($A138="",$G138="",$N138=""),"",$G138*$N138)</f>
        <v/>
      </c>
      <c r="P138" s="64" t="n"/>
      <c r="Q138" s="35">
        <f>IF(OR($O138="",$M138=""),"",$O138-$M138)</f>
        <v/>
      </c>
      <c r="R138" s="35">
        <f>IF(OR($O138="",$P138=""),"",$O138-$P138)</f>
        <v/>
      </c>
      <c r="S138" s="40">
        <f>IF(OR($Q138="",$M138="",$M138=0),"",$Q138/$M138)</f>
        <v/>
      </c>
      <c r="T138" s="40">
        <f>IF(OR($R138="",$O138="",$O138=0),"",$R138/$O138)</f>
        <v/>
      </c>
      <c r="U138" s="61">
        <f>IF(OR($O138="",$M138="",$M138=0),"",$O138/$M138)</f>
        <v/>
      </c>
      <c r="V138" s="61">
        <f>IF(OR($O138="",$P138="",$P138=0),"",$O138/$P138)</f>
        <v/>
      </c>
      <c r="W138" s="31">
        <f>IF(OR($A138="",$G138=""),"",IF(EAC_Idx=1,IF(OR($P138="",$O138=""),"",$P138+($G138-$O138)),IF(EAC_Idx=2,IF(OR($V138="",$V138=0),"",$G138/$V138),IF(EAC_Idx=3,IF(OR($V138="",$U138=""),"",IF($V138*$U138=0,"",$P138+($G138-$O138)/($V138*$U138))),IF(OR($P138="",$O138="",ETC_BottomUp="",ETC_BottomUp&lt;=0),"",$P138+($G138-$O138)*EAC_BU_Factor)))))</f>
        <v/>
      </c>
      <c r="X138" s="31">
        <f>IF(OR($W138="",$P138=""),"",$W138-$P138)</f>
        <v/>
      </c>
      <c r="Y138" s="35">
        <f>IF(OR($W138="",$G138=""),"",$G138-$W138)</f>
        <v/>
      </c>
      <c r="Z138" s="61">
        <f>IF(OR($A138="",$G138="",$O138="",$P138="",$G138-$P138=0),"",($G138-$O138)/($G138-$P138))</f>
        <v/>
      </c>
      <c r="AA138" s="54">
        <f>IF($A138="","",IF(AND($N138&lt;&gt;"",$N138&gt;=1,OR($V138="",$V138&gt;=Thr_Green)),"Complete",IF(AND($U138="",$V138=""),"Not started",IF(OR(AND($U138&lt;&gt;"",$U138&lt;Thr_Red),AND($V138&lt;&gt;"",$V138&lt;Thr_Red)),"Red",IF(OR(AND($U138&lt;&gt;"",$U138&lt;Thr_Green),AND($V138&lt;&gt;"",$V138&lt;Thr_Green)),"Amber","Green")))))</f>
        <v/>
      </c>
      <c r="AB138" s="63" t="n"/>
      <c r="AC138" s="63" t="n"/>
      <c r="AD138" s="63" t="n"/>
    </row>
    <row r="139" ht="24" customHeight="1">
      <c r="A139" s="15" t="n"/>
      <c r="B139" s="13" t="n"/>
      <c r="C139" s="15" t="n"/>
      <c r="D139" s="63" t="n"/>
      <c r="E139" s="15" t="n"/>
      <c r="F139" s="15" t="n"/>
      <c r="G139" s="64" t="n"/>
      <c r="H139" s="40">
        <f>IF(OR($A139="",SUM($G$9:$G$208)=0,$G139=""),"",$G139/SUM($G$9:$G$208))</f>
        <v/>
      </c>
      <c r="I139" s="15" t="n"/>
      <c r="J139" s="14" t="n"/>
      <c r="K139" s="14" t="n"/>
      <c r="L139" s="65">
        <f>IF(OR($A139="",$J139="",$K139="",Data_Date=""),"",IF(Data_Date&lt;=$J139,0,IF(Data_Date&gt;=$K139,1,(Data_Date-$J139)/($K139-$J139))))</f>
        <v/>
      </c>
      <c r="M139" s="31">
        <f>IF(OR($A139="",$G139="",$L139=""),"",$G139*$L139)</f>
        <v/>
      </c>
      <c r="N139" s="65" t="n"/>
      <c r="O139" s="31">
        <f>IF(OR($A139="",$G139="",$N139=""),"",$G139*$N139)</f>
        <v/>
      </c>
      <c r="P139" s="64" t="n"/>
      <c r="Q139" s="35">
        <f>IF(OR($O139="",$M139=""),"",$O139-$M139)</f>
        <v/>
      </c>
      <c r="R139" s="35">
        <f>IF(OR($O139="",$P139=""),"",$O139-$P139)</f>
        <v/>
      </c>
      <c r="S139" s="40">
        <f>IF(OR($Q139="",$M139="",$M139=0),"",$Q139/$M139)</f>
        <v/>
      </c>
      <c r="T139" s="40">
        <f>IF(OR($R139="",$O139="",$O139=0),"",$R139/$O139)</f>
        <v/>
      </c>
      <c r="U139" s="61">
        <f>IF(OR($O139="",$M139="",$M139=0),"",$O139/$M139)</f>
        <v/>
      </c>
      <c r="V139" s="61">
        <f>IF(OR($O139="",$P139="",$P139=0),"",$O139/$P139)</f>
        <v/>
      </c>
      <c r="W139" s="31">
        <f>IF(OR($A139="",$G139=""),"",IF(EAC_Idx=1,IF(OR($P139="",$O139=""),"",$P139+($G139-$O139)),IF(EAC_Idx=2,IF(OR($V139="",$V139=0),"",$G139/$V139),IF(EAC_Idx=3,IF(OR($V139="",$U139=""),"",IF($V139*$U139=0,"",$P139+($G139-$O139)/($V139*$U139))),IF(OR($P139="",$O139="",ETC_BottomUp="",ETC_BottomUp&lt;=0),"",$P139+($G139-$O139)*EAC_BU_Factor)))))</f>
        <v/>
      </c>
      <c r="X139" s="31">
        <f>IF(OR($W139="",$P139=""),"",$W139-$P139)</f>
        <v/>
      </c>
      <c r="Y139" s="35">
        <f>IF(OR($W139="",$G139=""),"",$G139-$W139)</f>
        <v/>
      </c>
      <c r="Z139" s="61">
        <f>IF(OR($A139="",$G139="",$O139="",$P139="",$G139-$P139=0),"",($G139-$O139)/($G139-$P139))</f>
        <v/>
      </c>
      <c r="AA139" s="54">
        <f>IF($A139="","",IF(AND($N139&lt;&gt;"",$N139&gt;=1,OR($V139="",$V139&gt;=Thr_Green)),"Complete",IF(AND($U139="",$V139=""),"Not started",IF(OR(AND($U139&lt;&gt;"",$U139&lt;Thr_Red),AND($V139&lt;&gt;"",$V139&lt;Thr_Red)),"Red",IF(OR(AND($U139&lt;&gt;"",$U139&lt;Thr_Green),AND($V139&lt;&gt;"",$V139&lt;Thr_Green)),"Amber","Green")))))</f>
        <v/>
      </c>
      <c r="AB139" s="63" t="n"/>
      <c r="AC139" s="63" t="n"/>
      <c r="AD139" s="63" t="n"/>
    </row>
    <row r="140" ht="24" customHeight="1">
      <c r="A140" s="15" t="n"/>
      <c r="B140" s="13" t="n"/>
      <c r="C140" s="15" t="n"/>
      <c r="D140" s="63" t="n"/>
      <c r="E140" s="15" t="n"/>
      <c r="F140" s="15" t="n"/>
      <c r="G140" s="64" t="n"/>
      <c r="H140" s="40">
        <f>IF(OR($A140="",SUM($G$9:$G$208)=0,$G140=""),"",$G140/SUM($G$9:$G$208))</f>
        <v/>
      </c>
      <c r="I140" s="15" t="n"/>
      <c r="J140" s="14" t="n"/>
      <c r="K140" s="14" t="n"/>
      <c r="L140" s="65">
        <f>IF(OR($A140="",$J140="",$K140="",Data_Date=""),"",IF(Data_Date&lt;=$J140,0,IF(Data_Date&gt;=$K140,1,(Data_Date-$J140)/($K140-$J140))))</f>
        <v/>
      </c>
      <c r="M140" s="31">
        <f>IF(OR($A140="",$G140="",$L140=""),"",$G140*$L140)</f>
        <v/>
      </c>
      <c r="N140" s="65" t="n"/>
      <c r="O140" s="31">
        <f>IF(OR($A140="",$G140="",$N140=""),"",$G140*$N140)</f>
        <v/>
      </c>
      <c r="P140" s="64" t="n"/>
      <c r="Q140" s="35">
        <f>IF(OR($O140="",$M140=""),"",$O140-$M140)</f>
        <v/>
      </c>
      <c r="R140" s="35">
        <f>IF(OR($O140="",$P140=""),"",$O140-$P140)</f>
        <v/>
      </c>
      <c r="S140" s="40">
        <f>IF(OR($Q140="",$M140="",$M140=0),"",$Q140/$M140)</f>
        <v/>
      </c>
      <c r="T140" s="40">
        <f>IF(OR($R140="",$O140="",$O140=0),"",$R140/$O140)</f>
        <v/>
      </c>
      <c r="U140" s="61">
        <f>IF(OR($O140="",$M140="",$M140=0),"",$O140/$M140)</f>
        <v/>
      </c>
      <c r="V140" s="61">
        <f>IF(OR($O140="",$P140="",$P140=0),"",$O140/$P140)</f>
        <v/>
      </c>
      <c r="W140" s="31">
        <f>IF(OR($A140="",$G140=""),"",IF(EAC_Idx=1,IF(OR($P140="",$O140=""),"",$P140+($G140-$O140)),IF(EAC_Idx=2,IF(OR($V140="",$V140=0),"",$G140/$V140),IF(EAC_Idx=3,IF(OR($V140="",$U140=""),"",IF($V140*$U140=0,"",$P140+($G140-$O140)/($V140*$U140))),IF(OR($P140="",$O140="",ETC_BottomUp="",ETC_BottomUp&lt;=0),"",$P140+($G140-$O140)*EAC_BU_Factor)))))</f>
        <v/>
      </c>
      <c r="X140" s="31">
        <f>IF(OR($W140="",$P140=""),"",$W140-$P140)</f>
        <v/>
      </c>
      <c r="Y140" s="35">
        <f>IF(OR($W140="",$G140=""),"",$G140-$W140)</f>
        <v/>
      </c>
      <c r="Z140" s="61">
        <f>IF(OR($A140="",$G140="",$O140="",$P140="",$G140-$P140=0),"",($G140-$O140)/($G140-$P140))</f>
        <v/>
      </c>
      <c r="AA140" s="54">
        <f>IF($A140="","",IF(AND($N140&lt;&gt;"",$N140&gt;=1,OR($V140="",$V140&gt;=Thr_Green)),"Complete",IF(AND($U140="",$V140=""),"Not started",IF(OR(AND($U140&lt;&gt;"",$U140&lt;Thr_Red),AND($V140&lt;&gt;"",$V140&lt;Thr_Red)),"Red",IF(OR(AND($U140&lt;&gt;"",$U140&lt;Thr_Green),AND($V140&lt;&gt;"",$V140&lt;Thr_Green)),"Amber","Green")))))</f>
        <v/>
      </c>
      <c r="AB140" s="63" t="n"/>
      <c r="AC140" s="63" t="n"/>
      <c r="AD140" s="63" t="n"/>
    </row>
    <row r="141" ht="24" customHeight="1">
      <c r="A141" s="15" t="n"/>
      <c r="B141" s="13" t="n"/>
      <c r="C141" s="15" t="n"/>
      <c r="D141" s="63" t="n"/>
      <c r="E141" s="15" t="n"/>
      <c r="F141" s="15" t="n"/>
      <c r="G141" s="64" t="n"/>
      <c r="H141" s="40">
        <f>IF(OR($A141="",SUM($G$9:$G$208)=0,$G141=""),"",$G141/SUM($G$9:$G$208))</f>
        <v/>
      </c>
      <c r="I141" s="15" t="n"/>
      <c r="J141" s="14" t="n"/>
      <c r="K141" s="14" t="n"/>
      <c r="L141" s="65">
        <f>IF(OR($A141="",$J141="",$K141="",Data_Date=""),"",IF(Data_Date&lt;=$J141,0,IF(Data_Date&gt;=$K141,1,(Data_Date-$J141)/($K141-$J141))))</f>
        <v/>
      </c>
      <c r="M141" s="31">
        <f>IF(OR($A141="",$G141="",$L141=""),"",$G141*$L141)</f>
        <v/>
      </c>
      <c r="N141" s="65" t="n"/>
      <c r="O141" s="31">
        <f>IF(OR($A141="",$G141="",$N141=""),"",$G141*$N141)</f>
        <v/>
      </c>
      <c r="P141" s="64" t="n"/>
      <c r="Q141" s="35">
        <f>IF(OR($O141="",$M141=""),"",$O141-$M141)</f>
        <v/>
      </c>
      <c r="R141" s="35">
        <f>IF(OR($O141="",$P141=""),"",$O141-$P141)</f>
        <v/>
      </c>
      <c r="S141" s="40">
        <f>IF(OR($Q141="",$M141="",$M141=0),"",$Q141/$M141)</f>
        <v/>
      </c>
      <c r="T141" s="40">
        <f>IF(OR($R141="",$O141="",$O141=0),"",$R141/$O141)</f>
        <v/>
      </c>
      <c r="U141" s="61">
        <f>IF(OR($O141="",$M141="",$M141=0),"",$O141/$M141)</f>
        <v/>
      </c>
      <c r="V141" s="61">
        <f>IF(OR($O141="",$P141="",$P141=0),"",$O141/$P141)</f>
        <v/>
      </c>
      <c r="W141" s="31">
        <f>IF(OR($A141="",$G141=""),"",IF(EAC_Idx=1,IF(OR($P141="",$O141=""),"",$P141+($G141-$O141)),IF(EAC_Idx=2,IF(OR($V141="",$V141=0),"",$G141/$V141),IF(EAC_Idx=3,IF(OR($V141="",$U141=""),"",IF($V141*$U141=0,"",$P141+($G141-$O141)/($V141*$U141))),IF(OR($P141="",$O141="",ETC_BottomUp="",ETC_BottomUp&lt;=0),"",$P141+($G141-$O141)*EAC_BU_Factor)))))</f>
        <v/>
      </c>
      <c r="X141" s="31">
        <f>IF(OR($W141="",$P141=""),"",$W141-$P141)</f>
        <v/>
      </c>
      <c r="Y141" s="35">
        <f>IF(OR($W141="",$G141=""),"",$G141-$W141)</f>
        <v/>
      </c>
      <c r="Z141" s="61">
        <f>IF(OR($A141="",$G141="",$O141="",$P141="",$G141-$P141=0),"",($G141-$O141)/($G141-$P141))</f>
        <v/>
      </c>
      <c r="AA141" s="54">
        <f>IF($A141="","",IF(AND($N141&lt;&gt;"",$N141&gt;=1,OR($V141="",$V141&gt;=Thr_Green)),"Complete",IF(AND($U141="",$V141=""),"Not started",IF(OR(AND($U141&lt;&gt;"",$U141&lt;Thr_Red),AND($V141&lt;&gt;"",$V141&lt;Thr_Red)),"Red",IF(OR(AND($U141&lt;&gt;"",$U141&lt;Thr_Green),AND($V141&lt;&gt;"",$V141&lt;Thr_Green)),"Amber","Green")))))</f>
        <v/>
      </c>
      <c r="AB141" s="63" t="n"/>
      <c r="AC141" s="63" t="n"/>
      <c r="AD141" s="63" t="n"/>
    </row>
    <row r="142" ht="24" customHeight="1">
      <c r="A142" s="15" t="n"/>
      <c r="B142" s="13" t="n"/>
      <c r="C142" s="15" t="n"/>
      <c r="D142" s="63" t="n"/>
      <c r="E142" s="15" t="n"/>
      <c r="F142" s="15" t="n"/>
      <c r="G142" s="64" t="n"/>
      <c r="H142" s="40">
        <f>IF(OR($A142="",SUM($G$9:$G$208)=0,$G142=""),"",$G142/SUM($G$9:$G$208))</f>
        <v/>
      </c>
      <c r="I142" s="15" t="n"/>
      <c r="J142" s="14" t="n"/>
      <c r="K142" s="14" t="n"/>
      <c r="L142" s="65">
        <f>IF(OR($A142="",$J142="",$K142="",Data_Date=""),"",IF(Data_Date&lt;=$J142,0,IF(Data_Date&gt;=$K142,1,(Data_Date-$J142)/($K142-$J142))))</f>
        <v/>
      </c>
      <c r="M142" s="31">
        <f>IF(OR($A142="",$G142="",$L142=""),"",$G142*$L142)</f>
        <v/>
      </c>
      <c r="N142" s="65" t="n"/>
      <c r="O142" s="31">
        <f>IF(OR($A142="",$G142="",$N142=""),"",$G142*$N142)</f>
        <v/>
      </c>
      <c r="P142" s="64" t="n"/>
      <c r="Q142" s="35">
        <f>IF(OR($O142="",$M142=""),"",$O142-$M142)</f>
        <v/>
      </c>
      <c r="R142" s="35">
        <f>IF(OR($O142="",$P142=""),"",$O142-$P142)</f>
        <v/>
      </c>
      <c r="S142" s="40">
        <f>IF(OR($Q142="",$M142="",$M142=0),"",$Q142/$M142)</f>
        <v/>
      </c>
      <c r="T142" s="40">
        <f>IF(OR($R142="",$O142="",$O142=0),"",$R142/$O142)</f>
        <v/>
      </c>
      <c r="U142" s="61">
        <f>IF(OR($O142="",$M142="",$M142=0),"",$O142/$M142)</f>
        <v/>
      </c>
      <c r="V142" s="61">
        <f>IF(OR($O142="",$P142="",$P142=0),"",$O142/$P142)</f>
        <v/>
      </c>
      <c r="W142" s="31">
        <f>IF(OR($A142="",$G142=""),"",IF(EAC_Idx=1,IF(OR($P142="",$O142=""),"",$P142+($G142-$O142)),IF(EAC_Idx=2,IF(OR($V142="",$V142=0),"",$G142/$V142),IF(EAC_Idx=3,IF(OR($V142="",$U142=""),"",IF($V142*$U142=0,"",$P142+($G142-$O142)/($V142*$U142))),IF(OR($P142="",$O142="",ETC_BottomUp="",ETC_BottomUp&lt;=0),"",$P142+($G142-$O142)*EAC_BU_Factor)))))</f>
        <v/>
      </c>
      <c r="X142" s="31">
        <f>IF(OR($W142="",$P142=""),"",$W142-$P142)</f>
        <v/>
      </c>
      <c r="Y142" s="35">
        <f>IF(OR($W142="",$G142=""),"",$G142-$W142)</f>
        <v/>
      </c>
      <c r="Z142" s="61">
        <f>IF(OR($A142="",$G142="",$O142="",$P142="",$G142-$P142=0),"",($G142-$O142)/($G142-$P142))</f>
        <v/>
      </c>
      <c r="AA142" s="54">
        <f>IF($A142="","",IF(AND($N142&lt;&gt;"",$N142&gt;=1,OR($V142="",$V142&gt;=Thr_Green)),"Complete",IF(AND($U142="",$V142=""),"Not started",IF(OR(AND($U142&lt;&gt;"",$U142&lt;Thr_Red),AND($V142&lt;&gt;"",$V142&lt;Thr_Red)),"Red",IF(OR(AND($U142&lt;&gt;"",$U142&lt;Thr_Green),AND($V142&lt;&gt;"",$V142&lt;Thr_Green)),"Amber","Green")))))</f>
        <v/>
      </c>
      <c r="AB142" s="63" t="n"/>
      <c r="AC142" s="63" t="n"/>
      <c r="AD142" s="63" t="n"/>
    </row>
    <row r="143" ht="24" customHeight="1">
      <c r="A143" s="15" t="n"/>
      <c r="B143" s="13" t="n"/>
      <c r="C143" s="15" t="n"/>
      <c r="D143" s="63" t="n"/>
      <c r="E143" s="15" t="n"/>
      <c r="F143" s="15" t="n"/>
      <c r="G143" s="64" t="n"/>
      <c r="H143" s="40">
        <f>IF(OR($A143="",SUM($G$9:$G$208)=0,$G143=""),"",$G143/SUM($G$9:$G$208))</f>
        <v/>
      </c>
      <c r="I143" s="15" t="n"/>
      <c r="J143" s="14" t="n"/>
      <c r="K143" s="14" t="n"/>
      <c r="L143" s="65">
        <f>IF(OR($A143="",$J143="",$K143="",Data_Date=""),"",IF(Data_Date&lt;=$J143,0,IF(Data_Date&gt;=$K143,1,(Data_Date-$J143)/($K143-$J143))))</f>
        <v/>
      </c>
      <c r="M143" s="31">
        <f>IF(OR($A143="",$G143="",$L143=""),"",$G143*$L143)</f>
        <v/>
      </c>
      <c r="N143" s="65" t="n"/>
      <c r="O143" s="31">
        <f>IF(OR($A143="",$G143="",$N143=""),"",$G143*$N143)</f>
        <v/>
      </c>
      <c r="P143" s="64" t="n"/>
      <c r="Q143" s="35">
        <f>IF(OR($O143="",$M143=""),"",$O143-$M143)</f>
        <v/>
      </c>
      <c r="R143" s="35">
        <f>IF(OR($O143="",$P143=""),"",$O143-$P143)</f>
        <v/>
      </c>
      <c r="S143" s="40">
        <f>IF(OR($Q143="",$M143="",$M143=0),"",$Q143/$M143)</f>
        <v/>
      </c>
      <c r="T143" s="40">
        <f>IF(OR($R143="",$O143="",$O143=0),"",$R143/$O143)</f>
        <v/>
      </c>
      <c r="U143" s="61">
        <f>IF(OR($O143="",$M143="",$M143=0),"",$O143/$M143)</f>
        <v/>
      </c>
      <c r="V143" s="61">
        <f>IF(OR($O143="",$P143="",$P143=0),"",$O143/$P143)</f>
        <v/>
      </c>
      <c r="W143" s="31">
        <f>IF(OR($A143="",$G143=""),"",IF(EAC_Idx=1,IF(OR($P143="",$O143=""),"",$P143+($G143-$O143)),IF(EAC_Idx=2,IF(OR($V143="",$V143=0),"",$G143/$V143),IF(EAC_Idx=3,IF(OR($V143="",$U143=""),"",IF($V143*$U143=0,"",$P143+($G143-$O143)/($V143*$U143))),IF(OR($P143="",$O143="",ETC_BottomUp="",ETC_BottomUp&lt;=0),"",$P143+($G143-$O143)*EAC_BU_Factor)))))</f>
        <v/>
      </c>
      <c r="X143" s="31">
        <f>IF(OR($W143="",$P143=""),"",$W143-$P143)</f>
        <v/>
      </c>
      <c r="Y143" s="35">
        <f>IF(OR($W143="",$G143=""),"",$G143-$W143)</f>
        <v/>
      </c>
      <c r="Z143" s="61">
        <f>IF(OR($A143="",$G143="",$O143="",$P143="",$G143-$P143=0),"",($G143-$O143)/($G143-$P143))</f>
        <v/>
      </c>
      <c r="AA143" s="54">
        <f>IF($A143="","",IF(AND($N143&lt;&gt;"",$N143&gt;=1,OR($V143="",$V143&gt;=Thr_Green)),"Complete",IF(AND($U143="",$V143=""),"Not started",IF(OR(AND($U143&lt;&gt;"",$U143&lt;Thr_Red),AND($V143&lt;&gt;"",$V143&lt;Thr_Red)),"Red",IF(OR(AND($U143&lt;&gt;"",$U143&lt;Thr_Green),AND($V143&lt;&gt;"",$V143&lt;Thr_Green)),"Amber","Green")))))</f>
        <v/>
      </c>
      <c r="AB143" s="63" t="n"/>
      <c r="AC143" s="63" t="n"/>
      <c r="AD143" s="63" t="n"/>
    </row>
    <row r="144" ht="24" customHeight="1">
      <c r="A144" s="15" t="n"/>
      <c r="B144" s="13" t="n"/>
      <c r="C144" s="15" t="n"/>
      <c r="D144" s="63" t="n"/>
      <c r="E144" s="15" t="n"/>
      <c r="F144" s="15" t="n"/>
      <c r="G144" s="64" t="n"/>
      <c r="H144" s="40">
        <f>IF(OR($A144="",SUM($G$9:$G$208)=0,$G144=""),"",$G144/SUM($G$9:$G$208))</f>
        <v/>
      </c>
      <c r="I144" s="15" t="n"/>
      <c r="J144" s="14" t="n"/>
      <c r="K144" s="14" t="n"/>
      <c r="L144" s="65">
        <f>IF(OR($A144="",$J144="",$K144="",Data_Date=""),"",IF(Data_Date&lt;=$J144,0,IF(Data_Date&gt;=$K144,1,(Data_Date-$J144)/($K144-$J144))))</f>
        <v/>
      </c>
      <c r="M144" s="31">
        <f>IF(OR($A144="",$G144="",$L144=""),"",$G144*$L144)</f>
        <v/>
      </c>
      <c r="N144" s="65" t="n"/>
      <c r="O144" s="31">
        <f>IF(OR($A144="",$G144="",$N144=""),"",$G144*$N144)</f>
        <v/>
      </c>
      <c r="P144" s="64" t="n"/>
      <c r="Q144" s="35">
        <f>IF(OR($O144="",$M144=""),"",$O144-$M144)</f>
        <v/>
      </c>
      <c r="R144" s="35">
        <f>IF(OR($O144="",$P144=""),"",$O144-$P144)</f>
        <v/>
      </c>
      <c r="S144" s="40">
        <f>IF(OR($Q144="",$M144="",$M144=0),"",$Q144/$M144)</f>
        <v/>
      </c>
      <c r="T144" s="40">
        <f>IF(OR($R144="",$O144="",$O144=0),"",$R144/$O144)</f>
        <v/>
      </c>
      <c r="U144" s="61">
        <f>IF(OR($O144="",$M144="",$M144=0),"",$O144/$M144)</f>
        <v/>
      </c>
      <c r="V144" s="61">
        <f>IF(OR($O144="",$P144="",$P144=0),"",$O144/$P144)</f>
        <v/>
      </c>
      <c r="W144" s="31">
        <f>IF(OR($A144="",$G144=""),"",IF(EAC_Idx=1,IF(OR($P144="",$O144=""),"",$P144+($G144-$O144)),IF(EAC_Idx=2,IF(OR($V144="",$V144=0),"",$G144/$V144),IF(EAC_Idx=3,IF(OR($V144="",$U144=""),"",IF($V144*$U144=0,"",$P144+($G144-$O144)/($V144*$U144))),IF(OR($P144="",$O144="",ETC_BottomUp="",ETC_BottomUp&lt;=0),"",$P144+($G144-$O144)*EAC_BU_Factor)))))</f>
        <v/>
      </c>
      <c r="X144" s="31">
        <f>IF(OR($W144="",$P144=""),"",$W144-$P144)</f>
        <v/>
      </c>
      <c r="Y144" s="35">
        <f>IF(OR($W144="",$G144=""),"",$G144-$W144)</f>
        <v/>
      </c>
      <c r="Z144" s="61">
        <f>IF(OR($A144="",$G144="",$O144="",$P144="",$G144-$P144=0),"",($G144-$O144)/($G144-$P144))</f>
        <v/>
      </c>
      <c r="AA144" s="54">
        <f>IF($A144="","",IF(AND($N144&lt;&gt;"",$N144&gt;=1,OR($V144="",$V144&gt;=Thr_Green)),"Complete",IF(AND($U144="",$V144=""),"Not started",IF(OR(AND($U144&lt;&gt;"",$U144&lt;Thr_Red),AND($V144&lt;&gt;"",$V144&lt;Thr_Red)),"Red",IF(OR(AND($U144&lt;&gt;"",$U144&lt;Thr_Green),AND($V144&lt;&gt;"",$V144&lt;Thr_Green)),"Amber","Green")))))</f>
        <v/>
      </c>
      <c r="AB144" s="63" t="n"/>
      <c r="AC144" s="63" t="n"/>
      <c r="AD144" s="63" t="n"/>
    </row>
    <row r="145" ht="24" customHeight="1">
      <c r="A145" s="15" t="n"/>
      <c r="B145" s="13" t="n"/>
      <c r="C145" s="15" t="n"/>
      <c r="D145" s="63" t="n"/>
      <c r="E145" s="15" t="n"/>
      <c r="F145" s="15" t="n"/>
      <c r="G145" s="64" t="n"/>
      <c r="H145" s="40">
        <f>IF(OR($A145="",SUM($G$9:$G$208)=0,$G145=""),"",$G145/SUM($G$9:$G$208))</f>
        <v/>
      </c>
      <c r="I145" s="15" t="n"/>
      <c r="J145" s="14" t="n"/>
      <c r="K145" s="14" t="n"/>
      <c r="L145" s="65">
        <f>IF(OR($A145="",$J145="",$K145="",Data_Date=""),"",IF(Data_Date&lt;=$J145,0,IF(Data_Date&gt;=$K145,1,(Data_Date-$J145)/($K145-$J145))))</f>
        <v/>
      </c>
      <c r="M145" s="31">
        <f>IF(OR($A145="",$G145="",$L145=""),"",$G145*$L145)</f>
        <v/>
      </c>
      <c r="N145" s="65" t="n"/>
      <c r="O145" s="31">
        <f>IF(OR($A145="",$G145="",$N145=""),"",$G145*$N145)</f>
        <v/>
      </c>
      <c r="P145" s="64" t="n"/>
      <c r="Q145" s="35">
        <f>IF(OR($O145="",$M145=""),"",$O145-$M145)</f>
        <v/>
      </c>
      <c r="R145" s="35">
        <f>IF(OR($O145="",$P145=""),"",$O145-$P145)</f>
        <v/>
      </c>
      <c r="S145" s="40">
        <f>IF(OR($Q145="",$M145="",$M145=0),"",$Q145/$M145)</f>
        <v/>
      </c>
      <c r="T145" s="40">
        <f>IF(OR($R145="",$O145="",$O145=0),"",$R145/$O145)</f>
        <v/>
      </c>
      <c r="U145" s="61">
        <f>IF(OR($O145="",$M145="",$M145=0),"",$O145/$M145)</f>
        <v/>
      </c>
      <c r="V145" s="61">
        <f>IF(OR($O145="",$P145="",$P145=0),"",$O145/$P145)</f>
        <v/>
      </c>
      <c r="W145" s="31">
        <f>IF(OR($A145="",$G145=""),"",IF(EAC_Idx=1,IF(OR($P145="",$O145=""),"",$P145+($G145-$O145)),IF(EAC_Idx=2,IF(OR($V145="",$V145=0),"",$G145/$V145),IF(EAC_Idx=3,IF(OR($V145="",$U145=""),"",IF($V145*$U145=0,"",$P145+($G145-$O145)/($V145*$U145))),IF(OR($P145="",$O145="",ETC_BottomUp="",ETC_BottomUp&lt;=0),"",$P145+($G145-$O145)*EAC_BU_Factor)))))</f>
        <v/>
      </c>
      <c r="X145" s="31">
        <f>IF(OR($W145="",$P145=""),"",$W145-$P145)</f>
        <v/>
      </c>
      <c r="Y145" s="35">
        <f>IF(OR($W145="",$G145=""),"",$G145-$W145)</f>
        <v/>
      </c>
      <c r="Z145" s="61">
        <f>IF(OR($A145="",$G145="",$O145="",$P145="",$G145-$P145=0),"",($G145-$O145)/($G145-$P145))</f>
        <v/>
      </c>
      <c r="AA145" s="54">
        <f>IF($A145="","",IF(AND($N145&lt;&gt;"",$N145&gt;=1,OR($V145="",$V145&gt;=Thr_Green)),"Complete",IF(AND($U145="",$V145=""),"Not started",IF(OR(AND($U145&lt;&gt;"",$U145&lt;Thr_Red),AND($V145&lt;&gt;"",$V145&lt;Thr_Red)),"Red",IF(OR(AND($U145&lt;&gt;"",$U145&lt;Thr_Green),AND($V145&lt;&gt;"",$V145&lt;Thr_Green)),"Amber","Green")))))</f>
        <v/>
      </c>
      <c r="AB145" s="63" t="n"/>
      <c r="AC145" s="63" t="n"/>
      <c r="AD145" s="63" t="n"/>
    </row>
    <row r="146" ht="24" customHeight="1">
      <c r="A146" s="15" t="n"/>
      <c r="B146" s="13" t="n"/>
      <c r="C146" s="15" t="n"/>
      <c r="D146" s="63" t="n"/>
      <c r="E146" s="15" t="n"/>
      <c r="F146" s="15" t="n"/>
      <c r="G146" s="64" t="n"/>
      <c r="H146" s="40">
        <f>IF(OR($A146="",SUM($G$9:$G$208)=0,$G146=""),"",$G146/SUM($G$9:$G$208))</f>
        <v/>
      </c>
      <c r="I146" s="15" t="n"/>
      <c r="J146" s="14" t="n"/>
      <c r="K146" s="14" t="n"/>
      <c r="L146" s="65">
        <f>IF(OR($A146="",$J146="",$K146="",Data_Date=""),"",IF(Data_Date&lt;=$J146,0,IF(Data_Date&gt;=$K146,1,(Data_Date-$J146)/($K146-$J146))))</f>
        <v/>
      </c>
      <c r="M146" s="31">
        <f>IF(OR($A146="",$G146="",$L146=""),"",$G146*$L146)</f>
        <v/>
      </c>
      <c r="N146" s="65" t="n"/>
      <c r="O146" s="31">
        <f>IF(OR($A146="",$G146="",$N146=""),"",$G146*$N146)</f>
        <v/>
      </c>
      <c r="P146" s="64" t="n"/>
      <c r="Q146" s="35">
        <f>IF(OR($O146="",$M146=""),"",$O146-$M146)</f>
        <v/>
      </c>
      <c r="R146" s="35">
        <f>IF(OR($O146="",$P146=""),"",$O146-$P146)</f>
        <v/>
      </c>
      <c r="S146" s="40">
        <f>IF(OR($Q146="",$M146="",$M146=0),"",$Q146/$M146)</f>
        <v/>
      </c>
      <c r="T146" s="40">
        <f>IF(OR($R146="",$O146="",$O146=0),"",$R146/$O146)</f>
        <v/>
      </c>
      <c r="U146" s="61">
        <f>IF(OR($O146="",$M146="",$M146=0),"",$O146/$M146)</f>
        <v/>
      </c>
      <c r="V146" s="61">
        <f>IF(OR($O146="",$P146="",$P146=0),"",$O146/$P146)</f>
        <v/>
      </c>
      <c r="W146" s="31">
        <f>IF(OR($A146="",$G146=""),"",IF(EAC_Idx=1,IF(OR($P146="",$O146=""),"",$P146+($G146-$O146)),IF(EAC_Idx=2,IF(OR($V146="",$V146=0),"",$G146/$V146),IF(EAC_Idx=3,IF(OR($V146="",$U146=""),"",IF($V146*$U146=0,"",$P146+($G146-$O146)/($V146*$U146))),IF(OR($P146="",$O146="",ETC_BottomUp="",ETC_BottomUp&lt;=0),"",$P146+($G146-$O146)*EAC_BU_Factor)))))</f>
        <v/>
      </c>
      <c r="X146" s="31">
        <f>IF(OR($W146="",$P146=""),"",$W146-$P146)</f>
        <v/>
      </c>
      <c r="Y146" s="35">
        <f>IF(OR($W146="",$G146=""),"",$G146-$W146)</f>
        <v/>
      </c>
      <c r="Z146" s="61">
        <f>IF(OR($A146="",$G146="",$O146="",$P146="",$G146-$P146=0),"",($G146-$O146)/($G146-$P146))</f>
        <v/>
      </c>
      <c r="AA146" s="54">
        <f>IF($A146="","",IF(AND($N146&lt;&gt;"",$N146&gt;=1,OR($V146="",$V146&gt;=Thr_Green)),"Complete",IF(AND($U146="",$V146=""),"Not started",IF(OR(AND($U146&lt;&gt;"",$U146&lt;Thr_Red),AND($V146&lt;&gt;"",$V146&lt;Thr_Red)),"Red",IF(OR(AND($U146&lt;&gt;"",$U146&lt;Thr_Green),AND($V146&lt;&gt;"",$V146&lt;Thr_Green)),"Amber","Green")))))</f>
        <v/>
      </c>
      <c r="AB146" s="63" t="n"/>
      <c r="AC146" s="63" t="n"/>
      <c r="AD146" s="63" t="n"/>
    </row>
    <row r="147" ht="24" customHeight="1">
      <c r="A147" s="15" t="n"/>
      <c r="B147" s="13" t="n"/>
      <c r="C147" s="15" t="n"/>
      <c r="D147" s="63" t="n"/>
      <c r="E147" s="15" t="n"/>
      <c r="F147" s="15" t="n"/>
      <c r="G147" s="64" t="n"/>
      <c r="H147" s="40">
        <f>IF(OR($A147="",SUM($G$9:$G$208)=0,$G147=""),"",$G147/SUM($G$9:$G$208))</f>
        <v/>
      </c>
      <c r="I147" s="15" t="n"/>
      <c r="J147" s="14" t="n"/>
      <c r="K147" s="14" t="n"/>
      <c r="L147" s="65">
        <f>IF(OR($A147="",$J147="",$K147="",Data_Date=""),"",IF(Data_Date&lt;=$J147,0,IF(Data_Date&gt;=$K147,1,(Data_Date-$J147)/($K147-$J147))))</f>
        <v/>
      </c>
      <c r="M147" s="31">
        <f>IF(OR($A147="",$G147="",$L147=""),"",$G147*$L147)</f>
        <v/>
      </c>
      <c r="N147" s="65" t="n"/>
      <c r="O147" s="31">
        <f>IF(OR($A147="",$G147="",$N147=""),"",$G147*$N147)</f>
        <v/>
      </c>
      <c r="P147" s="64" t="n"/>
      <c r="Q147" s="35">
        <f>IF(OR($O147="",$M147=""),"",$O147-$M147)</f>
        <v/>
      </c>
      <c r="R147" s="35">
        <f>IF(OR($O147="",$P147=""),"",$O147-$P147)</f>
        <v/>
      </c>
      <c r="S147" s="40">
        <f>IF(OR($Q147="",$M147="",$M147=0),"",$Q147/$M147)</f>
        <v/>
      </c>
      <c r="T147" s="40">
        <f>IF(OR($R147="",$O147="",$O147=0),"",$R147/$O147)</f>
        <v/>
      </c>
      <c r="U147" s="61">
        <f>IF(OR($O147="",$M147="",$M147=0),"",$O147/$M147)</f>
        <v/>
      </c>
      <c r="V147" s="61">
        <f>IF(OR($O147="",$P147="",$P147=0),"",$O147/$P147)</f>
        <v/>
      </c>
      <c r="W147" s="31">
        <f>IF(OR($A147="",$G147=""),"",IF(EAC_Idx=1,IF(OR($P147="",$O147=""),"",$P147+($G147-$O147)),IF(EAC_Idx=2,IF(OR($V147="",$V147=0),"",$G147/$V147),IF(EAC_Idx=3,IF(OR($V147="",$U147=""),"",IF($V147*$U147=0,"",$P147+($G147-$O147)/($V147*$U147))),IF(OR($P147="",$O147="",ETC_BottomUp="",ETC_BottomUp&lt;=0),"",$P147+($G147-$O147)*EAC_BU_Factor)))))</f>
        <v/>
      </c>
      <c r="X147" s="31">
        <f>IF(OR($W147="",$P147=""),"",$W147-$P147)</f>
        <v/>
      </c>
      <c r="Y147" s="35">
        <f>IF(OR($W147="",$G147=""),"",$G147-$W147)</f>
        <v/>
      </c>
      <c r="Z147" s="61">
        <f>IF(OR($A147="",$G147="",$O147="",$P147="",$G147-$P147=0),"",($G147-$O147)/($G147-$P147))</f>
        <v/>
      </c>
      <c r="AA147" s="54">
        <f>IF($A147="","",IF(AND($N147&lt;&gt;"",$N147&gt;=1,OR($V147="",$V147&gt;=Thr_Green)),"Complete",IF(AND($U147="",$V147=""),"Not started",IF(OR(AND($U147&lt;&gt;"",$U147&lt;Thr_Red),AND($V147&lt;&gt;"",$V147&lt;Thr_Red)),"Red",IF(OR(AND($U147&lt;&gt;"",$U147&lt;Thr_Green),AND($V147&lt;&gt;"",$V147&lt;Thr_Green)),"Amber","Green")))))</f>
        <v/>
      </c>
      <c r="AB147" s="63" t="n"/>
      <c r="AC147" s="63" t="n"/>
      <c r="AD147" s="63" t="n"/>
    </row>
    <row r="148" ht="24" customHeight="1">
      <c r="A148" s="15" t="n"/>
      <c r="B148" s="13" t="n"/>
      <c r="C148" s="15" t="n"/>
      <c r="D148" s="63" t="n"/>
      <c r="E148" s="15" t="n"/>
      <c r="F148" s="15" t="n"/>
      <c r="G148" s="64" t="n"/>
      <c r="H148" s="40">
        <f>IF(OR($A148="",SUM($G$9:$G$208)=0,$G148=""),"",$G148/SUM($G$9:$G$208))</f>
        <v/>
      </c>
      <c r="I148" s="15" t="n"/>
      <c r="J148" s="14" t="n"/>
      <c r="K148" s="14" t="n"/>
      <c r="L148" s="65">
        <f>IF(OR($A148="",$J148="",$K148="",Data_Date=""),"",IF(Data_Date&lt;=$J148,0,IF(Data_Date&gt;=$K148,1,(Data_Date-$J148)/($K148-$J148))))</f>
        <v/>
      </c>
      <c r="M148" s="31">
        <f>IF(OR($A148="",$G148="",$L148=""),"",$G148*$L148)</f>
        <v/>
      </c>
      <c r="N148" s="65" t="n"/>
      <c r="O148" s="31">
        <f>IF(OR($A148="",$G148="",$N148=""),"",$G148*$N148)</f>
        <v/>
      </c>
      <c r="P148" s="64" t="n"/>
      <c r="Q148" s="35">
        <f>IF(OR($O148="",$M148=""),"",$O148-$M148)</f>
        <v/>
      </c>
      <c r="R148" s="35">
        <f>IF(OR($O148="",$P148=""),"",$O148-$P148)</f>
        <v/>
      </c>
      <c r="S148" s="40">
        <f>IF(OR($Q148="",$M148="",$M148=0),"",$Q148/$M148)</f>
        <v/>
      </c>
      <c r="T148" s="40">
        <f>IF(OR($R148="",$O148="",$O148=0),"",$R148/$O148)</f>
        <v/>
      </c>
      <c r="U148" s="61">
        <f>IF(OR($O148="",$M148="",$M148=0),"",$O148/$M148)</f>
        <v/>
      </c>
      <c r="V148" s="61">
        <f>IF(OR($O148="",$P148="",$P148=0),"",$O148/$P148)</f>
        <v/>
      </c>
      <c r="W148" s="31">
        <f>IF(OR($A148="",$G148=""),"",IF(EAC_Idx=1,IF(OR($P148="",$O148=""),"",$P148+($G148-$O148)),IF(EAC_Idx=2,IF(OR($V148="",$V148=0),"",$G148/$V148),IF(EAC_Idx=3,IF(OR($V148="",$U148=""),"",IF($V148*$U148=0,"",$P148+($G148-$O148)/($V148*$U148))),IF(OR($P148="",$O148="",ETC_BottomUp="",ETC_BottomUp&lt;=0),"",$P148+($G148-$O148)*EAC_BU_Factor)))))</f>
        <v/>
      </c>
      <c r="X148" s="31">
        <f>IF(OR($W148="",$P148=""),"",$W148-$P148)</f>
        <v/>
      </c>
      <c r="Y148" s="35">
        <f>IF(OR($W148="",$G148=""),"",$G148-$W148)</f>
        <v/>
      </c>
      <c r="Z148" s="61">
        <f>IF(OR($A148="",$G148="",$O148="",$P148="",$G148-$P148=0),"",($G148-$O148)/($G148-$P148))</f>
        <v/>
      </c>
      <c r="AA148" s="54">
        <f>IF($A148="","",IF(AND($N148&lt;&gt;"",$N148&gt;=1,OR($V148="",$V148&gt;=Thr_Green)),"Complete",IF(AND($U148="",$V148=""),"Not started",IF(OR(AND($U148&lt;&gt;"",$U148&lt;Thr_Red),AND($V148&lt;&gt;"",$V148&lt;Thr_Red)),"Red",IF(OR(AND($U148&lt;&gt;"",$U148&lt;Thr_Green),AND($V148&lt;&gt;"",$V148&lt;Thr_Green)),"Amber","Green")))))</f>
        <v/>
      </c>
      <c r="AB148" s="63" t="n"/>
      <c r="AC148" s="63" t="n"/>
      <c r="AD148" s="63" t="n"/>
    </row>
    <row r="149" ht="24" customHeight="1">
      <c r="A149" s="15" t="n"/>
      <c r="B149" s="13" t="n"/>
      <c r="C149" s="15" t="n"/>
      <c r="D149" s="63" t="n"/>
      <c r="E149" s="15" t="n"/>
      <c r="F149" s="15" t="n"/>
      <c r="G149" s="64" t="n"/>
      <c r="H149" s="40">
        <f>IF(OR($A149="",SUM($G$9:$G$208)=0,$G149=""),"",$G149/SUM($G$9:$G$208))</f>
        <v/>
      </c>
      <c r="I149" s="15" t="n"/>
      <c r="J149" s="14" t="n"/>
      <c r="K149" s="14" t="n"/>
      <c r="L149" s="65">
        <f>IF(OR($A149="",$J149="",$K149="",Data_Date=""),"",IF(Data_Date&lt;=$J149,0,IF(Data_Date&gt;=$K149,1,(Data_Date-$J149)/($K149-$J149))))</f>
        <v/>
      </c>
      <c r="M149" s="31">
        <f>IF(OR($A149="",$G149="",$L149=""),"",$G149*$L149)</f>
        <v/>
      </c>
      <c r="N149" s="65" t="n"/>
      <c r="O149" s="31">
        <f>IF(OR($A149="",$G149="",$N149=""),"",$G149*$N149)</f>
        <v/>
      </c>
      <c r="P149" s="64" t="n"/>
      <c r="Q149" s="35">
        <f>IF(OR($O149="",$M149=""),"",$O149-$M149)</f>
        <v/>
      </c>
      <c r="R149" s="35">
        <f>IF(OR($O149="",$P149=""),"",$O149-$P149)</f>
        <v/>
      </c>
      <c r="S149" s="40">
        <f>IF(OR($Q149="",$M149="",$M149=0),"",$Q149/$M149)</f>
        <v/>
      </c>
      <c r="T149" s="40">
        <f>IF(OR($R149="",$O149="",$O149=0),"",$R149/$O149)</f>
        <v/>
      </c>
      <c r="U149" s="61">
        <f>IF(OR($O149="",$M149="",$M149=0),"",$O149/$M149)</f>
        <v/>
      </c>
      <c r="V149" s="61">
        <f>IF(OR($O149="",$P149="",$P149=0),"",$O149/$P149)</f>
        <v/>
      </c>
      <c r="W149" s="31">
        <f>IF(OR($A149="",$G149=""),"",IF(EAC_Idx=1,IF(OR($P149="",$O149=""),"",$P149+($G149-$O149)),IF(EAC_Idx=2,IF(OR($V149="",$V149=0),"",$G149/$V149),IF(EAC_Idx=3,IF(OR($V149="",$U149=""),"",IF($V149*$U149=0,"",$P149+($G149-$O149)/($V149*$U149))),IF(OR($P149="",$O149="",ETC_BottomUp="",ETC_BottomUp&lt;=0),"",$P149+($G149-$O149)*EAC_BU_Factor)))))</f>
        <v/>
      </c>
      <c r="X149" s="31">
        <f>IF(OR($W149="",$P149=""),"",$W149-$P149)</f>
        <v/>
      </c>
      <c r="Y149" s="35">
        <f>IF(OR($W149="",$G149=""),"",$G149-$W149)</f>
        <v/>
      </c>
      <c r="Z149" s="61">
        <f>IF(OR($A149="",$G149="",$O149="",$P149="",$G149-$P149=0),"",($G149-$O149)/($G149-$P149))</f>
        <v/>
      </c>
      <c r="AA149" s="54">
        <f>IF($A149="","",IF(AND($N149&lt;&gt;"",$N149&gt;=1,OR($V149="",$V149&gt;=Thr_Green)),"Complete",IF(AND($U149="",$V149=""),"Not started",IF(OR(AND($U149&lt;&gt;"",$U149&lt;Thr_Red),AND($V149&lt;&gt;"",$V149&lt;Thr_Red)),"Red",IF(OR(AND($U149&lt;&gt;"",$U149&lt;Thr_Green),AND($V149&lt;&gt;"",$V149&lt;Thr_Green)),"Amber","Green")))))</f>
        <v/>
      </c>
      <c r="AB149" s="63" t="n"/>
      <c r="AC149" s="63" t="n"/>
      <c r="AD149" s="63" t="n"/>
    </row>
    <row r="150" ht="24" customHeight="1">
      <c r="A150" s="15" t="n"/>
      <c r="B150" s="13" t="n"/>
      <c r="C150" s="15" t="n"/>
      <c r="D150" s="63" t="n"/>
      <c r="E150" s="15" t="n"/>
      <c r="F150" s="15" t="n"/>
      <c r="G150" s="64" t="n"/>
      <c r="H150" s="40">
        <f>IF(OR($A150="",SUM($G$9:$G$208)=0,$G150=""),"",$G150/SUM($G$9:$G$208))</f>
        <v/>
      </c>
      <c r="I150" s="15" t="n"/>
      <c r="J150" s="14" t="n"/>
      <c r="K150" s="14" t="n"/>
      <c r="L150" s="65">
        <f>IF(OR($A150="",$J150="",$K150="",Data_Date=""),"",IF(Data_Date&lt;=$J150,0,IF(Data_Date&gt;=$K150,1,(Data_Date-$J150)/($K150-$J150))))</f>
        <v/>
      </c>
      <c r="M150" s="31">
        <f>IF(OR($A150="",$G150="",$L150=""),"",$G150*$L150)</f>
        <v/>
      </c>
      <c r="N150" s="65" t="n"/>
      <c r="O150" s="31">
        <f>IF(OR($A150="",$G150="",$N150=""),"",$G150*$N150)</f>
        <v/>
      </c>
      <c r="P150" s="64" t="n"/>
      <c r="Q150" s="35">
        <f>IF(OR($O150="",$M150=""),"",$O150-$M150)</f>
        <v/>
      </c>
      <c r="R150" s="35">
        <f>IF(OR($O150="",$P150=""),"",$O150-$P150)</f>
        <v/>
      </c>
      <c r="S150" s="40">
        <f>IF(OR($Q150="",$M150="",$M150=0),"",$Q150/$M150)</f>
        <v/>
      </c>
      <c r="T150" s="40">
        <f>IF(OR($R150="",$O150="",$O150=0),"",$R150/$O150)</f>
        <v/>
      </c>
      <c r="U150" s="61">
        <f>IF(OR($O150="",$M150="",$M150=0),"",$O150/$M150)</f>
        <v/>
      </c>
      <c r="V150" s="61">
        <f>IF(OR($O150="",$P150="",$P150=0),"",$O150/$P150)</f>
        <v/>
      </c>
      <c r="W150" s="31">
        <f>IF(OR($A150="",$G150=""),"",IF(EAC_Idx=1,IF(OR($P150="",$O150=""),"",$P150+($G150-$O150)),IF(EAC_Idx=2,IF(OR($V150="",$V150=0),"",$G150/$V150),IF(EAC_Idx=3,IF(OR($V150="",$U150=""),"",IF($V150*$U150=0,"",$P150+($G150-$O150)/($V150*$U150))),IF(OR($P150="",$O150="",ETC_BottomUp="",ETC_BottomUp&lt;=0),"",$P150+($G150-$O150)*EAC_BU_Factor)))))</f>
        <v/>
      </c>
      <c r="X150" s="31">
        <f>IF(OR($W150="",$P150=""),"",$W150-$P150)</f>
        <v/>
      </c>
      <c r="Y150" s="35">
        <f>IF(OR($W150="",$G150=""),"",$G150-$W150)</f>
        <v/>
      </c>
      <c r="Z150" s="61">
        <f>IF(OR($A150="",$G150="",$O150="",$P150="",$G150-$P150=0),"",($G150-$O150)/($G150-$P150))</f>
        <v/>
      </c>
      <c r="AA150" s="54">
        <f>IF($A150="","",IF(AND($N150&lt;&gt;"",$N150&gt;=1,OR($V150="",$V150&gt;=Thr_Green)),"Complete",IF(AND($U150="",$V150=""),"Not started",IF(OR(AND($U150&lt;&gt;"",$U150&lt;Thr_Red),AND($V150&lt;&gt;"",$V150&lt;Thr_Red)),"Red",IF(OR(AND($U150&lt;&gt;"",$U150&lt;Thr_Green),AND($V150&lt;&gt;"",$V150&lt;Thr_Green)),"Amber","Green")))))</f>
        <v/>
      </c>
      <c r="AB150" s="63" t="n"/>
      <c r="AC150" s="63" t="n"/>
      <c r="AD150" s="63" t="n"/>
    </row>
    <row r="151" ht="24" customHeight="1">
      <c r="A151" s="15" t="n"/>
      <c r="B151" s="13" t="n"/>
      <c r="C151" s="15" t="n"/>
      <c r="D151" s="63" t="n"/>
      <c r="E151" s="15" t="n"/>
      <c r="F151" s="15" t="n"/>
      <c r="G151" s="64" t="n"/>
      <c r="H151" s="40">
        <f>IF(OR($A151="",SUM($G$9:$G$208)=0,$G151=""),"",$G151/SUM($G$9:$G$208))</f>
        <v/>
      </c>
      <c r="I151" s="15" t="n"/>
      <c r="J151" s="14" t="n"/>
      <c r="K151" s="14" t="n"/>
      <c r="L151" s="65">
        <f>IF(OR($A151="",$J151="",$K151="",Data_Date=""),"",IF(Data_Date&lt;=$J151,0,IF(Data_Date&gt;=$K151,1,(Data_Date-$J151)/($K151-$J151))))</f>
        <v/>
      </c>
      <c r="M151" s="31">
        <f>IF(OR($A151="",$G151="",$L151=""),"",$G151*$L151)</f>
        <v/>
      </c>
      <c r="N151" s="65" t="n"/>
      <c r="O151" s="31">
        <f>IF(OR($A151="",$G151="",$N151=""),"",$G151*$N151)</f>
        <v/>
      </c>
      <c r="P151" s="64" t="n"/>
      <c r="Q151" s="35">
        <f>IF(OR($O151="",$M151=""),"",$O151-$M151)</f>
        <v/>
      </c>
      <c r="R151" s="35">
        <f>IF(OR($O151="",$P151=""),"",$O151-$P151)</f>
        <v/>
      </c>
      <c r="S151" s="40">
        <f>IF(OR($Q151="",$M151="",$M151=0),"",$Q151/$M151)</f>
        <v/>
      </c>
      <c r="T151" s="40">
        <f>IF(OR($R151="",$O151="",$O151=0),"",$R151/$O151)</f>
        <v/>
      </c>
      <c r="U151" s="61">
        <f>IF(OR($O151="",$M151="",$M151=0),"",$O151/$M151)</f>
        <v/>
      </c>
      <c r="V151" s="61">
        <f>IF(OR($O151="",$P151="",$P151=0),"",$O151/$P151)</f>
        <v/>
      </c>
      <c r="W151" s="31">
        <f>IF(OR($A151="",$G151=""),"",IF(EAC_Idx=1,IF(OR($P151="",$O151=""),"",$P151+($G151-$O151)),IF(EAC_Idx=2,IF(OR($V151="",$V151=0),"",$G151/$V151),IF(EAC_Idx=3,IF(OR($V151="",$U151=""),"",IF($V151*$U151=0,"",$P151+($G151-$O151)/($V151*$U151))),IF(OR($P151="",$O151="",ETC_BottomUp="",ETC_BottomUp&lt;=0),"",$P151+($G151-$O151)*EAC_BU_Factor)))))</f>
        <v/>
      </c>
      <c r="X151" s="31">
        <f>IF(OR($W151="",$P151=""),"",$W151-$P151)</f>
        <v/>
      </c>
      <c r="Y151" s="35">
        <f>IF(OR($W151="",$G151=""),"",$G151-$W151)</f>
        <v/>
      </c>
      <c r="Z151" s="61">
        <f>IF(OR($A151="",$G151="",$O151="",$P151="",$G151-$P151=0),"",($G151-$O151)/($G151-$P151))</f>
        <v/>
      </c>
      <c r="AA151" s="54">
        <f>IF($A151="","",IF(AND($N151&lt;&gt;"",$N151&gt;=1,OR($V151="",$V151&gt;=Thr_Green)),"Complete",IF(AND($U151="",$V151=""),"Not started",IF(OR(AND($U151&lt;&gt;"",$U151&lt;Thr_Red),AND($V151&lt;&gt;"",$V151&lt;Thr_Red)),"Red",IF(OR(AND($U151&lt;&gt;"",$U151&lt;Thr_Green),AND($V151&lt;&gt;"",$V151&lt;Thr_Green)),"Amber","Green")))))</f>
        <v/>
      </c>
      <c r="AB151" s="63" t="n"/>
      <c r="AC151" s="63" t="n"/>
      <c r="AD151" s="63" t="n"/>
    </row>
    <row r="152" ht="24" customHeight="1">
      <c r="A152" s="15" t="n"/>
      <c r="B152" s="13" t="n"/>
      <c r="C152" s="15" t="n"/>
      <c r="D152" s="63" t="n"/>
      <c r="E152" s="15" t="n"/>
      <c r="F152" s="15" t="n"/>
      <c r="G152" s="64" t="n"/>
      <c r="H152" s="40">
        <f>IF(OR($A152="",SUM($G$9:$G$208)=0,$G152=""),"",$G152/SUM($G$9:$G$208))</f>
        <v/>
      </c>
      <c r="I152" s="15" t="n"/>
      <c r="J152" s="14" t="n"/>
      <c r="K152" s="14" t="n"/>
      <c r="L152" s="65">
        <f>IF(OR($A152="",$J152="",$K152="",Data_Date=""),"",IF(Data_Date&lt;=$J152,0,IF(Data_Date&gt;=$K152,1,(Data_Date-$J152)/($K152-$J152))))</f>
        <v/>
      </c>
      <c r="M152" s="31">
        <f>IF(OR($A152="",$G152="",$L152=""),"",$G152*$L152)</f>
        <v/>
      </c>
      <c r="N152" s="65" t="n"/>
      <c r="O152" s="31">
        <f>IF(OR($A152="",$G152="",$N152=""),"",$G152*$N152)</f>
        <v/>
      </c>
      <c r="P152" s="64" t="n"/>
      <c r="Q152" s="35">
        <f>IF(OR($O152="",$M152=""),"",$O152-$M152)</f>
        <v/>
      </c>
      <c r="R152" s="35">
        <f>IF(OR($O152="",$P152=""),"",$O152-$P152)</f>
        <v/>
      </c>
      <c r="S152" s="40">
        <f>IF(OR($Q152="",$M152="",$M152=0),"",$Q152/$M152)</f>
        <v/>
      </c>
      <c r="T152" s="40">
        <f>IF(OR($R152="",$O152="",$O152=0),"",$R152/$O152)</f>
        <v/>
      </c>
      <c r="U152" s="61">
        <f>IF(OR($O152="",$M152="",$M152=0),"",$O152/$M152)</f>
        <v/>
      </c>
      <c r="V152" s="61">
        <f>IF(OR($O152="",$P152="",$P152=0),"",$O152/$P152)</f>
        <v/>
      </c>
      <c r="W152" s="31">
        <f>IF(OR($A152="",$G152=""),"",IF(EAC_Idx=1,IF(OR($P152="",$O152=""),"",$P152+($G152-$O152)),IF(EAC_Idx=2,IF(OR($V152="",$V152=0),"",$G152/$V152),IF(EAC_Idx=3,IF(OR($V152="",$U152=""),"",IF($V152*$U152=0,"",$P152+($G152-$O152)/($V152*$U152))),IF(OR($P152="",$O152="",ETC_BottomUp="",ETC_BottomUp&lt;=0),"",$P152+($G152-$O152)*EAC_BU_Factor)))))</f>
        <v/>
      </c>
      <c r="X152" s="31">
        <f>IF(OR($W152="",$P152=""),"",$W152-$P152)</f>
        <v/>
      </c>
      <c r="Y152" s="35">
        <f>IF(OR($W152="",$G152=""),"",$G152-$W152)</f>
        <v/>
      </c>
      <c r="Z152" s="61">
        <f>IF(OR($A152="",$G152="",$O152="",$P152="",$G152-$P152=0),"",($G152-$O152)/($G152-$P152))</f>
        <v/>
      </c>
      <c r="AA152" s="54">
        <f>IF($A152="","",IF(AND($N152&lt;&gt;"",$N152&gt;=1,OR($V152="",$V152&gt;=Thr_Green)),"Complete",IF(AND($U152="",$V152=""),"Not started",IF(OR(AND($U152&lt;&gt;"",$U152&lt;Thr_Red),AND($V152&lt;&gt;"",$V152&lt;Thr_Red)),"Red",IF(OR(AND($U152&lt;&gt;"",$U152&lt;Thr_Green),AND($V152&lt;&gt;"",$V152&lt;Thr_Green)),"Amber","Green")))))</f>
        <v/>
      </c>
      <c r="AB152" s="63" t="n"/>
      <c r="AC152" s="63" t="n"/>
      <c r="AD152" s="63" t="n"/>
    </row>
    <row r="153" ht="24" customHeight="1">
      <c r="A153" s="15" t="n"/>
      <c r="B153" s="13" t="n"/>
      <c r="C153" s="15" t="n"/>
      <c r="D153" s="63" t="n"/>
      <c r="E153" s="15" t="n"/>
      <c r="F153" s="15" t="n"/>
      <c r="G153" s="64" t="n"/>
      <c r="H153" s="40">
        <f>IF(OR($A153="",SUM($G$9:$G$208)=0,$G153=""),"",$G153/SUM($G$9:$G$208))</f>
        <v/>
      </c>
      <c r="I153" s="15" t="n"/>
      <c r="J153" s="14" t="n"/>
      <c r="K153" s="14" t="n"/>
      <c r="L153" s="65">
        <f>IF(OR($A153="",$J153="",$K153="",Data_Date=""),"",IF(Data_Date&lt;=$J153,0,IF(Data_Date&gt;=$K153,1,(Data_Date-$J153)/($K153-$J153))))</f>
        <v/>
      </c>
      <c r="M153" s="31">
        <f>IF(OR($A153="",$G153="",$L153=""),"",$G153*$L153)</f>
        <v/>
      </c>
      <c r="N153" s="65" t="n"/>
      <c r="O153" s="31">
        <f>IF(OR($A153="",$G153="",$N153=""),"",$G153*$N153)</f>
        <v/>
      </c>
      <c r="P153" s="64" t="n"/>
      <c r="Q153" s="35">
        <f>IF(OR($O153="",$M153=""),"",$O153-$M153)</f>
        <v/>
      </c>
      <c r="R153" s="35">
        <f>IF(OR($O153="",$P153=""),"",$O153-$P153)</f>
        <v/>
      </c>
      <c r="S153" s="40">
        <f>IF(OR($Q153="",$M153="",$M153=0),"",$Q153/$M153)</f>
        <v/>
      </c>
      <c r="T153" s="40">
        <f>IF(OR($R153="",$O153="",$O153=0),"",$R153/$O153)</f>
        <v/>
      </c>
      <c r="U153" s="61">
        <f>IF(OR($O153="",$M153="",$M153=0),"",$O153/$M153)</f>
        <v/>
      </c>
      <c r="V153" s="61">
        <f>IF(OR($O153="",$P153="",$P153=0),"",$O153/$P153)</f>
        <v/>
      </c>
      <c r="W153" s="31">
        <f>IF(OR($A153="",$G153=""),"",IF(EAC_Idx=1,IF(OR($P153="",$O153=""),"",$P153+($G153-$O153)),IF(EAC_Idx=2,IF(OR($V153="",$V153=0),"",$G153/$V153),IF(EAC_Idx=3,IF(OR($V153="",$U153=""),"",IF($V153*$U153=0,"",$P153+($G153-$O153)/($V153*$U153))),IF(OR($P153="",$O153="",ETC_BottomUp="",ETC_BottomUp&lt;=0),"",$P153+($G153-$O153)*EAC_BU_Factor)))))</f>
        <v/>
      </c>
      <c r="X153" s="31">
        <f>IF(OR($W153="",$P153=""),"",$W153-$P153)</f>
        <v/>
      </c>
      <c r="Y153" s="35">
        <f>IF(OR($W153="",$G153=""),"",$G153-$W153)</f>
        <v/>
      </c>
      <c r="Z153" s="61">
        <f>IF(OR($A153="",$G153="",$O153="",$P153="",$G153-$P153=0),"",($G153-$O153)/($G153-$P153))</f>
        <v/>
      </c>
      <c r="AA153" s="54">
        <f>IF($A153="","",IF(AND($N153&lt;&gt;"",$N153&gt;=1,OR($V153="",$V153&gt;=Thr_Green)),"Complete",IF(AND($U153="",$V153=""),"Not started",IF(OR(AND($U153&lt;&gt;"",$U153&lt;Thr_Red),AND($V153&lt;&gt;"",$V153&lt;Thr_Red)),"Red",IF(OR(AND($U153&lt;&gt;"",$U153&lt;Thr_Green),AND($V153&lt;&gt;"",$V153&lt;Thr_Green)),"Amber","Green")))))</f>
        <v/>
      </c>
      <c r="AB153" s="63" t="n"/>
      <c r="AC153" s="63" t="n"/>
      <c r="AD153" s="63" t="n"/>
    </row>
    <row r="154" ht="24" customHeight="1">
      <c r="A154" s="15" t="n"/>
      <c r="B154" s="13" t="n"/>
      <c r="C154" s="15" t="n"/>
      <c r="D154" s="63" t="n"/>
      <c r="E154" s="15" t="n"/>
      <c r="F154" s="15" t="n"/>
      <c r="G154" s="64" t="n"/>
      <c r="H154" s="40">
        <f>IF(OR($A154="",SUM($G$9:$G$208)=0,$G154=""),"",$G154/SUM($G$9:$G$208))</f>
        <v/>
      </c>
      <c r="I154" s="15" t="n"/>
      <c r="J154" s="14" t="n"/>
      <c r="K154" s="14" t="n"/>
      <c r="L154" s="65">
        <f>IF(OR($A154="",$J154="",$K154="",Data_Date=""),"",IF(Data_Date&lt;=$J154,0,IF(Data_Date&gt;=$K154,1,(Data_Date-$J154)/($K154-$J154))))</f>
        <v/>
      </c>
      <c r="M154" s="31">
        <f>IF(OR($A154="",$G154="",$L154=""),"",$G154*$L154)</f>
        <v/>
      </c>
      <c r="N154" s="65" t="n"/>
      <c r="O154" s="31">
        <f>IF(OR($A154="",$G154="",$N154=""),"",$G154*$N154)</f>
        <v/>
      </c>
      <c r="P154" s="64" t="n"/>
      <c r="Q154" s="35">
        <f>IF(OR($O154="",$M154=""),"",$O154-$M154)</f>
        <v/>
      </c>
      <c r="R154" s="35">
        <f>IF(OR($O154="",$P154=""),"",$O154-$P154)</f>
        <v/>
      </c>
      <c r="S154" s="40">
        <f>IF(OR($Q154="",$M154="",$M154=0),"",$Q154/$M154)</f>
        <v/>
      </c>
      <c r="T154" s="40">
        <f>IF(OR($R154="",$O154="",$O154=0),"",$R154/$O154)</f>
        <v/>
      </c>
      <c r="U154" s="61">
        <f>IF(OR($O154="",$M154="",$M154=0),"",$O154/$M154)</f>
        <v/>
      </c>
      <c r="V154" s="61">
        <f>IF(OR($O154="",$P154="",$P154=0),"",$O154/$P154)</f>
        <v/>
      </c>
      <c r="W154" s="31">
        <f>IF(OR($A154="",$G154=""),"",IF(EAC_Idx=1,IF(OR($P154="",$O154=""),"",$P154+($G154-$O154)),IF(EAC_Idx=2,IF(OR($V154="",$V154=0),"",$G154/$V154),IF(EAC_Idx=3,IF(OR($V154="",$U154=""),"",IF($V154*$U154=0,"",$P154+($G154-$O154)/($V154*$U154))),IF(OR($P154="",$O154="",ETC_BottomUp="",ETC_BottomUp&lt;=0),"",$P154+($G154-$O154)*EAC_BU_Factor)))))</f>
        <v/>
      </c>
      <c r="X154" s="31">
        <f>IF(OR($W154="",$P154=""),"",$W154-$P154)</f>
        <v/>
      </c>
      <c r="Y154" s="35">
        <f>IF(OR($W154="",$G154=""),"",$G154-$W154)</f>
        <v/>
      </c>
      <c r="Z154" s="61">
        <f>IF(OR($A154="",$G154="",$O154="",$P154="",$G154-$P154=0),"",($G154-$O154)/($G154-$P154))</f>
        <v/>
      </c>
      <c r="AA154" s="54">
        <f>IF($A154="","",IF(AND($N154&lt;&gt;"",$N154&gt;=1,OR($V154="",$V154&gt;=Thr_Green)),"Complete",IF(AND($U154="",$V154=""),"Not started",IF(OR(AND($U154&lt;&gt;"",$U154&lt;Thr_Red),AND($V154&lt;&gt;"",$V154&lt;Thr_Red)),"Red",IF(OR(AND($U154&lt;&gt;"",$U154&lt;Thr_Green),AND($V154&lt;&gt;"",$V154&lt;Thr_Green)),"Amber","Green")))))</f>
        <v/>
      </c>
      <c r="AB154" s="63" t="n"/>
      <c r="AC154" s="63" t="n"/>
      <c r="AD154" s="63" t="n"/>
    </row>
    <row r="155" ht="24" customHeight="1">
      <c r="A155" s="15" t="n"/>
      <c r="B155" s="13" t="n"/>
      <c r="C155" s="15" t="n"/>
      <c r="D155" s="63" t="n"/>
      <c r="E155" s="15" t="n"/>
      <c r="F155" s="15" t="n"/>
      <c r="G155" s="64" t="n"/>
      <c r="H155" s="40">
        <f>IF(OR($A155="",SUM($G$9:$G$208)=0,$G155=""),"",$G155/SUM($G$9:$G$208))</f>
        <v/>
      </c>
      <c r="I155" s="15" t="n"/>
      <c r="J155" s="14" t="n"/>
      <c r="K155" s="14" t="n"/>
      <c r="L155" s="65">
        <f>IF(OR($A155="",$J155="",$K155="",Data_Date=""),"",IF(Data_Date&lt;=$J155,0,IF(Data_Date&gt;=$K155,1,(Data_Date-$J155)/($K155-$J155))))</f>
        <v/>
      </c>
      <c r="M155" s="31">
        <f>IF(OR($A155="",$G155="",$L155=""),"",$G155*$L155)</f>
        <v/>
      </c>
      <c r="N155" s="65" t="n"/>
      <c r="O155" s="31">
        <f>IF(OR($A155="",$G155="",$N155=""),"",$G155*$N155)</f>
        <v/>
      </c>
      <c r="P155" s="64" t="n"/>
      <c r="Q155" s="35">
        <f>IF(OR($O155="",$M155=""),"",$O155-$M155)</f>
        <v/>
      </c>
      <c r="R155" s="35">
        <f>IF(OR($O155="",$P155=""),"",$O155-$P155)</f>
        <v/>
      </c>
      <c r="S155" s="40">
        <f>IF(OR($Q155="",$M155="",$M155=0),"",$Q155/$M155)</f>
        <v/>
      </c>
      <c r="T155" s="40">
        <f>IF(OR($R155="",$O155="",$O155=0),"",$R155/$O155)</f>
        <v/>
      </c>
      <c r="U155" s="61">
        <f>IF(OR($O155="",$M155="",$M155=0),"",$O155/$M155)</f>
        <v/>
      </c>
      <c r="V155" s="61">
        <f>IF(OR($O155="",$P155="",$P155=0),"",$O155/$P155)</f>
        <v/>
      </c>
      <c r="W155" s="31">
        <f>IF(OR($A155="",$G155=""),"",IF(EAC_Idx=1,IF(OR($P155="",$O155=""),"",$P155+($G155-$O155)),IF(EAC_Idx=2,IF(OR($V155="",$V155=0),"",$G155/$V155),IF(EAC_Idx=3,IF(OR($V155="",$U155=""),"",IF($V155*$U155=0,"",$P155+($G155-$O155)/($V155*$U155))),IF(OR($P155="",$O155="",ETC_BottomUp="",ETC_BottomUp&lt;=0),"",$P155+($G155-$O155)*EAC_BU_Factor)))))</f>
        <v/>
      </c>
      <c r="X155" s="31">
        <f>IF(OR($W155="",$P155=""),"",$W155-$P155)</f>
        <v/>
      </c>
      <c r="Y155" s="35">
        <f>IF(OR($W155="",$G155=""),"",$G155-$W155)</f>
        <v/>
      </c>
      <c r="Z155" s="61">
        <f>IF(OR($A155="",$G155="",$O155="",$P155="",$G155-$P155=0),"",($G155-$O155)/($G155-$P155))</f>
        <v/>
      </c>
      <c r="AA155" s="54">
        <f>IF($A155="","",IF(AND($N155&lt;&gt;"",$N155&gt;=1,OR($V155="",$V155&gt;=Thr_Green)),"Complete",IF(AND($U155="",$V155=""),"Not started",IF(OR(AND($U155&lt;&gt;"",$U155&lt;Thr_Red),AND($V155&lt;&gt;"",$V155&lt;Thr_Red)),"Red",IF(OR(AND($U155&lt;&gt;"",$U155&lt;Thr_Green),AND($V155&lt;&gt;"",$V155&lt;Thr_Green)),"Amber","Green")))))</f>
        <v/>
      </c>
      <c r="AB155" s="63" t="n"/>
      <c r="AC155" s="63" t="n"/>
      <c r="AD155" s="63" t="n"/>
    </row>
    <row r="156" ht="24" customHeight="1">
      <c r="A156" s="15" t="n"/>
      <c r="B156" s="13" t="n"/>
      <c r="C156" s="15" t="n"/>
      <c r="D156" s="63" t="n"/>
      <c r="E156" s="15" t="n"/>
      <c r="F156" s="15" t="n"/>
      <c r="G156" s="64" t="n"/>
      <c r="H156" s="40">
        <f>IF(OR($A156="",SUM($G$9:$G$208)=0,$G156=""),"",$G156/SUM($G$9:$G$208))</f>
        <v/>
      </c>
      <c r="I156" s="15" t="n"/>
      <c r="J156" s="14" t="n"/>
      <c r="K156" s="14" t="n"/>
      <c r="L156" s="65">
        <f>IF(OR($A156="",$J156="",$K156="",Data_Date=""),"",IF(Data_Date&lt;=$J156,0,IF(Data_Date&gt;=$K156,1,(Data_Date-$J156)/($K156-$J156))))</f>
        <v/>
      </c>
      <c r="M156" s="31">
        <f>IF(OR($A156="",$G156="",$L156=""),"",$G156*$L156)</f>
        <v/>
      </c>
      <c r="N156" s="65" t="n"/>
      <c r="O156" s="31">
        <f>IF(OR($A156="",$G156="",$N156=""),"",$G156*$N156)</f>
        <v/>
      </c>
      <c r="P156" s="64" t="n"/>
      <c r="Q156" s="35">
        <f>IF(OR($O156="",$M156=""),"",$O156-$M156)</f>
        <v/>
      </c>
      <c r="R156" s="35">
        <f>IF(OR($O156="",$P156=""),"",$O156-$P156)</f>
        <v/>
      </c>
      <c r="S156" s="40">
        <f>IF(OR($Q156="",$M156="",$M156=0),"",$Q156/$M156)</f>
        <v/>
      </c>
      <c r="T156" s="40">
        <f>IF(OR($R156="",$O156="",$O156=0),"",$R156/$O156)</f>
        <v/>
      </c>
      <c r="U156" s="61">
        <f>IF(OR($O156="",$M156="",$M156=0),"",$O156/$M156)</f>
        <v/>
      </c>
      <c r="V156" s="61">
        <f>IF(OR($O156="",$P156="",$P156=0),"",$O156/$P156)</f>
        <v/>
      </c>
      <c r="W156" s="31">
        <f>IF(OR($A156="",$G156=""),"",IF(EAC_Idx=1,IF(OR($P156="",$O156=""),"",$P156+($G156-$O156)),IF(EAC_Idx=2,IF(OR($V156="",$V156=0),"",$G156/$V156),IF(EAC_Idx=3,IF(OR($V156="",$U156=""),"",IF($V156*$U156=0,"",$P156+($G156-$O156)/($V156*$U156))),IF(OR($P156="",$O156="",ETC_BottomUp="",ETC_BottomUp&lt;=0),"",$P156+($G156-$O156)*EAC_BU_Factor)))))</f>
        <v/>
      </c>
      <c r="X156" s="31">
        <f>IF(OR($W156="",$P156=""),"",$W156-$P156)</f>
        <v/>
      </c>
      <c r="Y156" s="35">
        <f>IF(OR($W156="",$G156=""),"",$G156-$W156)</f>
        <v/>
      </c>
      <c r="Z156" s="61">
        <f>IF(OR($A156="",$G156="",$O156="",$P156="",$G156-$P156=0),"",($G156-$O156)/($G156-$P156))</f>
        <v/>
      </c>
      <c r="AA156" s="54">
        <f>IF($A156="","",IF(AND($N156&lt;&gt;"",$N156&gt;=1,OR($V156="",$V156&gt;=Thr_Green)),"Complete",IF(AND($U156="",$V156=""),"Not started",IF(OR(AND($U156&lt;&gt;"",$U156&lt;Thr_Red),AND($V156&lt;&gt;"",$V156&lt;Thr_Red)),"Red",IF(OR(AND($U156&lt;&gt;"",$U156&lt;Thr_Green),AND($V156&lt;&gt;"",$V156&lt;Thr_Green)),"Amber","Green")))))</f>
        <v/>
      </c>
      <c r="AB156" s="63" t="n"/>
      <c r="AC156" s="63" t="n"/>
      <c r="AD156" s="63" t="n"/>
    </row>
    <row r="157" ht="24" customHeight="1">
      <c r="A157" s="15" t="n"/>
      <c r="B157" s="13" t="n"/>
      <c r="C157" s="15" t="n"/>
      <c r="D157" s="63" t="n"/>
      <c r="E157" s="15" t="n"/>
      <c r="F157" s="15" t="n"/>
      <c r="G157" s="64" t="n"/>
      <c r="H157" s="40">
        <f>IF(OR($A157="",SUM($G$9:$G$208)=0,$G157=""),"",$G157/SUM($G$9:$G$208))</f>
        <v/>
      </c>
      <c r="I157" s="15" t="n"/>
      <c r="J157" s="14" t="n"/>
      <c r="K157" s="14" t="n"/>
      <c r="L157" s="65">
        <f>IF(OR($A157="",$J157="",$K157="",Data_Date=""),"",IF(Data_Date&lt;=$J157,0,IF(Data_Date&gt;=$K157,1,(Data_Date-$J157)/($K157-$J157))))</f>
        <v/>
      </c>
      <c r="M157" s="31">
        <f>IF(OR($A157="",$G157="",$L157=""),"",$G157*$L157)</f>
        <v/>
      </c>
      <c r="N157" s="65" t="n"/>
      <c r="O157" s="31">
        <f>IF(OR($A157="",$G157="",$N157=""),"",$G157*$N157)</f>
        <v/>
      </c>
      <c r="P157" s="64" t="n"/>
      <c r="Q157" s="35">
        <f>IF(OR($O157="",$M157=""),"",$O157-$M157)</f>
        <v/>
      </c>
      <c r="R157" s="35">
        <f>IF(OR($O157="",$P157=""),"",$O157-$P157)</f>
        <v/>
      </c>
      <c r="S157" s="40">
        <f>IF(OR($Q157="",$M157="",$M157=0),"",$Q157/$M157)</f>
        <v/>
      </c>
      <c r="T157" s="40">
        <f>IF(OR($R157="",$O157="",$O157=0),"",$R157/$O157)</f>
        <v/>
      </c>
      <c r="U157" s="61">
        <f>IF(OR($O157="",$M157="",$M157=0),"",$O157/$M157)</f>
        <v/>
      </c>
      <c r="V157" s="61">
        <f>IF(OR($O157="",$P157="",$P157=0),"",$O157/$P157)</f>
        <v/>
      </c>
      <c r="W157" s="31">
        <f>IF(OR($A157="",$G157=""),"",IF(EAC_Idx=1,IF(OR($P157="",$O157=""),"",$P157+($G157-$O157)),IF(EAC_Idx=2,IF(OR($V157="",$V157=0),"",$G157/$V157),IF(EAC_Idx=3,IF(OR($V157="",$U157=""),"",IF($V157*$U157=0,"",$P157+($G157-$O157)/($V157*$U157))),IF(OR($P157="",$O157="",ETC_BottomUp="",ETC_BottomUp&lt;=0),"",$P157+($G157-$O157)*EAC_BU_Factor)))))</f>
        <v/>
      </c>
      <c r="X157" s="31">
        <f>IF(OR($W157="",$P157=""),"",$W157-$P157)</f>
        <v/>
      </c>
      <c r="Y157" s="35">
        <f>IF(OR($W157="",$G157=""),"",$G157-$W157)</f>
        <v/>
      </c>
      <c r="Z157" s="61">
        <f>IF(OR($A157="",$G157="",$O157="",$P157="",$G157-$P157=0),"",($G157-$O157)/($G157-$P157))</f>
        <v/>
      </c>
      <c r="AA157" s="54">
        <f>IF($A157="","",IF(AND($N157&lt;&gt;"",$N157&gt;=1,OR($V157="",$V157&gt;=Thr_Green)),"Complete",IF(AND($U157="",$V157=""),"Not started",IF(OR(AND($U157&lt;&gt;"",$U157&lt;Thr_Red),AND($V157&lt;&gt;"",$V157&lt;Thr_Red)),"Red",IF(OR(AND($U157&lt;&gt;"",$U157&lt;Thr_Green),AND($V157&lt;&gt;"",$V157&lt;Thr_Green)),"Amber","Green")))))</f>
        <v/>
      </c>
      <c r="AB157" s="63" t="n"/>
      <c r="AC157" s="63" t="n"/>
      <c r="AD157" s="63" t="n"/>
    </row>
    <row r="158" ht="24" customHeight="1">
      <c r="A158" s="15" t="n"/>
      <c r="B158" s="13" t="n"/>
      <c r="C158" s="15" t="n"/>
      <c r="D158" s="63" t="n"/>
      <c r="E158" s="15" t="n"/>
      <c r="F158" s="15" t="n"/>
      <c r="G158" s="64" t="n"/>
      <c r="H158" s="40">
        <f>IF(OR($A158="",SUM($G$9:$G$208)=0,$G158=""),"",$G158/SUM($G$9:$G$208))</f>
        <v/>
      </c>
      <c r="I158" s="15" t="n"/>
      <c r="J158" s="14" t="n"/>
      <c r="K158" s="14" t="n"/>
      <c r="L158" s="65">
        <f>IF(OR($A158="",$J158="",$K158="",Data_Date=""),"",IF(Data_Date&lt;=$J158,0,IF(Data_Date&gt;=$K158,1,(Data_Date-$J158)/($K158-$J158))))</f>
        <v/>
      </c>
      <c r="M158" s="31">
        <f>IF(OR($A158="",$G158="",$L158=""),"",$G158*$L158)</f>
        <v/>
      </c>
      <c r="N158" s="65" t="n"/>
      <c r="O158" s="31">
        <f>IF(OR($A158="",$G158="",$N158=""),"",$G158*$N158)</f>
        <v/>
      </c>
      <c r="P158" s="64" t="n"/>
      <c r="Q158" s="35">
        <f>IF(OR($O158="",$M158=""),"",$O158-$M158)</f>
        <v/>
      </c>
      <c r="R158" s="35">
        <f>IF(OR($O158="",$P158=""),"",$O158-$P158)</f>
        <v/>
      </c>
      <c r="S158" s="40">
        <f>IF(OR($Q158="",$M158="",$M158=0),"",$Q158/$M158)</f>
        <v/>
      </c>
      <c r="T158" s="40">
        <f>IF(OR($R158="",$O158="",$O158=0),"",$R158/$O158)</f>
        <v/>
      </c>
      <c r="U158" s="61">
        <f>IF(OR($O158="",$M158="",$M158=0),"",$O158/$M158)</f>
        <v/>
      </c>
      <c r="V158" s="61">
        <f>IF(OR($O158="",$P158="",$P158=0),"",$O158/$P158)</f>
        <v/>
      </c>
      <c r="W158" s="31">
        <f>IF(OR($A158="",$G158=""),"",IF(EAC_Idx=1,IF(OR($P158="",$O158=""),"",$P158+($G158-$O158)),IF(EAC_Idx=2,IF(OR($V158="",$V158=0),"",$G158/$V158),IF(EAC_Idx=3,IF(OR($V158="",$U158=""),"",IF($V158*$U158=0,"",$P158+($G158-$O158)/($V158*$U158))),IF(OR($P158="",$O158="",ETC_BottomUp="",ETC_BottomUp&lt;=0),"",$P158+($G158-$O158)*EAC_BU_Factor)))))</f>
        <v/>
      </c>
      <c r="X158" s="31">
        <f>IF(OR($W158="",$P158=""),"",$W158-$P158)</f>
        <v/>
      </c>
      <c r="Y158" s="35">
        <f>IF(OR($W158="",$G158=""),"",$G158-$W158)</f>
        <v/>
      </c>
      <c r="Z158" s="61">
        <f>IF(OR($A158="",$G158="",$O158="",$P158="",$G158-$P158=0),"",($G158-$O158)/($G158-$P158))</f>
        <v/>
      </c>
      <c r="AA158" s="54">
        <f>IF($A158="","",IF(AND($N158&lt;&gt;"",$N158&gt;=1,OR($V158="",$V158&gt;=Thr_Green)),"Complete",IF(AND($U158="",$V158=""),"Not started",IF(OR(AND($U158&lt;&gt;"",$U158&lt;Thr_Red),AND($V158&lt;&gt;"",$V158&lt;Thr_Red)),"Red",IF(OR(AND($U158&lt;&gt;"",$U158&lt;Thr_Green),AND($V158&lt;&gt;"",$V158&lt;Thr_Green)),"Amber","Green")))))</f>
        <v/>
      </c>
      <c r="AB158" s="63" t="n"/>
      <c r="AC158" s="63" t="n"/>
      <c r="AD158" s="63" t="n"/>
    </row>
    <row r="159" ht="24" customHeight="1">
      <c r="A159" s="15" t="n"/>
      <c r="B159" s="13" t="n"/>
      <c r="C159" s="15" t="n"/>
      <c r="D159" s="63" t="n"/>
      <c r="E159" s="15" t="n"/>
      <c r="F159" s="15" t="n"/>
      <c r="G159" s="64" t="n"/>
      <c r="H159" s="40">
        <f>IF(OR($A159="",SUM($G$9:$G$208)=0,$G159=""),"",$G159/SUM($G$9:$G$208))</f>
        <v/>
      </c>
      <c r="I159" s="15" t="n"/>
      <c r="J159" s="14" t="n"/>
      <c r="K159" s="14" t="n"/>
      <c r="L159" s="65">
        <f>IF(OR($A159="",$J159="",$K159="",Data_Date=""),"",IF(Data_Date&lt;=$J159,0,IF(Data_Date&gt;=$K159,1,(Data_Date-$J159)/($K159-$J159))))</f>
        <v/>
      </c>
      <c r="M159" s="31">
        <f>IF(OR($A159="",$G159="",$L159=""),"",$G159*$L159)</f>
        <v/>
      </c>
      <c r="N159" s="65" t="n"/>
      <c r="O159" s="31">
        <f>IF(OR($A159="",$G159="",$N159=""),"",$G159*$N159)</f>
        <v/>
      </c>
      <c r="P159" s="64" t="n"/>
      <c r="Q159" s="35">
        <f>IF(OR($O159="",$M159=""),"",$O159-$M159)</f>
        <v/>
      </c>
      <c r="R159" s="35">
        <f>IF(OR($O159="",$P159=""),"",$O159-$P159)</f>
        <v/>
      </c>
      <c r="S159" s="40">
        <f>IF(OR($Q159="",$M159="",$M159=0),"",$Q159/$M159)</f>
        <v/>
      </c>
      <c r="T159" s="40">
        <f>IF(OR($R159="",$O159="",$O159=0),"",$R159/$O159)</f>
        <v/>
      </c>
      <c r="U159" s="61">
        <f>IF(OR($O159="",$M159="",$M159=0),"",$O159/$M159)</f>
        <v/>
      </c>
      <c r="V159" s="61">
        <f>IF(OR($O159="",$P159="",$P159=0),"",$O159/$P159)</f>
        <v/>
      </c>
      <c r="W159" s="31">
        <f>IF(OR($A159="",$G159=""),"",IF(EAC_Idx=1,IF(OR($P159="",$O159=""),"",$P159+($G159-$O159)),IF(EAC_Idx=2,IF(OR($V159="",$V159=0),"",$G159/$V159),IF(EAC_Idx=3,IF(OR($V159="",$U159=""),"",IF($V159*$U159=0,"",$P159+($G159-$O159)/($V159*$U159))),IF(OR($P159="",$O159="",ETC_BottomUp="",ETC_BottomUp&lt;=0),"",$P159+($G159-$O159)*EAC_BU_Factor)))))</f>
        <v/>
      </c>
      <c r="X159" s="31">
        <f>IF(OR($W159="",$P159=""),"",$W159-$P159)</f>
        <v/>
      </c>
      <c r="Y159" s="35">
        <f>IF(OR($W159="",$G159=""),"",$G159-$W159)</f>
        <v/>
      </c>
      <c r="Z159" s="61">
        <f>IF(OR($A159="",$G159="",$O159="",$P159="",$G159-$P159=0),"",($G159-$O159)/($G159-$P159))</f>
        <v/>
      </c>
      <c r="AA159" s="54">
        <f>IF($A159="","",IF(AND($N159&lt;&gt;"",$N159&gt;=1,OR($V159="",$V159&gt;=Thr_Green)),"Complete",IF(AND($U159="",$V159=""),"Not started",IF(OR(AND($U159&lt;&gt;"",$U159&lt;Thr_Red),AND($V159&lt;&gt;"",$V159&lt;Thr_Red)),"Red",IF(OR(AND($U159&lt;&gt;"",$U159&lt;Thr_Green),AND($V159&lt;&gt;"",$V159&lt;Thr_Green)),"Amber","Green")))))</f>
        <v/>
      </c>
      <c r="AB159" s="63" t="n"/>
      <c r="AC159" s="63" t="n"/>
      <c r="AD159" s="63" t="n"/>
    </row>
    <row r="160" ht="24" customHeight="1">
      <c r="A160" s="15" t="n"/>
      <c r="B160" s="13" t="n"/>
      <c r="C160" s="15" t="n"/>
      <c r="D160" s="63" t="n"/>
      <c r="E160" s="15" t="n"/>
      <c r="F160" s="15" t="n"/>
      <c r="G160" s="64" t="n"/>
      <c r="H160" s="40">
        <f>IF(OR($A160="",SUM($G$9:$G$208)=0,$G160=""),"",$G160/SUM($G$9:$G$208))</f>
        <v/>
      </c>
      <c r="I160" s="15" t="n"/>
      <c r="J160" s="14" t="n"/>
      <c r="K160" s="14" t="n"/>
      <c r="L160" s="65">
        <f>IF(OR($A160="",$J160="",$K160="",Data_Date=""),"",IF(Data_Date&lt;=$J160,0,IF(Data_Date&gt;=$K160,1,(Data_Date-$J160)/($K160-$J160))))</f>
        <v/>
      </c>
      <c r="M160" s="31">
        <f>IF(OR($A160="",$G160="",$L160=""),"",$G160*$L160)</f>
        <v/>
      </c>
      <c r="N160" s="65" t="n"/>
      <c r="O160" s="31">
        <f>IF(OR($A160="",$G160="",$N160=""),"",$G160*$N160)</f>
        <v/>
      </c>
      <c r="P160" s="64" t="n"/>
      <c r="Q160" s="35">
        <f>IF(OR($O160="",$M160=""),"",$O160-$M160)</f>
        <v/>
      </c>
      <c r="R160" s="35">
        <f>IF(OR($O160="",$P160=""),"",$O160-$P160)</f>
        <v/>
      </c>
      <c r="S160" s="40">
        <f>IF(OR($Q160="",$M160="",$M160=0),"",$Q160/$M160)</f>
        <v/>
      </c>
      <c r="T160" s="40">
        <f>IF(OR($R160="",$O160="",$O160=0),"",$R160/$O160)</f>
        <v/>
      </c>
      <c r="U160" s="61">
        <f>IF(OR($O160="",$M160="",$M160=0),"",$O160/$M160)</f>
        <v/>
      </c>
      <c r="V160" s="61">
        <f>IF(OR($O160="",$P160="",$P160=0),"",$O160/$P160)</f>
        <v/>
      </c>
      <c r="W160" s="31">
        <f>IF(OR($A160="",$G160=""),"",IF(EAC_Idx=1,IF(OR($P160="",$O160=""),"",$P160+($G160-$O160)),IF(EAC_Idx=2,IF(OR($V160="",$V160=0),"",$G160/$V160),IF(EAC_Idx=3,IF(OR($V160="",$U160=""),"",IF($V160*$U160=0,"",$P160+($G160-$O160)/($V160*$U160))),IF(OR($P160="",$O160="",ETC_BottomUp="",ETC_BottomUp&lt;=0),"",$P160+($G160-$O160)*EAC_BU_Factor)))))</f>
        <v/>
      </c>
      <c r="X160" s="31">
        <f>IF(OR($W160="",$P160=""),"",$W160-$P160)</f>
        <v/>
      </c>
      <c r="Y160" s="35">
        <f>IF(OR($W160="",$G160=""),"",$G160-$W160)</f>
        <v/>
      </c>
      <c r="Z160" s="61">
        <f>IF(OR($A160="",$G160="",$O160="",$P160="",$G160-$P160=0),"",($G160-$O160)/($G160-$P160))</f>
        <v/>
      </c>
      <c r="AA160" s="54">
        <f>IF($A160="","",IF(AND($N160&lt;&gt;"",$N160&gt;=1,OR($V160="",$V160&gt;=Thr_Green)),"Complete",IF(AND($U160="",$V160=""),"Not started",IF(OR(AND($U160&lt;&gt;"",$U160&lt;Thr_Red),AND($V160&lt;&gt;"",$V160&lt;Thr_Red)),"Red",IF(OR(AND($U160&lt;&gt;"",$U160&lt;Thr_Green),AND($V160&lt;&gt;"",$V160&lt;Thr_Green)),"Amber","Green")))))</f>
        <v/>
      </c>
      <c r="AB160" s="63" t="n"/>
      <c r="AC160" s="63" t="n"/>
      <c r="AD160" s="63" t="n"/>
    </row>
    <row r="161" ht="24" customHeight="1">
      <c r="A161" s="15" t="n"/>
      <c r="B161" s="13" t="n"/>
      <c r="C161" s="15" t="n"/>
      <c r="D161" s="63" t="n"/>
      <c r="E161" s="15" t="n"/>
      <c r="F161" s="15" t="n"/>
      <c r="G161" s="64" t="n"/>
      <c r="H161" s="40">
        <f>IF(OR($A161="",SUM($G$9:$G$208)=0,$G161=""),"",$G161/SUM($G$9:$G$208))</f>
        <v/>
      </c>
      <c r="I161" s="15" t="n"/>
      <c r="J161" s="14" t="n"/>
      <c r="K161" s="14" t="n"/>
      <c r="L161" s="65">
        <f>IF(OR($A161="",$J161="",$K161="",Data_Date=""),"",IF(Data_Date&lt;=$J161,0,IF(Data_Date&gt;=$K161,1,(Data_Date-$J161)/($K161-$J161))))</f>
        <v/>
      </c>
      <c r="M161" s="31">
        <f>IF(OR($A161="",$G161="",$L161=""),"",$G161*$L161)</f>
        <v/>
      </c>
      <c r="N161" s="65" t="n"/>
      <c r="O161" s="31">
        <f>IF(OR($A161="",$G161="",$N161=""),"",$G161*$N161)</f>
        <v/>
      </c>
      <c r="P161" s="64" t="n"/>
      <c r="Q161" s="35">
        <f>IF(OR($O161="",$M161=""),"",$O161-$M161)</f>
        <v/>
      </c>
      <c r="R161" s="35">
        <f>IF(OR($O161="",$P161=""),"",$O161-$P161)</f>
        <v/>
      </c>
      <c r="S161" s="40">
        <f>IF(OR($Q161="",$M161="",$M161=0),"",$Q161/$M161)</f>
        <v/>
      </c>
      <c r="T161" s="40">
        <f>IF(OR($R161="",$O161="",$O161=0),"",$R161/$O161)</f>
        <v/>
      </c>
      <c r="U161" s="61">
        <f>IF(OR($O161="",$M161="",$M161=0),"",$O161/$M161)</f>
        <v/>
      </c>
      <c r="V161" s="61">
        <f>IF(OR($O161="",$P161="",$P161=0),"",$O161/$P161)</f>
        <v/>
      </c>
      <c r="W161" s="31">
        <f>IF(OR($A161="",$G161=""),"",IF(EAC_Idx=1,IF(OR($P161="",$O161=""),"",$P161+($G161-$O161)),IF(EAC_Idx=2,IF(OR($V161="",$V161=0),"",$G161/$V161),IF(EAC_Idx=3,IF(OR($V161="",$U161=""),"",IF($V161*$U161=0,"",$P161+($G161-$O161)/($V161*$U161))),IF(OR($P161="",$O161="",ETC_BottomUp="",ETC_BottomUp&lt;=0),"",$P161+($G161-$O161)*EAC_BU_Factor)))))</f>
        <v/>
      </c>
      <c r="X161" s="31">
        <f>IF(OR($W161="",$P161=""),"",$W161-$P161)</f>
        <v/>
      </c>
      <c r="Y161" s="35">
        <f>IF(OR($W161="",$G161=""),"",$G161-$W161)</f>
        <v/>
      </c>
      <c r="Z161" s="61">
        <f>IF(OR($A161="",$G161="",$O161="",$P161="",$G161-$P161=0),"",($G161-$O161)/($G161-$P161))</f>
        <v/>
      </c>
      <c r="AA161" s="54">
        <f>IF($A161="","",IF(AND($N161&lt;&gt;"",$N161&gt;=1,OR($V161="",$V161&gt;=Thr_Green)),"Complete",IF(AND($U161="",$V161=""),"Not started",IF(OR(AND($U161&lt;&gt;"",$U161&lt;Thr_Red),AND($V161&lt;&gt;"",$V161&lt;Thr_Red)),"Red",IF(OR(AND($U161&lt;&gt;"",$U161&lt;Thr_Green),AND($V161&lt;&gt;"",$V161&lt;Thr_Green)),"Amber","Green")))))</f>
        <v/>
      </c>
      <c r="AB161" s="63" t="n"/>
      <c r="AC161" s="63" t="n"/>
      <c r="AD161" s="63" t="n"/>
    </row>
    <row r="162" ht="24" customHeight="1">
      <c r="A162" s="15" t="n"/>
      <c r="B162" s="13" t="n"/>
      <c r="C162" s="15" t="n"/>
      <c r="D162" s="63" t="n"/>
      <c r="E162" s="15" t="n"/>
      <c r="F162" s="15" t="n"/>
      <c r="G162" s="64" t="n"/>
      <c r="H162" s="40">
        <f>IF(OR($A162="",SUM($G$9:$G$208)=0,$G162=""),"",$G162/SUM($G$9:$G$208))</f>
        <v/>
      </c>
      <c r="I162" s="15" t="n"/>
      <c r="J162" s="14" t="n"/>
      <c r="K162" s="14" t="n"/>
      <c r="L162" s="65">
        <f>IF(OR($A162="",$J162="",$K162="",Data_Date=""),"",IF(Data_Date&lt;=$J162,0,IF(Data_Date&gt;=$K162,1,(Data_Date-$J162)/($K162-$J162))))</f>
        <v/>
      </c>
      <c r="M162" s="31">
        <f>IF(OR($A162="",$G162="",$L162=""),"",$G162*$L162)</f>
        <v/>
      </c>
      <c r="N162" s="65" t="n"/>
      <c r="O162" s="31">
        <f>IF(OR($A162="",$G162="",$N162=""),"",$G162*$N162)</f>
        <v/>
      </c>
      <c r="P162" s="64" t="n"/>
      <c r="Q162" s="35">
        <f>IF(OR($O162="",$M162=""),"",$O162-$M162)</f>
        <v/>
      </c>
      <c r="R162" s="35">
        <f>IF(OR($O162="",$P162=""),"",$O162-$P162)</f>
        <v/>
      </c>
      <c r="S162" s="40">
        <f>IF(OR($Q162="",$M162="",$M162=0),"",$Q162/$M162)</f>
        <v/>
      </c>
      <c r="T162" s="40">
        <f>IF(OR($R162="",$O162="",$O162=0),"",$R162/$O162)</f>
        <v/>
      </c>
      <c r="U162" s="61">
        <f>IF(OR($O162="",$M162="",$M162=0),"",$O162/$M162)</f>
        <v/>
      </c>
      <c r="V162" s="61">
        <f>IF(OR($O162="",$P162="",$P162=0),"",$O162/$P162)</f>
        <v/>
      </c>
      <c r="W162" s="31">
        <f>IF(OR($A162="",$G162=""),"",IF(EAC_Idx=1,IF(OR($P162="",$O162=""),"",$P162+($G162-$O162)),IF(EAC_Idx=2,IF(OR($V162="",$V162=0),"",$G162/$V162),IF(EAC_Idx=3,IF(OR($V162="",$U162=""),"",IF($V162*$U162=0,"",$P162+($G162-$O162)/($V162*$U162))),IF(OR($P162="",$O162="",ETC_BottomUp="",ETC_BottomUp&lt;=0),"",$P162+($G162-$O162)*EAC_BU_Factor)))))</f>
        <v/>
      </c>
      <c r="X162" s="31">
        <f>IF(OR($W162="",$P162=""),"",$W162-$P162)</f>
        <v/>
      </c>
      <c r="Y162" s="35">
        <f>IF(OR($W162="",$G162=""),"",$G162-$W162)</f>
        <v/>
      </c>
      <c r="Z162" s="61">
        <f>IF(OR($A162="",$G162="",$O162="",$P162="",$G162-$P162=0),"",($G162-$O162)/($G162-$P162))</f>
        <v/>
      </c>
      <c r="AA162" s="54">
        <f>IF($A162="","",IF(AND($N162&lt;&gt;"",$N162&gt;=1,OR($V162="",$V162&gt;=Thr_Green)),"Complete",IF(AND($U162="",$V162=""),"Not started",IF(OR(AND($U162&lt;&gt;"",$U162&lt;Thr_Red),AND($V162&lt;&gt;"",$V162&lt;Thr_Red)),"Red",IF(OR(AND($U162&lt;&gt;"",$U162&lt;Thr_Green),AND($V162&lt;&gt;"",$V162&lt;Thr_Green)),"Amber","Green")))))</f>
        <v/>
      </c>
      <c r="AB162" s="63" t="n"/>
      <c r="AC162" s="63" t="n"/>
      <c r="AD162" s="63" t="n"/>
    </row>
    <row r="163" ht="24" customHeight="1">
      <c r="A163" s="15" t="n"/>
      <c r="B163" s="13" t="n"/>
      <c r="C163" s="15" t="n"/>
      <c r="D163" s="63" t="n"/>
      <c r="E163" s="15" t="n"/>
      <c r="F163" s="15" t="n"/>
      <c r="G163" s="64" t="n"/>
      <c r="H163" s="40">
        <f>IF(OR($A163="",SUM($G$9:$G$208)=0,$G163=""),"",$G163/SUM($G$9:$G$208))</f>
        <v/>
      </c>
      <c r="I163" s="15" t="n"/>
      <c r="J163" s="14" t="n"/>
      <c r="K163" s="14" t="n"/>
      <c r="L163" s="65">
        <f>IF(OR($A163="",$J163="",$K163="",Data_Date=""),"",IF(Data_Date&lt;=$J163,0,IF(Data_Date&gt;=$K163,1,(Data_Date-$J163)/($K163-$J163))))</f>
        <v/>
      </c>
      <c r="M163" s="31">
        <f>IF(OR($A163="",$G163="",$L163=""),"",$G163*$L163)</f>
        <v/>
      </c>
      <c r="N163" s="65" t="n"/>
      <c r="O163" s="31">
        <f>IF(OR($A163="",$G163="",$N163=""),"",$G163*$N163)</f>
        <v/>
      </c>
      <c r="P163" s="64" t="n"/>
      <c r="Q163" s="35">
        <f>IF(OR($O163="",$M163=""),"",$O163-$M163)</f>
        <v/>
      </c>
      <c r="R163" s="35">
        <f>IF(OR($O163="",$P163=""),"",$O163-$P163)</f>
        <v/>
      </c>
      <c r="S163" s="40">
        <f>IF(OR($Q163="",$M163="",$M163=0),"",$Q163/$M163)</f>
        <v/>
      </c>
      <c r="T163" s="40">
        <f>IF(OR($R163="",$O163="",$O163=0),"",$R163/$O163)</f>
        <v/>
      </c>
      <c r="U163" s="61">
        <f>IF(OR($O163="",$M163="",$M163=0),"",$O163/$M163)</f>
        <v/>
      </c>
      <c r="V163" s="61">
        <f>IF(OR($O163="",$P163="",$P163=0),"",$O163/$P163)</f>
        <v/>
      </c>
      <c r="W163" s="31">
        <f>IF(OR($A163="",$G163=""),"",IF(EAC_Idx=1,IF(OR($P163="",$O163=""),"",$P163+($G163-$O163)),IF(EAC_Idx=2,IF(OR($V163="",$V163=0),"",$G163/$V163),IF(EAC_Idx=3,IF(OR($V163="",$U163=""),"",IF($V163*$U163=0,"",$P163+($G163-$O163)/($V163*$U163))),IF(OR($P163="",$O163="",ETC_BottomUp="",ETC_BottomUp&lt;=0),"",$P163+($G163-$O163)*EAC_BU_Factor)))))</f>
        <v/>
      </c>
      <c r="X163" s="31">
        <f>IF(OR($W163="",$P163=""),"",$W163-$P163)</f>
        <v/>
      </c>
      <c r="Y163" s="35">
        <f>IF(OR($W163="",$G163=""),"",$G163-$W163)</f>
        <v/>
      </c>
      <c r="Z163" s="61">
        <f>IF(OR($A163="",$G163="",$O163="",$P163="",$G163-$P163=0),"",($G163-$O163)/($G163-$P163))</f>
        <v/>
      </c>
      <c r="AA163" s="54">
        <f>IF($A163="","",IF(AND($N163&lt;&gt;"",$N163&gt;=1,OR($V163="",$V163&gt;=Thr_Green)),"Complete",IF(AND($U163="",$V163=""),"Not started",IF(OR(AND($U163&lt;&gt;"",$U163&lt;Thr_Red),AND($V163&lt;&gt;"",$V163&lt;Thr_Red)),"Red",IF(OR(AND($U163&lt;&gt;"",$U163&lt;Thr_Green),AND($V163&lt;&gt;"",$V163&lt;Thr_Green)),"Amber","Green")))))</f>
        <v/>
      </c>
      <c r="AB163" s="63" t="n"/>
      <c r="AC163" s="63" t="n"/>
      <c r="AD163" s="63" t="n"/>
    </row>
    <row r="164" ht="24" customHeight="1">
      <c r="A164" s="15" t="n"/>
      <c r="B164" s="13" t="n"/>
      <c r="C164" s="15" t="n"/>
      <c r="D164" s="63" t="n"/>
      <c r="E164" s="15" t="n"/>
      <c r="F164" s="15" t="n"/>
      <c r="G164" s="64" t="n"/>
      <c r="H164" s="40">
        <f>IF(OR($A164="",SUM($G$9:$G$208)=0,$G164=""),"",$G164/SUM($G$9:$G$208))</f>
        <v/>
      </c>
      <c r="I164" s="15" t="n"/>
      <c r="J164" s="14" t="n"/>
      <c r="K164" s="14" t="n"/>
      <c r="L164" s="65">
        <f>IF(OR($A164="",$J164="",$K164="",Data_Date=""),"",IF(Data_Date&lt;=$J164,0,IF(Data_Date&gt;=$K164,1,(Data_Date-$J164)/($K164-$J164))))</f>
        <v/>
      </c>
      <c r="M164" s="31">
        <f>IF(OR($A164="",$G164="",$L164=""),"",$G164*$L164)</f>
        <v/>
      </c>
      <c r="N164" s="65" t="n"/>
      <c r="O164" s="31">
        <f>IF(OR($A164="",$G164="",$N164=""),"",$G164*$N164)</f>
        <v/>
      </c>
      <c r="P164" s="64" t="n"/>
      <c r="Q164" s="35">
        <f>IF(OR($O164="",$M164=""),"",$O164-$M164)</f>
        <v/>
      </c>
      <c r="R164" s="35">
        <f>IF(OR($O164="",$P164=""),"",$O164-$P164)</f>
        <v/>
      </c>
      <c r="S164" s="40">
        <f>IF(OR($Q164="",$M164="",$M164=0),"",$Q164/$M164)</f>
        <v/>
      </c>
      <c r="T164" s="40">
        <f>IF(OR($R164="",$O164="",$O164=0),"",$R164/$O164)</f>
        <v/>
      </c>
      <c r="U164" s="61">
        <f>IF(OR($O164="",$M164="",$M164=0),"",$O164/$M164)</f>
        <v/>
      </c>
      <c r="V164" s="61">
        <f>IF(OR($O164="",$P164="",$P164=0),"",$O164/$P164)</f>
        <v/>
      </c>
      <c r="W164" s="31">
        <f>IF(OR($A164="",$G164=""),"",IF(EAC_Idx=1,IF(OR($P164="",$O164=""),"",$P164+($G164-$O164)),IF(EAC_Idx=2,IF(OR($V164="",$V164=0),"",$G164/$V164),IF(EAC_Idx=3,IF(OR($V164="",$U164=""),"",IF($V164*$U164=0,"",$P164+($G164-$O164)/($V164*$U164))),IF(OR($P164="",$O164="",ETC_BottomUp="",ETC_BottomUp&lt;=0),"",$P164+($G164-$O164)*EAC_BU_Factor)))))</f>
        <v/>
      </c>
      <c r="X164" s="31">
        <f>IF(OR($W164="",$P164=""),"",$W164-$P164)</f>
        <v/>
      </c>
      <c r="Y164" s="35">
        <f>IF(OR($W164="",$G164=""),"",$G164-$W164)</f>
        <v/>
      </c>
      <c r="Z164" s="61">
        <f>IF(OR($A164="",$G164="",$O164="",$P164="",$G164-$P164=0),"",($G164-$O164)/($G164-$P164))</f>
        <v/>
      </c>
      <c r="AA164" s="54">
        <f>IF($A164="","",IF(AND($N164&lt;&gt;"",$N164&gt;=1,OR($V164="",$V164&gt;=Thr_Green)),"Complete",IF(AND($U164="",$V164=""),"Not started",IF(OR(AND($U164&lt;&gt;"",$U164&lt;Thr_Red),AND($V164&lt;&gt;"",$V164&lt;Thr_Red)),"Red",IF(OR(AND($U164&lt;&gt;"",$U164&lt;Thr_Green),AND($V164&lt;&gt;"",$V164&lt;Thr_Green)),"Amber","Green")))))</f>
        <v/>
      </c>
      <c r="AB164" s="63" t="n"/>
      <c r="AC164" s="63" t="n"/>
      <c r="AD164" s="63" t="n"/>
    </row>
    <row r="165" ht="24" customHeight="1">
      <c r="A165" s="15" t="n"/>
      <c r="B165" s="13" t="n"/>
      <c r="C165" s="15" t="n"/>
      <c r="D165" s="63" t="n"/>
      <c r="E165" s="15" t="n"/>
      <c r="F165" s="15" t="n"/>
      <c r="G165" s="64" t="n"/>
      <c r="H165" s="40">
        <f>IF(OR($A165="",SUM($G$9:$G$208)=0,$G165=""),"",$G165/SUM($G$9:$G$208))</f>
        <v/>
      </c>
      <c r="I165" s="15" t="n"/>
      <c r="J165" s="14" t="n"/>
      <c r="K165" s="14" t="n"/>
      <c r="L165" s="65">
        <f>IF(OR($A165="",$J165="",$K165="",Data_Date=""),"",IF(Data_Date&lt;=$J165,0,IF(Data_Date&gt;=$K165,1,(Data_Date-$J165)/($K165-$J165))))</f>
        <v/>
      </c>
      <c r="M165" s="31">
        <f>IF(OR($A165="",$G165="",$L165=""),"",$G165*$L165)</f>
        <v/>
      </c>
      <c r="N165" s="65" t="n"/>
      <c r="O165" s="31">
        <f>IF(OR($A165="",$G165="",$N165=""),"",$G165*$N165)</f>
        <v/>
      </c>
      <c r="P165" s="64" t="n"/>
      <c r="Q165" s="35">
        <f>IF(OR($O165="",$M165=""),"",$O165-$M165)</f>
        <v/>
      </c>
      <c r="R165" s="35">
        <f>IF(OR($O165="",$P165=""),"",$O165-$P165)</f>
        <v/>
      </c>
      <c r="S165" s="40">
        <f>IF(OR($Q165="",$M165="",$M165=0),"",$Q165/$M165)</f>
        <v/>
      </c>
      <c r="T165" s="40">
        <f>IF(OR($R165="",$O165="",$O165=0),"",$R165/$O165)</f>
        <v/>
      </c>
      <c r="U165" s="61">
        <f>IF(OR($O165="",$M165="",$M165=0),"",$O165/$M165)</f>
        <v/>
      </c>
      <c r="V165" s="61">
        <f>IF(OR($O165="",$P165="",$P165=0),"",$O165/$P165)</f>
        <v/>
      </c>
      <c r="W165" s="31">
        <f>IF(OR($A165="",$G165=""),"",IF(EAC_Idx=1,IF(OR($P165="",$O165=""),"",$P165+($G165-$O165)),IF(EAC_Idx=2,IF(OR($V165="",$V165=0),"",$G165/$V165),IF(EAC_Idx=3,IF(OR($V165="",$U165=""),"",IF($V165*$U165=0,"",$P165+($G165-$O165)/($V165*$U165))),IF(OR($P165="",$O165="",ETC_BottomUp="",ETC_BottomUp&lt;=0),"",$P165+($G165-$O165)*EAC_BU_Factor)))))</f>
        <v/>
      </c>
      <c r="X165" s="31">
        <f>IF(OR($W165="",$P165=""),"",$W165-$P165)</f>
        <v/>
      </c>
      <c r="Y165" s="35">
        <f>IF(OR($W165="",$G165=""),"",$G165-$W165)</f>
        <v/>
      </c>
      <c r="Z165" s="61">
        <f>IF(OR($A165="",$G165="",$O165="",$P165="",$G165-$P165=0),"",($G165-$O165)/($G165-$P165))</f>
        <v/>
      </c>
      <c r="AA165" s="54">
        <f>IF($A165="","",IF(AND($N165&lt;&gt;"",$N165&gt;=1,OR($V165="",$V165&gt;=Thr_Green)),"Complete",IF(AND($U165="",$V165=""),"Not started",IF(OR(AND($U165&lt;&gt;"",$U165&lt;Thr_Red),AND($V165&lt;&gt;"",$V165&lt;Thr_Red)),"Red",IF(OR(AND($U165&lt;&gt;"",$U165&lt;Thr_Green),AND($V165&lt;&gt;"",$V165&lt;Thr_Green)),"Amber","Green")))))</f>
        <v/>
      </c>
      <c r="AB165" s="63" t="n"/>
      <c r="AC165" s="63" t="n"/>
      <c r="AD165" s="63" t="n"/>
    </row>
    <row r="166" ht="24" customHeight="1">
      <c r="A166" s="15" t="n"/>
      <c r="B166" s="13" t="n"/>
      <c r="C166" s="15" t="n"/>
      <c r="D166" s="63" t="n"/>
      <c r="E166" s="15" t="n"/>
      <c r="F166" s="15" t="n"/>
      <c r="G166" s="64" t="n"/>
      <c r="H166" s="40">
        <f>IF(OR($A166="",SUM($G$9:$G$208)=0,$G166=""),"",$G166/SUM($G$9:$G$208))</f>
        <v/>
      </c>
      <c r="I166" s="15" t="n"/>
      <c r="J166" s="14" t="n"/>
      <c r="K166" s="14" t="n"/>
      <c r="L166" s="65">
        <f>IF(OR($A166="",$J166="",$K166="",Data_Date=""),"",IF(Data_Date&lt;=$J166,0,IF(Data_Date&gt;=$K166,1,(Data_Date-$J166)/($K166-$J166))))</f>
        <v/>
      </c>
      <c r="M166" s="31">
        <f>IF(OR($A166="",$G166="",$L166=""),"",$G166*$L166)</f>
        <v/>
      </c>
      <c r="N166" s="65" t="n"/>
      <c r="O166" s="31">
        <f>IF(OR($A166="",$G166="",$N166=""),"",$G166*$N166)</f>
        <v/>
      </c>
      <c r="P166" s="64" t="n"/>
      <c r="Q166" s="35">
        <f>IF(OR($O166="",$M166=""),"",$O166-$M166)</f>
        <v/>
      </c>
      <c r="R166" s="35">
        <f>IF(OR($O166="",$P166=""),"",$O166-$P166)</f>
        <v/>
      </c>
      <c r="S166" s="40">
        <f>IF(OR($Q166="",$M166="",$M166=0),"",$Q166/$M166)</f>
        <v/>
      </c>
      <c r="T166" s="40">
        <f>IF(OR($R166="",$O166="",$O166=0),"",$R166/$O166)</f>
        <v/>
      </c>
      <c r="U166" s="61">
        <f>IF(OR($O166="",$M166="",$M166=0),"",$O166/$M166)</f>
        <v/>
      </c>
      <c r="V166" s="61">
        <f>IF(OR($O166="",$P166="",$P166=0),"",$O166/$P166)</f>
        <v/>
      </c>
      <c r="W166" s="31">
        <f>IF(OR($A166="",$G166=""),"",IF(EAC_Idx=1,IF(OR($P166="",$O166=""),"",$P166+($G166-$O166)),IF(EAC_Idx=2,IF(OR($V166="",$V166=0),"",$G166/$V166),IF(EAC_Idx=3,IF(OR($V166="",$U166=""),"",IF($V166*$U166=0,"",$P166+($G166-$O166)/($V166*$U166))),IF(OR($P166="",$O166="",ETC_BottomUp="",ETC_BottomUp&lt;=0),"",$P166+($G166-$O166)*EAC_BU_Factor)))))</f>
        <v/>
      </c>
      <c r="X166" s="31">
        <f>IF(OR($W166="",$P166=""),"",$W166-$P166)</f>
        <v/>
      </c>
      <c r="Y166" s="35">
        <f>IF(OR($W166="",$G166=""),"",$G166-$W166)</f>
        <v/>
      </c>
      <c r="Z166" s="61">
        <f>IF(OR($A166="",$G166="",$O166="",$P166="",$G166-$P166=0),"",($G166-$O166)/($G166-$P166))</f>
        <v/>
      </c>
      <c r="AA166" s="54">
        <f>IF($A166="","",IF(AND($N166&lt;&gt;"",$N166&gt;=1,OR($V166="",$V166&gt;=Thr_Green)),"Complete",IF(AND($U166="",$V166=""),"Not started",IF(OR(AND($U166&lt;&gt;"",$U166&lt;Thr_Red),AND($V166&lt;&gt;"",$V166&lt;Thr_Red)),"Red",IF(OR(AND($U166&lt;&gt;"",$U166&lt;Thr_Green),AND($V166&lt;&gt;"",$V166&lt;Thr_Green)),"Amber","Green")))))</f>
        <v/>
      </c>
      <c r="AB166" s="63" t="n"/>
      <c r="AC166" s="63" t="n"/>
      <c r="AD166" s="63" t="n"/>
    </row>
    <row r="167" ht="24" customHeight="1">
      <c r="A167" s="15" t="n"/>
      <c r="B167" s="13" t="n"/>
      <c r="C167" s="15" t="n"/>
      <c r="D167" s="63" t="n"/>
      <c r="E167" s="15" t="n"/>
      <c r="F167" s="15" t="n"/>
      <c r="G167" s="64" t="n"/>
      <c r="H167" s="40">
        <f>IF(OR($A167="",SUM($G$9:$G$208)=0,$G167=""),"",$G167/SUM($G$9:$G$208))</f>
        <v/>
      </c>
      <c r="I167" s="15" t="n"/>
      <c r="J167" s="14" t="n"/>
      <c r="K167" s="14" t="n"/>
      <c r="L167" s="65">
        <f>IF(OR($A167="",$J167="",$K167="",Data_Date=""),"",IF(Data_Date&lt;=$J167,0,IF(Data_Date&gt;=$K167,1,(Data_Date-$J167)/($K167-$J167))))</f>
        <v/>
      </c>
      <c r="M167" s="31">
        <f>IF(OR($A167="",$G167="",$L167=""),"",$G167*$L167)</f>
        <v/>
      </c>
      <c r="N167" s="65" t="n"/>
      <c r="O167" s="31">
        <f>IF(OR($A167="",$G167="",$N167=""),"",$G167*$N167)</f>
        <v/>
      </c>
      <c r="P167" s="64" t="n"/>
      <c r="Q167" s="35">
        <f>IF(OR($O167="",$M167=""),"",$O167-$M167)</f>
        <v/>
      </c>
      <c r="R167" s="35">
        <f>IF(OR($O167="",$P167=""),"",$O167-$P167)</f>
        <v/>
      </c>
      <c r="S167" s="40">
        <f>IF(OR($Q167="",$M167="",$M167=0),"",$Q167/$M167)</f>
        <v/>
      </c>
      <c r="T167" s="40">
        <f>IF(OR($R167="",$O167="",$O167=0),"",$R167/$O167)</f>
        <v/>
      </c>
      <c r="U167" s="61">
        <f>IF(OR($O167="",$M167="",$M167=0),"",$O167/$M167)</f>
        <v/>
      </c>
      <c r="V167" s="61">
        <f>IF(OR($O167="",$P167="",$P167=0),"",$O167/$P167)</f>
        <v/>
      </c>
      <c r="W167" s="31">
        <f>IF(OR($A167="",$G167=""),"",IF(EAC_Idx=1,IF(OR($P167="",$O167=""),"",$P167+($G167-$O167)),IF(EAC_Idx=2,IF(OR($V167="",$V167=0),"",$G167/$V167),IF(EAC_Idx=3,IF(OR($V167="",$U167=""),"",IF($V167*$U167=0,"",$P167+($G167-$O167)/($V167*$U167))),IF(OR($P167="",$O167="",ETC_BottomUp="",ETC_BottomUp&lt;=0),"",$P167+($G167-$O167)*EAC_BU_Factor)))))</f>
        <v/>
      </c>
      <c r="X167" s="31">
        <f>IF(OR($W167="",$P167=""),"",$W167-$P167)</f>
        <v/>
      </c>
      <c r="Y167" s="35">
        <f>IF(OR($W167="",$G167=""),"",$G167-$W167)</f>
        <v/>
      </c>
      <c r="Z167" s="61">
        <f>IF(OR($A167="",$G167="",$O167="",$P167="",$G167-$P167=0),"",($G167-$O167)/($G167-$P167))</f>
        <v/>
      </c>
      <c r="AA167" s="54">
        <f>IF($A167="","",IF(AND($N167&lt;&gt;"",$N167&gt;=1,OR($V167="",$V167&gt;=Thr_Green)),"Complete",IF(AND($U167="",$V167=""),"Not started",IF(OR(AND($U167&lt;&gt;"",$U167&lt;Thr_Red),AND($V167&lt;&gt;"",$V167&lt;Thr_Red)),"Red",IF(OR(AND($U167&lt;&gt;"",$U167&lt;Thr_Green),AND($V167&lt;&gt;"",$V167&lt;Thr_Green)),"Amber","Green")))))</f>
        <v/>
      </c>
      <c r="AB167" s="63" t="n"/>
      <c r="AC167" s="63" t="n"/>
      <c r="AD167" s="63" t="n"/>
    </row>
    <row r="168" ht="24" customHeight="1">
      <c r="A168" s="15" t="n"/>
      <c r="B168" s="13" t="n"/>
      <c r="C168" s="15" t="n"/>
      <c r="D168" s="63" t="n"/>
      <c r="E168" s="15" t="n"/>
      <c r="F168" s="15" t="n"/>
      <c r="G168" s="64" t="n"/>
      <c r="H168" s="40">
        <f>IF(OR($A168="",SUM($G$9:$G$208)=0,$G168=""),"",$G168/SUM($G$9:$G$208))</f>
        <v/>
      </c>
      <c r="I168" s="15" t="n"/>
      <c r="J168" s="14" t="n"/>
      <c r="K168" s="14" t="n"/>
      <c r="L168" s="65">
        <f>IF(OR($A168="",$J168="",$K168="",Data_Date=""),"",IF(Data_Date&lt;=$J168,0,IF(Data_Date&gt;=$K168,1,(Data_Date-$J168)/($K168-$J168))))</f>
        <v/>
      </c>
      <c r="M168" s="31">
        <f>IF(OR($A168="",$G168="",$L168=""),"",$G168*$L168)</f>
        <v/>
      </c>
      <c r="N168" s="65" t="n"/>
      <c r="O168" s="31">
        <f>IF(OR($A168="",$G168="",$N168=""),"",$G168*$N168)</f>
        <v/>
      </c>
      <c r="P168" s="64" t="n"/>
      <c r="Q168" s="35">
        <f>IF(OR($O168="",$M168=""),"",$O168-$M168)</f>
        <v/>
      </c>
      <c r="R168" s="35">
        <f>IF(OR($O168="",$P168=""),"",$O168-$P168)</f>
        <v/>
      </c>
      <c r="S168" s="40">
        <f>IF(OR($Q168="",$M168="",$M168=0),"",$Q168/$M168)</f>
        <v/>
      </c>
      <c r="T168" s="40">
        <f>IF(OR($R168="",$O168="",$O168=0),"",$R168/$O168)</f>
        <v/>
      </c>
      <c r="U168" s="61">
        <f>IF(OR($O168="",$M168="",$M168=0),"",$O168/$M168)</f>
        <v/>
      </c>
      <c r="V168" s="61">
        <f>IF(OR($O168="",$P168="",$P168=0),"",$O168/$P168)</f>
        <v/>
      </c>
      <c r="W168" s="31">
        <f>IF(OR($A168="",$G168=""),"",IF(EAC_Idx=1,IF(OR($P168="",$O168=""),"",$P168+($G168-$O168)),IF(EAC_Idx=2,IF(OR($V168="",$V168=0),"",$G168/$V168),IF(EAC_Idx=3,IF(OR($V168="",$U168=""),"",IF($V168*$U168=0,"",$P168+($G168-$O168)/($V168*$U168))),IF(OR($P168="",$O168="",ETC_BottomUp="",ETC_BottomUp&lt;=0),"",$P168+($G168-$O168)*EAC_BU_Factor)))))</f>
        <v/>
      </c>
      <c r="X168" s="31">
        <f>IF(OR($W168="",$P168=""),"",$W168-$P168)</f>
        <v/>
      </c>
      <c r="Y168" s="35">
        <f>IF(OR($W168="",$G168=""),"",$G168-$W168)</f>
        <v/>
      </c>
      <c r="Z168" s="61">
        <f>IF(OR($A168="",$G168="",$O168="",$P168="",$G168-$P168=0),"",($G168-$O168)/($G168-$P168))</f>
        <v/>
      </c>
      <c r="AA168" s="54">
        <f>IF($A168="","",IF(AND($N168&lt;&gt;"",$N168&gt;=1,OR($V168="",$V168&gt;=Thr_Green)),"Complete",IF(AND($U168="",$V168=""),"Not started",IF(OR(AND($U168&lt;&gt;"",$U168&lt;Thr_Red),AND($V168&lt;&gt;"",$V168&lt;Thr_Red)),"Red",IF(OR(AND($U168&lt;&gt;"",$U168&lt;Thr_Green),AND($V168&lt;&gt;"",$V168&lt;Thr_Green)),"Amber","Green")))))</f>
        <v/>
      </c>
      <c r="AB168" s="63" t="n"/>
      <c r="AC168" s="63" t="n"/>
      <c r="AD168" s="63" t="n"/>
    </row>
    <row r="169" ht="24" customHeight="1">
      <c r="A169" s="15" t="n"/>
      <c r="B169" s="13" t="n"/>
      <c r="C169" s="15" t="n"/>
      <c r="D169" s="63" t="n"/>
      <c r="E169" s="15" t="n"/>
      <c r="F169" s="15" t="n"/>
      <c r="G169" s="64" t="n"/>
      <c r="H169" s="40">
        <f>IF(OR($A169="",SUM($G$9:$G$208)=0,$G169=""),"",$G169/SUM($G$9:$G$208))</f>
        <v/>
      </c>
      <c r="I169" s="15" t="n"/>
      <c r="J169" s="14" t="n"/>
      <c r="K169" s="14" t="n"/>
      <c r="L169" s="65">
        <f>IF(OR($A169="",$J169="",$K169="",Data_Date=""),"",IF(Data_Date&lt;=$J169,0,IF(Data_Date&gt;=$K169,1,(Data_Date-$J169)/($K169-$J169))))</f>
        <v/>
      </c>
      <c r="M169" s="31">
        <f>IF(OR($A169="",$G169="",$L169=""),"",$G169*$L169)</f>
        <v/>
      </c>
      <c r="N169" s="65" t="n"/>
      <c r="O169" s="31">
        <f>IF(OR($A169="",$G169="",$N169=""),"",$G169*$N169)</f>
        <v/>
      </c>
      <c r="P169" s="64" t="n"/>
      <c r="Q169" s="35">
        <f>IF(OR($O169="",$M169=""),"",$O169-$M169)</f>
        <v/>
      </c>
      <c r="R169" s="35">
        <f>IF(OR($O169="",$P169=""),"",$O169-$P169)</f>
        <v/>
      </c>
      <c r="S169" s="40">
        <f>IF(OR($Q169="",$M169="",$M169=0),"",$Q169/$M169)</f>
        <v/>
      </c>
      <c r="T169" s="40">
        <f>IF(OR($R169="",$O169="",$O169=0),"",$R169/$O169)</f>
        <v/>
      </c>
      <c r="U169" s="61">
        <f>IF(OR($O169="",$M169="",$M169=0),"",$O169/$M169)</f>
        <v/>
      </c>
      <c r="V169" s="61">
        <f>IF(OR($O169="",$P169="",$P169=0),"",$O169/$P169)</f>
        <v/>
      </c>
      <c r="W169" s="31">
        <f>IF(OR($A169="",$G169=""),"",IF(EAC_Idx=1,IF(OR($P169="",$O169=""),"",$P169+($G169-$O169)),IF(EAC_Idx=2,IF(OR($V169="",$V169=0),"",$G169/$V169),IF(EAC_Idx=3,IF(OR($V169="",$U169=""),"",IF($V169*$U169=0,"",$P169+($G169-$O169)/($V169*$U169))),IF(OR($P169="",$O169="",ETC_BottomUp="",ETC_BottomUp&lt;=0),"",$P169+($G169-$O169)*EAC_BU_Factor)))))</f>
        <v/>
      </c>
      <c r="X169" s="31">
        <f>IF(OR($W169="",$P169=""),"",$W169-$P169)</f>
        <v/>
      </c>
      <c r="Y169" s="35">
        <f>IF(OR($W169="",$G169=""),"",$G169-$W169)</f>
        <v/>
      </c>
      <c r="Z169" s="61">
        <f>IF(OR($A169="",$G169="",$O169="",$P169="",$G169-$P169=0),"",($G169-$O169)/($G169-$P169))</f>
        <v/>
      </c>
      <c r="AA169" s="54">
        <f>IF($A169="","",IF(AND($N169&lt;&gt;"",$N169&gt;=1,OR($V169="",$V169&gt;=Thr_Green)),"Complete",IF(AND($U169="",$V169=""),"Not started",IF(OR(AND($U169&lt;&gt;"",$U169&lt;Thr_Red),AND($V169&lt;&gt;"",$V169&lt;Thr_Red)),"Red",IF(OR(AND($U169&lt;&gt;"",$U169&lt;Thr_Green),AND($V169&lt;&gt;"",$V169&lt;Thr_Green)),"Amber","Green")))))</f>
        <v/>
      </c>
      <c r="AB169" s="63" t="n"/>
      <c r="AC169" s="63" t="n"/>
      <c r="AD169" s="63" t="n"/>
    </row>
    <row r="170" ht="24" customHeight="1">
      <c r="A170" s="15" t="n"/>
      <c r="B170" s="13" t="n"/>
      <c r="C170" s="15" t="n"/>
      <c r="D170" s="63" t="n"/>
      <c r="E170" s="15" t="n"/>
      <c r="F170" s="15" t="n"/>
      <c r="G170" s="64" t="n"/>
      <c r="H170" s="40">
        <f>IF(OR($A170="",SUM($G$9:$G$208)=0,$G170=""),"",$G170/SUM($G$9:$G$208))</f>
        <v/>
      </c>
      <c r="I170" s="15" t="n"/>
      <c r="J170" s="14" t="n"/>
      <c r="K170" s="14" t="n"/>
      <c r="L170" s="65">
        <f>IF(OR($A170="",$J170="",$K170="",Data_Date=""),"",IF(Data_Date&lt;=$J170,0,IF(Data_Date&gt;=$K170,1,(Data_Date-$J170)/($K170-$J170))))</f>
        <v/>
      </c>
      <c r="M170" s="31">
        <f>IF(OR($A170="",$G170="",$L170=""),"",$G170*$L170)</f>
        <v/>
      </c>
      <c r="N170" s="65" t="n"/>
      <c r="O170" s="31">
        <f>IF(OR($A170="",$G170="",$N170=""),"",$G170*$N170)</f>
        <v/>
      </c>
      <c r="P170" s="64" t="n"/>
      <c r="Q170" s="35">
        <f>IF(OR($O170="",$M170=""),"",$O170-$M170)</f>
        <v/>
      </c>
      <c r="R170" s="35">
        <f>IF(OR($O170="",$P170=""),"",$O170-$P170)</f>
        <v/>
      </c>
      <c r="S170" s="40">
        <f>IF(OR($Q170="",$M170="",$M170=0),"",$Q170/$M170)</f>
        <v/>
      </c>
      <c r="T170" s="40">
        <f>IF(OR($R170="",$O170="",$O170=0),"",$R170/$O170)</f>
        <v/>
      </c>
      <c r="U170" s="61">
        <f>IF(OR($O170="",$M170="",$M170=0),"",$O170/$M170)</f>
        <v/>
      </c>
      <c r="V170" s="61">
        <f>IF(OR($O170="",$P170="",$P170=0),"",$O170/$P170)</f>
        <v/>
      </c>
      <c r="W170" s="31">
        <f>IF(OR($A170="",$G170=""),"",IF(EAC_Idx=1,IF(OR($P170="",$O170=""),"",$P170+($G170-$O170)),IF(EAC_Idx=2,IF(OR($V170="",$V170=0),"",$G170/$V170),IF(EAC_Idx=3,IF(OR($V170="",$U170=""),"",IF($V170*$U170=0,"",$P170+($G170-$O170)/($V170*$U170))),IF(OR($P170="",$O170="",ETC_BottomUp="",ETC_BottomUp&lt;=0),"",$P170+($G170-$O170)*EAC_BU_Factor)))))</f>
        <v/>
      </c>
      <c r="X170" s="31">
        <f>IF(OR($W170="",$P170=""),"",$W170-$P170)</f>
        <v/>
      </c>
      <c r="Y170" s="35">
        <f>IF(OR($W170="",$G170=""),"",$G170-$W170)</f>
        <v/>
      </c>
      <c r="Z170" s="61">
        <f>IF(OR($A170="",$G170="",$O170="",$P170="",$G170-$P170=0),"",($G170-$O170)/($G170-$P170))</f>
        <v/>
      </c>
      <c r="AA170" s="54">
        <f>IF($A170="","",IF(AND($N170&lt;&gt;"",$N170&gt;=1,OR($V170="",$V170&gt;=Thr_Green)),"Complete",IF(AND($U170="",$V170=""),"Not started",IF(OR(AND($U170&lt;&gt;"",$U170&lt;Thr_Red),AND($V170&lt;&gt;"",$V170&lt;Thr_Red)),"Red",IF(OR(AND($U170&lt;&gt;"",$U170&lt;Thr_Green),AND($V170&lt;&gt;"",$V170&lt;Thr_Green)),"Amber","Green")))))</f>
        <v/>
      </c>
      <c r="AB170" s="63" t="n"/>
      <c r="AC170" s="63" t="n"/>
      <c r="AD170" s="63" t="n"/>
    </row>
    <row r="171" ht="24" customHeight="1">
      <c r="A171" s="15" t="n"/>
      <c r="B171" s="13" t="n"/>
      <c r="C171" s="15" t="n"/>
      <c r="D171" s="63" t="n"/>
      <c r="E171" s="15" t="n"/>
      <c r="F171" s="15" t="n"/>
      <c r="G171" s="64" t="n"/>
      <c r="H171" s="40">
        <f>IF(OR($A171="",SUM($G$9:$G$208)=0,$G171=""),"",$G171/SUM($G$9:$G$208))</f>
        <v/>
      </c>
      <c r="I171" s="15" t="n"/>
      <c r="J171" s="14" t="n"/>
      <c r="K171" s="14" t="n"/>
      <c r="L171" s="65">
        <f>IF(OR($A171="",$J171="",$K171="",Data_Date=""),"",IF(Data_Date&lt;=$J171,0,IF(Data_Date&gt;=$K171,1,(Data_Date-$J171)/($K171-$J171))))</f>
        <v/>
      </c>
      <c r="M171" s="31">
        <f>IF(OR($A171="",$G171="",$L171=""),"",$G171*$L171)</f>
        <v/>
      </c>
      <c r="N171" s="65" t="n"/>
      <c r="O171" s="31">
        <f>IF(OR($A171="",$G171="",$N171=""),"",$G171*$N171)</f>
        <v/>
      </c>
      <c r="P171" s="64" t="n"/>
      <c r="Q171" s="35">
        <f>IF(OR($O171="",$M171=""),"",$O171-$M171)</f>
        <v/>
      </c>
      <c r="R171" s="35">
        <f>IF(OR($O171="",$P171=""),"",$O171-$P171)</f>
        <v/>
      </c>
      <c r="S171" s="40">
        <f>IF(OR($Q171="",$M171="",$M171=0),"",$Q171/$M171)</f>
        <v/>
      </c>
      <c r="T171" s="40">
        <f>IF(OR($R171="",$O171="",$O171=0),"",$R171/$O171)</f>
        <v/>
      </c>
      <c r="U171" s="61">
        <f>IF(OR($O171="",$M171="",$M171=0),"",$O171/$M171)</f>
        <v/>
      </c>
      <c r="V171" s="61">
        <f>IF(OR($O171="",$P171="",$P171=0),"",$O171/$P171)</f>
        <v/>
      </c>
      <c r="W171" s="31">
        <f>IF(OR($A171="",$G171=""),"",IF(EAC_Idx=1,IF(OR($P171="",$O171=""),"",$P171+($G171-$O171)),IF(EAC_Idx=2,IF(OR($V171="",$V171=0),"",$G171/$V171),IF(EAC_Idx=3,IF(OR($V171="",$U171=""),"",IF($V171*$U171=0,"",$P171+($G171-$O171)/($V171*$U171))),IF(OR($P171="",$O171="",ETC_BottomUp="",ETC_BottomUp&lt;=0),"",$P171+($G171-$O171)*EAC_BU_Factor)))))</f>
        <v/>
      </c>
      <c r="X171" s="31">
        <f>IF(OR($W171="",$P171=""),"",$W171-$P171)</f>
        <v/>
      </c>
      <c r="Y171" s="35">
        <f>IF(OR($W171="",$G171=""),"",$G171-$W171)</f>
        <v/>
      </c>
      <c r="Z171" s="61">
        <f>IF(OR($A171="",$G171="",$O171="",$P171="",$G171-$P171=0),"",($G171-$O171)/($G171-$P171))</f>
        <v/>
      </c>
      <c r="AA171" s="54">
        <f>IF($A171="","",IF(AND($N171&lt;&gt;"",$N171&gt;=1,OR($V171="",$V171&gt;=Thr_Green)),"Complete",IF(AND($U171="",$V171=""),"Not started",IF(OR(AND($U171&lt;&gt;"",$U171&lt;Thr_Red),AND($V171&lt;&gt;"",$V171&lt;Thr_Red)),"Red",IF(OR(AND($U171&lt;&gt;"",$U171&lt;Thr_Green),AND($V171&lt;&gt;"",$V171&lt;Thr_Green)),"Amber","Green")))))</f>
        <v/>
      </c>
      <c r="AB171" s="63" t="n"/>
      <c r="AC171" s="63" t="n"/>
      <c r="AD171" s="63" t="n"/>
    </row>
    <row r="172" ht="24" customHeight="1">
      <c r="A172" s="15" t="n"/>
      <c r="B172" s="13" t="n"/>
      <c r="C172" s="15" t="n"/>
      <c r="D172" s="63" t="n"/>
      <c r="E172" s="15" t="n"/>
      <c r="F172" s="15" t="n"/>
      <c r="G172" s="64" t="n"/>
      <c r="H172" s="40">
        <f>IF(OR($A172="",SUM($G$9:$G$208)=0,$G172=""),"",$G172/SUM($G$9:$G$208))</f>
        <v/>
      </c>
      <c r="I172" s="15" t="n"/>
      <c r="J172" s="14" t="n"/>
      <c r="K172" s="14" t="n"/>
      <c r="L172" s="65">
        <f>IF(OR($A172="",$J172="",$K172="",Data_Date=""),"",IF(Data_Date&lt;=$J172,0,IF(Data_Date&gt;=$K172,1,(Data_Date-$J172)/($K172-$J172))))</f>
        <v/>
      </c>
      <c r="M172" s="31">
        <f>IF(OR($A172="",$G172="",$L172=""),"",$G172*$L172)</f>
        <v/>
      </c>
      <c r="N172" s="65" t="n"/>
      <c r="O172" s="31">
        <f>IF(OR($A172="",$G172="",$N172=""),"",$G172*$N172)</f>
        <v/>
      </c>
      <c r="P172" s="64" t="n"/>
      <c r="Q172" s="35">
        <f>IF(OR($O172="",$M172=""),"",$O172-$M172)</f>
        <v/>
      </c>
      <c r="R172" s="35">
        <f>IF(OR($O172="",$P172=""),"",$O172-$P172)</f>
        <v/>
      </c>
      <c r="S172" s="40">
        <f>IF(OR($Q172="",$M172="",$M172=0),"",$Q172/$M172)</f>
        <v/>
      </c>
      <c r="T172" s="40">
        <f>IF(OR($R172="",$O172="",$O172=0),"",$R172/$O172)</f>
        <v/>
      </c>
      <c r="U172" s="61">
        <f>IF(OR($O172="",$M172="",$M172=0),"",$O172/$M172)</f>
        <v/>
      </c>
      <c r="V172" s="61">
        <f>IF(OR($O172="",$P172="",$P172=0),"",$O172/$P172)</f>
        <v/>
      </c>
      <c r="W172" s="31">
        <f>IF(OR($A172="",$G172=""),"",IF(EAC_Idx=1,IF(OR($P172="",$O172=""),"",$P172+($G172-$O172)),IF(EAC_Idx=2,IF(OR($V172="",$V172=0),"",$G172/$V172),IF(EAC_Idx=3,IF(OR($V172="",$U172=""),"",IF($V172*$U172=0,"",$P172+($G172-$O172)/($V172*$U172))),IF(OR($P172="",$O172="",ETC_BottomUp="",ETC_BottomUp&lt;=0),"",$P172+($G172-$O172)*EAC_BU_Factor)))))</f>
        <v/>
      </c>
      <c r="X172" s="31">
        <f>IF(OR($W172="",$P172=""),"",$W172-$P172)</f>
        <v/>
      </c>
      <c r="Y172" s="35">
        <f>IF(OR($W172="",$G172=""),"",$G172-$W172)</f>
        <v/>
      </c>
      <c r="Z172" s="61">
        <f>IF(OR($A172="",$G172="",$O172="",$P172="",$G172-$P172=0),"",($G172-$O172)/($G172-$P172))</f>
        <v/>
      </c>
      <c r="AA172" s="54">
        <f>IF($A172="","",IF(AND($N172&lt;&gt;"",$N172&gt;=1,OR($V172="",$V172&gt;=Thr_Green)),"Complete",IF(AND($U172="",$V172=""),"Not started",IF(OR(AND($U172&lt;&gt;"",$U172&lt;Thr_Red),AND($V172&lt;&gt;"",$V172&lt;Thr_Red)),"Red",IF(OR(AND($U172&lt;&gt;"",$U172&lt;Thr_Green),AND($V172&lt;&gt;"",$V172&lt;Thr_Green)),"Amber","Green")))))</f>
        <v/>
      </c>
      <c r="AB172" s="63" t="n"/>
      <c r="AC172" s="63" t="n"/>
      <c r="AD172" s="63" t="n"/>
    </row>
    <row r="173" ht="24" customHeight="1">
      <c r="A173" s="15" t="n"/>
      <c r="B173" s="13" t="n"/>
      <c r="C173" s="15" t="n"/>
      <c r="D173" s="63" t="n"/>
      <c r="E173" s="15" t="n"/>
      <c r="F173" s="15" t="n"/>
      <c r="G173" s="64" t="n"/>
      <c r="H173" s="40">
        <f>IF(OR($A173="",SUM($G$9:$G$208)=0,$G173=""),"",$G173/SUM($G$9:$G$208))</f>
        <v/>
      </c>
      <c r="I173" s="15" t="n"/>
      <c r="J173" s="14" t="n"/>
      <c r="K173" s="14" t="n"/>
      <c r="L173" s="65">
        <f>IF(OR($A173="",$J173="",$K173="",Data_Date=""),"",IF(Data_Date&lt;=$J173,0,IF(Data_Date&gt;=$K173,1,(Data_Date-$J173)/($K173-$J173))))</f>
        <v/>
      </c>
      <c r="M173" s="31">
        <f>IF(OR($A173="",$G173="",$L173=""),"",$G173*$L173)</f>
        <v/>
      </c>
      <c r="N173" s="65" t="n"/>
      <c r="O173" s="31">
        <f>IF(OR($A173="",$G173="",$N173=""),"",$G173*$N173)</f>
        <v/>
      </c>
      <c r="P173" s="64" t="n"/>
      <c r="Q173" s="35">
        <f>IF(OR($O173="",$M173=""),"",$O173-$M173)</f>
        <v/>
      </c>
      <c r="R173" s="35">
        <f>IF(OR($O173="",$P173=""),"",$O173-$P173)</f>
        <v/>
      </c>
      <c r="S173" s="40">
        <f>IF(OR($Q173="",$M173="",$M173=0),"",$Q173/$M173)</f>
        <v/>
      </c>
      <c r="T173" s="40">
        <f>IF(OR($R173="",$O173="",$O173=0),"",$R173/$O173)</f>
        <v/>
      </c>
      <c r="U173" s="61">
        <f>IF(OR($O173="",$M173="",$M173=0),"",$O173/$M173)</f>
        <v/>
      </c>
      <c r="V173" s="61">
        <f>IF(OR($O173="",$P173="",$P173=0),"",$O173/$P173)</f>
        <v/>
      </c>
      <c r="W173" s="31">
        <f>IF(OR($A173="",$G173=""),"",IF(EAC_Idx=1,IF(OR($P173="",$O173=""),"",$P173+($G173-$O173)),IF(EAC_Idx=2,IF(OR($V173="",$V173=0),"",$G173/$V173),IF(EAC_Idx=3,IF(OR($V173="",$U173=""),"",IF($V173*$U173=0,"",$P173+($G173-$O173)/($V173*$U173))),IF(OR($P173="",$O173="",ETC_BottomUp="",ETC_BottomUp&lt;=0),"",$P173+($G173-$O173)*EAC_BU_Factor)))))</f>
        <v/>
      </c>
      <c r="X173" s="31">
        <f>IF(OR($W173="",$P173=""),"",$W173-$P173)</f>
        <v/>
      </c>
      <c r="Y173" s="35">
        <f>IF(OR($W173="",$G173=""),"",$G173-$W173)</f>
        <v/>
      </c>
      <c r="Z173" s="61">
        <f>IF(OR($A173="",$G173="",$O173="",$P173="",$G173-$P173=0),"",($G173-$O173)/($G173-$P173))</f>
        <v/>
      </c>
      <c r="AA173" s="54">
        <f>IF($A173="","",IF(AND($N173&lt;&gt;"",$N173&gt;=1,OR($V173="",$V173&gt;=Thr_Green)),"Complete",IF(AND($U173="",$V173=""),"Not started",IF(OR(AND($U173&lt;&gt;"",$U173&lt;Thr_Red),AND($V173&lt;&gt;"",$V173&lt;Thr_Red)),"Red",IF(OR(AND($U173&lt;&gt;"",$U173&lt;Thr_Green),AND($V173&lt;&gt;"",$V173&lt;Thr_Green)),"Amber","Green")))))</f>
        <v/>
      </c>
      <c r="AB173" s="63" t="n"/>
      <c r="AC173" s="63" t="n"/>
      <c r="AD173" s="63" t="n"/>
    </row>
    <row r="174" ht="24" customHeight="1">
      <c r="A174" s="15" t="n"/>
      <c r="B174" s="13" t="n"/>
      <c r="C174" s="15" t="n"/>
      <c r="D174" s="63" t="n"/>
      <c r="E174" s="15" t="n"/>
      <c r="F174" s="15" t="n"/>
      <c r="G174" s="64" t="n"/>
      <c r="H174" s="40">
        <f>IF(OR($A174="",SUM($G$9:$G$208)=0,$G174=""),"",$G174/SUM($G$9:$G$208))</f>
        <v/>
      </c>
      <c r="I174" s="15" t="n"/>
      <c r="J174" s="14" t="n"/>
      <c r="K174" s="14" t="n"/>
      <c r="L174" s="65">
        <f>IF(OR($A174="",$J174="",$K174="",Data_Date=""),"",IF(Data_Date&lt;=$J174,0,IF(Data_Date&gt;=$K174,1,(Data_Date-$J174)/($K174-$J174))))</f>
        <v/>
      </c>
      <c r="M174" s="31">
        <f>IF(OR($A174="",$G174="",$L174=""),"",$G174*$L174)</f>
        <v/>
      </c>
      <c r="N174" s="65" t="n"/>
      <c r="O174" s="31">
        <f>IF(OR($A174="",$G174="",$N174=""),"",$G174*$N174)</f>
        <v/>
      </c>
      <c r="P174" s="64" t="n"/>
      <c r="Q174" s="35">
        <f>IF(OR($O174="",$M174=""),"",$O174-$M174)</f>
        <v/>
      </c>
      <c r="R174" s="35">
        <f>IF(OR($O174="",$P174=""),"",$O174-$P174)</f>
        <v/>
      </c>
      <c r="S174" s="40">
        <f>IF(OR($Q174="",$M174="",$M174=0),"",$Q174/$M174)</f>
        <v/>
      </c>
      <c r="T174" s="40">
        <f>IF(OR($R174="",$O174="",$O174=0),"",$R174/$O174)</f>
        <v/>
      </c>
      <c r="U174" s="61">
        <f>IF(OR($O174="",$M174="",$M174=0),"",$O174/$M174)</f>
        <v/>
      </c>
      <c r="V174" s="61">
        <f>IF(OR($O174="",$P174="",$P174=0),"",$O174/$P174)</f>
        <v/>
      </c>
      <c r="W174" s="31">
        <f>IF(OR($A174="",$G174=""),"",IF(EAC_Idx=1,IF(OR($P174="",$O174=""),"",$P174+($G174-$O174)),IF(EAC_Idx=2,IF(OR($V174="",$V174=0),"",$G174/$V174),IF(EAC_Idx=3,IF(OR($V174="",$U174=""),"",IF($V174*$U174=0,"",$P174+($G174-$O174)/($V174*$U174))),IF(OR($P174="",$O174="",ETC_BottomUp="",ETC_BottomUp&lt;=0),"",$P174+($G174-$O174)*EAC_BU_Factor)))))</f>
        <v/>
      </c>
      <c r="X174" s="31">
        <f>IF(OR($W174="",$P174=""),"",$W174-$P174)</f>
        <v/>
      </c>
      <c r="Y174" s="35">
        <f>IF(OR($W174="",$G174=""),"",$G174-$W174)</f>
        <v/>
      </c>
      <c r="Z174" s="61">
        <f>IF(OR($A174="",$G174="",$O174="",$P174="",$G174-$P174=0),"",($G174-$O174)/($G174-$P174))</f>
        <v/>
      </c>
      <c r="AA174" s="54">
        <f>IF($A174="","",IF(AND($N174&lt;&gt;"",$N174&gt;=1,OR($V174="",$V174&gt;=Thr_Green)),"Complete",IF(AND($U174="",$V174=""),"Not started",IF(OR(AND($U174&lt;&gt;"",$U174&lt;Thr_Red),AND($V174&lt;&gt;"",$V174&lt;Thr_Red)),"Red",IF(OR(AND($U174&lt;&gt;"",$U174&lt;Thr_Green),AND($V174&lt;&gt;"",$V174&lt;Thr_Green)),"Amber","Green")))))</f>
        <v/>
      </c>
      <c r="AB174" s="63" t="n"/>
      <c r="AC174" s="63" t="n"/>
      <c r="AD174" s="63" t="n"/>
    </row>
    <row r="175" ht="24" customHeight="1">
      <c r="A175" s="15" t="n"/>
      <c r="B175" s="13" t="n"/>
      <c r="C175" s="15" t="n"/>
      <c r="D175" s="63" t="n"/>
      <c r="E175" s="15" t="n"/>
      <c r="F175" s="15" t="n"/>
      <c r="G175" s="64" t="n"/>
      <c r="H175" s="40">
        <f>IF(OR($A175="",SUM($G$9:$G$208)=0,$G175=""),"",$G175/SUM($G$9:$G$208))</f>
        <v/>
      </c>
      <c r="I175" s="15" t="n"/>
      <c r="J175" s="14" t="n"/>
      <c r="K175" s="14" t="n"/>
      <c r="L175" s="65">
        <f>IF(OR($A175="",$J175="",$K175="",Data_Date=""),"",IF(Data_Date&lt;=$J175,0,IF(Data_Date&gt;=$K175,1,(Data_Date-$J175)/($K175-$J175))))</f>
        <v/>
      </c>
      <c r="M175" s="31">
        <f>IF(OR($A175="",$G175="",$L175=""),"",$G175*$L175)</f>
        <v/>
      </c>
      <c r="N175" s="65" t="n"/>
      <c r="O175" s="31">
        <f>IF(OR($A175="",$G175="",$N175=""),"",$G175*$N175)</f>
        <v/>
      </c>
      <c r="P175" s="64" t="n"/>
      <c r="Q175" s="35">
        <f>IF(OR($O175="",$M175=""),"",$O175-$M175)</f>
        <v/>
      </c>
      <c r="R175" s="35">
        <f>IF(OR($O175="",$P175=""),"",$O175-$P175)</f>
        <v/>
      </c>
      <c r="S175" s="40">
        <f>IF(OR($Q175="",$M175="",$M175=0),"",$Q175/$M175)</f>
        <v/>
      </c>
      <c r="T175" s="40">
        <f>IF(OR($R175="",$O175="",$O175=0),"",$R175/$O175)</f>
        <v/>
      </c>
      <c r="U175" s="61">
        <f>IF(OR($O175="",$M175="",$M175=0),"",$O175/$M175)</f>
        <v/>
      </c>
      <c r="V175" s="61">
        <f>IF(OR($O175="",$P175="",$P175=0),"",$O175/$P175)</f>
        <v/>
      </c>
      <c r="W175" s="31">
        <f>IF(OR($A175="",$G175=""),"",IF(EAC_Idx=1,IF(OR($P175="",$O175=""),"",$P175+($G175-$O175)),IF(EAC_Idx=2,IF(OR($V175="",$V175=0),"",$G175/$V175),IF(EAC_Idx=3,IF(OR($V175="",$U175=""),"",IF($V175*$U175=0,"",$P175+($G175-$O175)/($V175*$U175))),IF(OR($P175="",$O175="",ETC_BottomUp="",ETC_BottomUp&lt;=0),"",$P175+($G175-$O175)*EAC_BU_Factor)))))</f>
        <v/>
      </c>
      <c r="X175" s="31">
        <f>IF(OR($W175="",$P175=""),"",$W175-$P175)</f>
        <v/>
      </c>
      <c r="Y175" s="35">
        <f>IF(OR($W175="",$G175=""),"",$G175-$W175)</f>
        <v/>
      </c>
      <c r="Z175" s="61">
        <f>IF(OR($A175="",$G175="",$O175="",$P175="",$G175-$P175=0),"",($G175-$O175)/($G175-$P175))</f>
        <v/>
      </c>
      <c r="AA175" s="54">
        <f>IF($A175="","",IF(AND($N175&lt;&gt;"",$N175&gt;=1,OR($V175="",$V175&gt;=Thr_Green)),"Complete",IF(AND($U175="",$V175=""),"Not started",IF(OR(AND($U175&lt;&gt;"",$U175&lt;Thr_Red),AND($V175&lt;&gt;"",$V175&lt;Thr_Red)),"Red",IF(OR(AND($U175&lt;&gt;"",$U175&lt;Thr_Green),AND($V175&lt;&gt;"",$V175&lt;Thr_Green)),"Amber","Green")))))</f>
        <v/>
      </c>
      <c r="AB175" s="63" t="n"/>
      <c r="AC175" s="63" t="n"/>
      <c r="AD175" s="63" t="n"/>
    </row>
    <row r="176" ht="24" customHeight="1">
      <c r="A176" s="15" t="n"/>
      <c r="B176" s="13" t="n"/>
      <c r="C176" s="15" t="n"/>
      <c r="D176" s="63" t="n"/>
      <c r="E176" s="15" t="n"/>
      <c r="F176" s="15" t="n"/>
      <c r="G176" s="64" t="n"/>
      <c r="H176" s="40">
        <f>IF(OR($A176="",SUM($G$9:$G$208)=0,$G176=""),"",$G176/SUM($G$9:$G$208))</f>
        <v/>
      </c>
      <c r="I176" s="15" t="n"/>
      <c r="J176" s="14" t="n"/>
      <c r="K176" s="14" t="n"/>
      <c r="L176" s="65">
        <f>IF(OR($A176="",$J176="",$K176="",Data_Date=""),"",IF(Data_Date&lt;=$J176,0,IF(Data_Date&gt;=$K176,1,(Data_Date-$J176)/($K176-$J176))))</f>
        <v/>
      </c>
      <c r="M176" s="31">
        <f>IF(OR($A176="",$G176="",$L176=""),"",$G176*$L176)</f>
        <v/>
      </c>
      <c r="N176" s="65" t="n"/>
      <c r="O176" s="31">
        <f>IF(OR($A176="",$G176="",$N176=""),"",$G176*$N176)</f>
        <v/>
      </c>
      <c r="P176" s="64" t="n"/>
      <c r="Q176" s="35">
        <f>IF(OR($O176="",$M176=""),"",$O176-$M176)</f>
        <v/>
      </c>
      <c r="R176" s="35">
        <f>IF(OR($O176="",$P176=""),"",$O176-$P176)</f>
        <v/>
      </c>
      <c r="S176" s="40">
        <f>IF(OR($Q176="",$M176="",$M176=0),"",$Q176/$M176)</f>
        <v/>
      </c>
      <c r="T176" s="40">
        <f>IF(OR($R176="",$O176="",$O176=0),"",$R176/$O176)</f>
        <v/>
      </c>
      <c r="U176" s="61">
        <f>IF(OR($O176="",$M176="",$M176=0),"",$O176/$M176)</f>
        <v/>
      </c>
      <c r="V176" s="61">
        <f>IF(OR($O176="",$P176="",$P176=0),"",$O176/$P176)</f>
        <v/>
      </c>
      <c r="W176" s="31">
        <f>IF(OR($A176="",$G176=""),"",IF(EAC_Idx=1,IF(OR($P176="",$O176=""),"",$P176+($G176-$O176)),IF(EAC_Idx=2,IF(OR($V176="",$V176=0),"",$G176/$V176),IF(EAC_Idx=3,IF(OR($V176="",$U176=""),"",IF($V176*$U176=0,"",$P176+($G176-$O176)/($V176*$U176))),IF(OR($P176="",$O176="",ETC_BottomUp="",ETC_BottomUp&lt;=0),"",$P176+($G176-$O176)*EAC_BU_Factor)))))</f>
        <v/>
      </c>
      <c r="X176" s="31">
        <f>IF(OR($W176="",$P176=""),"",$W176-$P176)</f>
        <v/>
      </c>
      <c r="Y176" s="35">
        <f>IF(OR($W176="",$G176=""),"",$G176-$W176)</f>
        <v/>
      </c>
      <c r="Z176" s="61">
        <f>IF(OR($A176="",$G176="",$O176="",$P176="",$G176-$P176=0),"",($G176-$O176)/($G176-$P176))</f>
        <v/>
      </c>
      <c r="AA176" s="54">
        <f>IF($A176="","",IF(AND($N176&lt;&gt;"",$N176&gt;=1,OR($V176="",$V176&gt;=Thr_Green)),"Complete",IF(AND($U176="",$V176=""),"Not started",IF(OR(AND($U176&lt;&gt;"",$U176&lt;Thr_Red),AND($V176&lt;&gt;"",$V176&lt;Thr_Red)),"Red",IF(OR(AND($U176&lt;&gt;"",$U176&lt;Thr_Green),AND($V176&lt;&gt;"",$V176&lt;Thr_Green)),"Amber","Green")))))</f>
        <v/>
      </c>
      <c r="AB176" s="63" t="n"/>
      <c r="AC176" s="63" t="n"/>
      <c r="AD176" s="63" t="n"/>
    </row>
    <row r="177" ht="24" customHeight="1">
      <c r="A177" s="15" t="n"/>
      <c r="B177" s="13" t="n"/>
      <c r="C177" s="15" t="n"/>
      <c r="D177" s="63" t="n"/>
      <c r="E177" s="15" t="n"/>
      <c r="F177" s="15" t="n"/>
      <c r="G177" s="64" t="n"/>
      <c r="H177" s="40">
        <f>IF(OR($A177="",SUM($G$9:$G$208)=0,$G177=""),"",$G177/SUM($G$9:$G$208))</f>
        <v/>
      </c>
      <c r="I177" s="15" t="n"/>
      <c r="J177" s="14" t="n"/>
      <c r="K177" s="14" t="n"/>
      <c r="L177" s="65">
        <f>IF(OR($A177="",$J177="",$K177="",Data_Date=""),"",IF(Data_Date&lt;=$J177,0,IF(Data_Date&gt;=$K177,1,(Data_Date-$J177)/($K177-$J177))))</f>
        <v/>
      </c>
      <c r="M177" s="31">
        <f>IF(OR($A177="",$G177="",$L177=""),"",$G177*$L177)</f>
        <v/>
      </c>
      <c r="N177" s="65" t="n"/>
      <c r="O177" s="31">
        <f>IF(OR($A177="",$G177="",$N177=""),"",$G177*$N177)</f>
        <v/>
      </c>
      <c r="P177" s="64" t="n"/>
      <c r="Q177" s="35">
        <f>IF(OR($O177="",$M177=""),"",$O177-$M177)</f>
        <v/>
      </c>
      <c r="R177" s="35">
        <f>IF(OR($O177="",$P177=""),"",$O177-$P177)</f>
        <v/>
      </c>
      <c r="S177" s="40">
        <f>IF(OR($Q177="",$M177="",$M177=0),"",$Q177/$M177)</f>
        <v/>
      </c>
      <c r="T177" s="40">
        <f>IF(OR($R177="",$O177="",$O177=0),"",$R177/$O177)</f>
        <v/>
      </c>
      <c r="U177" s="61">
        <f>IF(OR($O177="",$M177="",$M177=0),"",$O177/$M177)</f>
        <v/>
      </c>
      <c r="V177" s="61">
        <f>IF(OR($O177="",$P177="",$P177=0),"",$O177/$P177)</f>
        <v/>
      </c>
      <c r="W177" s="31">
        <f>IF(OR($A177="",$G177=""),"",IF(EAC_Idx=1,IF(OR($P177="",$O177=""),"",$P177+($G177-$O177)),IF(EAC_Idx=2,IF(OR($V177="",$V177=0),"",$G177/$V177),IF(EAC_Idx=3,IF(OR($V177="",$U177=""),"",IF($V177*$U177=0,"",$P177+($G177-$O177)/($V177*$U177))),IF(OR($P177="",$O177="",ETC_BottomUp="",ETC_BottomUp&lt;=0),"",$P177+($G177-$O177)*EAC_BU_Factor)))))</f>
        <v/>
      </c>
      <c r="X177" s="31">
        <f>IF(OR($W177="",$P177=""),"",$W177-$P177)</f>
        <v/>
      </c>
      <c r="Y177" s="35">
        <f>IF(OR($W177="",$G177=""),"",$G177-$W177)</f>
        <v/>
      </c>
      <c r="Z177" s="61">
        <f>IF(OR($A177="",$G177="",$O177="",$P177="",$G177-$P177=0),"",($G177-$O177)/($G177-$P177))</f>
        <v/>
      </c>
      <c r="AA177" s="54">
        <f>IF($A177="","",IF(AND($N177&lt;&gt;"",$N177&gt;=1,OR($V177="",$V177&gt;=Thr_Green)),"Complete",IF(AND($U177="",$V177=""),"Not started",IF(OR(AND($U177&lt;&gt;"",$U177&lt;Thr_Red),AND($V177&lt;&gt;"",$V177&lt;Thr_Red)),"Red",IF(OR(AND($U177&lt;&gt;"",$U177&lt;Thr_Green),AND($V177&lt;&gt;"",$V177&lt;Thr_Green)),"Amber","Green")))))</f>
        <v/>
      </c>
      <c r="AB177" s="63" t="n"/>
      <c r="AC177" s="63" t="n"/>
      <c r="AD177" s="63" t="n"/>
    </row>
    <row r="178" ht="24" customHeight="1">
      <c r="A178" s="15" t="n"/>
      <c r="B178" s="13" t="n"/>
      <c r="C178" s="15" t="n"/>
      <c r="D178" s="63" t="n"/>
      <c r="E178" s="15" t="n"/>
      <c r="F178" s="15" t="n"/>
      <c r="G178" s="64" t="n"/>
      <c r="H178" s="40">
        <f>IF(OR($A178="",SUM($G$9:$G$208)=0,$G178=""),"",$G178/SUM($G$9:$G$208))</f>
        <v/>
      </c>
      <c r="I178" s="15" t="n"/>
      <c r="J178" s="14" t="n"/>
      <c r="K178" s="14" t="n"/>
      <c r="L178" s="65">
        <f>IF(OR($A178="",$J178="",$K178="",Data_Date=""),"",IF(Data_Date&lt;=$J178,0,IF(Data_Date&gt;=$K178,1,(Data_Date-$J178)/($K178-$J178))))</f>
        <v/>
      </c>
      <c r="M178" s="31">
        <f>IF(OR($A178="",$G178="",$L178=""),"",$G178*$L178)</f>
        <v/>
      </c>
      <c r="N178" s="65" t="n"/>
      <c r="O178" s="31">
        <f>IF(OR($A178="",$G178="",$N178=""),"",$G178*$N178)</f>
        <v/>
      </c>
      <c r="P178" s="64" t="n"/>
      <c r="Q178" s="35">
        <f>IF(OR($O178="",$M178=""),"",$O178-$M178)</f>
        <v/>
      </c>
      <c r="R178" s="35">
        <f>IF(OR($O178="",$P178=""),"",$O178-$P178)</f>
        <v/>
      </c>
      <c r="S178" s="40">
        <f>IF(OR($Q178="",$M178="",$M178=0),"",$Q178/$M178)</f>
        <v/>
      </c>
      <c r="T178" s="40">
        <f>IF(OR($R178="",$O178="",$O178=0),"",$R178/$O178)</f>
        <v/>
      </c>
      <c r="U178" s="61">
        <f>IF(OR($O178="",$M178="",$M178=0),"",$O178/$M178)</f>
        <v/>
      </c>
      <c r="V178" s="61">
        <f>IF(OR($O178="",$P178="",$P178=0),"",$O178/$P178)</f>
        <v/>
      </c>
      <c r="W178" s="31">
        <f>IF(OR($A178="",$G178=""),"",IF(EAC_Idx=1,IF(OR($P178="",$O178=""),"",$P178+($G178-$O178)),IF(EAC_Idx=2,IF(OR($V178="",$V178=0),"",$G178/$V178),IF(EAC_Idx=3,IF(OR($V178="",$U178=""),"",IF($V178*$U178=0,"",$P178+($G178-$O178)/($V178*$U178))),IF(OR($P178="",$O178="",ETC_BottomUp="",ETC_BottomUp&lt;=0),"",$P178+($G178-$O178)*EAC_BU_Factor)))))</f>
        <v/>
      </c>
      <c r="X178" s="31">
        <f>IF(OR($W178="",$P178=""),"",$W178-$P178)</f>
        <v/>
      </c>
      <c r="Y178" s="35">
        <f>IF(OR($W178="",$G178=""),"",$G178-$W178)</f>
        <v/>
      </c>
      <c r="Z178" s="61">
        <f>IF(OR($A178="",$G178="",$O178="",$P178="",$G178-$P178=0),"",($G178-$O178)/($G178-$P178))</f>
        <v/>
      </c>
      <c r="AA178" s="54">
        <f>IF($A178="","",IF(AND($N178&lt;&gt;"",$N178&gt;=1,OR($V178="",$V178&gt;=Thr_Green)),"Complete",IF(AND($U178="",$V178=""),"Not started",IF(OR(AND($U178&lt;&gt;"",$U178&lt;Thr_Red),AND($V178&lt;&gt;"",$V178&lt;Thr_Red)),"Red",IF(OR(AND($U178&lt;&gt;"",$U178&lt;Thr_Green),AND($V178&lt;&gt;"",$V178&lt;Thr_Green)),"Amber","Green")))))</f>
        <v/>
      </c>
      <c r="AB178" s="63" t="n"/>
      <c r="AC178" s="63" t="n"/>
      <c r="AD178" s="63" t="n"/>
    </row>
    <row r="179" ht="24" customHeight="1">
      <c r="A179" s="15" t="n"/>
      <c r="B179" s="13" t="n"/>
      <c r="C179" s="15" t="n"/>
      <c r="D179" s="63" t="n"/>
      <c r="E179" s="15" t="n"/>
      <c r="F179" s="15" t="n"/>
      <c r="G179" s="64" t="n"/>
      <c r="H179" s="40">
        <f>IF(OR($A179="",SUM($G$9:$G$208)=0,$G179=""),"",$G179/SUM($G$9:$G$208))</f>
        <v/>
      </c>
      <c r="I179" s="15" t="n"/>
      <c r="J179" s="14" t="n"/>
      <c r="K179" s="14" t="n"/>
      <c r="L179" s="65">
        <f>IF(OR($A179="",$J179="",$K179="",Data_Date=""),"",IF(Data_Date&lt;=$J179,0,IF(Data_Date&gt;=$K179,1,(Data_Date-$J179)/($K179-$J179))))</f>
        <v/>
      </c>
      <c r="M179" s="31">
        <f>IF(OR($A179="",$G179="",$L179=""),"",$G179*$L179)</f>
        <v/>
      </c>
      <c r="N179" s="65" t="n"/>
      <c r="O179" s="31">
        <f>IF(OR($A179="",$G179="",$N179=""),"",$G179*$N179)</f>
        <v/>
      </c>
      <c r="P179" s="64" t="n"/>
      <c r="Q179" s="35">
        <f>IF(OR($O179="",$M179=""),"",$O179-$M179)</f>
        <v/>
      </c>
      <c r="R179" s="35">
        <f>IF(OR($O179="",$P179=""),"",$O179-$P179)</f>
        <v/>
      </c>
      <c r="S179" s="40">
        <f>IF(OR($Q179="",$M179="",$M179=0),"",$Q179/$M179)</f>
        <v/>
      </c>
      <c r="T179" s="40">
        <f>IF(OR($R179="",$O179="",$O179=0),"",$R179/$O179)</f>
        <v/>
      </c>
      <c r="U179" s="61">
        <f>IF(OR($O179="",$M179="",$M179=0),"",$O179/$M179)</f>
        <v/>
      </c>
      <c r="V179" s="61">
        <f>IF(OR($O179="",$P179="",$P179=0),"",$O179/$P179)</f>
        <v/>
      </c>
      <c r="W179" s="31">
        <f>IF(OR($A179="",$G179=""),"",IF(EAC_Idx=1,IF(OR($P179="",$O179=""),"",$P179+($G179-$O179)),IF(EAC_Idx=2,IF(OR($V179="",$V179=0),"",$G179/$V179),IF(EAC_Idx=3,IF(OR($V179="",$U179=""),"",IF($V179*$U179=0,"",$P179+($G179-$O179)/($V179*$U179))),IF(OR($P179="",$O179="",ETC_BottomUp="",ETC_BottomUp&lt;=0),"",$P179+($G179-$O179)*EAC_BU_Factor)))))</f>
        <v/>
      </c>
      <c r="X179" s="31">
        <f>IF(OR($W179="",$P179=""),"",$W179-$P179)</f>
        <v/>
      </c>
      <c r="Y179" s="35">
        <f>IF(OR($W179="",$G179=""),"",$G179-$W179)</f>
        <v/>
      </c>
      <c r="Z179" s="61">
        <f>IF(OR($A179="",$G179="",$O179="",$P179="",$G179-$P179=0),"",($G179-$O179)/($G179-$P179))</f>
        <v/>
      </c>
      <c r="AA179" s="54">
        <f>IF($A179="","",IF(AND($N179&lt;&gt;"",$N179&gt;=1,OR($V179="",$V179&gt;=Thr_Green)),"Complete",IF(AND($U179="",$V179=""),"Not started",IF(OR(AND($U179&lt;&gt;"",$U179&lt;Thr_Red),AND($V179&lt;&gt;"",$V179&lt;Thr_Red)),"Red",IF(OR(AND($U179&lt;&gt;"",$U179&lt;Thr_Green),AND($V179&lt;&gt;"",$V179&lt;Thr_Green)),"Amber","Green")))))</f>
        <v/>
      </c>
      <c r="AB179" s="63" t="n"/>
      <c r="AC179" s="63" t="n"/>
      <c r="AD179" s="63" t="n"/>
    </row>
    <row r="180" ht="24" customHeight="1">
      <c r="A180" s="15" t="n"/>
      <c r="B180" s="13" t="n"/>
      <c r="C180" s="15" t="n"/>
      <c r="D180" s="63" t="n"/>
      <c r="E180" s="15" t="n"/>
      <c r="F180" s="15" t="n"/>
      <c r="G180" s="64" t="n"/>
      <c r="H180" s="40">
        <f>IF(OR($A180="",SUM($G$9:$G$208)=0,$G180=""),"",$G180/SUM($G$9:$G$208))</f>
        <v/>
      </c>
      <c r="I180" s="15" t="n"/>
      <c r="J180" s="14" t="n"/>
      <c r="K180" s="14" t="n"/>
      <c r="L180" s="65">
        <f>IF(OR($A180="",$J180="",$K180="",Data_Date=""),"",IF(Data_Date&lt;=$J180,0,IF(Data_Date&gt;=$K180,1,(Data_Date-$J180)/($K180-$J180))))</f>
        <v/>
      </c>
      <c r="M180" s="31">
        <f>IF(OR($A180="",$G180="",$L180=""),"",$G180*$L180)</f>
        <v/>
      </c>
      <c r="N180" s="65" t="n"/>
      <c r="O180" s="31">
        <f>IF(OR($A180="",$G180="",$N180=""),"",$G180*$N180)</f>
        <v/>
      </c>
      <c r="P180" s="64" t="n"/>
      <c r="Q180" s="35">
        <f>IF(OR($O180="",$M180=""),"",$O180-$M180)</f>
        <v/>
      </c>
      <c r="R180" s="35">
        <f>IF(OR($O180="",$P180=""),"",$O180-$P180)</f>
        <v/>
      </c>
      <c r="S180" s="40">
        <f>IF(OR($Q180="",$M180="",$M180=0),"",$Q180/$M180)</f>
        <v/>
      </c>
      <c r="T180" s="40">
        <f>IF(OR($R180="",$O180="",$O180=0),"",$R180/$O180)</f>
        <v/>
      </c>
      <c r="U180" s="61">
        <f>IF(OR($O180="",$M180="",$M180=0),"",$O180/$M180)</f>
        <v/>
      </c>
      <c r="V180" s="61">
        <f>IF(OR($O180="",$P180="",$P180=0),"",$O180/$P180)</f>
        <v/>
      </c>
      <c r="W180" s="31">
        <f>IF(OR($A180="",$G180=""),"",IF(EAC_Idx=1,IF(OR($P180="",$O180=""),"",$P180+($G180-$O180)),IF(EAC_Idx=2,IF(OR($V180="",$V180=0),"",$G180/$V180),IF(EAC_Idx=3,IF(OR($V180="",$U180=""),"",IF($V180*$U180=0,"",$P180+($G180-$O180)/($V180*$U180))),IF(OR($P180="",$O180="",ETC_BottomUp="",ETC_BottomUp&lt;=0),"",$P180+($G180-$O180)*EAC_BU_Factor)))))</f>
        <v/>
      </c>
      <c r="X180" s="31">
        <f>IF(OR($W180="",$P180=""),"",$W180-$P180)</f>
        <v/>
      </c>
      <c r="Y180" s="35">
        <f>IF(OR($W180="",$G180=""),"",$G180-$W180)</f>
        <v/>
      </c>
      <c r="Z180" s="61">
        <f>IF(OR($A180="",$G180="",$O180="",$P180="",$G180-$P180=0),"",($G180-$O180)/($G180-$P180))</f>
        <v/>
      </c>
      <c r="AA180" s="54">
        <f>IF($A180="","",IF(AND($N180&lt;&gt;"",$N180&gt;=1,OR($V180="",$V180&gt;=Thr_Green)),"Complete",IF(AND($U180="",$V180=""),"Not started",IF(OR(AND($U180&lt;&gt;"",$U180&lt;Thr_Red),AND($V180&lt;&gt;"",$V180&lt;Thr_Red)),"Red",IF(OR(AND($U180&lt;&gt;"",$U180&lt;Thr_Green),AND($V180&lt;&gt;"",$V180&lt;Thr_Green)),"Amber","Green")))))</f>
        <v/>
      </c>
      <c r="AB180" s="63" t="n"/>
      <c r="AC180" s="63" t="n"/>
      <c r="AD180" s="63" t="n"/>
    </row>
    <row r="181" ht="24" customHeight="1">
      <c r="A181" s="15" t="n"/>
      <c r="B181" s="13" t="n"/>
      <c r="C181" s="15" t="n"/>
      <c r="D181" s="63" t="n"/>
      <c r="E181" s="15" t="n"/>
      <c r="F181" s="15" t="n"/>
      <c r="G181" s="64" t="n"/>
      <c r="H181" s="40">
        <f>IF(OR($A181="",SUM($G$9:$G$208)=0,$G181=""),"",$G181/SUM($G$9:$G$208))</f>
        <v/>
      </c>
      <c r="I181" s="15" t="n"/>
      <c r="J181" s="14" t="n"/>
      <c r="K181" s="14" t="n"/>
      <c r="L181" s="65">
        <f>IF(OR($A181="",$J181="",$K181="",Data_Date=""),"",IF(Data_Date&lt;=$J181,0,IF(Data_Date&gt;=$K181,1,(Data_Date-$J181)/($K181-$J181))))</f>
        <v/>
      </c>
      <c r="M181" s="31">
        <f>IF(OR($A181="",$G181="",$L181=""),"",$G181*$L181)</f>
        <v/>
      </c>
      <c r="N181" s="65" t="n"/>
      <c r="O181" s="31">
        <f>IF(OR($A181="",$G181="",$N181=""),"",$G181*$N181)</f>
        <v/>
      </c>
      <c r="P181" s="64" t="n"/>
      <c r="Q181" s="35">
        <f>IF(OR($O181="",$M181=""),"",$O181-$M181)</f>
        <v/>
      </c>
      <c r="R181" s="35">
        <f>IF(OR($O181="",$P181=""),"",$O181-$P181)</f>
        <v/>
      </c>
      <c r="S181" s="40">
        <f>IF(OR($Q181="",$M181="",$M181=0),"",$Q181/$M181)</f>
        <v/>
      </c>
      <c r="T181" s="40">
        <f>IF(OR($R181="",$O181="",$O181=0),"",$R181/$O181)</f>
        <v/>
      </c>
      <c r="U181" s="61">
        <f>IF(OR($O181="",$M181="",$M181=0),"",$O181/$M181)</f>
        <v/>
      </c>
      <c r="V181" s="61">
        <f>IF(OR($O181="",$P181="",$P181=0),"",$O181/$P181)</f>
        <v/>
      </c>
      <c r="W181" s="31">
        <f>IF(OR($A181="",$G181=""),"",IF(EAC_Idx=1,IF(OR($P181="",$O181=""),"",$P181+($G181-$O181)),IF(EAC_Idx=2,IF(OR($V181="",$V181=0),"",$G181/$V181),IF(EAC_Idx=3,IF(OR($V181="",$U181=""),"",IF($V181*$U181=0,"",$P181+($G181-$O181)/($V181*$U181))),IF(OR($P181="",$O181="",ETC_BottomUp="",ETC_BottomUp&lt;=0),"",$P181+($G181-$O181)*EAC_BU_Factor)))))</f>
        <v/>
      </c>
      <c r="X181" s="31">
        <f>IF(OR($W181="",$P181=""),"",$W181-$P181)</f>
        <v/>
      </c>
      <c r="Y181" s="35">
        <f>IF(OR($W181="",$G181=""),"",$G181-$W181)</f>
        <v/>
      </c>
      <c r="Z181" s="61">
        <f>IF(OR($A181="",$G181="",$O181="",$P181="",$G181-$P181=0),"",($G181-$O181)/($G181-$P181))</f>
        <v/>
      </c>
      <c r="AA181" s="54">
        <f>IF($A181="","",IF(AND($N181&lt;&gt;"",$N181&gt;=1,OR($V181="",$V181&gt;=Thr_Green)),"Complete",IF(AND($U181="",$V181=""),"Not started",IF(OR(AND($U181&lt;&gt;"",$U181&lt;Thr_Red),AND($V181&lt;&gt;"",$V181&lt;Thr_Red)),"Red",IF(OR(AND($U181&lt;&gt;"",$U181&lt;Thr_Green),AND($V181&lt;&gt;"",$V181&lt;Thr_Green)),"Amber","Green")))))</f>
        <v/>
      </c>
      <c r="AB181" s="63" t="n"/>
      <c r="AC181" s="63" t="n"/>
      <c r="AD181" s="63" t="n"/>
    </row>
    <row r="182" ht="24" customHeight="1">
      <c r="A182" s="15" t="n"/>
      <c r="B182" s="13" t="n"/>
      <c r="C182" s="15" t="n"/>
      <c r="D182" s="63" t="n"/>
      <c r="E182" s="15" t="n"/>
      <c r="F182" s="15" t="n"/>
      <c r="G182" s="64" t="n"/>
      <c r="H182" s="40">
        <f>IF(OR($A182="",SUM($G$9:$G$208)=0,$G182=""),"",$G182/SUM($G$9:$G$208))</f>
        <v/>
      </c>
      <c r="I182" s="15" t="n"/>
      <c r="J182" s="14" t="n"/>
      <c r="K182" s="14" t="n"/>
      <c r="L182" s="65">
        <f>IF(OR($A182="",$J182="",$K182="",Data_Date=""),"",IF(Data_Date&lt;=$J182,0,IF(Data_Date&gt;=$K182,1,(Data_Date-$J182)/($K182-$J182))))</f>
        <v/>
      </c>
      <c r="M182" s="31">
        <f>IF(OR($A182="",$G182="",$L182=""),"",$G182*$L182)</f>
        <v/>
      </c>
      <c r="N182" s="65" t="n"/>
      <c r="O182" s="31">
        <f>IF(OR($A182="",$G182="",$N182=""),"",$G182*$N182)</f>
        <v/>
      </c>
      <c r="P182" s="64" t="n"/>
      <c r="Q182" s="35">
        <f>IF(OR($O182="",$M182=""),"",$O182-$M182)</f>
        <v/>
      </c>
      <c r="R182" s="35">
        <f>IF(OR($O182="",$P182=""),"",$O182-$P182)</f>
        <v/>
      </c>
      <c r="S182" s="40">
        <f>IF(OR($Q182="",$M182="",$M182=0),"",$Q182/$M182)</f>
        <v/>
      </c>
      <c r="T182" s="40">
        <f>IF(OR($R182="",$O182="",$O182=0),"",$R182/$O182)</f>
        <v/>
      </c>
      <c r="U182" s="61">
        <f>IF(OR($O182="",$M182="",$M182=0),"",$O182/$M182)</f>
        <v/>
      </c>
      <c r="V182" s="61">
        <f>IF(OR($O182="",$P182="",$P182=0),"",$O182/$P182)</f>
        <v/>
      </c>
      <c r="W182" s="31">
        <f>IF(OR($A182="",$G182=""),"",IF(EAC_Idx=1,IF(OR($P182="",$O182=""),"",$P182+($G182-$O182)),IF(EAC_Idx=2,IF(OR($V182="",$V182=0),"",$G182/$V182),IF(EAC_Idx=3,IF(OR($V182="",$U182=""),"",IF($V182*$U182=0,"",$P182+($G182-$O182)/($V182*$U182))),IF(OR($P182="",$O182="",ETC_BottomUp="",ETC_BottomUp&lt;=0),"",$P182+($G182-$O182)*EAC_BU_Factor)))))</f>
        <v/>
      </c>
      <c r="X182" s="31">
        <f>IF(OR($W182="",$P182=""),"",$W182-$P182)</f>
        <v/>
      </c>
      <c r="Y182" s="35">
        <f>IF(OR($W182="",$G182=""),"",$G182-$W182)</f>
        <v/>
      </c>
      <c r="Z182" s="61">
        <f>IF(OR($A182="",$G182="",$O182="",$P182="",$G182-$P182=0),"",($G182-$O182)/($G182-$P182))</f>
        <v/>
      </c>
      <c r="AA182" s="54">
        <f>IF($A182="","",IF(AND($N182&lt;&gt;"",$N182&gt;=1,OR($V182="",$V182&gt;=Thr_Green)),"Complete",IF(AND($U182="",$V182=""),"Not started",IF(OR(AND($U182&lt;&gt;"",$U182&lt;Thr_Red),AND($V182&lt;&gt;"",$V182&lt;Thr_Red)),"Red",IF(OR(AND($U182&lt;&gt;"",$U182&lt;Thr_Green),AND($V182&lt;&gt;"",$V182&lt;Thr_Green)),"Amber","Green")))))</f>
        <v/>
      </c>
      <c r="AB182" s="63" t="n"/>
      <c r="AC182" s="63" t="n"/>
      <c r="AD182" s="63" t="n"/>
    </row>
    <row r="183" ht="24" customHeight="1">
      <c r="A183" s="15" t="n"/>
      <c r="B183" s="13" t="n"/>
      <c r="C183" s="15" t="n"/>
      <c r="D183" s="63" t="n"/>
      <c r="E183" s="15" t="n"/>
      <c r="F183" s="15" t="n"/>
      <c r="G183" s="64" t="n"/>
      <c r="H183" s="40">
        <f>IF(OR($A183="",SUM($G$9:$G$208)=0,$G183=""),"",$G183/SUM($G$9:$G$208))</f>
        <v/>
      </c>
      <c r="I183" s="15" t="n"/>
      <c r="J183" s="14" t="n"/>
      <c r="K183" s="14" t="n"/>
      <c r="L183" s="65">
        <f>IF(OR($A183="",$J183="",$K183="",Data_Date=""),"",IF(Data_Date&lt;=$J183,0,IF(Data_Date&gt;=$K183,1,(Data_Date-$J183)/($K183-$J183))))</f>
        <v/>
      </c>
      <c r="M183" s="31">
        <f>IF(OR($A183="",$G183="",$L183=""),"",$G183*$L183)</f>
        <v/>
      </c>
      <c r="N183" s="65" t="n"/>
      <c r="O183" s="31">
        <f>IF(OR($A183="",$G183="",$N183=""),"",$G183*$N183)</f>
        <v/>
      </c>
      <c r="P183" s="64" t="n"/>
      <c r="Q183" s="35">
        <f>IF(OR($O183="",$M183=""),"",$O183-$M183)</f>
        <v/>
      </c>
      <c r="R183" s="35">
        <f>IF(OR($O183="",$P183=""),"",$O183-$P183)</f>
        <v/>
      </c>
      <c r="S183" s="40">
        <f>IF(OR($Q183="",$M183="",$M183=0),"",$Q183/$M183)</f>
        <v/>
      </c>
      <c r="T183" s="40">
        <f>IF(OR($R183="",$O183="",$O183=0),"",$R183/$O183)</f>
        <v/>
      </c>
      <c r="U183" s="61">
        <f>IF(OR($O183="",$M183="",$M183=0),"",$O183/$M183)</f>
        <v/>
      </c>
      <c r="V183" s="61">
        <f>IF(OR($O183="",$P183="",$P183=0),"",$O183/$P183)</f>
        <v/>
      </c>
      <c r="W183" s="31">
        <f>IF(OR($A183="",$G183=""),"",IF(EAC_Idx=1,IF(OR($P183="",$O183=""),"",$P183+($G183-$O183)),IF(EAC_Idx=2,IF(OR($V183="",$V183=0),"",$G183/$V183),IF(EAC_Idx=3,IF(OR($V183="",$U183=""),"",IF($V183*$U183=0,"",$P183+($G183-$O183)/($V183*$U183))),IF(OR($P183="",$O183="",ETC_BottomUp="",ETC_BottomUp&lt;=0),"",$P183+($G183-$O183)*EAC_BU_Factor)))))</f>
        <v/>
      </c>
      <c r="X183" s="31">
        <f>IF(OR($W183="",$P183=""),"",$W183-$P183)</f>
        <v/>
      </c>
      <c r="Y183" s="35">
        <f>IF(OR($W183="",$G183=""),"",$G183-$W183)</f>
        <v/>
      </c>
      <c r="Z183" s="61">
        <f>IF(OR($A183="",$G183="",$O183="",$P183="",$G183-$P183=0),"",($G183-$O183)/($G183-$P183))</f>
        <v/>
      </c>
      <c r="AA183" s="54">
        <f>IF($A183="","",IF(AND($N183&lt;&gt;"",$N183&gt;=1,OR($V183="",$V183&gt;=Thr_Green)),"Complete",IF(AND($U183="",$V183=""),"Not started",IF(OR(AND($U183&lt;&gt;"",$U183&lt;Thr_Red),AND($V183&lt;&gt;"",$V183&lt;Thr_Red)),"Red",IF(OR(AND($U183&lt;&gt;"",$U183&lt;Thr_Green),AND($V183&lt;&gt;"",$V183&lt;Thr_Green)),"Amber","Green")))))</f>
        <v/>
      </c>
      <c r="AB183" s="63" t="n"/>
      <c r="AC183" s="63" t="n"/>
      <c r="AD183" s="63" t="n"/>
    </row>
    <row r="184" ht="24" customHeight="1">
      <c r="A184" s="15" t="n"/>
      <c r="B184" s="13" t="n"/>
      <c r="C184" s="15" t="n"/>
      <c r="D184" s="63" t="n"/>
      <c r="E184" s="15" t="n"/>
      <c r="F184" s="15" t="n"/>
      <c r="G184" s="64" t="n"/>
      <c r="H184" s="40">
        <f>IF(OR($A184="",SUM($G$9:$G$208)=0,$G184=""),"",$G184/SUM($G$9:$G$208))</f>
        <v/>
      </c>
      <c r="I184" s="15" t="n"/>
      <c r="J184" s="14" t="n"/>
      <c r="K184" s="14" t="n"/>
      <c r="L184" s="65">
        <f>IF(OR($A184="",$J184="",$K184="",Data_Date=""),"",IF(Data_Date&lt;=$J184,0,IF(Data_Date&gt;=$K184,1,(Data_Date-$J184)/($K184-$J184))))</f>
        <v/>
      </c>
      <c r="M184" s="31">
        <f>IF(OR($A184="",$G184="",$L184=""),"",$G184*$L184)</f>
        <v/>
      </c>
      <c r="N184" s="65" t="n"/>
      <c r="O184" s="31">
        <f>IF(OR($A184="",$G184="",$N184=""),"",$G184*$N184)</f>
        <v/>
      </c>
      <c r="P184" s="64" t="n"/>
      <c r="Q184" s="35">
        <f>IF(OR($O184="",$M184=""),"",$O184-$M184)</f>
        <v/>
      </c>
      <c r="R184" s="35">
        <f>IF(OR($O184="",$P184=""),"",$O184-$P184)</f>
        <v/>
      </c>
      <c r="S184" s="40">
        <f>IF(OR($Q184="",$M184="",$M184=0),"",$Q184/$M184)</f>
        <v/>
      </c>
      <c r="T184" s="40">
        <f>IF(OR($R184="",$O184="",$O184=0),"",$R184/$O184)</f>
        <v/>
      </c>
      <c r="U184" s="61">
        <f>IF(OR($O184="",$M184="",$M184=0),"",$O184/$M184)</f>
        <v/>
      </c>
      <c r="V184" s="61">
        <f>IF(OR($O184="",$P184="",$P184=0),"",$O184/$P184)</f>
        <v/>
      </c>
      <c r="W184" s="31">
        <f>IF(OR($A184="",$G184=""),"",IF(EAC_Idx=1,IF(OR($P184="",$O184=""),"",$P184+($G184-$O184)),IF(EAC_Idx=2,IF(OR($V184="",$V184=0),"",$G184/$V184),IF(EAC_Idx=3,IF(OR($V184="",$U184=""),"",IF($V184*$U184=0,"",$P184+($G184-$O184)/($V184*$U184))),IF(OR($P184="",$O184="",ETC_BottomUp="",ETC_BottomUp&lt;=0),"",$P184+($G184-$O184)*EAC_BU_Factor)))))</f>
        <v/>
      </c>
      <c r="X184" s="31">
        <f>IF(OR($W184="",$P184=""),"",$W184-$P184)</f>
        <v/>
      </c>
      <c r="Y184" s="35">
        <f>IF(OR($W184="",$G184=""),"",$G184-$W184)</f>
        <v/>
      </c>
      <c r="Z184" s="61">
        <f>IF(OR($A184="",$G184="",$O184="",$P184="",$G184-$P184=0),"",($G184-$O184)/($G184-$P184))</f>
        <v/>
      </c>
      <c r="AA184" s="54">
        <f>IF($A184="","",IF(AND($N184&lt;&gt;"",$N184&gt;=1,OR($V184="",$V184&gt;=Thr_Green)),"Complete",IF(AND($U184="",$V184=""),"Not started",IF(OR(AND($U184&lt;&gt;"",$U184&lt;Thr_Red),AND($V184&lt;&gt;"",$V184&lt;Thr_Red)),"Red",IF(OR(AND($U184&lt;&gt;"",$U184&lt;Thr_Green),AND($V184&lt;&gt;"",$V184&lt;Thr_Green)),"Amber","Green")))))</f>
        <v/>
      </c>
      <c r="AB184" s="63" t="n"/>
      <c r="AC184" s="63" t="n"/>
      <c r="AD184" s="63" t="n"/>
    </row>
    <row r="185" ht="24" customHeight="1">
      <c r="A185" s="15" t="n"/>
      <c r="B185" s="13" t="n"/>
      <c r="C185" s="15" t="n"/>
      <c r="D185" s="63" t="n"/>
      <c r="E185" s="15" t="n"/>
      <c r="F185" s="15" t="n"/>
      <c r="G185" s="64" t="n"/>
      <c r="H185" s="40">
        <f>IF(OR($A185="",SUM($G$9:$G$208)=0,$G185=""),"",$G185/SUM($G$9:$G$208))</f>
        <v/>
      </c>
      <c r="I185" s="15" t="n"/>
      <c r="J185" s="14" t="n"/>
      <c r="K185" s="14" t="n"/>
      <c r="L185" s="65">
        <f>IF(OR($A185="",$J185="",$K185="",Data_Date=""),"",IF(Data_Date&lt;=$J185,0,IF(Data_Date&gt;=$K185,1,(Data_Date-$J185)/($K185-$J185))))</f>
        <v/>
      </c>
      <c r="M185" s="31">
        <f>IF(OR($A185="",$G185="",$L185=""),"",$G185*$L185)</f>
        <v/>
      </c>
      <c r="N185" s="65" t="n"/>
      <c r="O185" s="31">
        <f>IF(OR($A185="",$G185="",$N185=""),"",$G185*$N185)</f>
        <v/>
      </c>
      <c r="P185" s="64" t="n"/>
      <c r="Q185" s="35">
        <f>IF(OR($O185="",$M185=""),"",$O185-$M185)</f>
        <v/>
      </c>
      <c r="R185" s="35">
        <f>IF(OR($O185="",$P185=""),"",$O185-$P185)</f>
        <v/>
      </c>
      <c r="S185" s="40">
        <f>IF(OR($Q185="",$M185="",$M185=0),"",$Q185/$M185)</f>
        <v/>
      </c>
      <c r="T185" s="40">
        <f>IF(OR($R185="",$O185="",$O185=0),"",$R185/$O185)</f>
        <v/>
      </c>
      <c r="U185" s="61">
        <f>IF(OR($O185="",$M185="",$M185=0),"",$O185/$M185)</f>
        <v/>
      </c>
      <c r="V185" s="61">
        <f>IF(OR($O185="",$P185="",$P185=0),"",$O185/$P185)</f>
        <v/>
      </c>
      <c r="W185" s="31">
        <f>IF(OR($A185="",$G185=""),"",IF(EAC_Idx=1,IF(OR($P185="",$O185=""),"",$P185+($G185-$O185)),IF(EAC_Idx=2,IF(OR($V185="",$V185=0),"",$G185/$V185),IF(EAC_Idx=3,IF(OR($V185="",$U185=""),"",IF($V185*$U185=0,"",$P185+($G185-$O185)/($V185*$U185))),IF(OR($P185="",$O185="",ETC_BottomUp="",ETC_BottomUp&lt;=0),"",$P185+($G185-$O185)*EAC_BU_Factor)))))</f>
        <v/>
      </c>
      <c r="X185" s="31">
        <f>IF(OR($W185="",$P185=""),"",$W185-$P185)</f>
        <v/>
      </c>
      <c r="Y185" s="35">
        <f>IF(OR($W185="",$G185=""),"",$G185-$W185)</f>
        <v/>
      </c>
      <c r="Z185" s="61">
        <f>IF(OR($A185="",$G185="",$O185="",$P185="",$G185-$P185=0),"",($G185-$O185)/($G185-$P185))</f>
        <v/>
      </c>
      <c r="AA185" s="54">
        <f>IF($A185="","",IF(AND($N185&lt;&gt;"",$N185&gt;=1,OR($V185="",$V185&gt;=Thr_Green)),"Complete",IF(AND($U185="",$V185=""),"Not started",IF(OR(AND($U185&lt;&gt;"",$U185&lt;Thr_Red),AND($V185&lt;&gt;"",$V185&lt;Thr_Red)),"Red",IF(OR(AND($U185&lt;&gt;"",$U185&lt;Thr_Green),AND($V185&lt;&gt;"",$V185&lt;Thr_Green)),"Amber","Green")))))</f>
        <v/>
      </c>
      <c r="AB185" s="63" t="n"/>
      <c r="AC185" s="63" t="n"/>
      <c r="AD185" s="63" t="n"/>
    </row>
    <row r="186" ht="24" customHeight="1">
      <c r="A186" s="15" t="n"/>
      <c r="B186" s="13" t="n"/>
      <c r="C186" s="15" t="n"/>
      <c r="D186" s="63" t="n"/>
      <c r="E186" s="15" t="n"/>
      <c r="F186" s="15" t="n"/>
      <c r="G186" s="64" t="n"/>
      <c r="H186" s="40">
        <f>IF(OR($A186="",SUM($G$9:$G$208)=0,$G186=""),"",$G186/SUM($G$9:$G$208))</f>
        <v/>
      </c>
      <c r="I186" s="15" t="n"/>
      <c r="J186" s="14" t="n"/>
      <c r="K186" s="14" t="n"/>
      <c r="L186" s="65">
        <f>IF(OR($A186="",$J186="",$K186="",Data_Date=""),"",IF(Data_Date&lt;=$J186,0,IF(Data_Date&gt;=$K186,1,(Data_Date-$J186)/($K186-$J186))))</f>
        <v/>
      </c>
      <c r="M186" s="31">
        <f>IF(OR($A186="",$G186="",$L186=""),"",$G186*$L186)</f>
        <v/>
      </c>
      <c r="N186" s="65" t="n"/>
      <c r="O186" s="31">
        <f>IF(OR($A186="",$G186="",$N186=""),"",$G186*$N186)</f>
        <v/>
      </c>
      <c r="P186" s="64" t="n"/>
      <c r="Q186" s="35">
        <f>IF(OR($O186="",$M186=""),"",$O186-$M186)</f>
        <v/>
      </c>
      <c r="R186" s="35">
        <f>IF(OR($O186="",$P186=""),"",$O186-$P186)</f>
        <v/>
      </c>
      <c r="S186" s="40">
        <f>IF(OR($Q186="",$M186="",$M186=0),"",$Q186/$M186)</f>
        <v/>
      </c>
      <c r="T186" s="40">
        <f>IF(OR($R186="",$O186="",$O186=0),"",$R186/$O186)</f>
        <v/>
      </c>
      <c r="U186" s="61">
        <f>IF(OR($O186="",$M186="",$M186=0),"",$O186/$M186)</f>
        <v/>
      </c>
      <c r="V186" s="61">
        <f>IF(OR($O186="",$P186="",$P186=0),"",$O186/$P186)</f>
        <v/>
      </c>
      <c r="W186" s="31">
        <f>IF(OR($A186="",$G186=""),"",IF(EAC_Idx=1,IF(OR($P186="",$O186=""),"",$P186+($G186-$O186)),IF(EAC_Idx=2,IF(OR($V186="",$V186=0),"",$G186/$V186),IF(EAC_Idx=3,IF(OR($V186="",$U186=""),"",IF($V186*$U186=0,"",$P186+($G186-$O186)/($V186*$U186))),IF(OR($P186="",$O186="",ETC_BottomUp="",ETC_BottomUp&lt;=0),"",$P186+($G186-$O186)*EAC_BU_Factor)))))</f>
        <v/>
      </c>
      <c r="X186" s="31">
        <f>IF(OR($W186="",$P186=""),"",$W186-$P186)</f>
        <v/>
      </c>
      <c r="Y186" s="35">
        <f>IF(OR($W186="",$G186=""),"",$G186-$W186)</f>
        <v/>
      </c>
      <c r="Z186" s="61">
        <f>IF(OR($A186="",$G186="",$O186="",$P186="",$G186-$P186=0),"",($G186-$O186)/($G186-$P186))</f>
        <v/>
      </c>
      <c r="AA186" s="54">
        <f>IF($A186="","",IF(AND($N186&lt;&gt;"",$N186&gt;=1,OR($V186="",$V186&gt;=Thr_Green)),"Complete",IF(AND($U186="",$V186=""),"Not started",IF(OR(AND($U186&lt;&gt;"",$U186&lt;Thr_Red),AND($V186&lt;&gt;"",$V186&lt;Thr_Red)),"Red",IF(OR(AND($U186&lt;&gt;"",$U186&lt;Thr_Green),AND($V186&lt;&gt;"",$V186&lt;Thr_Green)),"Amber","Green")))))</f>
        <v/>
      </c>
      <c r="AB186" s="63" t="n"/>
      <c r="AC186" s="63" t="n"/>
      <c r="AD186" s="63" t="n"/>
    </row>
    <row r="187" ht="24" customHeight="1">
      <c r="A187" s="15" t="n"/>
      <c r="B187" s="13" t="n"/>
      <c r="C187" s="15" t="n"/>
      <c r="D187" s="63" t="n"/>
      <c r="E187" s="15" t="n"/>
      <c r="F187" s="15" t="n"/>
      <c r="G187" s="64" t="n"/>
      <c r="H187" s="40">
        <f>IF(OR($A187="",SUM($G$9:$G$208)=0,$G187=""),"",$G187/SUM($G$9:$G$208))</f>
        <v/>
      </c>
      <c r="I187" s="15" t="n"/>
      <c r="J187" s="14" t="n"/>
      <c r="K187" s="14" t="n"/>
      <c r="L187" s="65">
        <f>IF(OR($A187="",$J187="",$K187="",Data_Date=""),"",IF(Data_Date&lt;=$J187,0,IF(Data_Date&gt;=$K187,1,(Data_Date-$J187)/($K187-$J187))))</f>
        <v/>
      </c>
      <c r="M187" s="31">
        <f>IF(OR($A187="",$G187="",$L187=""),"",$G187*$L187)</f>
        <v/>
      </c>
      <c r="N187" s="65" t="n"/>
      <c r="O187" s="31">
        <f>IF(OR($A187="",$G187="",$N187=""),"",$G187*$N187)</f>
        <v/>
      </c>
      <c r="P187" s="64" t="n"/>
      <c r="Q187" s="35">
        <f>IF(OR($O187="",$M187=""),"",$O187-$M187)</f>
        <v/>
      </c>
      <c r="R187" s="35">
        <f>IF(OR($O187="",$P187=""),"",$O187-$P187)</f>
        <v/>
      </c>
      <c r="S187" s="40">
        <f>IF(OR($Q187="",$M187="",$M187=0),"",$Q187/$M187)</f>
        <v/>
      </c>
      <c r="T187" s="40">
        <f>IF(OR($R187="",$O187="",$O187=0),"",$R187/$O187)</f>
        <v/>
      </c>
      <c r="U187" s="61">
        <f>IF(OR($O187="",$M187="",$M187=0),"",$O187/$M187)</f>
        <v/>
      </c>
      <c r="V187" s="61">
        <f>IF(OR($O187="",$P187="",$P187=0),"",$O187/$P187)</f>
        <v/>
      </c>
      <c r="W187" s="31">
        <f>IF(OR($A187="",$G187=""),"",IF(EAC_Idx=1,IF(OR($P187="",$O187=""),"",$P187+($G187-$O187)),IF(EAC_Idx=2,IF(OR($V187="",$V187=0),"",$G187/$V187),IF(EAC_Idx=3,IF(OR($V187="",$U187=""),"",IF($V187*$U187=0,"",$P187+($G187-$O187)/($V187*$U187))),IF(OR($P187="",$O187="",ETC_BottomUp="",ETC_BottomUp&lt;=0),"",$P187+($G187-$O187)*EAC_BU_Factor)))))</f>
        <v/>
      </c>
      <c r="X187" s="31">
        <f>IF(OR($W187="",$P187=""),"",$W187-$P187)</f>
        <v/>
      </c>
      <c r="Y187" s="35">
        <f>IF(OR($W187="",$G187=""),"",$G187-$W187)</f>
        <v/>
      </c>
      <c r="Z187" s="61">
        <f>IF(OR($A187="",$G187="",$O187="",$P187="",$G187-$P187=0),"",($G187-$O187)/($G187-$P187))</f>
        <v/>
      </c>
      <c r="AA187" s="54">
        <f>IF($A187="","",IF(AND($N187&lt;&gt;"",$N187&gt;=1,OR($V187="",$V187&gt;=Thr_Green)),"Complete",IF(AND($U187="",$V187=""),"Not started",IF(OR(AND($U187&lt;&gt;"",$U187&lt;Thr_Red),AND($V187&lt;&gt;"",$V187&lt;Thr_Red)),"Red",IF(OR(AND($U187&lt;&gt;"",$U187&lt;Thr_Green),AND($V187&lt;&gt;"",$V187&lt;Thr_Green)),"Amber","Green")))))</f>
        <v/>
      </c>
      <c r="AB187" s="63" t="n"/>
      <c r="AC187" s="63" t="n"/>
      <c r="AD187" s="63" t="n"/>
    </row>
    <row r="188" ht="24" customHeight="1">
      <c r="A188" s="15" t="n"/>
      <c r="B188" s="13" t="n"/>
      <c r="C188" s="15" t="n"/>
      <c r="D188" s="63" t="n"/>
      <c r="E188" s="15" t="n"/>
      <c r="F188" s="15" t="n"/>
      <c r="G188" s="64" t="n"/>
      <c r="H188" s="40">
        <f>IF(OR($A188="",SUM($G$9:$G$208)=0,$G188=""),"",$G188/SUM($G$9:$G$208))</f>
        <v/>
      </c>
      <c r="I188" s="15" t="n"/>
      <c r="J188" s="14" t="n"/>
      <c r="K188" s="14" t="n"/>
      <c r="L188" s="65">
        <f>IF(OR($A188="",$J188="",$K188="",Data_Date=""),"",IF(Data_Date&lt;=$J188,0,IF(Data_Date&gt;=$K188,1,(Data_Date-$J188)/($K188-$J188))))</f>
        <v/>
      </c>
      <c r="M188" s="31">
        <f>IF(OR($A188="",$G188="",$L188=""),"",$G188*$L188)</f>
        <v/>
      </c>
      <c r="N188" s="65" t="n"/>
      <c r="O188" s="31">
        <f>IF(OR($A188="",$G188="",$N188=""),"",$G188*$N188)</f>
        <v/>
      </c>
      <c r="P188" s="64" t="n"/>
      <c r="Q188" s="35">
        <f>IF(OR($O188="",$M188=""),"",$O188-$M188)</f>
        <v/>
      </c>
      <c r="R188" s="35">
        <f>IF(OR($O188="",$P188=""),"",$O188-$P188)</f>
        <v/>
      </c>
      <c r="S188" s="40">
        <f>IF(OR($Q188="",$M188="",$M188=0),"",$Q188/$M188)</f>
        <v/>
      </c>
      <c r="T188" s="40">
        <f>IF(OR($R188="",$O188="",$O188=0),"",$R188/$O188)</f>
        <v/>
      </c>
      <c r="U188" s="61">
        <f>IF(OR($O188="",$M188="",$M188=0),"",$O188/$M188)</f>
        <v/>
      </c>
      <c r="V188" s="61">
        <f>IF(OR($O188="",$P188="",$P188=0),"",$O188/$P188)</f>
        <v/>
      </c>
      <c r="W188" s="31">
        <f>IF(OR($A188="",$G188=""),"",IF(EAC_Idx=1,IF(OR($P188="",$O188=""),"",$P188+($G188-$O188)),IF(EAC_Idx=2,IF(OR($V188="",$V188=0),"",$G188/$V188),IF(EAC_Idx=3,IF(OR($V188="",$U188=""),"",IF($V188*$U188=0,"",$P188+($G188-$O188)/($V188*$U188))),IF(OR($P188="",$O188="",ETC_BottomUp="",ETC_BottomUp&lt;=0),"",$P188+($G188-$O188)*EAC_BU_Factor)))))</f>
        <v/>
      </c>
      <c r="X188" s="31">
        <f>IF(OR($W188="",$P188=""),"",$W188-$P188)</f>
        <v/>
      </c>
      <c r="Y188" s="35">
        <f>IF(OR($W188="",$G188=""),"",$G188-$W188)</f>
        <v/>
      </c>
      <c r="Z188" s="61">
        <f>IF(OR($A188="",$G188="",$O188="",$P188="",$G188-$P188=0),"",($G188-$O188)/($G188-$P188))</f>
        <v/>
      </c>
      <c r="AA188" s="54">
        <f>IF($A188="","",IF(AND($N188&lt;&gt;"",$N188&gt;=1,OR($V188="",$V188&gt;=Thr_Green)),"Complete",IF(AND($U188="",$V188=""),"Not started",IF(OR(AND($U188&lt;&gt;"",$U188&lt;Thr_Red),AND($V188&lt;&gt;"",$V188&lt;Thr_Red)),"Red",IF(OR(AND($U188&lt;&gt;"",$U188&lt;Thr_Green),AND($V188&lt;&gt;"",$V188&lt;Thr_Green)),"Amber","Green")))))</f>
        <v/>
      </c>
      <c r="AB188" s="63" t="n"/>
      <c r="AC188" s="63" t="n"/>
      <c r="AD188" s="63" t="n"/>
    </row>
    <row r="189" ht="24" customHeight="1">
      <c r="A189" s="15" t="n"/>
      <c r="B189" s="13" t="n"/>
      <c r="C189" s="15" t="n"/>
      <c r="D189" s="63" t="n"/>
      <c r="E189" s="15" t="n"/>
      <c r="F189" s="15" t="n"/>
      <c r="G189" s="64" t="n"/>
      <c r="H189" s="40">
        <f>IF(OR($A189="",SUM($G$9:$G$208)=0,$G189=""),"",$G189/SUM($G$9:$G$208))</f>
        <v/>
      </c>
      <c r="I189" s="15" t="n"/>
      <c r="J189" s="14" t="n"/>
      <c r="K189" s="14" t="n"/>
      <c r="L189" s="65">
        <f>IF(OR($A189="",$J189="",$K189="",Data_Date=""),"",IF(Data_Date&lt;=$J189,0,IF(Data_Date&gt;=$K189,1,(Data_Date-$J189)/($K189-$J189))))</f>
        <v/>
      </c>
      <c r="M189" s="31">
        <f>IF(OR($A189="",$G189="",$L189=""),"",$G189*$L189)</f>
        <v/>
      </c>
      <c r="N189" s="65" t="n"/>
      <c r="O189" s="31">
        <f>IF(OR($A189="",$G189="",$N189=""),"",$G189*$N189)</f>
        <v/>
      </c>
      <c r="P189" s="64" t="n"/>
      <c r="Q189" s="35">
        <f>IF(OR($O189="",$M189=""),"",$O189-$M189)</f>
        <v/>
      </c>
      <c r="R189" s="35">
        <f>IF(OR($O189="",$P189=""),"",$O189-$P189)</f>
        <v/>
      </c>
      <c r="S189" s="40">
        <f>IF(OR($Q189="",$M189="",$M189=0),"",$Q189/$M189)</f>
        <v/>
      </c>
      <c r="T189" s="40">
        <f>IF(OR($R189="",$O189="",$O189=0),"",$R189/$O189)</f>
        <v/>
      </c>
      <c r="U189" s="61">
        <f>IF(OR($O189="",$M189="",$M189=0),"",$O189/$M189)</f>
        <v/>
      </c>
      <c r="V189" s="61">
        <f>IF(OR($O189="",$P189="",$P189=0),"",$O189/$P189)</f>
        <v/>
      </c>
      <c r="W189" s="31">
        <f>IF(OR($A189="",$G189=""),"",IF(EAC_Idx=1,IF(OR($P189="",$O189=""),"",$P189+($G189-$O189)),IF(EAC_Idx=2,IF(OR($V189="",$V189=0),"",$G189/$V189),IF(EAC_Idx=3,IF(OR($V189="",$U189=""),"",IF($V189*$U189=0,"",$P189+($G189-$O189)/($V189*$U189))),IF(OR($P189="",$O189="",ETC_BottomUp="",ETC_BottomUp&lt;=0),"",$P189+($G189-$O189)*EAC_BU_Factor)))))</f>
        <v/>
      </c>
      <c r="X189" s="31">
        <f>IF(OR($W189="",$P189=""),"",$W189-$P189)</f>
        <v/>
      </c>
      <c r="Y189" s="35">
        <f>IF(OR($W189="",$G189=""),"",$G189-$W189)</f>
        <v/>
      </c>
      <c r="Z189" s="61">
        <f>IF(OR($A189="",$G189="",$O189="",$P189="",$G189-$P189=0),"",($G189-$O189)/($G189-$P189))</f>
        <v/>
      </c>
      <c r="AA189" s="54">
        <f>IF($A189="","",IF(AND($N189&lt;&gt;"",$N189&gt;=1,OR($V189="",$V189&gt;=Thr_Green)),"Complete",IF(AND($U189="",$V189=""),"Not started",IF(OR(AND($U189&lt;&gt;"",$U189&lt;Thr_Red),AND($V189&lt;&gt;"",$V189&lt;Thr_Red)),"Red",IF(OR(AND($U189&lt;&gt;"",$U189&lt;Thr_Green),AND($V189&lt;&gt;"",$V189&lt;Thr_Green)),"Amber","Green")))))</f>
        <v/>
      </c>
      <c r="AB189" s="63" t="n"/>
      <c r="AC189" s="63" t="n"/>
      <c r="AD189" s="63" t="n"/>
    </row>
    <row r="190" ht="24" customHeight="1">
      <c r="A190" s="15" t="n"/>
      <c r="B190" s="13" t="n"/>
      <c r="C190" s="15" t="n"/>
      <c r="D190" s="63" t="n"/>
      <c r="E190" s="15" t="n"/>
      <c r="F190" s="15" t="n"/>
      <c r="G190" s="64" t="n"/>
      <c r="H190" s="40">
        <f>IF(OR($A190="",SUM($G$9:$G$208)=0,$G190=""),"",$G190/SUM($G$9:$G$208))</f>
        <v/>
      </c>
      <c r="I190" s="15" t="n"/>
      <c r="J190" s="14" t="n"/>
      <c r="K190" s="14" t="n"/>
      <c r="L190" s="65">
        <f>IF(OR($A190="",$J190="",$K190="",Data_Date=""),"",IF(Data_Date&lt;=$J190,0,IF(Data_Date&gt;=$K190,1,(Data_Date-$J190)/($K190-$J190))))</f>
        <v/>
      </c>
      <c r="M190" s="31">
        <f>IF(OR($A190="",$G190="",$L190=""),"",$G190*$L190)</f>
        <v/>
      </c>
      <c r="N190" s="65" t="n"/>
      <c r="O190" s="31">
        <f>IF(OR($A190="",$G190="",$N190=""),"",$G190*$N190)</f>
        <v/>
      </c>
      <c r="P190" s="64" t="n"/>
      <c r="Q190" s="35">
        <f>IF(OR($O190="",$M190=""),"",$O190-$M190)</f>
        <v/>
      </c>
      <c r="R190" s="35">
        <f>IF(OR($O190="",$P190=""),"",$O190-$P190)</f>
        <v/>
      </c>
      <c r="S190" s="40">
        <f>IF(OR($Q190="",$M190="",$M190=0),"",$Q190/$M190)</f>
        <v/>
      </c>
      <c r="T190" s="40">
        <f>IF(OR($R190="",$O190="",$O190=0),"",$R190/$O190)</f>
        <v/>
      </c>
      <c r="U190" s="61">
        <f>IF(OR($O190="",$M190="",$M190=0),"",$O190/$M190)</f>
        <v/>
      </c>
      <c r="V190" s="61">
        <f>IF(OR($O190="",$P190="",$P190=0),"",$O190/$P190)</f>
        <v/>
      </c>
      <c r="W190" s="31">
        <f>IF(OR($A190="",$G190=""),"",IF(EAC_Idx=1,IF(OR($P190="",$O190=""),"",$P190+($G190-$O190)),IF(EAC_Idx=2,IF(OR($V190="",$V190=0),"",$G190/$V190),IF(EAC_Idx=3,IF(OR($V190="",$U190=""),"",IF($V190*$U190=0,"",$P190+($G190-$O190)/($V190*$U190))),IF(OR($P190="",$O190="",ETC_BottomUp="",ETC_BottomUp&lt;=0),"",$P190+($G190-$O190)*EAC_BU_Factor)))))</f>
        <v/>
      </c>
      <c r="X190" s="31">
        <f>IF(OR($W190="",$P190=""),"",$W190-$P190)</f>
        <v/>
      </c>
      <c r="Y190" s="35">
        <f>IF(OR($W190="",$G190=""),"",$G190-$W190)</f>
        <v/>
      </c>
      <c r="Z190" s="61">
        <f>IF(OR($A190="",$G190="",$O190="",$P190="",$G190-$P190=0),"",($G190-$O190)/($G190-$P190))</f>
        <v/>
      </c>
      <c r="AA190" s="54">
        <f>IF($A190="","",IF(AND($N190&lt;&gt;"",$N190&gt;=1,OR($V190="",$V190&gt;=Thr_Green)),"Complete",IF(AND($U190="",$V190=""),"Not started",IF(OR(AND($U190&lt;&gt;"",$U190&lt;Thr_Red),AND($V190&lt;&gt;"",$V190&lt;Thr_Red)),"Red",IF(OR(AND($U190&lt;&gt;"",$U190&lt;Thr_Green),AND($V190&lt;&gt;"",$V190&lt;Thr_Green)),"Amber","Green")))))</f>
        <v/>
      </c>
      <c r="AB190" s="63" t="n"/>
      <c r="AC190" s="63" t="n"/>
      <c r="AD190" s="63" t="n"/>
    </row>
    <row r="191" ht="24" customHeight="1">
      <c r="A191" s="15" t="n"/>
      <c r="B191" s="13" t="n"/>
      <c r="C191" s="15" t="n"/>
      <c r="D191" s="63" t="n"/>
      <c r="E191" s="15" t="n"/>
      <c r="F191" s="15" t="n"/>
      <c r="G191" s="64" t="n"/>
      <c r="H191" s="40">
        <f>IF(OR($A191="",SUM($G$9:$G$208)=0,$G191=""),"",$G191/SUM($G$9:$G$208))</f>
        <v/>
      </c>
      <c r="I191" s="15" t="n"/>
      <c r="J191" s="14" t="n"/>
      <c r="K191" s="14" t="n"/>
      <c r="L191" s="65">
        <f>IF(OR($A191="",$J191="",$K191="",Data_Date=""),"",IF(Data_Date&lt;=$J191,0,IF(Data_Date&gt;=$K191,1,(Data_Date-$J191)/($K191-$J191))))</f>
        <v/>
      </c>
      <c r="M191" s="31">
        <f>IF(OR($A191="",$G191="",$L191=""),"",$G191*$L191)</f>
        <v/>
      </c>
      <c r="N191" s="65" t="n"/>
      <c r="O191" s="31">
        <f>IF(OR($A191="",$G191="",$N191=""),"",$G191*$N191)</f>
        <v/>
      </c>
      <c r="P191" s="64" t="n"/>
      <c r="Q191" s="35">
        <f>IF(OR($O191="",$M191=""),"",$O191-$M191)</f>
        <v/>
      </c>
      <c r="R191" s="35">
        <f>IF(OR($O191="",$P191=""),"",$O191-$P191)</f>
        <v/>
      </c>
      <c r="S191" s="40">
        <f>IF(OR($Q191="",$M191="",$M191=0),"",$Q191/$M191)</f>
        <v/>
      </c>
      <c r="T191" s="40">
        <f>IF(OR($R191="",$O191="",$O191=0),"",$R191/$O191)</f>
        <v/>
      </c>
      <c r="U191" s="61">
        <f>IF(OR($O191="",$M191="",$M191=0),"",$O191/$M191)</f>
        <v/>
      </c>
      <c r="V191" s="61">
        <f>IF(OR($O191="",$P191="",$P191=0),"",$O191/$P191)</f>
        <v/>
      </c>
      <c r="W191" s="31">
        <f>IF(OR($A191="",$G191=""),"",IF(EAC_Idx=1,IF(OR($P191="",$O191=""),"",$P191+($G191-$O191)),IF(EAC_Idx=2,IF(OR($V191="",$V191=0),"",$G191/$V191),IF(EAC_Idx=3,IF(OR($V191="",$U191=""),"",IF($V191*$U191=0,"",$P191+($G191-$O191)/($V191*$U191))),IF(OR($P191="",$O191="",ETC_BottomUp="",ETC_BottomUp&lt;=0),"",$P191+($G191-$O191)*EAC_BU_Factor)))))</f>
        <v/>
      </c>
      <c r="X191" s="31">
        <f>IF(OR($W191="",$P191=""),"",$W191-$P191)</f>
        <v/>
      </c>
      <c r="Y191" s="35">
        <f>IF(OR($W191="",$G191=""),"",$G191-$W191)</f>
        <v/>
      </c>
      <c r="Z191" s="61">
        <f>IF(OR($A191="",$G191="",$O191="",$P191="",$G191-$P191=0),"",($G191-$O191)/($G191-$P191))</f>
        <v/>
      </c>
      <c r="AA191" s="54">
        <f>IF($A191="","",IF(AND($N191&lt;&gt;"",$N191&gt;=1,OR($V191="",$V191&gt;=Thr_Green)),"Complete",IF(AND($U191="",$V191=""),"Not started",IF(OR(AND($U191&lt;&gt;"",$U191&lt;Thr_Red),AND($V191&lt;&gt;"",$V191&lt;Thr_Red)),"Red",IF(OR(AND($U191&lt;&gt;"",$U191&lt;Thr_Green),AND($V191&lt;&gt;"",$V191&lt;Thr_Green)),"Amber","Green")))))</f>
        <v/>
      </c>
      <c r="AB191" s="63" t="n"/>
      <c r="AC191" s="63" t="n"/>
      <c r="AD191" s="63" t="n"/>
    </row>
    <row r="192" ht="24" customHeight="1">
      <c r="A192" s="15" t="n"/>
      <c r="B192" s="13" t="n"/>
      <c r="C192" s="15" t="n"/>
      <c r="D192" s="63" t="n"/>
      <c r="E192" s="15" t="n"/>
      <c r="F192" s="15" t="n"/>
      <c r="G192" s="64" t="n"/>
      <c r="H192" s="40">
        <f>IF(OR($A192="",SUM($G$9:$G$208)=0,$G192=""),"",$G192/SUM($G$9:$G$208))</f>
        <v/>
      </c>
      <c r="I192" s="15" t="n"/>
      <c r="J192" s="14" t="n"/>
      <c r="K192" s="14" t="n"/>
      <c r="L192" s="65">
        <f>IF(OR($A192="",$J192="",$K192="",Data_Date=""),"",IF(Data_Date&lt;=$J192,0,IF(Data_Date&gt;=$K192,1,(Data_Date-$J192)/($K192-$J192))))</f>
        <v/>
      </c>
      <c r="M192" s="31">
        <f>IF(OR($A192="",$G192="",$L192=""),"",$G192*$L192)</f>
        <v/>
      </c>
      <c r="N192" s="65" t="n"/>
      <c r="O192" s="31">
        <f>IF(OR($A192="",$G192="",$N192=""),"",$G192*$N192)</f>
        <v/>
      </c>
      <c r="P192" s="64" t="n"/>
      <c r="Q192" s="35">
        <f>IF(OR($O192="",$M192=""),"",$O192-$M192)</f>
        <v/>
      </c>
      <c r="R192" s="35">
        <f>IF(OR($O192="",$P192=""),"",$O192-$P192)</f>
        <v/>
      </c>
      <c r="S192" s="40">
        <f>IF(OR($Q192="",$M192="",$M192=0),"",$Q192/$M192)</f>
        <v/>
      </c>
      <c r="T192" s="40">
        <f>IF(OR($R192="",$O192="",$O192=0),"",$R192/$O192)</f>
        <v/>
      </c>
      <c r="U192" s="61">
        <f>IF(OR($O192="",$M192="",$M192=0),"",$O192/$M192)</f>
        <v/>
      </c>
      <c r="V192" s="61">
        <f>IF(OR($O192="",$P192="",$P192=0),"",$O192/$P192)</f>
        <v/>
      </c>
      <c r="W192" s="31">
        <f>IF(OR($A192="",$G192=""),"",IF(EAC_Idx=1,IF(OR($P192="",$O192=""),"",$P192+($G192-$O192)),IF(EAC_Idx=2,IF(OR($V192="",$V192=0),"",$G192/$V192),IF(EAC_Idx=3,IF(OR($V192="",$U192=""),"",IF($V192*$U192=0,"",$P192+($G192-$O192)/($V192*$U192))),IF(OR($P192="",$O192="",ETC_BottomUp="",ETC_BottomUp&lt;=0),"",$P192+($G192-$O192)*EAC_BU_Factor)))))</f>
        <v/>
      </c>
      <c r="X192" s="31">
        <f>IF(OR($W192="",$P192=""),"",$W192-$P192)</f>
        <v/>
      </c>
      <c r="Y192" s="35">
        <f>IF(OR($W192="",$G192=""),"",$G192-$W192)</f>
        <v/>
      </c>
      <c r="Z192" s="61">
        <f>IF(OR($A192="",$G192="",$O192="",$P192="",$G192-$P192=0),"",($G192-$O192)/($G192-$P192))</f>
        <v/>
      </c>
      <c r="AA192" s="54">
        <f>IF($A192="","",IF(AND($N192&lt;&gt;"",$N192&gt;=1,OR($V192="",$V192&gt;=Thr_Green)),"Complete",IF(AND($U192="",$V192=""),"Not started",IF(OR(AND($U192&lt;&gt;"",$U192&lt;Thr_Red),AND($V192&lt;&gt;"",$V192&lt;Thr_Red)),"Red",IF(OR(AND($U192&lt;&gt;"",$U192&lt;Thr_Green),AND($V192&lt;&gt;"",$V192&lt;Thr_Green)),"Amber","Green")))))</f>
        <v/>
      </c>
      <c r="AB192" s="63" t="n"/>
      <c r="AC192" s="63" t="n"/>
      <c r="AD192" s="63" t="n"/>
    </row>
    <row r="193" ht="24" customHeight="1">
      <c r="A193" s="15" t="n"/>
      <c r="B193" s="13" t="n"/>
      <c r="C193" s="15" t="n"/>
      <c r="D193" s="63" t="n"/>
      <c r="E193" s="15" t="n"/>
      <c r="F193" s="15" t="n"/>
      <c r="G193" s="64" t="n"/>
      <c r="H193" s="40">
        <f>IF(OR($A193="",SUM($G$9:$G$208)=0,$G193=""),"",$G193/SUM($G$9:$G$208))</f>
        <v/>
      </c>
      <c r="I193" s="15" t="n"/>
      <c r="J193" s="14" t="n"/>
      <c r="K193" s="14" t="n"/>
      <c r="L193" s="65">
        <f>IF(OR($A193="",$J193="",$K193="",Data_Date=""),"",IF(Data_Date&lt;=$J193,0,IF(Data_Date&gt;=$K193,1,(Data_Date-$J193)/($K193-$J193))))</f>
        <v/>
      </c>
      <c r="M193" s="31">
        <f>IF(OR($A193="",$G193="",$L193=""),"",$G193*$L193)</f>
        <v/>
      </c>
      <c r="N193" s="65" t="n"/>
      <c r="O193" s="31">
        <f>IF(OR($A193="",$G193="",$N193=""),"",$G193*$N193)</f>
        <v/>
      </c>
      <c r="P193" s="64" t="n"/>
      <c r="Q193" s="35">
        <f>IF(OR($O193="",$M193=""),"",$O193-$M193)</f>
        <v/>
      </c>
      <c r="R193" s="35">
        <f>IF(OR($O193="",$P193=""),"",$O193-$P193)</f>
        <v/>
      </c>
      <c r="S193" s="40">
        <f>IF(OR($Q193="",$M193="",$M193=0),"",$Q193/$M193)</f>
        <v/>
      </c>
      <c r="T193" s="40">
        <f>IF(OR($R193="",$O193="",$O193=0),"",$R193/$O193)</f>
        <v/>
      </c>
      <c r="U193" s="61">
        <f>IF(OR($O193="",$M193="",$M193=0),"",$O193/$M193)</f>
        <v/>
      </c>
      <c r="V193" s="61">
        <f>IF(OR($O193="",$P193="",$P193=0),"",$O193/$P193)</f>
        <v/>
      </c>
      <c r="W193" s="31">
        <f>IF(OR($A193="",$G193=""),"",IF(EAC_Idx=1,IF(OR($P193="",$O193=""),"",$P193+($G193-$O193)),IF(EAC_Idx=2,IF(OR($V193="",$V193=0),"",$G193/$V193),IF(EAC_Idx=3,IF(OR($V193="",$U193=""),"",IF($V193*$U193=0,"",$P193+($G193-$O193)/($V193*$U193))),IF(OR($P193="",$O193="",ETC_BottomUp="",ETC_BottomUp&lt;=0),"",$P193+($G193-$O193)*EAC_BU_Factor)))))</f>
        <v/>
      </c>
      <c r="X193" s="31">
        <f>IF(OR($W193="",$P193=""),"",$W193-$P193)</f>
        <v/>
      </c>
      <c r="Y193" s="35">
        <f>IF(OR($W193="",$G193=""),"",$G193-$W193)</f>
        <v/>
      </c>
      <c r="Z193" s="61">
        <f>IF(OR($A193="",$G193="",$O193="",$P193="",$G193-$P193=0),"",($G193-$O193)/($G193-$P193))</f>
        <v/>
      </c>
      <c r="AA193" s="54">
        <f>IF($A193="","",IF(AND($N193&lt;&gt;"",$N193&gt;=1,OR($V193="",$V193&gt;=Thr_Green)),"Complete",IF(AND($U193="",$V193=""),"Not started",IF(OR(AND($U193&lt;&gt;"",$U193&lt;Thr_Red),AND($V193&lt;&gt;"",$V193&lt;Thr_Red)),"Red",IF(OR(AND($U193&lt;&gt;"",$U193&lt;Thr_Green),AND($V193&lt;&gt;"",$V193&lt;Thr_Green)),"Amber","Green")))))</f>
        <v/>
      </c>
      <c r="AB193" s="63" t="n"/>
      <c r="AC193" s="63" t="n"/>
      <c r="AD193" s="63" t="n"/>
    </row>
    <row r="194" ht="24" customHeight="1">
      <c r="A194" s="15" t="n"/>
      <c r="B194" s="13" t="n"/>
      <c r="C194" s="15" t="n"/>
      <c r="D194" s="63" t="n"/>
      <c r="E194" s="15" t="n"/>
      <c r="F194" s="15" t="n"/>
      <c r="G194" s="64" t="n"/>
      <c r="H194" s="40">
        <f>IF(OR($A194="",SUM($G$9:$G$208)=0,$G194=""),"",$G194/SUM($G$9:$G$208))</f>
        <v/>
      </c>
      <c r="I194" s="15" t="n"/>
      <c r="J194" s="14" t="n"/>
      <c r="K194" s="14" t="n"/>
      <c r="L194" s="65">
        <f>IF(OR($A194="",$J194="",$K194="",Data_Date=""),"",IF(Data_Date&lt;=$J194,0,IF(Data_Date&gt;=$K194,1,(Data_Date-$J194)/($K194-$J194))))</f>
        <v/>
      </c>
      <c r="M194" s="31">
        <f>IF(OR($A194="",$G194="",$L194=""),"",$G194*$L194)</f>
        <v/>
      </c>
      <c r="N194" s="65" t="n"/>
      <c r="O194" s="31">
        <f>IF(OR($A194="",$G194="",$N194=""),"",$G194*$N194)</f>
        <v/>
      </c>
      <c r="P194" s="64" t="n"/>
      <c r="Q194" s="35">
        <f>IF(OR($O194="",$M194=""),"",$O194-$M194)</f>
        <v/>
      </c>
      <c r="R194" s="35">
        <f>IF(OR($O194="",$P194=""),"",$O194-$P194)</f>
        <v/>
      </c>
      <c r="S194" s="40">
        <f>IF(OR($Q194="",$M194="",$M194=0),"",$Q194/$M194)</f>
        <v/>
      </c>
      <c r="T194" s="40">
        <f>IF(OR($R194="",$O194="",$O194=0),"",$R194/$O194)</f>
        <v/>
      </c>
      <c r="U194" s="61">
        <f>IF(OR($O194="",$M194="",$M194=0),"",$O194/$M194)</f>
        <v/>
      </c>
      <c r="V194" s="61">
        <f>IF(OR($O194="",$P194="",$P194=0),"",$O194/$P194)</f>
        <v/>
      </c>
      <c r="W194" s="31">
        <f>IF(OR($A194="",$G194=""),"",IF(EAC_Idx=1,IF(OR($P194="",$O194=""),"",$P194+($G194-$O194)),IF(EAC_Idx=2,IF(OR($V194="",$V194=0),"",$G194/$V194),IF(EAC_Idx=3,IF(OR($V194="",$U194=""),"",IF($V194*$U194=0,"",$P194+($G194-$O194)/($V194*$U194))),IF(OR($P194="",$O194="",ETC_BottomUp="",ETC_BottomUp&lt;=0),"",$P194+($G194-$O194)*EAC_BU_Factor)))))</f>
        <v/>
      </c>
      <c r="X194" s="31">
        <f>IF(OR($W194="",$P194=""),"",$W194-$P194)</f>
        <v/>
      </c>
      <c r="Y194" s="35">
        <f>IF(OR($W194="",$G194=""),"",$G194-$W194)</f>
        <v/>
      </c>
      <c r="Z194" s="61">
        <f>IF(OR($A194="",$G194="",$O194="",$P194="",$G194-$P194=0),"",($G194-$O194)/($G194-$P194))</f>
        <v/>
      </c>
      <c r="AA194" s="54">
        <f>IF($A194="","",IF(AND($N194&lt;&gt;"",$N194&gt;=1,OR($V194="",$V194&gt;=Thr_Green)),"Complete",IF(AND($U194="",$V194=""),"Not started",IF(OR(AND($U194&lt;&gt;"",$U194&lt;Thr_Red),AND($V194&lt;&gt;"",$V194&lt;Thr_Red)),"Red",IF(OR(AND($U194&lt;&gt;"",$U194&lt;Thr_Green),AND($V194&lt;&gt;"",$V194&lt;Thr_Green)),"Amber","Green")))))</f>
        <v/>
      </c>
      <c r="AB194" s="63" t="n"/>
      <c r="AC194" s="63" t="n"/>
      <c r="AD194" s="63" t="n"/>
    </row>
    <row r="195" ht="24" customHeight="1">
      <c r="A195" s="15" t="n"/>
      <c r="B195" s="13" t="n"/>
      <c r="C195" s="15" t="n"/>
      <c r="D195" s="63" t="n"/>
      <c r="E195" s="15" t="n"/>
      <c r="F195" s="15" t="n"/>
      <c r="G195" s="64" t="n"/>
      <c r="H195" s="40">
        <f>IF(OR($A195="",SUM($G$9:$G$208)=0,$G195=""),"",$G195/SUM($G$9:$G$208))</f>
        <v/>
      </c>
      <c r="I195" s="15" t="n"/>
      <c r="J195" s="14" t="n"/>
      <c r="K195" s="14" t="n"/>
      <c r="L195" s="65">
        <f>IF(OR($A195="",$J195="",$K195="",Data_Date=""),"",IF(Data_Date&lt;=$J195,0,IF(Data_Date&gt;=$K195,1,(Data_Date-$J195)/($K195-$J195))))</f>
        <v/>
      </c>
      <c r="M195" s="31">
        <f>IF(OR($A195="",$G195="",$L195=""),"",$G195*$L195)</f>
        <v/>
      </c>
      <c r="N195" s="65" t="n"/>
      <c r="O195" s="31">
        <f>IF(OR($A195="",$G195="",$N195=""),"",$G195*$N195)</f>
        <v/>
      </c>
      <c r="P195" s="64" t="n"/>
      <c r="Q195" s="35">
        <f>IF(OR($O195="",$M195=""),"",$O195-$M195)</f>
        <v/>
      </c>
      <c r="R195" s="35">
        <f>IF(OR($O195="",$P195=""),"",$O195-$P195)</f>
        <v/>
      </c>
      <c r="S195" s="40">
        <f>IF(OR($Q195="",$M195="",$M195=0),"",$Q195/$M195)</f>
        <v/>
      </c>
      <c r="T195" s="40">
        <f>IF(OR($R195="",$O195="",$O195=0),"",$R195/$O195)</f>
        <v/>
      </c>
      <c r="U195" s="61">
        <f>IF(OR($O195="",$M195="",$M195=0),"",$O195/$M195)</f>
        <v/>
      </c>
      <c r="V195" s="61">
        <f>IF(OR($O195="",$P195="",$P195=0),"",$O195/$P195)</f>
        <v/>
      </c>
      <c r="W195" s="31">
        <f>IF(OR($A195="",$G195=""),"",IF(EAC_Idx=1,IF(OR($P195="",$O195=""),"",$P195+($G195-$O195)),IF(EAC_Idx=2,IF(OR($V195="",$V195=0),"",$G195/$V195),IF(EAC_Idx=3,IF(OR($V195="",$U195=""),"",IF($V195*$U195=0,"",$P195+($G195-$O195)/($V195*$U195))),IF(OR($P195="",$O195="",ETC_BottomUp="",ETC_BottomUp&lt;=0),"",$P195+($G195-$O195)*EAC_BU_Factor)))))</f>
        <v/>
      </c>
      <c r="X195" s="31">
        <f>IF(OR($W195="",$P195=""),"",$W195-$P195)</f>
        <v/>
      </c>
      <c r="Y195" s="35">
        <f>IF(OR($W195="",$G195=""),"",$G195-$W195)</f>
        <v/>
      </c>
      <c r="Z195" s="61">
        <f>IF(OR($A195="",$G195="",$O195="",$P195="",$G195-$P195=0),"",($G195-$O195)/($G195-$P195))</f>
        <v/>
      </c>
      <c r="AA195" s="54">
        <f>IF($A195="","",IF(AND($N195&lt;&gt;"",$N195&gt;=1,OR($V195="",$V195&gt;=Thr_Green)),"Complete",IF(AND($U195="",$V195=""),"Not started",IF(OR(AND($U195&lt;&gt;"",$U195&lt;Thr_Red),AND($V195&lt;&gt;"",$V195&lt;Thr_Red)),"Red",IF(OR(AND($U195&lt;&gt;"",$U195&lt;Thr_Green),AND($V195&lt;&gt;"",$V195&lt;Thr_Green)),"Amber","Green")))))</f>
        <v/>
      </c>
      <c r="AB195" s="63" t="n"/>
      <c r="AC195" s="63" t="n"/>
      <c r="AD195" s="63" t="n"/>
    </row>
    <row r="196" ht="24" customHeight="1">
      <c r="A196" s="15" t="n"/>
      <c r="B196" s="13" t="n"/>
      <c r="C196" s="15" t="n"/>
      <c r="D196" s="63" t="n"/>
      <c r="E196" s="15" t="n"/>
      <c r="F196" s="15" t="n"/>
      <c r="G196" s="64" t="n"/>
      <c r="H196" s="40">
        <f>IF(OR($A196="",SUM($G$9:$G$208)=0,$G196=""),"",$G196/SUM($G$9:$G$208))</f>
        <v/>
      </c>
      <c r="I196" s="15" t="n"/>
      <c r="J196" s="14" t="n"/>
      <c r="K196" s="14" t="n"/>
      <c r="L196" s="65">
        <f>IF(OR($A196="",$J196="",$K196="",Data_Date=""),"",IF(Data_Date&lt;=$J196,0,IF(Data_Date&gt;=$K196,1,(Data_Date-$J196)/($K196-$J196))))</f>
        <v/>
      </c>
      <c r="M196" s="31">
        <f>IF(OR($A196="",$G196="",$L196=""),"",$G196*$L196)</f>
        <v/>
      </c>
      <c r="N196" s="65" t="n"/>
      <c r="O196" s="31">
        <f>IF(OR($A196="",$G196="",$N196=""),"",$G196*$N196)</f>
        <v/>
      </c>
      <c r="P196" s="64" t="n"/>
      <c r="Q196" s="35">
        <f>IF(OR($O196="",$M196=""),"",$O196-$M196)</f>
        <v/>
      </c>
      <c r="R196" s="35">
        <f>IF(OR($O196="",$P196=""),"",$O196-$P196)</f>
        <v/>
      </c>
      <c r="S196" s="40">
        <f>IF(OR($Q196="",$M196="",$M196=0),"",$Q196/$M196)</f>
        <v/>
      </c>
      <c r="T196" s="40">
        <f>IF(OR($R196="",$O196="",$O196=0),"",$R196/$O196)</f>
        <v/>
      </c>
      <c r="U196" s="61">
        <f>IF(OR($O196="",$M196="",$M196=0),"",$O196/$M196)</f>
        <v/>
      </c>
      <c r="V196" s="61">
        <f>IF(OR($O196="",$P196="",$P196=0),"",$O196/$P196)</f>
        <v/>
      </c>
      <c r="W196" s="31">
        <f>IF(OR($A196="",$G196=""),"",IF(EAC_Idx=1,IF(OR($P196="",$O196=""),"",$P196+($G196-$O196)),IF(EAC_Idx=2,IF(OR($V196="",$V196=0),"",$G196/$V196),IF(EAC_Idx=3,IF(OR($V196="",$U196=""),"",IF($V196*$U196=0,"",$P196+($G196-$O196)/($V196*$U196))),IF(OR($P196="",$O196="",ETC_BottomUp="",ETC_BottomUp&lt;=0),"",$P196+($G196-$O196)*EAC_BU_Factor)))))</f>
        <v/>
      </c>
      <c r="X196" s="31">
        <f>IF(OR($W196="",$P196=""),"",$W196-$P196)</f>
        <v/>
      </c>
      <c r="Y196" s="35">
        <f>IF(OR($W196="",$G196=""),"",$G196-$W196)</f>
        <v/>
      </c>
      <c r="Z196" s="61">
        <f>IF(OR($A196="",$G196="",$O196="",$P196="",$G196-$P196=0),"",($G196-$O196)/($G196-$P196))</f>
        <v/>
      </c>
      <c r="AA196" s="54">
        <f>IF($A196="","",IF(AND($N196&lt;&gt;"",$N196&gt;=1,OR($V196="",$V196&gt;=Thr_Green)),"Complete",IF(AND($U196="",$V196=""),"Not started",IF(OR(AND($U196&lt;&gt;"",$U196&lt;Thr_Red),AND($V196&lt;&gt;"",$V196&lt;Thr_Red)),"Red",IF(OR(AND($U196&lt;&gt;"",$U196&lt;Thr_Green),AND($V196&lt;&gt;"",$V196&lt;Thr_Green)),"Amber","Green")))))</f>
        <v/>
      </c>
      <c r="AB196" s="63" t="n"/>
      <c r="AC196" s="63" t="n"/>
      <c r="AD196" s="63" t="n"/>
    </row>
    <row r="197" ht="24" customHeight="1">
      <c r="A197" s="15" t="n"/>
      <c r="B197" s="13" t="n"/>
      <c r="C197" s="15" t="n"/>
      <c r="D197" s="63" t="n"/>
      <c r="E197" s="15" t="n"/>
      <c r="F197" s="15" t="n"/>
      <c r="G197" s="64" t="n"/>
      <c r="H197" s="40">
        <f>IF(OR($A197="",SUM($G$9:$G$208)=0,$G197=""),"",$G197/SUM($G$9:$G$208))</f>
        <v/>
      </c>
      <c r="I197" s="15" t="n"/>
      <c r="J197" s="14" t="n"/>
      <c r="K197" s="14" t="n"/>
      <c r="L197" s="65">
        <f>IF(OR($A197="",$J197="",$K197="",Data_Date=""),"",IF(Data_Date&lt;=$J197,0,IF(Data_Date&gt;=$K197,1,(Data_Date-$J197)/($K197-$J197))))</f>
        <v/>
      </c>
      <c r="M197" s="31">
        <f>IF(OR($A197="",$G197="",$L197=""),"",$G197*$L197)</f>
        <v/>
      </c>
      <c r="N197" s="65" t="n"/>
      <c r="O197" s="31">
        <f>IF(OR($A197="",$G197="",$N197=""),"",$G197*$N197)</f>
        <v/>
      </c>
      <c r="P197" s="64" t="n"/>
      <c r="Q197" s="35">
        <f>IF(OR($O197="",$M197=""),"",$O197-$M197)</f>
        <v/>
      </c>
      <c r="R197" s="35">
        <f>IF(OR($O197="",$P197=""),"",$O197-$P197)</f>
        <v/>
      </c>
      <c r="S197" s="40">
        <f>IF(OR($Q197="",$M197="",$M197=0),"",$Q197/$M197)</f>
        <v/>
      </c>
      <c r="T197" s="40">
        <f>IF(OR($R197="",$O197="",$O197=0),"",$R197/$O197)</f>
        <v/>
      </c>
      <c r="U197" s="61">
        <f>IF(OR($O197="",$M197="",$M197=0),"",$O197/$M197)</f>
        <v/>
      </c>
      <c r="V197" s="61">
        <f>IF(OR($O197="",$P197="",$P197=0),"",$O197/$P197)</f>
        <v/>
      </c>
      <c r="W197" s="31">
        <f>IF(OR($A197="",$G197=""),"",IF(EAC_Idx=1,IF(OR($P197="",$O197=""),"",$P197+($G197-$O197)),IF(EAC_Idx=2,IF(OR($V197="",$V197=0),"",$G197/$V197),IF(EAC_Idx=3,IF(OR($V197="",$U197=""),"",IF($V197*$U197=0,"",$P197+($G197-$O197)/($V197*$U197))),IF(OR($P197="",$O197="",ETC_BottomUp="",ETC_BottomUp&lt;=0),"",$P197+($G197-$O197)*EAC_BU_Factor)))))</f>
        <v/>
      </c>
      <c r="X197" s="31">
        <f>IF(OR($W197="",$P197=""),"",$W197-$P197)</f>
        <v/>
      </c>
      <c r="Y197" s="35">
        <f>IF(OR($W197="",$G197=""),"",$G197-$W197)</f>
        <v/>
      </c>
      <c r="Z197" s="61">
        <f>IF(OR($A197="",$G197="",$O197="",$P197="",$G197-$P197=0),"",($G197-$O197)/($G197-$P197))</f>
        <v/>
      </c>
      <c r="AA197" s="54">
        <f>IF($A197="","",IF(AND($N197&lt;&gt;"",$N197&gt;=1,OR($V197="",$V197&gt;=Thr_Green)),"Complete",IF(AND($U197="",$V197=""),"Not started",IF(OR(AND($U197&lt;&gt;"",$U197&lt;Thr_Red),AND($V197&lt;&gt;"",$V197&lt;Thr_Red)),"Red",IF(OR(AND($U197&lt;&gt;"",$U197&lt;Thr_Green),AND($V197&lt;&gt;"",$V197&lt;Thr_Green)),"Amber","Green")))))</f>
        <v/>
      </c>
      <c r="AB197" s="63" t="n"/>
      <c r="AC197" s="63" t="n"/>
      <c r="AD197" s="63" t="n"/>
    </row>
    <row r="198" ht="24" customHeight="1">
      <c r="A198" s="15" t="n"/>
      <c r="B198" s="13" t="n"/>
      <c r="C198" s="15" t="n"/>
      <c r="D198" s="63" t="n"/>
      <c r="E198" s="15" t="n"/>
      <c r="F198" s="15" t="n"/>
      <c r="G198" s="64" t="n"/>
      <c r="H198" s="40">
        <f>IF(OR($A198="",SUM($G$9:$G$208)=0,$G198=""),"",$G198/SUM($G$9:$G$208))</f>
        <v/>
      </c>
      <c r="I198" s="15" t="n"/>
      <c r="J198" s="14" t="n"/>
      <c r="K198" s="14" t="n"/>
      <c r="L198" s="65">
        <f>IF(OR($A198="",$J198="",$K198="",Data_Date=""),"",IF(Data_Date&lt;=$J198,0,IF(Data_Date&gt;=$K198,1,(Data_Date-$J198)/($K198-$J198))))</f>
        <v/>
      </c>
      <c r="M198" s="31">
        <f>IF(OR($A198="",$G198="",$L198=""),"",$G198*$L198)</f>
        <v/>
      </c>
      <c r="N198" s="65" t="n"/>
      <c r="O198" s="31">
        <f>IF(OR($A198="",$G198="",$N198=""),"",$G198*$N198)</f>
        <v/>
      </c>
      <c r="P198" s="64" t="n"/>
      <c r="Q198" s="35">
        <f>IF(OR($O198="",$M198=""),"",$O198-$M198)</f>
        <v/>
      </c>
      <c r="R198" s="35">
        <f>IF(OR($O198="",$P198=""),"",$O198-$P198)</f>
        <v/>
      </c>
      <c r="S198" s="40">
        <f>IF(OR($Q198="",$M198="",$M198=0),"",$Q198/$M198)</f>
        <v/>
      </c>
      <c r="T198" s="40">
        <f>IF(OR($R198="",$O198="",$O198=0),"",$R198/$O198)</f>
        <v/>
      </c>
      <c r="U198" s="61">
        <f>IF(OR($O198="",$M198="",$M198=0),"",$O198/$M198)</f>
        <v/>
      </c>
      <c r="V198" s="61">
        <f>IF(OR($O198="",$P198="",$P198=0),"",$O198/$P198)</f>
        <v/>
      </c>
      <c r="W198" s="31">
        <f>IF(OR($A198="",$G198=""),"",IF(EAC_Idx=1,IF(OR($P198="",$O198=""),"",$P198+($G198-$O198)),IF(EAC_Idx=2,IF(OR($V198="",$V198=0),"",$G198/$V198),IF(EAC_Idx=3,IF(OR($V198="",$U198=""),"",IF($V198*$U198=0,"",$P198+($G198-$O198)/($V198*$U198))),IF(OR($P198="",$O198="",ETC_BottomUp="",ETC_BottomUp&lt;=0),"",$P198+($G198-$O198)*EAC_BU_Factor)))))</f>
        <v/>
      </c>
      <c r="X198" s="31">
        <f>IF(OR($W198="",$P198=""),"",$W198-$P198)</f>
        <v/>
      </c>
      <c r="Y198" s="35">
        <f>IF(OR($W198="",$G198=""),"",$G198-$W198)</f>
        <v/>
      </c>
      <c r="Z198" s="61">
        <f>IF(OR($A198="",$G198="",$O198="",$P198="",$G198-$P198=0),"",($G198-$O198)/($G198-$P198))</f>
        <v/>
      </c>
      <c r="AA198" s="54">
        <f>IF($A198="","",IF(AND($N198&lt;&gt;"",$N198&gt;=1,OR($V198="",$V198&gt;=Thr_Green)),"Complete",IF(AND($U198="",$V198=""),"Not started",IF(OR(AND($U198&lt;&gt;"",$U198&lt;Thr_Red),AND($V198&lt;&gt;"",$V198&lt;Thr_Red)),"Red",IF(OR(AND($U198&lt;&gt;"",$U198&lt;Thr_Green),AND($V198&lt;&gt;"",$V198&lt;Thr_Green)),"Amber","Green")))))</f>
        <v/>
      </c>
      <c r="AB198" s="63" t="n"/>
      <c r="AC198" s="63" t="n"/>
      <c r="AD198" s="63" t="n"/>
    </row>
    <row r="199" ht="24" customHeight="1">
      <c r="A199" s="15" t="n"/>
      <c r="B199" s="13" t="n"/>
      <c r="C199" s="15" t="n"/>
      <c r="D199" s="63" t="n"/>
      <c r="E199" s="15" t="n"/>
      <c r="F199" s="15" t="n"/>
      <c r="G199" s="64" t="n"/>
      <c r="H199" s="40">
        <f>IF(OR($A199="",SUM($G$9:$G$208)=0,$G199=""),"",$G199/SUM($G$9:$G$208))</f>
        <v/>
      </c>
      <c r="I199" s="15" t="n"/>
      <c r="J199" s="14" t="n"/>
      <c r="K199" s="14" t="n"/>
      <c r="L199" s="65">
        <f>IF(OR($A199="",$J199="",$K199="",Data_Date=""),"",IF(Data_Date&lt;=$J199,0,IF(Data_Date&gt;=$K199,1,(Data_Date-$J199)/($K199-$J199))))</f>
        <v/>
      </c>
      <c r="M199" s="31">
        <f>IF(OR($A199="",$G199="",$L199=""),"",$G199*$L199)</f>
        <v/>
      </c>
      <c r="N199" s="65" t="n"/>
      <c r="O199" s="31">
        <f>IF(OR($A199="",$G199="",$N199=""),"",$G199*$N199)</f>
        <v/>
      </c>
      <c r="P199" s="64" t="n"/>
      <c r="Q199" s="35">
        <f>IF(OR($O199="",$M199=""),"",$O199-$M199)</f>
        <v/>
      </c>
      <c r="R199" s="35">
        <f>IF(OR($O199="",$P199=""),"",$O199-$P199)</f>
        <v/>
      </c>
      <c r="S199" s="40">
        <f>IF(OR($Q199="",$M199="",$M199=0),"",$Q199/$M199)</f>
        <v/>
      </c>
      <c r="T199" s="40">
        <f>IF(OR($R199="",$O199="",$O199=0),"",$R199/$O199)</f>
        <v/>
      </c>
      <c r="U199" s="61">
        <f>IF(OR($O199="",$M199="",$M199=0),"",$O199/$M199)</f>
        <v/>
      </c>
      <c r="V199" s="61">
        <f>IF(OR($O199="",$P199="",$P199=0),"",$O199/$P199)</f>
        <v/>
      </c>
      <c r="W199" s="31">
        <f>IF(OR($A199="",$G199=""),"",IF(EAC_Idx=1,IF(OR($P199="",$O199=""),"",$P199+($G199-$O199)),IF(EAC_Idx=2,IF(OR($V199="",$V199=0),"",$G199/$V199),IF(EAC_Idx=3,IF(OR($V199="",$U199=""),"",IF($V199*$U199=0,"",$P199+($G199-$O199)/($V199*$U199))),IF(OR($P199="",$O199="",ETC_BottomUp="",ETC_BottomUp&lt;=0),"",$P199+($G199-$O199)*EAC_BU_Factor)))))</f>
        <v/>
      </c>
      <c r="X199" s="31">
        <f>IF(OR($W199="",$P199=""),"",$W199-$P199)</f>
        <v/>
      </c>
      <c r="Y199" s="35">
        <f>IF(OR($W199="",$G199=""),"",$G199-$W199)</f>
        <v/>
      </c>
      <c r="Z199" s="61">
        <f>IF(OR($A199="",$G199="",$O199="",$P199="",$G199-$P199=0),"",($G199-$O199)/($G199-$P199))</f>
        <v/>
      </c>
      <c r="AA199" s="54">
        <f>IF($A199="","",IF(AND($N199&lt;&gt;"",$N199&gt;=1,OR($V199="",$V199&gt;=Thr_Green)),"Complete",IF(AND($U199="",$V199=""),"Not started",IF(OR(AND($U199&lt;&gt;"",$U199&lt;Thr_Red),AND($V199&lt;&gt;"",$V199&lt;Thr_Red)),"Red",IF(OR(AND($U199&lt;&gt;"",$U199&lt;Thr_Green),AND($V199&lt;&gt;"",$V199&lt;Thr_Green)),"Amber","Green")))))</f>
        <v/>
      </c>
      <c r="AB199" s="63" t="n"/>
      <c r="AC199" s="63" t="n"/>
      <c r="AD199" s="63" t="n"/>
    </row>
    <row r="200" ht="24" customHeight="1">
      <c r="A200" s="15" t="n"/>
      <c r="B200" s="13" t="n"/>
      <c r="C200" s="15" t="n"/>
      <c r="D200" s="63" t="n"/>
      <c r="E200" s="15" t="n"/>
      <c r="F200" s="15" t="n"/>
      <c r="G200" s="64" t="n"/>
      <c r="H200" s="40">
        <f>IF(OR($A200="",SUM($G$9:$G$208)=0,$G200=""),"",$G200/SUM($G$9:$G$208))</f>
        <v/>
      </c>
      <c r="I200" s="15" t="n"/>
      <c r="J200" s="14" t="n"/>
      <c r="K200" s="14" t="n"/>
      <c r="L200" s="65">
        <f>IF(OR($A200="",$J200="",$K200="",Data_Date=""),"",IF(Data_Date&lt;=$J200,0,IF(Data_Date&gt;=$K200,1,(Data_Date-$J200)/($K200-$J200))))</f>
        <v/>
      </c>
      <c r="M200" s="31">
        <f>IF(OR($A200="",$G200="",$L200=""),"",$G200*$L200)</f>
        <v/>
      </c>
      <c r="N200" s="65" t="n"/>
      <c r="O200" s="31">
        <f>IF(OR($A200="",$G200="",$N200=""),"",$G200*$N200)</f>
        <v/>
      </c>
      <c r="P200" s="64" t="n"/>
      <c r="Q200" s="35">
        <f>IF(OR($O200="",$M200=""),"",$O200-$M200)</f>
        <v/>
      </c>
      <c r="R200" s="35">
        <f>IF(OR($O200="",$P200=""),"",$O200-$P200)</f>
        <v/>
      </c>
      <c r="S200" s="40">
        <f>IF(OR($Q200="",$M200="",$M200=0),"",$Q200/$M200)</f>
        <v/>
      </c>
      <c r="T200" s="40">
        <f>IF(OR($R200="",$O200="",$O200=0),"",$R200/$O200)</f>
        <v/>
      </c>
      <c r="U200" s="61">
        <f>IF(OR($O200="",$M200="",$M200=0),"",$O200/$M200)</f>
        <v/>
      </c>
      <c r="V200" s="61">
        <f>IF(OR($O200="",$P200="",$P200=0),"",$O200/$P200)</f>
        <v/>
      </c>
      <c r="W200" s="31">
        <f>IF(OR($A200="",$G200=""),"",IF(EAC_Idx=1,IF(OR($P200="",$O200=""),"",$P200+($G200-$O200)),IF(EAC_Idx=2,IF(OR($V200="",$V200=0),"",$G200/$V200),IF(EAC_Idx=3,IF(OR($V200="",$U200=""),"",IF($V200*$U200=0,"",$P200+($G200-$O200)/($V200*$U200))),IF(OR($P200="",$O200="",ETC_BottomUp="",ETC_BottomUp&lt;=0),"",$P200+($G200-$O200)*EAC_BU_Factor)))))</f>
        <v/>
      </c>
      <c r="X200" s="31">
        <f>IF(OR($W200="",$P200=""),"",$W200-$P200)</f>
        <v/>
      </c>
      <c r="Y200" s="35">
        <f>IF(OR($W200="",$G200=""),"",$G200-$W200)</f>
        <v/>
      </c>
      <c r="Z200" s="61">
        <f>IF(OR($A200="",$G200="",$O200="",$P200="",$G200-$P200=0),"",($G200-$O200)/($G200-$P200))</f>
        <v/>
      </c>
      <c r="AA200" s="54">
        <f>IF($A200="","",IF(AND($N200&lt;&gt;"",$N200&gt;=1,OR($V200="",$V200&gt;=Thr_Green)),"Complete",IF(AND($U200="",$V200=""),"Not started",IF(OR(AND($U200&lt;&gt;"",$U200&lt;Thr_Red),AND($V200&lt;&gt;"",$V200&lt;Thr_Red)),"Red",IF(OR(AND($U200&lt;&gt;"",$U200&lt;Thr_Green),AND($V200&lt;&gt;"",$V200&lt;Thr_Green)),"Amber","Green")))))</f>
        <v/>
      </c>
      <c r="AB200" s="63" t="n"/>
      <c r="AC200" s="63" t="n"/>
      <c r="AD200" s="63" t="n"/>
    </row>
    <row r="201" ht="24" customHeight="1">
      <c r="A201" s="15" t="n"/>
      <c r="B201" s="13" t="n"/>
      <c r="C201" s="15" t="n"/>
      <c r="D201" s="63" t="n"/>
      <c r="E201" s="15" t="n"/>
      <c r="F201" s="15" t="n"/>
      <c r="G201" s="64" t="n"/>
      <c r="H201" s="40">
        <f>IF(OR($A201="",SUM($G$9:$G$208)=0,$G201=""),"",$G201/SUM($G$9:$G$208))</f>
        <v/>
      </c>
      <c r="I201" s="15" t="n"/>
      <c r="J201" s="14" t="n"/>
      <c r="K201" s="14" t="n"/>
      <c r="L201" s="65">
        <f>IF(OR($A201="",$J201="",$K201="",Data_Date=""),"",IF(Data_Date&lt;=$J201,0,IF(Data_Date&gt;=$K201,1,(Data_Date-$J201)/($K201-$J201))))</f>
        <v/>
      </c>
      <c r="M201" s="31">
        <f>IF(OR($A201="",$G201="",$L201=""),"",$G201*$L201)</f>
        <v/>
      </c>
      <c r="N201" s="65" t="n"/>
      <c r="O201" s="31">
        <f>IF(OR($A201="",$G201="",$N201=""),"",$G201*$N201)</f>
        <v/>
      </c>
      <c r="P201" s="64" t="n"/>
      <c r="Q201" s="35">
        <f>IF(OR($O201="",$M201=""),"",$O201-$M201)</f>
        <v/>
      </c>
      <c r="R201" s="35">
        <f>IF(OR($O201="",$P201=""),"",$O201-$P201)</f>
        <v/>
      </c>
      <c r="S201" s="40">
        <f>IF(OR($Q201="",$M201="",$M201=0),"",$Q201/$M201)</f>
        <v/>
      </c>
      <c r="T201" s="40">
        <f>IF(OR($R201="",$O201="",$O201=0),"",$R201/$O201)</f>
        <v/>
      </c>
      <c r="U201" s="61">
        <f>IF(OR($O201="",$M201="",$M201=0),"",$O201/$M201)</f>
        <v/>
      </c>
      <c r="V201" s="61">
        <f>IF(OR($O201="",$P201="",$P201=0),"",$O201/$P201)</f>
        <v/>
      </c>
      <c r="W201" s="31">
        <f>IF(OR($A201="",$G201=""),"",IF(EAC_Idx=1,IF(OR($P201="",$O201=""),"",$P201+($G201-$O201)),IF(EAC_Idx=2,IF(OR($V201="",$V201=0),"",$G201/$V201),IF(EAC_Idx=3,IF(OR($V201="",$U201=""),"",IF($V201*$U201=0,"",$P201+($G201-$O201)/($V201*$U201))),IF(OR($P201="",$O201="",ETC_BottomUp="",ETC_BottomUp&lt;=0),"",$P201+($G201-$O201)*EAC_BU_Factor)))))</f>
        <v/>
      </c>
      <c r="X201" s="31">
        <f>IF(OR($W201="",$P201=""),"",$W201-$P201)</f>
        <v/>
      </c>
      <c r="Y201" s="35">
        <f>IF(OR($W201="",$G201=""),"",$G201-$W201)</f>
        <v/>
      </c>
      <c r="Z201" s="61">
        <f>IF(OR($A201="",$G201="",$O201="",$P201="",$G201-$P201=0),"",($G201-$O201)/($G201-$P201))</f>
        <v/>
      </c>
      <c r="AA201" s="54">
        <f>IF($A201="","",IF(AND($N201&lt;&gt;"",$N201&gt;=1,OR($V201="",$V201&gt;=Thr_Green)),"Complete",IF(AND($U201="",$V201=""),"Not started",IF(OR(AND($U201&lt;&gt;"",$U201&lt;Thr_Red),AND($V201&lt;&gt;"",$V201&lt;Thr_Red)),"Red",IF(OR(AND($U201&lt;&gt;"",$U201&lt;Thr_Green),AND($V201&lt;&gt;"",$V201&lt;Thr_Green)),"Amber","Green")))))</f>
        <v/>
      </c>
      <c r="AB201" s="63" t="n"/>
      <c r="AC201" s="63" t="n"/>
      <c r="AD201" s="63" t="n"/>
    </row>
    <row r="202" ht="24" customHeight="1">
      <c r="A202" s="15" t="n"/>
      <c r="B202" s="13" t="n"/>
      <c r="C202" s="15" t="n"/>
      <c r="D202" s="63" t="n"/>
      <c r="E202" s="15" t="n"/>
      <c r="F202" s="15" t="n"/>
      <c r="G202" s="64" t="n"/>
      <c r="H202" s="40">
        <f>IF(OR($A202="",SUM($G$9:$G$208)=0,$G202=""),"",$G202/SUM($G$9:$G$208))</f>
        <v/>
      </c>
      <c r="I202" s="15" t="n"/>
      <c r="J202" s="14" t="n"/>
      <c r="K202" s="14" t="n"/>
      <c r="L202" s="65">
        <f>IF(OR($A202="",$J202="",$K202="",Data_Date=""),"",IF(Data_Date&lt;=$J202,0,IF(Data_Date&gt;=$K202,1,(Data_Date-$J202)/($K202-$J202))))</f>
        <v/>
      </c>
      <c r="M202" s="31">
        <f>IF(OR($A202="",$G202="",$L202=""),"",$G202*$L202)</f>
        <v/>
      </c>
      <c r="N202" s="65" t="n"/>
      <c r="O202" s="31">
        <f>IF(OR($A202="",$G202="",$N202=""),"",$G202*$N202)</f>
        <v/>
      </c>
      <c r="P202" s="64" t="n"/>
      <c r="Q202" s="35">
        <f>IF(OR($O202="",$M202=""),"",$O202-$M202)</f>
        <v/>
      </c>
      <c r="R202" s="35">
        <f>IF(OR($O202="",$P202=""),"",$O202-$P202)</f>
        <v/>
      </c>
      <c r="S202" s="40">
        <f>IF(OR($Q202="",$M202="",$M202=0),"",$Q202/$M202)</f>
        <v/>
      </c>
      <c r="T202" s="40">
        <f>IF(OR($R202="",$O202="",$O202=0),"",$R202/$O202)</f>
        <v/>
      </c>
      <c r="U202" s="61">
        <f>IF(OR($O202="",$M202="",$M202=0),"",$O202/$M202)</f>
        <v/>
      </c>
      <c r="V202" s="61">
        <f>IF(OR($O202="",$P202="",$P202=0),"",$O202/$P202)</f>
        <v/>
      </c>
      <c r="W202" s="31">
        <f>IF(OR($A202="",$G202=""),"",IF(EAC_Idx=1,IF(OR($P202="",$O202=""),"",$P202+($G202-$O202)),IF(EAC_Idx=2,IF(OR($V202="",$V202=0),"",$G202/$V202),IF(EAC_Idx=3,IF(OR($V202="",$U202=""),"",IF($V202*$U202=0,"",$P202+($G202-$O202)/($V202*$U202))),IF(OR($P202="",$O202="",ETC_BottomUp="",ETC_BottomUp&lt;=0),"",$P202+($G202-$O202)*EAC_BU_Factor)))))</f>
        <v/>
      </c>
      <c r="X202" s="31">
        <f>IF(OR($W202="",$P202=""),"",$W202-$P202)</f>
        <v/>
      </c>
      <c r="Y202" s="35">
        <f>IF(OR($W202="",$G202=""),"",$G202-$W202)</f>
        <v/>
      </c>
      <c r="Z202" s="61">
        <f>IF(OR($A202="",$G202="",$O202="",$P202="",$G202-$P202=0),"",($G202-$O202)/($G202-$P202))</f>
        <v/>
      </c>
      <c r="AA202" s="54">
        <f>IF($A202="","",IF(AND($N202&lt;&gt;"",$N202&gt;=1,OR($V202="",$V202&gt;=Thr_Green)),"Complete",IF(AND($U202="",$V202=""),"Not started",IF(OR(AND($U202&lt;&gt;"",$U202&lt;Thr_Red),AND($V202&lt;&gt;"",$V202&lt;Thr_Red)),"Red",IF(OR(AND($U202&lt;&gt;"",$U202&lt;Thr_Green),AND($V202&lt;&gt;"",$V202&lt;Thr_Green)),"Amber","Green")))))</f>
        <v/>
      </c>
      <c r="AB202" s="63" t="n"/>
      <c r="AC202" s="63" t="n"/>
      <c r="AD202" s="63" t="n"/>
    </row>
    <row r="203" ht="24" customHeight="1">
      <c r="A203" s="15" t="n"/>
      <c r="B203" s="13" t="n"/>
      <c r="C203" s="15" t="n"/>
      <c r="D203" s="63" t="n"/>
      <c r="E203" s="15" t="n"/>
      <c r="F203" s="15" t="n"/>
      <c r="G203" s="64" t="n"/>
      <c r="H203" s="40">
        <f>IF(OR($A203="",SUM($G$9:$G$208)=0,$G203=""),"",$G203/SUM($G$9:$G$208))</f>
        <v/>
      </c>
      <c r="I203" s="15" t="n"/>
      <c r="J203" s="14" t="n"/>
      <c r="K203" s="14" t="n"/>
      <c r="L203" s="65">
        <f>IF(OR($A203="",$J203="",$K203="",Data_Date=""),"",IF(Data_Date&lt;=$J203,0,IF(Data_Date&gt;=$K203,1,(Data_Date-$J203)/($K203-$J203))))</f>
        <v/>
      </c>
      <c r="M203" s="31">
        <f>IF(OR($A203="",$G203="",$L203=""),"",$G203*$L203)</f>
        <v/>
      </c>
      <c r="N203" s="65" t="n"/>
      <c r="O203" s="31">
        <f>IF(OR($A203="",$G203="",$N203=""),"",$G203*$N203)</f>
        <v/>
      </c>
      <c r="P203" s="64" t="n"/>
      <c r="Q203" s="35">
        <f>IF(OR($O203="",$M203=""),"",$O203-$M203)</f>
        <v/>
      </c>
      <c r="R203" s="35">
        <f>IF(OR($O203="",$P203=""),"",$O203-$P203)</f>
        <v/>
      </c>
      <c r="S203" s="40">
        <f>IF(OR($Q203="",$M203="",$M203=0),"",$Q203/$M203)</f>
        <v/>
      </c>
      <c r="T203" s="40">
        <f>IF(OR($R203="",$O203="",$O203=0),"",$R203/$O203)</f>
        <v/>
      </c>
      <c r="U203" s="61">
        <f>IF(OR($O203="",$M203="",$M203=0),"",$O203/$M203)</f>
        <v/>
      </c>
      <c r="V203" s="61">
        <f>IF(OR($O203="",$P203="",$P203=0),"",$O203/$P203)</f>
        <v/>
      </c>
      <c r="W203" s="31">
        <f>IF(OR($A203="",$G203=""),"",IF(EAC_Idx=1,IF(OR($P203="",$O203=""),"",$P203+($G203-$O203)),IF(EAC_Idx=2,IF(OR($V203="",$V203=0),"",$G203/$V203),IF(EAC_Idx=3,IF(OR($V203="",$U203=""),"",IF($V203*$U203=0,"",$P203+($G203-$O203)/($V203*$U203))),IF(OR($P203="",$O203="",ETC_BottomUp="",ETC_BottomUp&lt;=0),"",$P203+($G203-$O203)*EAC_BU_Factor)))))</f>
        <v/>
      </c>
      <c r="X203" s="31">
        <f>IF(OR($W203="",$P203=""),"",$W203-$P203)</f>
        <v/>
      </c>
      <c r="Y203" s="35">
        <f>IF(OR($W203="",$G203=""),"",$G203-$W203)</f>
        <v/>
      </c>
      <c r="Z203" s="61">
        <f>IF(OR($A203="",$G203="",$O203="",$P203="",$G203-$P203=0),"",($G203-$O203)/($G203-$P203))</f>
        <v/>
      </c>
      <c r="AA203" s="54">
        <f>IF($A203="","",IF(AND($N203&lt;&gt;"",$N203&gt;=1,OR($V203="",$V203&gt;=Thr_Green)),"Complete",IF(AND($U203="",$V203=""),"Not started",IF(OR(AND($U203&lt;&gt;"",$U203&lt;Thr_Red),AND($V203&lt;&gt;"",$V203&lt;Thr_Red)),"Red",IF(OR(AND($U203&lt;&gt;"",$U203&lt;Thr_Green),AND($V203&lt;&gt;"",$V203&lt;Thr_Green)),"Amber","Green")))))</f>
        <v/>
      </c>
      <c r="AB203" s="63" t="n"/>
      <c r="AC203" s="63" t="n"/>
      <c r="AD203" s="63" t="n"/>
    </row>
    <row r="204" ht="24" customHeight="1">
      <c r="A204" s="15" t="n"/>
      <c r="B204" s="13" t="n"/>
      <c r="C204" s="15" t="n"/>
      <c r="D204" s="63" t="n"/>
      <c r="E204" s="15" t="n"/>
      <c r="F204" s="15" t="n"/>
      <c r="G204" s="64" t="n"/>
      <c r="H204" s="40">
        <f>IF(OR($A204="",SUM($G$9:$G$208)=0,$G204=""),"",$G204/SUM($G$9:$G$208))</f>
        <v/>
      </c>
      <c r="I204" s="15" t="n"/>
      <c r="J204" s="14" t="n"/>
      <c r="K204" s="14" t="n"/>
      <c r="L204" s="65">
        <f>IF(OR($A204="",$J204="",$K204="",Data_Date=""),"",IF(Data_Date&lt;=$J204,0,IF(Data_Date&gt;=$K204,1,(Data_Date-$J204)/($K204-$J204))))</f>
        <v/>
      </c>
      <c r="M204" s="31">
        <f>IF(OR($A204="",$G204="",$L204=""),"",$G204*$L204)</f>
        <v/>
      </c>
      <c r="N204" s="65" t="n"/>
      <c r="O204" s="31">
        <f>IF(OR($A204="",$G204="",$N204=""),"",$G204*$N204)</f>
        <v/>
      </c>
      <c r="P204" s="64" t="n"/>
      <c r="Q204" s="35">
        <f>IF(OR($O204="",$M204=""),"",$O204-$M204)</f>
        <v/>
      </c>
      <c r="R204" s="35">
        <f>IF(OR($O204="",$P204=""),"",$O204-$P204)</f>
        <v/>
      </c>
      <c r="S204" s="40">
        <f>IF(OR($Q204="",$M204="",$M204=0),"",$Q204/$M204)</f>
        <v/>
      </c>
      <c r="T204" s="40">
        <f>IF(OR($R204="",$O204="",$O204=0),"",$R204/$O204)</f>
        <v/>
      </c>
      <c r="U204" s="61">
        <f>IF(OR($O204="",$M204="",$M204=0),"",$O204/$M204)</f>
        <v/>
      </c>
      <c r="V204" s="61">
        <f>IF(OR($O204="",$P204="",$P204=0),"",$O204/$P204)</f>
        <v/>
      </c>
      <c r="W204" s="31">
        <f>IF(OR($A204="",$G204=""),"",IF(EAC_Idx=1,IF(OR($P204="",$O204=""),"",$P204+($G204-$O204)),IF(EAC_Idx=2,IF(OR($V204="",$V204=0),"",$G204/$V204),IF(EAC_Idx=3,IF(OR($V204="",$U204=""),"",IF($V204*$U204=0,"",$P204+($G204-$O204)/($V204*$U204))),IF(OR($P204="",$O204="",ETC_BottomUp="",ETC_BottomUp&lt;=0),"",$P204+($G204-$O204)*EAC_BU_Factor)))))</f>
        <v/>
      </c>
      <c r="X204" s="31">
        <f>IF(OR($W204="",$P204=""),"",$W204-$P204)</f>
        <v/>
      </c>
      <c r="Y204" s="35">
        <f>IF(OR($W204="",$G204=""),"",$G204-$W204)</f>
        <v/>
      </c>
      <c r="Z204" s="61">
        <f>IF(OR($A204="",$G204="",$O204="",$P204="",$G204-$P204=0),"",($G204-$O204)/($G204-$P204))</f>
        <v/>
      </c>
      <c r="AA204" s="54">
        <f>IF($A204="","",IF(AND($N204&lt;&gt;"",$N204&gt;=1,OR($V204="",$V204&gt;=Thr_Green)),"Complete",IF(AND($U204="",$V204=""),"Not started",IF(OR(AND($U204&lt;&gt;"",$U204&lt;Thr_Red),AND($V204&lt;&gt;"",$V204&lt;Thr_Red)),"Red",IF(OR(AND($U204&lt;&gt;"",$U204&lt;Thr_Green),AND($V204&lt;&gt;"",$V204&lt;Thr_Green)),"Amber","Green")))))</f>
        <v/>
      </c>
      <c r="AB204" s="63" t="n"/>
      <c r="AC204" s="63" t="n"/>
      <c r="AD204" s="63" t="n"/>
    </row>
    <row r="205" ht="24" customHeight="1">
      <c r="A205" s="15" t="n"/>
      <c r="B205" s="13" t="n"/>
      <c r="C205" s="15" t="n"/>
      <c r="D205" s="63" t="n"/>
      <c r="E205" s="15" t="n"/>
      <c r="F205" s="15" t="n"/>
      <c r="G205" s="64" t="n"/>
      <c r="H205" s="40">
        <f>IF(OR($A205="",SUM($G$9:$G$208)=0,$G205=""),"",$G205/SUM($G$9:$G$208))</f>
        <v/>
      </c>
      <c r="I205" s="15" t="n"/>
      <c r="J205" s="14" t="n"/>
      <c r="K205" s="14" t="n"/>
      <c r="L205" s="65">
        <f>IF(OR($A205="",$J205="",$K205="",Data_Date=""),"",IF(Data_Date&lt;=$J205,0,IF(Data_Date&gt;=$K205,1,(Data_Date-$J205)/($K205-$J205))))</f>
        <v/>
      </c>
      <c r="M205" s="31">
        <f>IF(OR($A205="",$G205="",$L205=""),"",$G205*$L205)</f>
        <v/>
      </c>
      <c r="N205" s="65" t="n"/>
      <c r="O205" s="31">
        <f>IF(OR($A205="",$G205="",$N205=""),"",$G205*$N205)</f>
        <v/>
      </c>
      <c r="P205" s="64" t="n"/>
      <c r="Q205" s="35">
        <f>IF(OR($O205="",$M205=""),"",$O205-$M205)</f>
        <v/>
      </c>
      <c r="R205" s="35">
        <f>IF(OR($O205="",$P205=""),"",$O205-$P205)</f>
        <v/>
      </c>
      <c r="S205" s="40">
        <f>IF(OR($Q205="",$M205="",$M205=0),"",$Q205/$M205)</f>
        <v/>
      </c>
      <c r="T205" s="40">
        <f>IF(OR($R205="",$O205="",$O205=0),"",$R205/$O205)</f>
        <v/>
      </c>
      <c r="U205" s="61">
        <f>IF(OR($O205="",$M205="",$M205=0),"",$O205/$M205)</f>
        <v/>
      </c>
      <c r="V205" s="61">
        <f>IF(OR($O205="",$P205="",$P205=0),"",$O205/$P205)</f>
        <v/>
      </c>
      <c r="W205" s="31">
        <f>IF(OR($A205="",$G205=""),"",IF(EAC_Idx=1,IF(OR($P205="",$O205=""),"",$P205+($G205-$O205)),IF(EAC_Idx=2,IF(OR($V205="",$V205=0),"",$G205/$V205),IF(EAC_Idx=3,IF(OR($V205="",$U205=""),"",IF($V205*$U205=0,"",$P205+($G205-$O205)/($V205*$U205))),IF(OR($P205="",$O205="",ETC_BottomUp="",ETC_BottomUp&lt;=0),"",$P205+($G205-$O205)*EAC_BU_Factor)))))</f>
        <v/>
      </c>
      <c r="X205" s="31">
        <f>IF(OR($W205="",$P205=""),"",$W205-$P205)</f>
        <v/>
      </c>
      <c r="Y205" s="35">
        <f>IF(OR($W205="",$G205=""),"",$G205-$W205)</f>
        <v/>
      </c>
      <c r="Z205" s="61">
        <f>IF(OR($A205="",$G205="",$O205="",$P205="",$G205-$P205=0),"",($G205-$O205)/($G205-$P205))</f>
        <v/>
      </c>
      <c r="AA205" s="54">
        <f>IF($A205="","",IF(AND($N205&lt;&gt;"",$N205&gt;=1,OR($V205="",$V205&gt;=Thr_Green)),"Complete",IF(AND($U205="",$V205=""),"Not started",IF(OR(AND($U205&lt;&gt;"",$U205&lt;Thr_Red),AND($V205&lt;&gt;"",$V205&lt;Thr_Red)),"Red",IF(OR(AND($U205&lt;&gt;"",$U205&lt;Thr_Green),AND($V205&lt;&gt;"",$V205&lt;Thr_Green)),"Amber","Green")))))</f>
        <v/>
      </c>
      <c r="AB205" s="63" t="n"/>
      <c r="AC205" s="63" t="n"/>
      <c r="AD205" s="63" t="n"/>
    </row>
    <row r="206" ht="24" customHeight="1">
      <c r="A206" s="15" t="n"/>
      <c r="B206" s="13" t="n"/>
      <c r="C206" s="15" t="n"/>
      <c r="D206" s="63" t="n"/>
      <c r="E206" s="15" t="n"/>
      <c r="F206" s="15" t="n"/>
      <c r="G206" s="64" t="n"/>
      <c r="H206" s="40">
        <f>IF(OR($A206="",SUM($G$9:$G$208)=0,$G206=""),"",$G206/SUM($G$9:$G$208))</f>
        <v/>
      </c>
      <c r="I206" s="15" t="n"/>
      <c r="J206" s="14" t="n"/>
      <c r="K206" s="14" t="n"/>
      <c r="L206" s="65">
        <f>IF(OR($A206="",$J206="",$K206="",Data_Date=""),"",IF(Data_Date&lt;=$J206,0,IF(Data_Date&gt;=$K206,1,(Data_Date-$J206)/($K206-$J206))))</f>
        <v/>
      </c>
      <c r="M206" s="31">
        <f>IF(OR($A206="",$G206="",$L206=""),"",$G206*$L206)</f>
        <v/>
      </c>
      <c r="N206" s="65" t="n"/>
      <c r="O206" s="31">
        <f>IF(OR($A206="",$G206="",$N206=""),"",$G206*$N206)</f>
        <v/>
      </c>
      <c r="P206" s="64" t="n"/>
      <c r="Q206" s="35">
        <f>IF(OR($O206="",$M206=""),"",$O206-$M206)</f>
        <v/>
      </c>
      <c r="R206" s="35">
        <f>IF(OR($O206="",$P206=""),"",$O206-$P206)</f>
        <v/>
      </c>
      <c r="S206" s="40">
        <f>IF(OR($Q206="",$M206="",$M206=0),"",$Q206/$M206)</f>
        <v/>
      </c>
      <c r="T206" s="40">
        <f>IF(OR($R206="",$O206="",$O206=0),"",$R206/$O206)</f>
        <v/>
      </c>
      <c r="U206" s="61">
        <f>IF(OR($O206="",$M206="",$M206=0),"",$O206/$M206)</f>
        <v/>
      </c>
      <c r="V206" s="61">
        <f>IF(OR($O206="",$P206="",$P206=0),"",$O206/$P206)</f>
        <v/>
      </c>
      <c r="W206" s="31">
        <f>IF(OR($A206="",$G206=""),"",IF(EAC_Idx=1,IF(OR($P206="",$O206=""),"",$P206+($G206-$O206)),IF(EAC_Idx=2,IF(OR($V206="",$V206=0),"",$G206/$V206),IF(EAC_Idx=3,IF(OR($V206="",$U206=""),"",IF($V206*$U206=0,"",$P206+($G206-$O206)/($V206*$U206))),IF(OR($P206="",$O206="",ETC_BottomUp="",ETC_BottomUp&lt;=0),"",$P206+($G206-$O206)*EAC_BU_Factor)))))</f>
        <v/>
      </c>
      <c r="X206" s="31">
        <f>IF(OR($W206="",$P206=""),"",$W206-$P206)</f>
        <v/>
      </c>
      <c r="Y206" s="35">
        <f>IF(OR($W206="",$G206=""),"",$G206-$W206)</f>
        <v/>
      </c>
      <c r="Z206" s="61">
        <f>IF(OR($A206="",$G206="",$O206="",$P206="",$G206-$P206=0),"",($G206-$O206)/($G206-$P206))</f>
        <v/>
      </c>
      <c r="AA206" s="54">
        <f>IF($A206="","",IF(AND($N206&lt;&gt;"",$N206&gt;=1,OR($V206="",$V206&gt;=Thr_Green)),"Complete",IF(AND($U206="",$V206=""),"Not started",IF(OR(AND($U206&lt;&gt;"",$U206&lt;Thr_Red),AND($V206&lt;&gt;"",$V206&lt;Thr_Red)),"Red",IF(OR(AND($U206&lt;&gt;"",$U206&lt;Thr_Green),AND($V206&lt;&gt;"",$V206&lt;Thr_Green)),"Amber","Green")))))</f>
        <v/>
      </c>
      <c r="AB206" s="63" t="n"/>
      <c r="AC206" s="63" t="n"/>
      <c r="AD206" s="63" t="n"/>
    </row>
    <row r="207" ht="24" customHeight="1">
      <c r="A207" s="15" t="n"/>
      <c r="B207" s="13" t="n"/>
      <c r="C207" s="15" t="n"/>
      <c r="D207" s="63" t="n"/>
      <c r="E207" s="15" t="n"/>
      <c r="F207" s="15" t="n"/>
      <c r="G207" s="64" t="n"/>
      <c r="H207" s="40">
        <f>IF(OR($A207="",SUM($G$9:$G$208)=0,$G207=""),"",$G207/SUM($G$9:$G$208))</f>
        <v/>
      </c>
      <c r="I207" s="15" t="n"/>
      <c r="J207" s="14" t="n"/>
      <c r="K207" s="14" t="n"/>
      <c r="L207" s="65">
        <f>IF(OR($A207="",$J207="",$K207="",Data_Date=""),"",IF(Data_Date&lt;=$J207,0,IF(Data_Date&gt;=$K207,1,(Data_Date-$J207)/($K207-$J207))))</f>
        <v/>
      </c>
      <c r="M207" s="31">
        <f>IF(OR($A207="",$G207="",$L207=""),"",$G207*$L207)</f>
        <v/>
      </c>
      <c r="N207" s="65" t="n"/>
      <c r="O207" s="31">
        <f>IF(OR($A207="",$G207="",$N207=""),"",$G207*$N207)</f>
        <v/>
      </c>
      <c r="P207" s="64" t="n"/>
      <c r="Q207" s="35">
        <f>IF(OR($O207="",$M207=""),"",$O207-$M207)</f>
        <v/>
      </c>
      <c r="R207" s="35">
        <f>IF(OR($O207="",$P207=""),"",$O207-$P207)</f>
        <v/>
      </c>
      <c r="S207" s="40">
        <f>IF(OR($Q207="",$M207="",$M207=0),"",$Q207/$M207)</f>
        <v/>
      </c>
      <c r="T207" s="40">
        <f>IF(OR($R207="",$O207="",$O207=0),"",$R207/$O207)</f>
        <v/>
      </c>
      <c r="U207" s="61">
        <f>IF(OR($O207="",$M207="",$M207=0),"",$O207/$M207)</f>
        <v/>
      </c>
      <c r="V207" s="61">
        <f>IF(OR($O207="",$P207="",$P207=0),"",$O207/$P207)</f>
        <v/>
      </c>
      <c r="W207" s="31">
        <f>IF(OR($A207="",$G207=""),"",IF(EAC_Idx=1,IF(OR($P207="",$O207=""),"",$P207+($G207-$O207)),IF(EAC_Idx=2,IF(OR($V207="",$V207=0),"",$G207/$V207),IF(EAC_Idx=3,IF(OR($V207="",$U207=""),"",IF($V207*$U207=0,"",$P207+($G207-$O207)/($V207*$U207))),IF(OR($P207="",$O207="",ETC_BottomUp="",ETC_BottomUp&lt;=0),"",$P207+($G207-$O207)*EAC_BU_Factor)))))</f>
        <v/>
      </c>
      <c r="X207" s="31">
        <f>IF(OR($W207="",$P207=""),"",$W207-$P207)</f>
        <v/>
      </c>
      <c r="Y207" s="35">
        <f>IF(OR($W207="",$G207=""),"",$G207-$W207)</f>
        <v/>
      </c>
      <c r="Z207" s="61">
        <f>IF(OR($A207="",$G207="",$O207="",$P207="",$G207-$P207=0),"",($G207-$O207)/($G207-$P207))</f>
        <v/>
      </c>
      <c r="AA207" s="54">
        <f>IF($A207="","",IF(AND($N207&lt;&gt;"",$N207&gt;=1,OR($V207="",$V207&gt;=Thr_Green)),"Complete",IF(AND($U207="",$V207=""),"Not started",IF(OR(AND($U207&lt;&gt;"",$U207&lt;Thr_Red),AND($V207&lt;&gt;"",$V207&lt;Thr_Red)),"Red",IF(OR(AND($U207&lt;&gt;"",$U207&lt;Thr_Green),AND($V207&lt;&gt;"",$V207&lt;Thr_Green)),"Amber","Green")))))</f>
        <v/>
      </c>
      <c r="AB207" s="63" t="n"/>
      <c r="AC207" s="63" t="n"/>
      <c r="AD207" s="63" t="n"/>
    </row>
    <row r="208" ht="24" customHeight="1">
      <c r="A208" s="15" t="n"/>
      <c r="B208" s="13" t="n"/>
      <c r="C208" s="15" t="n"/>
      <c r="D208" s="63" t="n"/>
      <c r="E208" s="15" t="n"/>
      <c r="F208" s="15" t="n"/>
      <c r="G208" s="64" t="n"/>
      <c r="H208" s="40">
        <f>IF(OR($A208="",SUM($G$9:$G$208)=0,$G208=""),"",$G208/SUM($G$9:$G$208))</f>
        <v/>
      </c>
      <c r="I208" s="15" t="n"/>
      <c r="J208" s="14" t="n"/>
      <c r="K208" s="14" t="n"/>
      <c r="L208" s="65">
        <f>IF(OR($A208="",$J208="",$K208="",Data_Date=""),"",IF(Data_Date&lt;=$J208,0,IF(Data_Date&gt;=$K208,1,(Data_Date-$J208)/($K208-$J208))))</f>
        <v/>
      </c>
      <c r="M208" s="31">
        <f>IF(OR($A208="",$G208="",$L208=""),"",$G208*$L208)</f>
        <v/>
      </c>
      <c r="N208" s="65" t="n"/>
      <c r="O208" s="31">
        <f>IF(OR($A208="",$G208="",$N208=""),"",$G208*$N208)</f>
        <v/>
      </c>
      <c r="P208" s="64" t="n"/>
      <c r="Q208" s="35">
        <f>IF(OR($O208="",$M208=""),"",$O208-$M208)</f>
        <v/>
      </c>
      <c r="R208" s="35">
        <f>IF(OR($O208="",$P208=""),"",$O208-$P208)</f>
        <v/>
      </c>
      <c r="S208" s="40">
        <f>IF(OR($Q208="",$M208="",$M208=0),"",$Q208/$M208)</f>
        <v/>
      </c>
      <c r="T208" s="40">
        <f>IF(OR($R208="",$O208="",$O208=0),"",$R208/$O208)</f>
        <v/>
      </c>
      <c r="U208" s="61">
        <f>IF(OR($O208="",$M208="",$M208=0),"",$O208/$M208)</f>
        <v/>
      </c>
      <c r="V208" s="61">
        <f>IF(OR($O208="",$P208="",$P208=0),"",$O208/$P208)</f>
        <v/>
      </c>
      <c r="W208" s="31">
        <f>IF(OR($A208="",$G208=""),"",IF(EAC_Idx=1,IF(OR($P208="",$O208=""),"",$P208+($G208-$O208)),IF(EAC_Idx=2,IF(OR($V208="",$V208=0),"",$G208/$V208),IF(EAC_Idx=3,IF(OR($V208="",$U208=""),"",IF($V208*$U208=0,"",$P208+($G208-$O208)/($V208*$U208))),IF(OR($P208="",$O208="",ETC_BottomUp="",ETC_BottomUp&lt;=0),"",$P208+($G208-$O208)*EAC_BU_Factor)))))</f>
        <v/>
      </c>
      <c r="X208" s="31">
        <f>IF(OR($W208="",$P208=""),"",$W208-$P208)</f>
        <v/>
      </c>
      <c r="Y208" s="35">
        <f>IF(OR($W208="",$G208=""),"",$G208-$W208)</f>
        <v/>
      </c>
      <c r="Z208" s="61">
        <f>IF(OR($A208="",$G208="",$O208="",$P208="",$G208-$P208=0),"",($G208-$O208)/($G208-$P208))</f>
        <v/>
      </c>
      <c r="AA208" s="54">
        <f>IF($A208="","",IF(AND($N208&lt;&gt;"",$N208&gt;=1,OR($V208="",$V208&gt;=Thr_Green)),"Complete",IF(AND($U208="",$V208=""),"Not started",IF(OR(AND($U208&lt;&gt;"",$U208&lt;Thr_Red),AND($V208&lt;&gt;"",$V208&lt;Thr_Red)),"Red",IF(OR(AND($U208&lt;&gt;"",$U208&lt;Thr_Green),AND($V208&lt;&gt;"",$V208&lt;Thr_Green)),"Amber","Green")))))</f>
        <v/>
      </c>
      <c r="AB208" s="63" t="n"/>
      <c r="AC208" s="63" t="n"/>
      <c r="AD208" s="63" t="n"/>
    </row>
    <row r="209" ht="24" customHeight="1">
      <c r="A209" s="66" t="inlineStr">
        <is>
          <t>PROJECT TOTAL</t>
        </is>
      </c>
      <c r="B209" s="67" t="n"/>
      <c r="C209" s="67" t="n"/>
      <c r="D209" s="67" t="n"/>
      <c r="E209" s="67" t="n"/>
      <c r="F209" s="43" t="n"/>
      <c r="G209" s="42">
        <f>SUM($G$9:$G$208)</f>
        <v/>
      </c>
      <c r="H209" s="45">
        <f>IF($G$209=0,"",1)</f>
        <v/>
      </c>
      <c r="I209" s="41" t="n"/>
      <c r="J209" s="41" t="n"/>
      <c r="K209" s="41" t="n"/>
      <c r="L209" s="45">
        <f>IF($G$209=0,"",$M$209/$G$209)</f>
        <v/>
      </c>
      <c r="M209" s="42">
        <f>SUM($M$9:$M$208)</f>
        <v/>
      </c>
      <c r="N209" s="45">
        <f>IF($G$209=0,"",$O$209/$G$209)</f>
        <v/>
      </c>
      <c r="O209" s="42">
        <f>SUM($O$9:$O$208)</f>
        <v/>
      </c>
      <c r="P209" s="42">
        <f>SUM($P$9:$P$208)</f>
        <v/>
      </c>
      <c r="Q209" s="44">
        <f>IF($G$209=0,"",$O$209-$M$209)</f>
        <v/>
      </c>
      <c r="R209" s="44">
        <f>IF($G$209=0,"",$O$209-$P$209)</f>
        <v/>
      </c>
      <c r="S209" s="45">
        <f>IF($M$209=0,"",$Q$209/$M$209)</f>
        <v/>
      </c>
      <c r="T209" s="45">
        <f>IF($O$209=0,"",$R$209/$O$209)</f>
        <v/>
      </c>
      <c r="U209" s="68">
        <f>IF($M$209=0,"",$O$209/$M$209)</f>
        <v/>
      </c>
      <c r="V209" s="68">
        <f>IF($P$209=0,"",$O$209/$P$209)</f>
        <v/>
      </c>
      <c r="W209" s="42">
        <f>IF($G$209=0,"",IF(EAC_Idx=1,$P$209+($G$209-$O$209),IF(EAC_Idx=2,IF($V$209="","",$G$209/$V$209),IF(EAC_Idx=3,IF(OR($V$209="",$U$209=""),"",IF($V$209*$U$209=0,"",$P$209+($G$209-$O$209)/($V$209*$U$209))),IF(OR(ETC_BottomUp="",ETC_BottomUp&lt;=0),"",$P$209+ETC_BottomUp)))))</f>
        <v/>
      </c>
      <c r="X209" s="42">
        <f>IF($W$209="","",$W$209-$P$209)</f>
        <v/>
      </c>
      <c r="Y209" s="44">
        <f>IF($W$209="","",$G$209-$W$209)</f>
        <v/>
      </c>
      <c r="Z209" s="68">
        <f>IF(OR($G$209=0,$G$209-$P$209=0),"",($G$209-$O$209)/($G$209-$P$209))</f>
        <v/>
      </c>
      <c r="AA209" s="69">
        <f>IF($G$209=0,"",IF(OR(AND($U$209&lt;&gt;"",$U$209&lt;Thr_Red),AND($V$209&lt;&gt;"",$V$209&lt;Thr_Red)),"Red",IF(OR(AND($U$209&lt;&gt;"",$U$209&lt;Thr_Green),AND($V$209&lt;&gt;"",$V$209&lt;Thr_Green)),"Amber","Green")))</f>
        <v/>
      </c>
      <c r="AB209" s="70" t="inlineStr">
        <is>
          <t>Project-level EAC uses project totals — see the note below.</t>
        </is>
      </c>
      <c r="AC209" s="67" t="n"/>
      <c r="AD209" s="43" t="n"/>
    </row>
    <row r="211" ht="22" customHeight="1">
      <c r="A211" s="16" t="inlineStr">
        <is>
          <t>Column L (Planned % Complete) is pre-filled with a straight-line calculation between the planned dates at the data date. If your programme gives you a proper time-phased planned percentage, type it straight over the formula — that is the better number.</t>
        </is>
      </c>
    </row>
    <row r="212" ht="22" customHeight="1">
      <c r="A212" s="16" t="inlineStr">
        <is>
          <t>Element-level EAC applies the selected method to each row. For methods 2 and 3 the sum of the element EACs will not equal the project EAC, because CPI and SPI are weighted averages — the total row and the Dashboard compute the project EAC from project totals, and that is the figure to report. Method 4 distributes the bottom-up ETC across remaining work pro-rata, so it does tie. A row with no Actual Cost recorded has no basis for a forecast and returns a blank EAC — enter 0 if the element has genuinely cost nothing yet.</t>
        </is>
      </c>
    </row>
    <row r="214" ht="12.75" customHeight="1">
      <c r="A214" s="17" t="inlineStr">
        <is>
          <t>Visit mastt.com</t>
        </is>
      </c>
      <c r="B214" s="18" t="n"/>
      <c r="C214" s="18" t="n"/>
      <c r="D214" s="18" t="n"/>
      <c r="E214" s="18" t="n"/>
      <c r="F214" s="18" t="n"/>
      <c r="G214" s="18" t="n"/>
      <c r="H214" s="18" t="n"/>
      <c r="I214" s="18" t="n"/>
      <c r="J214" s="18" t="n"/>
      <c r="K214" s="18" t="n"/>
      <c r="L214" s="18" t="n"/>
      <c r="M214" s="18" t="n"/>
      <c r="N214" s="18" t="n"/>
      <c r="O214" s="18" t="n"/>
      <c r="P214" s="18" t="n"/>
      <c r="Q214" s="18" t="n"/>
      <c r="R214" s="18" t="n"/>
      <c r="S214" s="18" t="n"/>
      <c r="T214" s="18" t="n"/>
      <c r="U214" s="18" t="n"/>
      <c r="V214" s="18" t="n"/>
      <c r="W214" s="18" t="n"/>
      <c r="X214" s="18" t="n"/>
      <c r="Y214" s="18" t="n"/>
      <c r="Z214" s="18" t="n"/>
      <c r="AA214" s="18" t="n"/>
      <c r="AB214" s="18" t="n"/>
      <c r="AC214" s="18" t="n"/>
      <c r="AD214" s="18" t="n"/>
    </row>
  </sheetData>
  <sheetProtection selectLockedCells="0" selectUnlockedCells="0" sheet="1" objects="0" insertRows="0" insertHyperlinks="1" autoFilter="0" scenarios="0" formatColumns="0" deleteColumns="1" insertColumns="0" pivotTables="1" deleteRows="0" formatCells="0" formatRows="0" sort="0"/>
  <autoFilter ref="A8:AD208"/>
  <mergeCells count="8">
    <mergeCell ref="A211:AD211"/>
    <mergeCell ref="D3:AD3"/>
    <mergeCell ref="A214:AD214"/>
    <mergeCell ref="X7:AD7"/>
    <mergeCell ref="D2:AD2"/>
    <mergeCell ref="A212:AD212"/>
    <mergeCell ref="A209:F209"/>
    <mergeCell ref="AB209:AD209"/>
  </mergeCells>
  <conditionalFormatting sqref="U9:U208">
    <cfRule type="expression" priority="1" dxfId="0" stopIfTrue="1">
      <formula>AND(U9&lt;&gt;"",ISNUMBER(U9),U9&lt;Thr_Red)</formula>
    </cfRule>
    <cfRule type="expression" priority="2" dxfId="4" stopIfTrue="1">
      <formula>AND(U9&lt;&gt;"",ISNUMBER(U9),U9&lt;Thr_Amber)</formula>
    </cfRule>
    <cfRule type="expression" priority="3" dxfId="5" stopIfTrue="1">
      <formula>AND(U9&lt;&gt;"",ISNUMBER(U9),U9&gt;=Thr_Green)</formula>
    </cfRule>
  </conditionalFormatting>
  <conditionalFormatting sqref="V9:V208">
    <cfRule type="expression" priority="4" dxfId="0" stopIfTrue="1">
      <formula>AND(V9&lt;&gt;"",ISNUMBER(V9),V9&lt;Thr_Red)</formula>
    </cfRule>
    <cfRule type="expression" priority="5" dxfId="4" stopIfTrue="1">
      <formula>AND(V9&lt;&gt;"",ISNUMBER(V9),V9&lt;Thr_Amber)</formula>
    </cfRule>
    <cfRule type="expression" priority="6" dxfId="5" stopIfTrue="1">
      <formula>AND(V9&lt;&gt;"",ISNUMBER(V9),V9&gt;=Thr_Green)</formula>
    </cfRule>
  </conditionalFormatting>
  <conditionalFormatting sqref="Q9:Q208">
    <cfRule type="expression" priority="7" dxfId="0" stopIfTrue="0">
      <formula>AND(Q9&lt;&gt;"",ISNUMBER(Q9),Q9&lt;0)</formula>
    </cfRule>
  </conditionalFormatting>
  <conditionalFormatting sqref="R9:R208">
    <cfRule type="expression" priority="8" dxfId="0" stopIfTrue="0">
      <formula>AND(R9&lt;&gt;"",ISNUMBER(R9),R9&lt;0)</formula>
    </cfRule>
  </conditionalFormatting>
  <conditionalFormatting sqref="Y9:Y208">
    <cfRule type="expression" priority="9" dxfId="0" stopIfTrue="0">
      <formula>AND(Y9&lt;&gt;"",ISNUMBER(Y9),Y9&lt;0)</formula>
    </cfRule>
  </conditionalFormatting>
  <conditionalFormatting sqref="AA9:AA208">
    <cfRule type="expression" priority="10" dxfId="6" stopIfTrue="0">
      <formula>$AA9="Red"</formula>
    </cfRule>
    <cfRule type="expression" priority="11" dxfId="7" stopIfTrue="0">
      <formula>$AA9="Amber"</formula>
    </cfRule>
    <cfRule type="expression" priority="12" dxfId="8" stopIfTrue="0">
      <formula>$AA9="Green"</formula>
    </cfRule>
    <cfRule type="expression" priority="13" dxfId="8" stopIfTrue="0">
      <formula>$AA9="Complete"</formula>
    </cfRule>
    <cfRule type="expression" priority="14" dxfId="9" stopIfTrue="0">
      <formula>$AA9="Not started"</formula>
    </cfRule>
  </conditionalFormatting>
  <dataValidations count="5">
    <dataValidation sqref="I9:I208" showDropDown="0" showInputMessage="0" showErrorMessage="1" allowBlank="1" errorTitle="Invalid entry" error="Choose a value from the drop-down list." type="list">
      <formula1>Lists!$B$24:$B$31</formula1>
    </dataValidation>
    <dataValidation sqref="B9:B208" showDropDown="0" showInputMessage="0" showErrorMessage="1" allowBlank="1" errorTitle="Invalid entry" error="Choose a value from the drop-down list." type="list">
      <formula1>Lists!$D$24:$D$28</formula1>
    </dataValidation>
    <dataValidation sqref="G9:G208" showDropDown="0" showInputMessage="0" showErrorMessage="1" allowBlank="1" errorTitle="Invalid entry" error="Enter a number." type="decimal" operator="greaterThanOrEqual">
      <formula1>0</formula1>
    </dataValidation>
    <dataValidation sqref="P9:P208" showDropDown="0" showInputMessage="0" showErrorMessage="1" allowBlank="1" errorTitle="Invalid entry" error="Enter a number." type="decimal" operator="greaterThanOrEqual">
      <formula1>0</formula1>
    </dataValidation>
    <dataValidation sqref="N9:N208" showDropDown="0" showInputMessage="0" showErrorMessage="1" allowBlank="1" errorTitle="Invalid entry" error="Enter a number." type="decimal" operator="between">
      <formula1>0</formula1>
      <formula2>1</formula2>
    </dataValidation>
  </dataValidations>
  <hyperlinks>
    <hyperlink xmlns:r="http://schemas.openxmlformats.org/officeDocument/2006/relationships" ref="A2" r:id="rId1"/>
    <hyperlink xmlns:r="http://schemas.openxmlformats.org/officeDocument/2006/relationships" ref="A214" r:id="rId2"/>
  </hyperlinks>
  <pageMargins left="0.3" right="0.3" top="0.4" bottom="0.4" header="0.2" footer="0.2"/>
  <pageSetup orientation="landscape" paperSize="9" fitToHeight="0" fitToWidth="1"/>
  <drawing xmlns:r="http://schemas.openxmlformats.org/officeDocument/2006/relationships" r:id="rId3"/>
</worksheet>
</file>

<file path=xl/worksheets/sheet4.xml><?xml version="1.0" encoding="utf-8"?>
<worksheet xmlns="http://schemas.openxmlformats.org/spreadsheetml/2006/main">
  <sheetPr>
    <outlinePr summaryBelow="1" summaryRight="1"/>
    <pageSetUpPr fitToPage="1"/>
  </sheetPr>
  <dimension ref="A2:Q62"/>
  <sheetViews>
    <sheetView showGridLines="0" zoomScale="100" workbookViewId="0">
      <pane xSplit="3" ySplit="8" topLeftCell="D9" activePane="bottomRight" state="frozen"/>
      <selection pane="topRight"/>
      <selection pane="bottomLeft"/>
      <selection pane="bottomRight" activeCell="A1" sqref="A1"/>
    </sheetView>
  </sheetViews>
  <sheetFormatPr baseColWidth="8" defaultRowHeight="15"/>
  <cols>
    <col width="8" customWidth="1" min="1" max="1"/>
    <col width="13" customWidth="1" min="2" max="2"/>
    <col width="9" customWidth="1" min="3" max="3"/>
    <col width="15" customWidth="1" min="4" max="4"/>
    <col width="15" customWidth="1" min="5" max="5"/>
    <col width="15" customWidth="1" min="6" max="6"/>
    <col width="15" customWidth="1" min="7" max="7"/>
    <col width="15" customWidth="1" min="8" max="8"/>
    <col width="15" customWidth="1" min="9" max="9"/>
    <col width="14" customWidth="1" min="10" max="10"/>
    <col width="14" customWidth="1" min="11" max="11"/>
    <col width="8" customWidth="1" min="12" max="12"/>
    <col width="8" customWidth="1" min="13" max="13"/>
    <col width="10" customWidth="1" min="14" max="14"/>
    <col width="10" customWidth="1" min="15" max="15"/>
    <col width="10" customWidth="1" min="16" max="16"/>
    <col width="36" customWidth="1" min="17" max="17"/>
  </cols>
  <sheetData>
    <row r="1" ht="3.75" customHeight="1"/>
    <row r="2" ht="27.75" customHeight="1">
      <c r="A2" s="1" t="inlineStr">
        <is>
          <t xml:space="preserve"> </t>
        </is>
      </c>
      <c r="B2" s="2" t="n"/>
      <c r="C2" s="2" t="n"/>
      <c r="D2" s="3" t="inlineStr">
        <is>
          <t>Earned Value Analysis (EVM)</t>
        </is>
      </c>
    </row>
    <row r="3" ht="12.75" customHeight="1">
      <c r="A3" s="2" t="n"/>
      <c r="B3" s="2" t="n"/>
      <c r="C3" s="2" t="n"/>
      <c r="D3" s="4" t="inlineStr">
        <is>
          <t>Time-Phased Data  ·  the performance measurement baseline and the period-by-period actuals  ·  36 periods</t>
        </is>
      </c>
    </row>
    <row r="4" ht="6" customHeight="1"/>
    <row r="7" ht="15" customHeight="1">
      <c r="A7" s="19">
        <f>IF(Proj_Name="","Project: —  |  complete the Cover sheet","Project:  "&amp;Proj_Name&amp;IF(Proj_Number="",""," · "&amp;Proj_Number))</f>
        <v/>
      </c>
      <c r="K7" s="20" t="inlineStr">
        <is>
          <t>Shaded cells = your input.   Tinted cells = auto-calculated, do not type over them.</t>
        </is>
      </c>
    </row>
    <row r="8" ht="40" customHeight="1">
      <c r="A8" s="28" t="inlineStr">
        <is>
          <t>Period No.</t>
        </is>
      </c>
      <c r="B8" s="28" t="inlineStr">
        <is>
          <t>Period End Date</t>
        </is>
      </c>
      <c r="C8" s="28" t="inlineStr">
        <is>
          <t>Working Days</t>
        </is>
      </c>
      <c r="D8" s="28">
        <f>"Planned Value — period ("&amp;IF(Proj_Currency="","CUR",Proj_Currency)&amp;")"</f>
        <v/>
      </c>
      <c r="E8" s="28">
        <f>"Cumulative PV ("&amp;IF(Proj_Currency="","CUR",Proj_Currency)&amp;")"</f>
        <v/>
      </c>
      <c r="F8" s="28">
        <f>"Earned Value — period ("&amp;IF(Proj_Currency="","CUR",Proj_Currency)&amp;")"</f>
        <v/>
      </c>
      <c r="G8" s="28">
        <f>"Cumulative EV ("&amp;IF(Proj_Currency="","CUR",Proj_Currency)&amp;")"</f>
        <v/>
      </c>
      <c r="H8" s="28">
        <f>"Actual Cost — period ("&amp;IF(Proj_Currency="","CUR",Proj_Currency)&amp;")"</f>
        <v/>
      </c>
      <c r="I8" s="28">
        <f>"Cumulative AC ("&amp;IF(Proj_Currency="","CUR",Proj_Currency)&amp;")"</f>
        <v/>
      </c>
      <c r="J8" s="28">
        <f>"SV cumulative ("&amp;IF(Proj_Currency="","CUR",Proj_Currency)&amp;")"</f>
        <v/>
      </c>
      <c r="K8" s="28">
        <f>"CV cumulative ("&amp;IF(Proj_Currency="","CUR",Proj_Currency)&amp;")"</f>
        <v/>
      </c>
      <c r="L8" s="28" t="inlineStr">
        <is>
          <t>SPI cum.</t>
        </is>
      </c>
      <c r="M8" s="28" t="inlineStr">
        <is>
          <t>CPI cum.</t>
        </is>
      </c>
      <c r="N8" s="28" t="inlineStr">
        <is>
          <t>Cum. % Planned</t>
        </is>
      </c>
      <c r="O8" s="28" t="inlineStr">
        <is>
          <t>Cum. % Earned</t>
        </is>
      </c>
      <c r="P8" s="28" t="inlineStr">
        <is>
          <t>Cum. % Spent</t>
        </is>
      </c>
      <c r="Q8" s="27" t="inlineStr">
        <is>
          <t>Notes</t>
        </is>
      </c>
    </row>
    <row r="9" ht="18" customHeight="1">
      <c r="A9" s="52" t="n">
        <v>1</v>
      </c>
      <c r="B9" s="58" t="n">
        <v>45869</v>
      </c>
      <c r="C9" s="56" t="n">
        <v>23</v>
      </c>
      <c r="D9" s="57" t="n">
        <v>309875</v>
      </c>
      <c r="E9" s="31">
        <f>IF($D9="","",SUM($D$9:$D9))</f>
        <v/>
      </c>
      <c r="F9" s="57" t="n">
        <v>309465</v>
      </c>
      <c r="G9" s="31">
        <f>IF($F9="","",SUM($F$9:$F9))</f>
        <v/>
      </c>
      <c r="H9" s="57" t="n">
        <v>310234</v>
      </c>
      <c r="I9" s="31">
        <f>IF($H9="","",SUM($H$9:$H9))</f>
        <v/>
      </c>
      <c r="J9" s="35">
        <f>IF(OR($G9="",$E9=""),"",$G9-$E9)</f>
        <v/>
      </c>
      <c r="K9" s="35">
        <f>IF(OR($G9="",$I9=""),"",$G9-$I9)</f>
        <v/>
      </c>
      <c r="L9" s="61">
        <f>IF(OR($G9="",$E9="",$E9=0),"",$G9/$E9)</f>
        <v/>
      </c>
      <c r="M9" s="61">
        <f>IF(OR($G9="",$I9="",$I9=0),"",$G9/$I9)</f>
        <v/>
      </c>
      <c r="N9" s="40">
        <f>IF(OR($E9="",Tot_BAC=0),"",$E9/Tot_BAC)</f>
        <v/>
      </c>
      <c r="O9" s="40">
        <f>IF(OR($G9="",Tot_BAC=0),"",$G9/Tot_BAC)</f>
        <v/>
      </c>
      <c r="P9" s="40">
        <f>IF(OR($I9="",Tot_BAC=0),"",$I9/Tot_BAC)</f>
        <v/>
      </c>
      <c r="Q9" s="55" t="inlineStr">
        <is>
          <t>EXAMPLE baseline — replace rows 9-44 with your own time-phased PMB.</t>
        </is>
      </c>
    </row>
    <row r="10" ht="18" customHeight="1">
      <c r="A10" s="52" t="n">
        <v>2</v>
      </c>
      <c r="B10" s="58" t="n">
        <v>45900</v>
      </c>
      <c r="C10" s="56" t="n">
        <v>21</v>
      </c>
      <c r="D10" s="57" t="n">
        <v>320204</v>
      </c>
      <c r="E10" s="31">
        <f>IF($D10="","",SUM($D$9:$D10))</f>
        <v/>
      </c>
      <c r="F10" s="57" t="n">
        <v>318416</v>
      </c>
      <c r="G10" s="31">
        <f>IF($F10="","",SUM($F$9:$F10))</f>
        <v/>
      </c>
      <c r="H10" s="57" t="n">
        <v>321243</v>
      </c>
      <c r="I10" s="31">
        <f>IF($H10="","",SUM($H$9:$H10))</f>
        <v/>
      </c>
      <c r="J10" s="35">
        <f>IF(OR($G10="",$E10=""),"",$G10-$E10)</f>
        <v/>
      </c>
      <c r="K10" s="35">
        <f>IF(OR($G10="",$I10=""),"",$G10-$I10)</f>
        <v/>
      </c>
      <c r="L10" s="61">
        <f>IF(OR($G10="",$E10="",$E10=0),"",$G10/$E10)</f>
        <v/>
      </c>
      <c r="M10" s="61">
        <f>IF(OR($G10="",$I10="",$I10=0),"",$G10/$I10)</f>
        <v/>
      </c>
      <c r="N10" s="40">
        <f>IF(OR($E10="",Tot_BAC=0),"",$E10/Tot_BAC)</f>
        <v/>
      </c>
      <c r="O10" s="40">
        <f>IF(OR($G10="",Tot_BAC=0),"",$G10/Tot_BAC)</f>
        <v/>
      </c>
      <c r="P10" s="40">
        <f>IF(OR($I10="",Tot_BAC=0),"",$I10/Tot_BAC)</f>
        <v/>
      </c>
      <c r="Q10" s="63" t="n"/>
    </row>
    <row r="11" ht="18" customHeight="1">
      <c r="A11" s="52" t="n">
        <v>3</v>
      </c>
      <c r="B11" s="58" t="n">
        <v>45930</v>
      </c>
      <c r="C11" s="56" t="n">
        <v>22</v>
      </c>
      <c r="D11" s="57" t="n">
        <v>664586</v>
      </c>
      <c r="E11" s="31">
        <f>IF($D11="","",SUM($D$9:$D11))</f>
        <v/>
      </c>
      <c r="F11" s="57" t="n">
        <v>658817</v>
      </c>
      <c r="G11" s="31">
        <f>IF($F11="","",SUM($F$9:$F11))</f>
        <v/>
      </c>
      <c r="H11" s="57" t="n">
        <v>667251</v>
      </c>
      <c r="I11" s="31">
        <f>IF($H11="","",SUM($H$9:$H11))</f>
        <v/>
      </c>
      <c r="J11" s="35">
        <f>IF(OR($G11="",$E11=""),"",$G11-$E11)</f>
        <v/>
      </c>
      <c r="K11" s="35">
        <f>IF(OR($G11="",$I11=""),"",$G11-$I11)</f>
        <v/>
      </c>
      <c r="L11" s="61">
        <f>IF(OR($G11="",$E11="",$E11=0),"",$G11/$E11)</f>
        <v/>
      </c>
      <c r="M11" s="61">
        <f>IF(OR($G11="",$I11="",$I11=0),"",$G11/$I11)</f>
        <v/>
      </c>
      <c r="N11" s="40">
        <f>IF(OR($E11="",Tot_BAC=0),"",$E11/Tot_BAC)</f>
        <v/>
      </c>
      <c r="O11" s="40">
        <f>IF(OR($G11="",Tot_BAC=0),"",$G11/Tot_BAC)</f>
        <v/>
      </c>
      <c r="P11" s="40">
        <f>IF(OR($I11="",Tot_BAC=0),"",$I11/Tot_BAC)</f>
        <v/>
      </c>
      <c r="Q11" s="63" t="n"/>
    </row>
    <row r="12" ht="18" customHeight="1">
      <c r="A12" s="52" t="n">
        <v>4</v>
      </c>
      <c r="B12" s="58" t="n">
        <v>45961</v>
      </c>
      <c r="C12" s="56" t="n">
        <v>23</v>
      </c>
      <c r="D12" s="57" t="n">
        <v>488169</v>
      </c>
      <c r="E12" s="31">
        <f>IF($D12="","",SUM($D$9:$D12))</f>
        <v/>
      </c>
      <c r="F12" s="57" t="n">
        <v>479723</v>
      </c>
      <c r="G12" s="31">
        <f>IF($F12="","",SUM($F$9:$F12))</f>
        <v/>
      </c>
      <c r="H12" s="57" t="n">
        <v>491107</v>
      </c>
      <c r="I12" s="31">
        <f>IF($H12="","",SUM($H$9:$H12))</f>
        <v/>
      </c>
      <c r="J12" s="35">
        <f>IF(OR($G12="",$E12=""),"",$G12-$E12)</f>
        <v/>
      </c>
      <c r="K12" s="35">
        <f>IF(OR($G12="",$I12=""),"",$G12-$I12)</f>
        <v/>
      </c>
      <c r="L12" s="61">
        <f>IF(OR($G12="",$E12="",$E12=0),"",$G12/$E12)</f>
        <v/>
      </c>
      <c r="M12" s="61">
        <f>IF(OR($G12="",$I12="",$I12=0),"",$G12/$I12)</f>
        <v/>
      </c>
      <c r="N12" s="40">
        <f>IF(OR($E12="",Tot_BAC=0),"",$E12/Tot_BAC)</f>
        <v/>
      </c>
      <c r="O12" s="40">
        <f>IF(OR($G12="",Tot_BAC=0),"",$G12/Tot_BAC)</f>
        <v/>
      </c>
      <c r="P12" s="40">
        <f>IF(OR($I12="",Tot_BAC=0),"",$I12/Tot_BAC)</f>
        <v/>
      </c>
      <c r="Q12" s="63" t="n"/>
    </row>
    <row r="13" ht="18" customHeight="1">
      <c r="A13" s="52" t="n">
        <v>5</v>
      </c>
      <c r="B13" s="58" t="n">
        <v>45991</v>
      </c>
      <c r="C13" s="56" t="n">
        <v>20</v>
      </c>
      <c r="D13" s="57" t="n">
        <v>1042755</v>
      </c>
      <c r="E13" s="31">
        <f>IF($D13="","",SUM($D$9:$D13))</f>
        <v/>
      </c>
      <c r="F13" s="57" t="n">
        <v>1023617</v>
      </c>
      <c r="G13" s="31">
        <f>IF($F13="","",SUM($F$9:$F13))</f>
        <v/>
      </c>
      <c r="H13" s="57" t="n">
        <v>1048738</v>
      </c>
      <c r="I13" s="31">
        <f>IF($H13="","",SUM($H$9:$H13))</f>
        <v/>
      </c>
      <c r="J13" s="35">
        <f>IF(OR($G13="",$E13=""),"",$G13-$E13)</f>
        <v/>
      </c>
      <c r="K13" s="35">
        <f>IF(OR($G13="",$I13=""),"",$G13-$I13)</f>
        <v/>
      </c>
      <c r="L13" s="61">
        <f>IF(OR($G13="",$E13="",$E13=0),"",$G13/$E13)</f>
        <v/>
      </c>
      <c r="M13" s="61">
        <f>IF(OR($G13="",$I13="",$I13=0),"",$G13/$I13)</f>
        <v/>
      </c>
      <c r="N13" s="40">
        <f>IF(OR($E13="",Tot_BAC=0),"",$E13/Tot_BAC)</f>
        <v/>
      </c>
      <c r="O13" s="40">
        <f>IF(OR($G13="",Tot_BAC=0),"",$G13/Tot_BAC)</f>
        <v/>
      </c>
      <c r="P13" s="40">
        <f>IF(OR($I13="",Tot_BAC=0),"",$I13/Tot_BAC)</f>
        <v/>
      </c>
      <c r="Q13" s="63" t="n"/>
    </row>
    <row r="14" ht="18" customHeight="1">
      <c r="A14" s="52" t="n">
        <v>6</v>
      </c>
      <c r="B14" s="58" t="n">
        <v>46022</v>
      </c>
      <c r="C14" s="56" t="n">
        <v>23</v>
      </c>
      <c r="D14" s="57" t="n">
        <v>1097836</v>
      </c>
      <c r="E14" s="31">
        <f>IF($D14="","",SUM($D$9:$D14))</f>
        <v/>
      </c>
      <c r="F14" s="57" t="n">
        <v>1069668</v>
      </c>
      <c r="G14" s="31">
        <f>IF($F14="","",SUM($F$9:$F14))</f>
        <v/>
      </c>
      <c r="H14" s="57" t="n">
        <v>1105053</v>
      </c>
      <c r="I14" s="31">
        <f>IF($H14="","",SUM($H$9:$H14))</f>
        <v/>
      </c>
      <c r="J14" s="35">
        <f>IF(OR($G14="",$E14=""),"",$G14-$E14)</f>
        <v/>
      </c>
      <c r="K14" s="35">
        <f>IF(OR($G14="",$I14=""),"",$G14-$I14)</f>
        <v/>
      </c>
      <c r="L14" s="61">
        <f>IF(OR($G14="",$E14="",$E14=0),"",$G14/$E14)</f>
        <v/>
      </c>
      <c r="M14" s="61">
        <f>IF(OR($G14="",$I14="",$I14=0),"",$G14/$I14)</f>
        <v/>
      </c>
      <c r="N14" s="40">
        <f>IF(OR($E14="",Tot_BAC=0),"",$E14/Tot_BAC)</f>
        <v/>
      </c>
      <c r="O14" s="40">
        <f>IF(OR($G14="",Tot_BAC=0),"",$G14/Tot_BAC)</f>
        <v/>
      </c>
      <c r="P14" s="40">
        <f>IF(OR($I14="",Tot_BAC=0),"",$I14/Tot_BAC)</f>
        <v/>
      </c>
      <c r="Q14" s="63" t="n"/>
    </row>
    <row r="15" ht="18" customHeight="1">
      <c r="A15" s="52" t="n">
        <v>7</v>
      </c>
      <c r="B15" s="58" t="n">
        <v>46053</v>
      </c>
      <c r="C15" s="56" t="n">
        <v>22</v>
      </c>
      <c r="D15" s="57" t="n">
        <v>718662</v>
      </c>
      <c r="E15" s="31">
        <f>IF($D15="","",SUM($D$9:$D15))</f>
        <v/>
      </c>
      <c r="F15" s="57" t="n">
        <v>688832</v>
      </c>
      <c r="G15" s="31">
        <f>IF($F15="","",SUM($F$9:$F15))</f>
        <v/>
      </c>
      <c r="H15" s="57" t="n">
        <v>724432</v>
      </c>
      <c r="I15" s="31">
        <f>IF($H15="","",SUM($H$9:$H15))</f>
        <v/>
      </c>
      <c r="J15" s="35">
        <f>IF(OR($G15="",$E15=""),"",$G15-$E15)</f>
        <v/>
      </c>
      <c r="K15" s="35">
        <f>IF(OR($G15="",$I15=""),"",$G15-$I15)</f>
        <v/>
      </c>
      <c r="L15" s="61">
        <f>IF(OR($G15="",$E15="",$E15=0),"",$G15/$E15)</f>
        <v/>
      </c>
      <c r="M15" s="61">
        <f>IF(OR($G15="",$I15="",$I15=0),"",$G15/$I15)</f>
        <v/>
      </c>
      <c r="N15" s="40">
        <f>IF(OR($E15="",Tot_BAC=0),"",$E15/Tot_BAC)</f>
        <v/>
      </c>
      <c r="O15" s="40">
        <f>IF(OR($G15="",Tot_BAC=0),"",$G15/Tot_BAC)</f>
        <v/>
      </c>
      <c r="P15" s="40">
        <f>IF(OR($I15="",Tot_BAC=0),"",$I15/Tot_BAC)</f>
        <v/>
      </c>
      <c r="Q15" s="63" t="n"/>
    </row>
    <row r="16" ht="18" customHeight="1">
      <c r="A16" s="52" t="n">
        <v>8</v>
      </c>
      <c r="B16" s="58" t="n">
        <v>46081</v>
      </c>
      <c r="C16" s="56" t="n">
        <v>20</v>
      </c>
      <c r="D16" s="57" t="n">
        <v>1201910</v>
      </c>
      <c r="E16" s="31">
        <f>IF($D16="","",SUM($D$9:$D16))</f>
        <v/>
      </c>
      <c r="F16" s="57" t="n">
        <v>1153480</v>
      </c>
      <c r="G16" s="31">
        <f>IF($F16="","",SUM($F$9:$F16))</f>
        <v/>
      </c>
      <c r="H16" s="57" t="n">
        <v>1210636</v>
      </c>
      <c r="I16" s="31">
        <f>IF($H16="","",SUM($H$9:$H16))</f>
        <v/>
      </c>
      <c r="J16" s="35">
        <f>IF(OR($G16="",$E16=""),"",$G16-$E16)</f>
        <v/>
      </c>
      <c r="K16" s="35">
        <f>IF(OR($G16="",$I16=""),"",$G16-$I16)</f>
        <v/>
      </c>
      <c r="L16" s="61">
        <f>IF(OR($G16="",$E16="",$E16=0),"",$G16/$E16)</f>
        <v/>
      </c>
      <c r="M16" s="61">
        <f>IF(OR($G16="",$I16="",$I16=0),"",$G16/$I16)</f>
        <v/>
      </c>
      <c r="N16" s="40">
        <f>IF(OR($E16="",Tot_BAC=0),"",$E16/Tot_BAC)</f>
        <v/>
      </c>
      <c r="O16" s="40">
        <f>IF(OR($G16="",Tot_BAC=0),"",$G16/Tot_BAC)</f>
        <v/>
      </c>
      <c r="P16" s="40">
        <f>IF(OR($I16="",Tot_BAC=0),"",$I16/Tot_BAC)</f>
        <v/>
      </c>
      <c r="Q16" s="63" t="n"/>
    </row>
    <row r="17" ht="18" customHeight="1">
      <c r="A17" s="52" t="n">
        <v>9</v>
      </c>
      <c r="B17" s="58" t="n">
        <v>46112</v>
      </c>
      <c r="C17" s="56" t="n">
        <v>22</v>
      </c>
      <c r="D17" s="57" t="n">
        <v>1353354</v>
      </c>
      <c r="E17" s="31">
        <f>IF($D17="","",SUM($D$9:$D17))</f>
        <v/>
      </c>
      <c r="F17" s="57" t="n">
        <v>1289127</v>
      </c>
      <c r="G17" s="31">
        <f>IF($F17="","",SUM($F$9:$F17))</f>
        <v/>
      </c>
      <c r="H17" s="57" t="n">
        <v>1363136</v>
      </c>
      <c r="I17" s="31">
        <f>IF($H17="","",SUM($H$9:$H17))</f>
        <v/>
      </c>
      <c r="J17" s="35">
        <f>IF(OR($G17="",$E17=""),"",$G17-$E17)</f>
        <v/>
      </c>
      <c r="K17" s="35">
        <f>IF(OR($G17="",$I17=""),"",$G17-$I17)</f>
        <v/>
      </c>
      <c r="L17" s="61">
        <f>IF(OR($G17="",$E17="",$E17=0),"",$G17/$E17)</f>
        <v/>
      </c>
      <c r="M17" s="61">
        <f>IF(OR($G17="",$I17="",$I17=0),"",$G17/$I17)</f>
        <v/>
      </c>
      <c r="N17" s="40">
        <f>IF(OR($E17="",Tot_BAC=0),"",$E17/Tot_BAC)</f>
        <v/>
      </c>
      <c r="O17" s="40">
        <f>IF(OR($G17="",Tot_BAC=0),"",$G17/Tot_BAC)</f>
        <v/>
      </c>
      <c r="P17" s="40">
        <f>IF(OR($I17="",Tot_BAC=0),"",$I17/Tot_BAC)</f>
        <v/>
      </c>
      <c r="Q17" s="63" t="n"/>
    </row>
    <row r="18" ht="18" customHeight="1">
      <c r="A18" s="52" t="n">
        <v>10</v>
      </c>
      <c r="B18" s="58" t="n">
        <v>46142</v>
      </c>
      <c r="C18" s="56" t="n">
        <v>22</v>
      </c>
      <c r="D18" s="57" t="n">
        <v>719698</v>
      </c>
      <c r="E18" s="31">
        <f>IF($D18="","",SUM($D$9:$D18))</f>
        <v/>
      </c>
      <c r="F18" s="57" t="n">
        <v>663027</v>
      </c>
      <c r="G18" s="31">
        <f>IF($F18="","",SUM($F$9:$F18))</f>
        <v/>
      </c>
      <c r="H18" s="57" t="n">
        <v>725303</v>
      </c>
      <c r="I18" s="31">
        <f>IF($H18="","",SUM($H$9:$H18))</f>
        <v/>
      </c>
      <c r="J18" s="35">
        <f>IF(OR($G18="",$E18=""),"",$G18-$E18)</f>
        <v/>
      </c>
      <c r="K18" s="35">
        <f>IF(OR($G18="",$I18=""),"",$G18-$I18)</f>
        <v/>
      </c>
      <c r="L18" s="61">
        <f>IF(OR($G18="",$E18="",$E18=0),"",$G18/$E18)</f>
        <v/>
      </c>
      <c r="M18" s="61">
        <f>IF(OR($G18="",$I18="",$I18=0),"",$G18/$I18)</f>
        <v/>
      </c>
      <c r="N18" s="40">
        <f>IF(OR($E18="",Tot_BAC=0),"",$E18/Tot_BAC)</f>
        <v/>
      </c>
      <c r="O18" s="40">
        <f>IF(OR($G18="",Tot_BAC=0),"",$G18/Tot_BAC)</f>
        <v/>
      </c>
      <c r="P18" s="40">
        <f>IF(OR($I18="",Tot_BAC=0),"",$I18/Tot_BAC)</f>
        <v/>
      </c>
      <c r="Q18" s="63" t="n"/>
    </row>
    <row r="19" ht="18" customHeight="1">
      <c r="A19" s="52" t="n">
        <v>11</v>
      </c>
      <c r="B19" s="58" t="n">
        <v>46173</v>
      </c>
      <c r="C19" s="56" t="n">
        <v>21</v>
      </c>
      <c r="D19" s="57" t="n">
        <v>743687</v>
      </c>
      <c r="E19" s="31">
        <f>IF($D19="","",SUM($D$9:$D19))</f>
        <v/>
      </c>
      <c r="F19" s="57" t="n">
        <v>677944</v>
      </c>
      <c r="G19" s="31">
        <f>IF($F19="","",SUM($F$9:$F19))</f>
        <v/>
      </c>
      <c r="H19" s="57" t="n">
        <v>748846</v>
      </c>
      <c r="I19" s="31">
        <f>IF($H19="","",SUM($H$9:$H19))</f>
        <v/>
      </c>
      <c r="J19" s="35">
        <f>IF(OR($G19="",$E19=""),"",$G19-$E19)</f>
        <v/>
      </c>
      <c r="K19" s="35">
        <f>IF(OR($G19="",$I19=""),"",$G19-$I19)</f>
        <v/>
      </c>
      <c r="L19" s="61">
        <f>IF(OR($G19="",$E19="",$E19=0),"",$G19/$E19)</f>
        <v/>
      </c>
      <c r="M19" s="61">
        <f>IF(OR($G19="",$I19="",$I19=0),"",$G19/$I19)</f>
        <v/>
      </c>
      <c r="N19" s="40">
        <f>IF(OR($E19="",Tot_BAC=0),"",$E19/Tot_BAC)</f>
        <v/>
      </c>
      <c r="O19" s="40">
        <f>IF(OR($G19="",Tot_BAC=0),"",$G19/Tot_BAC)</f>
        <v/>
      </c>
      <c r="P19" s="40">
        <f>IF(OR($I19="",Tot_BAC=0),"",$I19/Tot_BAC)</f>
        <v/>
      </c>
      <c r="Q19" s="63" t="n"/>
    </row>
    <row r="20" ht="18" customHeight="1">
      <c r="A20" s="52" t="n">
        <v>12</v>
      </c>
      <c r="B20" s="58" t="n">
        <v>46203</v>
      </c>
      <c r="C20" s="56" t="n">
        <v>22</v>
      </c>
      <c r="D20" s="57" t="n">
        <v>1426296</v>
      </c>
      <c r="E20" s="31">
        <f>IF($D20="","",SUM($D$9:$D20))</f>
        <v/>
      </c>
      <c r="F20" s="57" t="n">
        <v>1322595</v>
      </c>
      <c r="G20" s="31">
        <f>IF($F20="","",SUM($F$9:$F20))</f>
        <v/>
      </c>
      <c r="H20" s="57" t="n">
        <v>1434997</v>
      </c>
      <c r="I20" s="31">
        <f>IF($H20="","",SUM($H$9:$H20))</f>
        <v/>
      </c>
      <c r="J20" s="35">
        <f>IF(OR($G20="",$E20=""),"",$G20-$E20)</f>
        <v/>
      </c>
      <c r="K20" s="35">
        <f>IF(OR($G20="",$I20=""),"",$G20-$I20)</f>
        <v/>
      </c>
      <c r="L20" s="61">
        <f>IF(OR($G20="",$E20="",$E20=0),"",$G20/$E20)</f>
        <v/>
      </c>
      <c r="M20" s="61">
        <f>IF(OR($G20="",$I20="",$I20=0),"",$G20/$I20)</f>
        <v/>
      </c>
      <c r="N20" s="40">
        <f>IF(OR($E20="",Tot_BAC=0),"",$E20/Tot_BAC)</f>
        <v/>
      </c>
      <c r="O20" s="40">
        <f>IF(OR($G20="",Tot_BAC=0),"",$G20/Tot_BAC)</f>
        <v/>
      </c>
      <c r="P20" s="40">
        <f>IF(OR($I20="",Tot_BAC=0),"",$I20/Tot_BAC)</f>
        <v/>
      </c>
      <c r="Q20" s="63" t="n"/>
    </row>
    <row r="21" ht="18" customHeight="1">
      <c r="A21" s="52" t="n">
        <v>13</v>
      </c>
      <c r="B21" s="58" t="n">
        <v>46234</v>
      </c>
      <c r="C21" s="56" t="n">
        <v>23</v>
      </c>
      <c r="D21" s="57" t="n">
        <v>1499018</v>
      </c>
      <c r="E21" s="31">
        <f>IF($D21="","",SUM($D$9:$D21))</f>
        <v/>
      </c>
      <c r="F21" s="57" t="n">
        <v>1375889</v>
      </c>
      <c r="G21" s="31">
        <f>IF($F21="","",SUM($F$9:$F21))</f>
        <v/>
      </c>
      <c r="H21" s="57" t="n">
        <v>1507024</v>
      </c>
      <c r="I21" s="31">
        <f>IF($H21="","",SUM($H$9:$H21))</f>
        <v/>
      </c>
      <c r="J21" s="35">
        <f>IF(OR($G21="",$E21=""),"",$G21-$E21)</f>
        <v/>
      </c>
      <c r="K21" s="35">
        <f>IF(OR($G21="",$I21=""),"",$G21-$I21)</f>
        <v/>
      </c>
      <c r="L21" s="61">
        <f>IF(OR($G21="",$E21="",$E21=0),"",$G21/$E21)</f>
        <v/>
      </c>
      <c r="M21" s="61">
        <f>IF(OR($G21="",$I21="",$I21=0),"",$G21/$I21)</f>
        <v/>
      </c>
      <c r="N21" s="40">
        <f>IF(OR($E21="",Tot_BAC=0),"",$E21/Tot_BAC)</f>
        <v/>
      </c>
      <c r="O21" s="40">
        <f>IF(OR($G21="",Tot_BAC=0),"",$G21/Tot_BAC)</f>
        <v/>
      </c>
      <c r="P21" s="40">
        <f>IF(OR($I21="",Tot_BAC=0),"",$I21/Tot_BAC)</f>
        <v/>
      </c>
      <c r="Q21" s="55" t="inlineStr">
        <is>
          <t>Data date period. Actuals stop here; later periods are baseline only.</t>
        </is>
      </c>
    </row>
    <row r="22" ht="18" customHeight="1">
      <c r="A22" s="52" t="n">
        <v>14</v>
      </c>
      <c r="B22" s="58" t="n">
        <v>46265</v>
      </c>
      <c r="C22" s="56" t="n">
        <v>21</v>
      </c>
      <c r="D22" s="57" t="n">
        <v>1499017</v>
      </c>
      <c r="E22" s="31">
        <f>IF($D22="","",SUM($D$9:$D22))</f>
        <v/>
      </c>
      <c r="F22" s="64" t="n"/>
      <c r="G22" s="31">
        <f>IF($F22="","",SUM($F$9:$F22))</f>
        <v/>
      </c>
      <c r="H22" s="64" t="n"/>
      <c r="I22" s="31">
        <f>IF($H22="","",SUM($H$9:$H22))</f>
        <v/>
      </c>
      <c r="J22" s="35">
        <f>IF(OR($G22="",$E22=""),"",$G22-$E22)</f>
        <v/>
      </c>
      <c r="K22" s="35">
        <f>IF(OR($G22="",$I22=""),"",$G22-$I22)</f>
        <v/>
      </c>
      <c r="L22" s="61">
        <f>IF(OR($G22="",$E22="",$E22=0),"",$G22/$E22)</f>
        <v/>
      </c>
      <c r="M22" s="61">
        <f>IF(OR($G22="",$I22="",$I22=0),"",$G22/$I22)</f>
        <v/>
      </c>
      <c r="N22" s="40">
        <f>IF(OR($E22="",Tot_BAC=0),"",$E22/Tot_BAC)</f>
        <v/>
      </c>
      <c r="O22" s="40">
        <f>IF(OR($G22="",Tot_BAC=0),"",$G22/Tot_BAC)</f>
        <v/>
      </c>
      <c r="P22" s="40">
        <f>IF(OR($I22="",Tot_BAC=0),"",$I22/Tot_BAC)</f>
        <v/>
      </c>
      <c r="Q22" s="55" t="inlineStr">
        <is>
          <t>Forecast periods — leave EV and AC blank until each period closes.</t>
        </is>
      </c>
    </row>
    <row r="23" ht="18" customHeight="1">
      <c r="A23" s="52" t="n">
        <v>15</v>
      </c>
      <c r="B23" s="58" t="n">
        <v>46295</v>
      </c>
      <c r="C23" s="56" t="n">
        <v>22</v>
      </c>
      <c r="D23" s="57" t="n">
        <v>836444</v>
      </c>
      <c r="E23" s="31">
        <f>IF($D23="","",SUM($D$9:$D23))</f>
        <v/>
      </c>
      <c r="F23" s="64" t="n"/>
      <c r="G23" s="31">
        <f>IF($F23="","",SUM($F$9:$F23))</f>
        <v/>
      </c>
      <c r="H23" s="64" t="n"/>
      <c r="I23" s="31">
        <f>IF($H23="","",SUM($H$9:$H23))</f>
        <v/>
      </c>
      <c r="J23" s="35">
        <f>IF(OR($G23="",$E23=""),"",$G23-$E23)</f>
        <v/>
      </c>
      <c r="K23" s="35">
        <f>IF(OR($G23="",$I23=""),"",$G23-$I23)</f>
        <v/>
      </c>
      <c r="L23" s="61">
        <f>IF(OR($G23="",$E23="",$E23=0),"",$G23/$E23)</f>
        <v/>
      </c>
      <c r="M23" s="61">
        <f>IF(OR($G23="",$I23="",$I23=0),"",$G23/$I23)</f>
        <v/>
      </c>
      <c r="N23" s="40">
        <f>IF(OR($E23="",Tot_BAC=0),"",$E23/Tot_BAC)</f>
        <v/>
      </c>
      <c r="O23" s="40">
        <f>IF(OR($G23="",Tot_BAC=0),"",$G23/Tot_BAC)</f>
        <v/>
      </c>
      <c r="P23" s="40">
        <f>IF(OR($I23="",Tot_BAC=0),"",$I23/Tot_BAC)</f>
        <v/>
      </c>
      <c r="Q23" s="63" t="n"/>
    </row>
    <row r="24" ht="18" customHeight="1">
      <c r="A24" s="52" t="n">
        <v>16</v>
      </c>
      <c r="B24" s="58" t="n">
        <v>46326</v>
      </c>
      <c r="C24" s="56" t="n">
        <v>22</v>
      </c>
      <c r="D24" s="57" t="n">
        <v>1281266</v>
      </c>
      <c r="E24" s="31">
        <f>IF($D24="","",SUM($D$9:$D24))</f>
        <v/>
      </c>
      <c r="F24" s="64" t="n"/>
      <c r="G24" s="31">
        <f>IF($F24="","",SUM($F$9:$F24))</f>
        <v/>
      </c>
      <c r="H24" s="64" t="n"/>
      <c r="I24" s="31">
        <f>IF($H24="","",SUM($H$9:$H24))</f>
        <v/>
      </c>
      <c r="J24" s="35">
        <f>IF(OR($G24="",$E24=""),"",$G24-$E24)</f>
        <v/>
      </c>
      <c r="K24" s="35">
        <f>IF(OR($G24="",$I24=""),"",$G24-$I24)</f>
        <v/>
      </c>
      <c r="L24" s="61">
        <f>IF(OR($G24="",$E24="",$E24=0),"",$G24/$E24)</f>
        <v/>
      </c>
      <c r="M24" s="61">
        <f>IF(OR($G24="",$I24="",$I24=0),"",$G24/$I24)</f>
        <v/>
      </c>
      <c r="N24" s="40">
        <f>IF(OR($E24="",Tot_BAC=0),"",$E24/Tot_BAC)</f>
        <v/>
      </c>
      <c r="O24" s="40">
        <f>IF(OR($G24="",Tot_BAC=0),"",$G24/Tot_BAC)</f>
        <v/>
      </c>
      <c r="P24" s="40">
        <f>IF(OR($I24="",Tot_BAC=0),"",$I24/Tot_BAC)</f>
        <v/>
      </c>
      <c r="Q24" s="63" t="n"/>
    </row>
    <row r="25" ht="18" customHeight="1">
      <c r="A25" s="52" t="n">
        <v>17</v>
      </c>
      <c r="B25" s="58" t="n">
        <v>46356</v>
      </c>
      <c r="C25" s="56" t="n">
        <v>21</v>
      </c>
      <c r="D25" s="57" t="n">
        <v>1253385</v>
      </c>
      <c r="E25" s="31">
        <f>IF($D25="","",SUM($D$9:$D25))</f>
        <v/>
      </c>
      <c r="F25" s="64" t="n"/>
      <c r="G25" s="31">
        <f>IF($F25="","",SUM($F$9:$F25))</f>
        <v/>
      </c>
      <c r="H25" s="64" t="n"/>
      <c r="I25" s="31">
        <f>IF($H25="","",SUM($H$9:$H25))</f>
        <v/>
      </c>
      <c r="J25" s="35">
        <f>IF(OR($G25="",$E25=""),"",$G25-$E25)</f>
        <v/>
      </c>
      <c r="K25" s="35">
        <f>IF(OR($G25="",$I25=""),"",$G25-$I25)</f>
        <v/>
      </c>
      <c r="L25" s="61">
        <f>IF(OR($G25="",$E25="",$E25=0),"",$G25/$E25)</f>
        <v/>
      </c>
      <c r="M25" s="61">
        <f>IF(OR($G25="",$I25="",$I25=0),"",$G25/$I25)</f>
        <v/>
      </c>
      <c r="N25" s="40">
        <f>IF(OR($E25="",Tot_BAC=0),"",$E25/Tot_BAC)</f>
        <v/>
      </c>
      <c r="O25" s="40">
        <f>IF(OR($G25="",Tot_BAC=0),"",$G25/Tot_BAC)</f>
        <v/>
      </c>
      <c r="P25" s="40">
        <f>IF(OR($I25="",Tot_BAC=0),"",$I25/Tot_BAC)</f>
        <v/>
      </c>
      <c r="Q25" s="63" t="n"/>
    </row>
    <row r="26" ht="18" customHeight="1">
      <c r="A26" s="52" t="n">
        <v>18</v>
      </c>
      <c r="B26" s="58" t="n">
        <v>46387</v>
      </c>
      <c r="C26" s="56" t="n">
        <v>23</v>
      </c>
      <c r="D26" s="57" t="n">
        <v>1295164</v>
      </c>
      <c r="E26" s="31">
        <f>IF($D26="","",SUM($D$9:$D26))</f>
        <v/>
      </c>
      <c r="F26" s="64" t="n"/>
      <c r="G26" s="31">
        <f>IF($F26="","",SUM($F$9:$F26))</f>
        <v/>
      </c>
      <c r="H26" s="64" t="n"/>
      <c r="I26" s="31">
        <f>IF($H26="","",SUM($H$9:$H26))</f>
        <v/>
      </c>
      <c r="J26" s="35">
        <f>IF(OR($G26="",$E26=""),"",$G26-$E26)</f>
        <v/>
      </c>
      <c r="K26" s="35">
        <f>IF(OR($G26="",$I26=""),"",$G26-$I26)</f>
        <v/>
      </c>
      <c r="L26" s="61">
        <f>IF(OR($G26="",$E26="",$E26=0),"",$G26/$E26)</f>
        <v/>
      </c>
      <c r="M26" s="61">
        <f>IF(OR($G26="",$I26="",$I26=0),"",$G26/$I26)</f>
        <v/>
      </c>
      <c r="N26" s="40">
        <f>IF(OR($E26="",Tot_BAC=0),"",$E26/Tot_BAC)</f>
        <v/>
      </c>
      <c r="O26" s="40">
        <f>IF(OR($G26="",Tot_BAC=0),"",$G26/Tot_BAC)</f>
        <v/>
      </c>
      <c r="P26" s="40">
        <f>IF(OR($I26="",Tot_BAC=0),"",$I26/Tot_BAC)</f>
        <v/>
      </c>
      <c r="Q26" s="63" t="n"/>
    </row>
    <row r="27" ht="18" customHeight="1">
      <c r="A27" s="52" t="n">
        <v>19</v>
      </c>
      <c r="B27" s="58" t="n">
        <v>46418</v>
      </c>
      <c r="C27" s="56" t="n">
        <v>21</v>
      </c>
      <c r="D27" s="57" t="n">
        <v>1851483</v>
      </c>
      <c r="E27" s="31">
        <f>IF($D27="","",SUM($D$9:$D27))</f>
        <v/>
      </c>
      <c r="F27" s="64" t="n"/>
      <c r="G27" s="31">
        <f>IF($F27="","",SUM($F$9:$F27))</f>
        <v/>
      </c>
      <c r="H27" s="64" t="n"/>
      <c r="I27" s="31">
        <f>IF($H27="","",SUM($H$9:$H27))</f>
        <v/>
      </c>
      <c r="J27" s="35">
        <f>IF(OR($G27="",$E27=""),"",$G27-$E27)</f>
        <v/>
      </c>
      <c r="K27" s="35">
        <f>IF(OR($G27="",$I27=""),"",$G27-$I27)</f>
        <v/>
      </c>
      <c r="L27" s="61">
        <f>IF(OR($G27="",$E27="",$E27=0),"",$G27/$E27)</f>
        <v/>
      </c>
      <c r="M27" s="61">
        <f>IF(OR($G27="",$I27="",$I27=0),"",$G27/$I27)</f>
        <v/>
      </c>
      <c r="N27" s="40">
        <f>IF(OR($E27="",Tot_BAC=0),"",$E27/Tot_BAC)</f>
        <v/>
      </c>
      <c r="O27" s="40">
        <f>IF(OR($G27="",Tot_BAC=0),"",$G27/Tot_BAC)</f>
        <v/>
      </c>
      <c r="P27" s="40">
        <f>IF(OR($I27="",Tot_BAC=0),"",$I27/Tot_BAC)</f>
        <v/>
      </c>
      <c r="Q27" s="63" t="n"/>
    </row>
    <row r="28" ht="18" customHeight="1">
      <c r="A28" s="52" t="n">
        <v>20</v>
      </c>
      <c r="B28" s="58" t="n">
        <v>46446</v>
      </c>
      <c r="C28" s="56" t="n">
        <v>20</v>
      </c>
      <c r="D28" s="57" t="n">
        <v>1689056</v>
      </c>
      <c r="E28" s="31">
        <f>IF($D28="","",SUM($D$9:$D28))</f>
        <v/>
      </c>
      <c r="F28" s="64" t="n"/>
      <c r="G28" s="31">
        <f>IF($F28="","",SUM($F$9:$F28))</f>
        <v/>
      </c>
      <c r="H28" s="64" t="n"/>
      <c r="I28" s="31">
        <f>IF($H28="","",SUM($H$9:$H28))</f>
        <v/>
      </c>
      <c r="J28" s="35">
        <f>IF(OR($G28="",$E28=""),"",$G28-$E28)</f>
        <v/>
      </c>
      <c r="K28" s="35">
        <f>IF(OR($G28="",$I28=""),"",$G28-$I28)</f>
        <v/>
      </c>
      <c r="L28" s="61">
        <f>IF(OR($G28="",$E28="",$E28=0),"",$G28/$E28)</f>
        <v/>
      </c>
      <c r="M28" s="61">
        <f>IF(OR($G28="",$I28="",$I28=0),"",$G28/$I28)</f>
        <v/>
      </c>
      <c r="N28" s="40">
        <f>IF(OR($E28="",Tot_BAC=0),"",$E28/Tot_BAC)</f>
        <v/>
      </c>
      <c r="O28" s="40">
        <f>IF(OR($G28="",Tot_BAC=0),"",$G28/Tot_BAC)</f>
        <v/>
      </c>
      <c r="P28" s="40">
        <f>IF(OR($I28="",Tot_BAC=0),"",$I28/Tot_BAC)</f>
        <v/>
      </c>
      <c r="Q28" s="63" t="n"/>
    </row>
    <row r="29" ht="18" customHeight="1">
      <c r="A29" s="52" t="n">
        <v>21</v>
      </c>
      <c r="B29" s="58" t="n">
        <v>46477</v>
      </c>
      <c r="C29" s="56" t="n">
        <v>23</v>
      </c>
      <c r="D29" s="57" t="n">
        <v>1870027</v>
      </c>
      <c r="E29" s="31">
        <f>IF($D29="","",SUM($D$9:$D29))</f>
        <v/>
      </c>
      <c r="F29" s="64" t="n"/>
      <c r="G29" s="31">
        <f>IF($F29="","",SUM($F$9:$F29))</f>
        <v/>
      </c>
      <c r="H29" s="64" t="n"/>
      <c r="I29" s="31">
        <f>IF($H29="","",SUM($H$9:$H29))</f>
        <v/>
      </c>
      <c r="J29" s="35">
        <f>IF(OR($G29="",$E29=""),"",$G29-$E29)</f>
        <v/>
      </c>
      <c r="K29" s="35">
        <f>IF(OR($G29="",$I29=""),"",$G29-$I29)</f>
        <v/>
      </c>
      <c r="L29" s="61">
        <f>IF(OR($G29="",$E29="",$E29=0),"",$G29/$E29)</f>
        <v/>
      </c>
      <c r="M29" s="61">
        <f>IF(OR($G29="",$I29="",$I29=0),"",$G29/$I29)</f>
        <v/>
      </c>
      <c r="N29" s="40">
        <f>IF(OR($E29="",Tot_BAC=0),"",$E29/Tot_BAC)</f>
        <v/>
      </c>
      <c r="O29" s="40">
        <f>IF(OR($G29="",Tot_BAC=0),"",$G29/Tot_BAC)</f>
        <v/>
      </c>
      <c r="P29" s="40">
        <f>IF(OR($I29="",Tot_BAC=0),"",$I29/Tot_BAC)</f>
        <v/>
      </c>
      <c r="Q29" s="63" t="n"/>
    </row>
    <row r="30" ht="18" customHeight="1">
      <c r="A30" s="52" t="n">
        <v>22</v>
      </c>
      <c r="B30" s="58" t="n">
        <v>46507</v>
      </c>
      <c r="C30" s="56" t="n">
        <v>22</v>
      </c>
      <c r="D30" s="57" t="n">
        <v>1809704</v>
      </c>
      <c r="E30" s="31">
        <f>IF($D30="","",SUM($D$9:$D30))</f>
        <v/>
      </c>
      <c r="F30" s="64" t="n"/>
      <c r="G30" s="31">
        <f>IF($F30="","",SUM($F$9:$F30))</f>
        <v/>
      </c>
      <c r="H30" s="64" t="n"/>
      <c r="I30" s="31">
        <f>IF($H30="","",SUM($H$9:$H30))</f>
        <v/>
      </c>
      <c r="J30" s="35">
        <f>IF(OR($G30="",$E30=""),"",$G30-$E30)</f>
        <v/>
      </c>
      <c r="K30" s="35">
        <f>IF(OR($G30="",$I30=""),"",$G30-$I30)</f>
        <v/>
      </c>
      <c r="L30" s="61">
        <f>IF(OR($G30="",$E30="",$E30=0),"",$G30/$E30)</f>
        <v/>
      </c>
      <c r="M30" s="61">
        <f>IF(OR($G30="",$I30="",$I30=0),"",$G30/$I30)</f>
        <v/>
      </c>
      <c r="N30" s="40">
        <f>IF(OR($E30="",Tot_BAC=0),"",$E30/Tot_BAC)</f>
        <v/>
      </c>
      <c r="O30" s="40">
        <f>IF(OR($G30="",Tot_BAC=0),"",$G30/Tot_BAC)</f>
        <v/>
      </c>
      <c r="P30" s="40">
        <f>IF(OR($I30="",Tot_BAC=0),"",$I30/Tot_BAC)</f>
        <v/>
      </c>
      <c r="Q30" s="63" t="n"/>
    </row>
    <row r="31" ht="18" customHeight="1">
      <c r="A31" s="52" t="n">
        <v>23</v>
      </c>
      <c r="B31" s="58" t="n">
        <v>46538</v>
      </c>
      <c r="C31" s="56" t="n">
        <v>21</v>
      </c>
      <c r="D31" s="57" t="n">
        <v>2073305</v>
      </c>
      <c r="E31" s="31">
        <f>IF($D31="","",SUM($D$9:$D31))</f>
        <v/>
      </c>
      <c r="F31" s="64" t="n"/>
      <c r="G31" s="31">
        <f>IF($F31="","",SUM($F$9:$F31))</f>
        <v/>
      </c>
      <c r="H31" s="64" t="n"/>
      <c r="I31" s="31">
        <f>IF($H31="","",SUM($H$9:$H31))</f>
        <v/>
      </c>
      <c r="J31" s="35">
        <f>IF(OR($G31="",$E31=""),"",$G31-$E31)</f>
        <v/>
      </c>
      <c r="K31" s="35">
        <f>IF(OR($G31="",$I31=""),"",$G31-$I31)</f>
        <v/>
      </c>
      <c r="L31" s="61">
        <f>IF(OR($G31="",$E31="",$E31=0),"",$G31/$E31)</f>
        <v/>
      </c>
      <c r="M31" s="61">
        <f>IF(OR($G31="",$I31="",$I31=0),"",$G31/$I31)</f>
        <v/>
      </c>
      <c r="N31" s="40">
        <f>IF(OR($E31="",Tot_BAC=0),"",$E31/Tot_BAC)</f>
        <v/>
      </c>
      <c r="O31" s="40">
        <f>IF(OR($G31="",Tot_BAC=0),"",$G31/Tot_BAC)</f>
        <v/>
      </c>
      <c r="P31" s="40">
        <f>IF(OR($I31="",Tot_BAC=0),"",$I31/Tot_BAC)</f>
        <v/>
      </c>
      <c r="Q31" s="63" t="n"/>
    </row>
    <row r="32" ht="18" customHeight="1">
      <c r="A32" s="52" t="n">
        <v>24</v>
      </c>
      <c r="B32" s="58" t="n">
        <v>46568</v>
      </c>
      <c r="C32" s="56" t="n">
        <v>22</v>
      </c>
      <c r="D32" s="57" t="n">
        <v>2012982</v>
      </c>
      <c r="E32" s="31">
        <f>IF($D32="","",SUM($D$9:$D32))</f>
        <v/>
      </c>
      <c r="F32" s="64" t="n"/>
      <c r="G32" s="31">
        <f>IF($F32="","",SUM($F$9:$F32))</f>
        <v/>
      </c>
      <c r="H32" s="64" t="n"/>
      <c r="I32" s="31">
        <f>IF($H32="","",SUM($H$9:$H32))</f>
        <v/>
      </c>
      <c r="J32" s="35">
        <f>IF(OR($G32="",$E32=""),"",$G32-$E32)</f>
        <v/>
      </c>
      <c r="K32" s="35">
        <f>IF(OR($G32="",$I32=""),"",$G32-$I32)</f>
        <v/>
      </c>
      <c r="L32" s="61">
        <f>IF(OR($G32="",$E32="",$E32=0),"",$G32/$E32)</f>
        <v/>
      </c>
      <c r="M32" s="61">
        <f>IF(OR($G32="",$I32="",$I32=0),"",$G32/$I32)</f>
        <v/>
      </c>
      <c r="N32" s="40">
        <f>IF(OR($E32="",Tot_BAC=0),"",$E32/Tot_BAC)</f>
        <v/>
      </c>
      <c r="O32" s="40">
        <f>IF(OR($G32="",Tot_BAC=0),"",$G32/Tot_BAC)</f>
        <v/>
      </c>
      <c r="P32" s="40">
        <f>IF(OR($I32="",Tot_BAC=0),"",$I32/Tot_BAC)</f>
        <v/>
      </c>
      <c r="Q32" s="63" t="n"/>
    </row>
    <row r="33" ht="18" customHeight="1">
      <c r="A33" s="52" t="n">
        <v>25</v>
      </c>
      <c r="B33" s="58" t="n">
        <v>46599</v>
      </c>
      <c r="C33" s="56" t="n">
        <v>22</v>
      </c>
      <c r="D33" s="57" t="n">
        <v>1324752</v>
      </c>
      <c r="E33" s="31">
        <f>IF($D33="","",SUM($D$9:$D33))</f>
        <v/>
      </c>
      <c r="F33" s="64" t="n"/>
      <c r="G33" s="31">
        <f>IF($F33="","",SUM($F$9:$F33))</f>
        <v/>
      </c>
      <c r="H33" s="64" t="n"/>
      <c r="I33" s="31">
        <f>IF($H33="","",SUM($H$9:$H33))</f>
        <v/>
      </c>
      <c r="J33" s="35">
        <f>IF(OR($G33="",$E33=""),"",$G33-$E33)</f>
        <v/>
      </c>
      <c r="K33" s="35">
        <f>IF(OR($G33="",$I33=""),"",$G33-$I33)</f>
        <v/>
      </c>
      <c r="L33" s="61">
        <f>IF(OR($G33="",$E33="",$E33=0),"",$G33/$E33)</f>
        <v/>
      </c>
      <c r="M33" s="61">
        <f>IF(OR($G33="",$I33="",$I33=0),"",$G33/$I33)</f>
        <v/>
      </c>
      <c r="N33" s="40">
        <f>IF(OR($E33="",Tot_BAC=0),"",$E33/Tot_BAC)</f>
        <v/>
      </c>
      <c r="O33" s="40">
        <f>IF(OR($G33="",Tot_BAC=0),"",$G33/Tot_BAC)</f>
        <v/>
      </c>
      <c r="P33" s="40">
        <f>IF(OR($I33="",Tot_BAC=0),"",$I33/Tot_BAC)</f>
        <v/>
      </c>
      <c r="Q33" s="63" t="n"/>
    </row>
    <row r="34" ht="18" customHeight="1">
      <c r="A34" s="52" t="n">
        <v>26</v>
      </c>
      <c r="B34" s="58" t="n">
        <v>46630</v>
      </c>
      <c r="C34" s="56" t="n">
        <v>22</v>
      </c>
      <c r="D34" s="57" t="n">
        <v>1973103</v>
      </c>
      <c r="E34" s="31">
        <f>IF($D34="","",SUM($D$9:$D34))</f>
        <v/>
      </c>
      <c r="F34" s="64" t="n"/>
      <c r="G34" s="31">
        <f>IF($F34="","",SUM($F$9:$F34))</f>
        <v/>
      </c>
      <c r="H34" s="64" t="n"/>
      <c r="I34" s="31">
        <f>IF($H34="","",SUM($H$9:$H34))</f>
        <v/>
      </c>
      <c r="J34" s="35">
        <f>IF(OR($G34="",$E34=""),"",$G34-$E34)</f>
        <v/>
      </c>
      <c r="K34" s="35">
        <f>IF(OR($G34="",$I34=""),"",$G34-$I34)</f>
        <v/>
      </c>
      <c r="L34" s="61">
        <f>IF(OR($G34="",$E34="",$E34=0),"",$G34/$E34)</f>
        <v/>
      </c>
      <c r="M34" s="61">
        <f>IF(OR($G34="",$I34="",$I34=0),"",$G34/$I34)</f>
        <v/>
      </c>
      <c r="N34" s="40">
        <f>IF(OR($E34="",Tot_BAC=0),"",$E34/Tot_BAC)</f>
        <v/>
      </c>
      <c r="O34" s="40">
        <f>IF(OR($G34="",Tot_BAC=0),"",$G34/Tot_BAC)</f>
        <v/>
      </c>
      <c r="P34" s="40">
        <f>IF(OR($I34="",Tot_BAC=0),"",$I34/Tot_BAC)</f>
        <v/>
      </c>
      <c r="Q34" s="63" t="n"/>
    </row>
    <row r="35" ht="18" customHeight="1">
      <c r="A35" s="52" t="n">
        <v>27</v>
      </c>
      <c r="B35" s="58" t="n">
        <v>46660</v>
      </c>
      <c r="C35" s="56" t="n">
        <v>22</v>
      </c>
      <c r="D35" s="57" t="n">
        <v>1930369</v>
      </c>
      <c r="E35" s="31">
        <f>IF($D35="","",SUM($D$9:$D35))</f>
        <v/>
      </c>
      <c r="F35" s="64" t="n"/>
      <c r="G35" s="31">
        <f>IF($F35="","",SUM($F$9:$F35))</f>
        <v/>
      </c>
      <c r="H35" s="64" t="n"/>
      <c r="I35" s="31">
        <f>IF($H35="","",SUM($H$9:$H35))</f>
        <v/>
      </c>
      <c r="J35" s="35">
        <f>IF(OR($G35="",$E35=""),"",$G35-$E35)</f>
        <v/>
      </c>
      <c r="K35" s="35">
        <f>IF(OR($G35="",$I35=""),"",$G35-$I35)</f>
        <v/>
      </c>
      <c r="L35" s="61">
        <f>IF(OR($G35="",$E35="",$E35=0),"",$G35/$E35)</f>
        <v/>
      </c>
      <c r="M35" s="61">
        <f>IF(OR($G35="",$I35="",$I35=0),"",$G35/$I35)</f>
        <v/>
      </c>
      <c r="N35" s="40">
        <f>IF(OR($E35="",Tot_BAC=0),"",$E35/Tot_BAC)</f>
        <v/>
      </c>
      <c r="O35" s="40">
        <f>IF(OR($G35="",Tot_BAC=0),"",$G35/Tot_BAC)</f>
        <v/>
      </c>
      <c r="P35" s="40">
        <f>IF(OR($I35="",Tot_BAC=0),"",$I35/Tot_BAC)</f>
        <v/>
      </c>
      <c r="Q35" s="63" t="n"/>
    </row>
    <row r="36" ht="18" customHeight="1">
      <c r="A36" s="52" t="n">
        <v>28</v>
      </c>
      <c r="B36" s="58" t="n">
        <v>46691</v>
      </c>
      <c r="C36" s="56" t="n">
        <v>21</v>
      </c>
      <c r="D36" s="57" t="n">
        <v>1994715</v>
      </c>
      <c r="E36" s="31">
        <f>IF($D36="","",SUM($D$9:$D36))</f>
        <v/>
      </c>
      <c r="F36" s="64" t="n"/>
      <c r="G36" s="31">
        <f>IF($F36="","",SUM($F$9:$F36))</f>
        <v/>
      </c>
      <c r="H36" s="64" t="n"/>
      <c r="I36" s="31">
        <f>IF($H36="","",SUM($H$9:$H36))</f>
        <v/>
      </c>
      <c r="J36" s="35">
        <f>IF(OR($G36="",$E36=""),"",$G36-$E36)</f>
        <v/>
      </c>
      <c r="K36" s="35">
        <f>IF(OR($G36="",$I36=""),"",$G36-$I36)</f>
        <v/>
      </c>
      <c r="L36" s="61">
        <f>IF(OR($G36="",$E36="",$E36=0),"",$G36/$E36)</f>
        <v/>
      </c>
      <c r="M36" s="61">
        <f>IF(OR($G36="",$I36="",$I36=0),"",$G36/$I36)</f>
        <v/>
      </c>
      <c r="N36" s="40">
        <f>IF(OR($E36="",Tot_BAC=0),"",$E36/Tot_BAC)</f>
        <v/>
      </c>
      <c r="O36" s="40">
        <f>IF(OR($G36="",Tot_BAC=0),"",$G36/Tot_BAC)</f>
        <v/>
      </c>
      <c r="P36" s="40">
        <f>IF(OR($I36="",Tot_BAC=0),"",$I36/Tot_BAC)</f>
        <v/>
      </c>
      <c r="Q36" s="63" t="n"/>
    </row>
    <row r="37" ht="18" customHeight="1">
      <c r="A37" s="52" t="n">
        <v>29</v>
      </c>
      <c r="B37" s="58" t="n">
        <v>46721</v>
      </c>
      <c r="C37" s="56" t="n">
        <v>22</v>
      </c>
      <c r="D37" s="57" t="n">
        <v>1956902</v>
      </c>
      <c r="E37" s="31">
        <f>IF($D37="","",SUM($D$9:$D37))</f>
        <v/>
      </c>
      <c r="F37" s="64" t="n"/>
      <c r="G37" s="31">
        <f>IF($F37="","",SUM($F$9:$F37))</f>
        <v/>
      </c>
      <c r="H37" s="64" t="n"/>
      <c r="I37" s="31">
        <f>IF($H37="","",SUM($H$9:$H37))</f>
        <v/>
      </c>
      <c r="J37" s="35">
        <f>IF(OR($G37="",$E37=""),"",$G37-$E37)</f>
        <v/>
      </c>
      <c r="K37" s="35">
        <f>IF(OR($G37="",$I37=""),"",$G37-$I37)</f>
        <v/>
      </c>
      <c r="L37" s="61">
        <f>IF(OR($G37="",$E37="",$E37=0),"",$G37/$E37)</f>
        <v/>
      </c>
      <c r="M37" s="61">
        <f>IF(OR($G37="",$I37="",$I37=0),"",$G37/$I37)</f>
        <v/>
      </c>
      <c r="N37" s="40">
        <f>IF(OR($E37="",Tot_BAC=0),"",$E37/Tot_BAC)</f>
        <v/>
      </c>
      <c r="O37" s="40">
        <f>IF(OR($G37="",Tot_BAC=0),"",$G37/Tot_BAC)</f>
        <v/>
      </c>
      <c r="P37" s="40">
        <f>IF(OR($I37="",Tot_BAC=0),"",$I37/Tot_BAC)</f>
        <v/>
      </c>
      <c r="Q37" s="63" t="n"/>
    </row>
    <row r="38" ht="18" customHeight="1">
      <c r="A38" s="52" t="n">
        <v>30</v>
      </c>
      <c r="B38" s="58" t="n">
        <v>46752</v>
      </c>
      <c r="C38" s="56" t="n">
        <v>23</v>
      </c>
      <c r="D38" s="57" t="n">
        <v>2030321</v>
      </c>
      <c r="E38" s="31">
        <f>IF($D38="","",SUM($D$9:$D38))</f>
        <v/>
      </c>
      <c r="F38" s="64" t="n"/>
      <c r="G38" s="31">
        <f>IF($F38="","",SUM($F$9:$F38))</f>
        <v/>
      </c>
      <c r="H38" s="64" t="n"/>
      <c r="I38" s="31">
        <f>IF($H38="","",SUM($H$9:$H38))</f>
        <v/>
      </c>
      <c r="J38" s="35">
        <f>IF(OR($G38="",$E38=""),"",$G38-$E38)</f>
        <v/>
      </c>
      <c r="K38" s="35">
        <f>IF(OR($G38="",$I38=""),"",$G38-$I38)</f>
        <v/>
      </c>
      <c r="L38" s="61">
        <f>IF(OR($G38="",$E38="",$E38=0),"",$G38/$E38)</f>
        <v/>
      </c>
      <c r="M38" s="61">
        <f>IF(OR($G38="",$I38="",$I38=0),"",$G38/$I38)</f>
        <v/>
      </c>
      <c r="N38" s="40">
        <f>IF(OR($E38="",Tot_BAC=0),"",$E38/Tot_BAC)</f>
        <v/>
      </c>
      <c r="O38" s="40">
        <f>IF(OR($G38="",Tot_BAC=0),"",$G38/Tot_BAC)</f>
        <v/>
      </c>
      <c r="P38" s="40">
        <f>IF(OR($I38="",Tot_BAC=0),"",$I38/Tot_BAC)</f>
        <v/>
      </c>
      <c r="Q38" s="63" t="n"/>
    </row>
    <row r="39" ht="18" customHeight="1">
      <c r="A39" s="52" t="n">
        <v>31</v>
      </c>
      <c r="B39" s="58" t="n">
        <v>46783</v>
      </c>
      <c r="C39" s="56" t="n">
        <v>21</v>
      </c>
      <c r="D39" s="57" t="n">
        <v>1455458</v>
      </c>
      <c r="E39" s="31">
        <f>IF($D39="","",SUM($D$9:$D39))</f>
        <v/>
      </c>
      <c r="F39" s="64" t="n"/>
      <c r="G39" s="31">
        <f>IF($F39="","",SUM($F$9:$F39))</f>
        <v/>
      </c>
      <c r="H39" s="64" t="n"/>
      <c r="I39" s="31">
        <f>IF($H39="","",SUM($H$9:$H39))</f>
        <v/>
      </c>
      <c r="J39" s="35">
        <f>IF(OR($G39="",$E39=""),"",$G39-$E39)</f>
        <v/>
      </c>
      <c r="K39" s="35">
        <f>IF(OR($G39="",$I39=""),"",$G39-$I39)</f>
        <v/>
      </c>
      <c r="L39" s="61">
        <f>IF(OR($G39="",$E39="",$E39=0),"",$G39/$E39)</f>
        <v/>
      </c>
      <c r="M39" s="61">
        <f>IF(OR($G39="",$I39="",$I39=0),"",$G39/$I39)</f>
        <v/>
      </c>
      <c r="N39" s="40">
        <f>IF(OR($E39="",Tot_BAC=0),"",$E39/Tot_BAC)</f>
        <v/>
      </c>
      <c r="O39" s="40">
        <f>IF(OR($G39="",Tot_BAC=0),"",$G39/Tot_BAC)</f>
        <v/>
      </c>
      <c r="P39" s="40">
        <f>IF(OR($I39="",Tot_BAC=0),"",$I39/Tot_BAC)</f>
        <v/>
      </c>
      <c r="Q39" s="63" t="n"/>
    </row>
    <row r="40" ht="18" customHeight="1">
      <c r="A40" s="52" t="n">
        <v>32</v>
      </c>
      <c r="B40" s="58" t="n">
        <v>46812</v>
      </c>
      <c r="C40" s="56" t="n">
        <v>21</v>
      </c>
      <c r="D40" s="57" t="n">
        <v>1361557</v>
      </c>
      <c r="E40" s="31">
        <f>IF($D40="","",SUM($D$9:$D40))</f>
        <v/>
      </c>
      <c r="F40" s="64" t="n"/>
      <c r="G40" s="31">
        <f>IF($F40="","",SUM($F$9:$F40))</f>
        <v/>
      </c>
      <c r="H40" s="64" t="n"/>
      <c r="I40" s="31">
        <f>IF($H40="","",SUM($H$9:$H40))</f>
        <v/>
      </c>
      <c r="J40" s="35">
        <f>IF(OR($G40="",$E40=""),"",$G40-$E40)</f>
        <v/>
      </c>
      <c r="K40" s="35">
        <f>IF(OR($G40="",$I40=""),"",$G40-$I40)</f>
        <v/>
      </c>
      <c r="L40" s="61">
        <f>IF(OR($G40="",$E40="",$E40=0),"",$G40/$E40)</f>
        <v/>
      </c>
      <c r="M40" s="61">
        <f>IF(OR($G40="",$I40="",$I40=0),"",$G40/$I40)</f>
        <v/>
      </c>
      <c r="N40" s="40">
        <f>IF(OR($E40="",Tot_BAC=0),"",$E40/Tot_BAC)</f>
        <v/>
      </c>
      <c r="O40" s="40">
        <f>IF(OR($G40="",Tot_BAC=0),"",$G40/Tot_BAC)</f>
        <v/>
      </c>
      <c r="P40" s="40">
        <f>IF(OR($I40="",Tot_BAC=0),"",$I40/Tot_BAC)</f>
        <v/>
      </c>
      <c r="Q40" s="63" t="n"/>
    </row>
    <row r="41" ht="18" customHeight="1">
      <c r="A41" s="52" t="n">
        <v>33</v>
      </c>
      <c r="B41" s="58" t="n">
        <v>46843</v>
      </c>
      <c r="C41" s="56" t="n">
        <v>23</v>
      </c>
      <c r="D41" s="57" t="n">
        <v>1743061</v>
      </c>
      <c r="E41" s="31">
        <f>IF($D41="","",SUM($D$9:$D41))</f>
        <v/>
      </c>
      <c r="F41" s="64" t="n"/>
      <c r="G41" s="31">
        <f>IF($F41="","",SUM($F$9:$F41))</f>
        <v/>
      </c>
      <c r="H41" s="64" t="n"/>
      <c r="I41" s="31">
        <f>IF($H41="","",SUM($H$9:$H41))</f>
        <v/>
      </c>
      <c r="J41" s="35">
        <f>IF(OR($G41="",$E41=""),"",$G41-$E41)</f>
        <v/>
      </c>
      <c r="K41" s="35">
        <f>IF(OR($G41="",$I41=""),"",$G41-$I41)</f>
        <v/>
      </c>
      <c r="L41" s="61">
        <f>IF(OR($G41="",$E41="",$E41=0),"",$G41/$E41)</f>
        <v/>
      </c>
      <c r="M41" s="61">
        <f>IF(OR($G41="",$I41="",$I41=0),"",$G41/$I41)</f>
        <v/>
      </c>
      <c r="N41" s="40">
        <f>IF(OR($E41="",Tot_BAC=0),"",$E41/Tot_BAC)</f>
        <v/>
      </c>
      <c r="O41" s="40">
        <f>IF(OR($G41="",Tot_BAC=0),"",$G41/Tot_BAC)</f>
        <v/>
      </c>
      <c r="P41" s="40">
        <f>IF(OR($I41="",Tot_BAC=0),"",$I41/Tot_BAC)</f>
        <v/>
      </c>
      <c r="Q41" s="63" t="n"/>
    </row>
    <row r="42" ht="18" customHeight="1">
      <c r="A42" s="52" t="n">
        <v>34</v>
      </c>
      <c r="B42" s="58" t="n">
        <v>46873</v>
      </c>
      <c r="C42" s="56" t="n">
        <v>20</v>
      </c>
      <c r="D42" s="57" t="n">
        <v>1696112</v>
      </c>
      <c r="E42" s="31">
        <f>IF($D42="","",SUM($D$9:$D42))</f>
        <v/>
      </c>
      <c r="F42" s="64" t="n"/>
      <c r="G42" s="31">
        <f>IF($F42="","",SUM($F$9:$F42))</f>
        <v/>
      </c>
      <c r="H42" s="64" t="n"/>
      <c r="I42" s="31">
        <f>IF($H42="","",SUM($H$9:$H42))</f>
        <v/>
      </c>
      <c r="J42" s="35">
        <f>IF(OR($G42="",$E42=""),"",$G42-$E42)</f>
        <v/>
      </c>
      <c r="K42" s="35">
        <f>IF(OR($G42="",$I42=""),"",$G42-$I42)</f>
        <v/>
      </c>
      <c r="L42" s="61">
        <f>IF(OR($G42="",$E42="",$E42=0),"",$G42/$E42)</f>
        <v/>
      </c>
      <c r="M42" s="61">
        <f>IF(OR($G42="",$I42="",$I42=0),"",$G42/$I42)</f>
        <v/>
      </c>
      <c r="N42" s="40">
        <f>IF(OR($E42="",Tot_BAC=0),"",$E42/Tot_BAC)</f>
        <v/>
      </c>
      <c r="O42" s="40">
        <f>IF(OR($G42="",Tot_BAC=0),"",$G42/Tot_BAC)</f>
        <v/>
      </c>
      <c r="P42" s="40">
        <f>IF(OR($I42="",Tot_BAC=0),"",$I42/Tot_BAC)</f>
        <v/>
      </c>
      <c r="Q42" s="63" t="n"/>
    </row>
    <row r="43" ht="18" customHeight="1">
      <c r="A43" s="52" t="n">
        <v>35</v>
      </c>
      <c r="B43" s="58" t="n">
        <v>46904</v>
      </c>
      <c r="C43" s="56" t="n">
        <v>23</v>
      </c>
      <c r="D43" s="57" t="n">
        <v>1082684</v>
      </c>
      <c r="E43" s="31">
        <f>IF($D43="","",SUM($D$9:$D43))</f>
        <v/>
      </c>
      <c r="F43" s="64" t="n"/>
      <c r="G43" s="31">
        <f>IF($F43="","",SUM($F$9:$F43))</f>
        <v/>
      </c>
      <c r="H43" s="64" t="n"/>
      <c r="I43" s="31">
        <f>IF($H43="","",SUM($H$9:$H43))</f>
        <v/>
      </c>
      <c r="J43" s="35">
        <f>IF(OR($G43="",$E43=""),"",$G43-$E43)</f>
        <v/>
      </c>
      <c r="K43" s="35">
        <f>IF(OR($G43="",$I43=""),"",$G43-$I43)</f>
        <v/>
      </c>
      <c r="L43" s="61">
        <f>IF(OR($G43="",$E43="",$E43=0),"",$G43/$E43)</f>
        <v/>
      </c>
      <c r="M43" s="61">
        <f>IF(OR($G43="",$I43="",$I43=0),"",$G43/$I43)</f>
        <v/>
      </c>
      <c r="N43" s="40">
        <f>IF(OR($E43="",Tot_BAC=0),"",$E43/Tot_BAC)</f>
        <v/>
      </c>
      <c r="O43" s="40">
        <f>IF(OR($G43="",Tot_BAC=0),"",$G43/Tot_BAC)</f>
        <v/>
      </c>
      <c r="P43" s="40">
        <f>IF(OR($I43="",Tot_BAC=0),"",$I43/Tot_BAC)</f>
        <v/>
      </c>
      <c r="Q43" s="63" t="n"/>
    </row>
    <row r="44" ht="18" customHeight="1">
      <c r="A44" s="52" t="n">
        <v>36</v>
      </c>
      <c r="B44" s="58" t="n">
        <v>46934</v>
      </c>
      <c r="C44" s="56" t="n">
        <v>22</v>
      </c>
      <c r="D44" s="57" t="n">
        <v>393083</v>
      </c>
      <c r="E44" s="31">
        <f>IF($D44="","",SUM($D$9:$D44))</f>
        <v/>
      </c>
      <c r="F44" s="64" t="n"/>
      <c r="G44" s="31">
        <f>IF($F44="","",SUM($F$9:$F44))</f>
        <v/>
      </c>
      <c r="H44" s="64" t="n"/>
      <c r="I44" s="31">
        <f>IF($H44="","",SUM($H$9:$H44))</f>
        <v/>
      </c>
      <c r="J44" s="35">
        <f>IF(OR($G44="",$E44=""),"",$G44-$E44)</f>
        <v/>
      </c>
      <c r="K44" s="35">
        <f>IF(OR($G44="",$I44=""),"",$G44-$I44)</f>
        <v/>
      </c>
      <c r="L44" s="61">
        <f>IF(OR($G44="",$E44="",$E44=0),"",$G44/$E44)</f>
        <v/>
      </c>
      <c r="M44" s="61">
        <f>IF(OR($G44="",$I44="",$I44=0),"",$G44/$I44)</f>
        <v/>
      </c>
      <c r="N44" s="40">
        <f>IF(OR($E44="",Tot_BAC=0),"",$E44/Tot_BAC)</f>
        <v/>
      </c>
      <c r="O44" s="40">
        <f>IF(OR($G44="",Tot_BAC=0),"",$G44/Tot_BAC)</f>
        <v/>
      </c>
      <c r="P44" s="40">
        <f>IF(OR($I44="",Tot_BAC=0),"",$I44/Tot_BAC)</f>
        <v/>
      </c>
      <c r="Q44" s="63" t="n"/>
    </row>
    <row r="45" ht="22" customHeight="1">
      <c r="A45" s="66" t="inlineStr">
        <is>
          <t>TOTAL</t>
        </is>
      </c>
      <c r="B45" s="67" t="n"/>
      <c r="C45" s="43" t="n"/>
      <c r="D45" s="42">
        <f>SUM($D$9:$D$44)</f>
        <v/>
      </c>
      <c r="E45" s="41" t="n"/>
      <c r="F45" s="42">
        <f>SUM($F$9:$F$44)</f>
        <v/>
      </c>
      <c r="G45" s="41" t="n"/>
      <c r="H45" s="42">
        <f>SUM($H$9:$H$44)</f>
        <v/>
      </c>
      <c r="I45" s="41" t="n"/>
      <c r="J45" s="41" t="n"/>
      <c r="K45" s="41" t="n"/>
      <c r="L45" s="41" t="n"/>
      <c r="M45" s="41" t="n"/>
      <c r="N45" s="41" t="n"/>
      <c r="O45" s="41" t="n"/>
      <c r="P45" s="41" t="n"/>
      <c r="Q45" s="70">
        <f>"PV column totals the whole baseline; EV and AC total only what has been entered to date.  "&amp;IF(OR(Tot_BAC=0,$D$45=0),"",IF(ABS($D$45-Tot_BAC)&lt;=MAX(1,0.005*Tot_BAC),"Total PV equals BAC — the baseline is complete.","WARNING: total PV does not equal BAC."))</f>
        <v/>
      </c>
    </row>
    <row r="47" ht="19.5" customHeight="1">
      <c r="B47" s="21" t="inlineStr">
        <is>
          <t>POSITION AT THE DATA DATE  ·  tie-out to the EV Register</t>
        </is>
      </c>
    </row>
    <row r="48" ht="28" customHeight="1">
      <c r="B48" s="27" t="inlineStr">
        <is>
          <t>Measure</t>
        </is>
      </c>
      <c r="C48" s="27" t="n"/>
      <c r="D48" s="28" t="inlineStr">
        <is>
          <t>This sheet — cumulative at data date</t>
        </is>
      </c>
      <c r="E48" s="28" t="n"/>
      <c r="F48" s="28" t="inlineStr">
        <is>
          <t>EV Register total</t>
        </is>
      </c>
      <c r="G48" s="28" t="n"/>
      <c r="H48" s="28" t="inlineStr">
        <is>
          <t>Difference</t>
        </is>
      </c>
      <c r="I48" s="28" t="n"/>
      <c r="J48" s="27" t="inlineStr">
        <is>
          <t>Check</t>
        </is>
      </c>
      <c r="K48" s="27" t="n"/>
    </row>
    <row r="49" ht="19" customHeight="1">
      <c r="B49" s="47" t="inlineStr">
        <is>
          <t>Planned Value (PV)</t>
        </is>
      </c>
      <c r="C49" s="30" t="n"/>
      <c r="D49" s="31">
        <f>IF(Data_Date="","",SUMIFS($D$9:$D$44,$B$9:$B$44,"&lt;="&amp;Data_Date,$B$9:$B$44,"&gt;0"))</f>
        <v/>
      </c>
      <c r="E49" s="32" t="n"/>
      <c r="F49" s="31">
        <f>IF(Tot_BAC=0,"",Tot_PV)</f>
        <v/>
      </c>
      <c r="G49" s="32" t="n"/>
      <c r="H49" s="35">
        <f>IF(OR($D49="",$F49=""),"",$D49-$F49)</f>
        <v/>
      </c>
      <c r="I49" s="32" t="n"/>
      <c r="J49" s="53">
        <f>IF(OR($H49="",Tot_BAC=0),"",IF(ABS($H49)&lt;=MAX(1,0.005*Tot_BAC),"Reconciled","CHECK — investigate before issuing"))</f>
        <v/>
      </c>
      <c r="K49" s="32" t="n"/>
    </row>
    <row r="50" ht="19" customHeight="1">
      <c r="B50" s="47" t="inlineStr">
        <is>
          <t>Earned Value (EV)</t>
        </is>
      </c>
      <c r="C50" s="30" t="n"/>
      <c r="D50" s="31">
        <f>IF(Data_Date="","",SUMIFS($F$9:$F$44,$B$9:$B$44,"&lt;="&amp;Data_Date,$B$9:$B$44,"&gt;0"))</f>
        <v/>
      </c>
      <c r="E50" s="32" t="n"/>
      <c r="F50" s="31">
        <f>IF(Tot_BAC=0,"",Tot_EV)</f>
        <v/>
      </c>
      <c r="G50" s="32" t="n"/>
      <c r="H50" s="35">
        <f>IF(OR($D50="",$F50=""),"",$D50-$F50)</f>
        <v/>
      </c>
      <c r="I50" s="32" t="n"/>
      <c r="J50" s="53">
        <f>IF(OR($H50="",Tot_BAC=0),"",IF(ABS($H50)&lt;=MAX(1,0.005*Tot_BAC),"Reconciled","CHECK — investigate before issuing"))</f>
        <v/>
      </c>
      <c r="K50" s="32" t="n"/>
    </row>
    <row r="51" ht="19" customHeight="1">
      <c r="B51" s="47" t="inlineStr">
        <is>
          <t>Actual Cost (AC)</t>
        </is>
      </c>
      <c r="C51" s="30" t="n"/>
      <c r="D51" s="31">
        <f>IF(Data_Date="","",SUMIFS($H$9:$H$44,$B$9:$B$44,"&lt;="&amp;Data_Date,$B$9:$B$44,"&gt;0"))</f>
        <v/>
      </c>
      <c r="E51" s="32" t="n"/>
      <c r="F51" s="31">
        <f>IF(Tot_BAC=0,"",Tot_AC)</f>
        <v/>
      </c>
      <c r="G51" s="32" t="n"/>
      <c r="H51" s="35">
        <f>IF(OR($D51="",$F51=""),"",$D51-$F51)</f>
        <v/>
      </c>
      <c r="I51" s="32" t="n"/>
      <c r="J51" s="53">
        <f>IF(OR($H51="",Tot_BAC=0),"",IF(ABS($H51)&lt;=MAX(1,0.005*Tot_BAC),"Reconciled","CHECK — investigate before issuing"))</f>
        <v/>
      </c>
      <c r="K51" s="32" t="n"/>
    </row>
    <row r="53" ht="19.5" customHeight="1">
      <c r="B53" s="21" t="inlineStr">
        <is>
          <t>THIS PERIOD  ·  the period ending on or before the data date</t>
        </is>
      </c>
    </row>
    <row r="54" ht="20" customHeight="1">
      <c r="B54" s="27" t="inlineStr">
        <is>
          <t>Measure</t>
        </is>
      </c>
      <c r="C54" s="27" t="n"/>
      <c r="D54" s="28" t="inlineStr">
        <is>
          <t>Value</t>
        </is>
      </c>
      <c r="E54" s="28" t="n"/>
      <c r="F54" s="27" t="inlineStr">
        <is>
          <t>Notes</t>
        </is>
      </c>
      <c r="G54" s="27" t="n"/>
      <c r="H54" s="27" t="n"/>
      <c r="I54" s="27" t="n"/>
      <c r="J54" s="27" t="n"/>
      <c r="K54" s="27" t="n"/>
    </row>
    <row r="55" ht="19" customHeight="1">
      <c r="B55" s="47" t="inlineStr">
        <is>
          <t>Period number at the data date</t>
        </is>
      </c>
      <c r="C55" s="30" t="n"/>
      <c r="D55" s="71">
        <f>IF(Data_Date="","",IF(SUMPRODUCT(MAX(($B$9:$B$44&gt;0)*($B$9:$B$44&lt;=Data_Date)*$A$9:$A$44))=0,"",SUMPRODUCT(MAX(($B$9:$B$44&gt;0)*($B$9:$B$44&lt;=Data_Date)*$A$9:$A$44))))</f>
        <v/>
      </c>
      <c r="E55" s="32" t="n"/>
      <c r="F55" s="34" t="inlineStr">
        <is>
          <t>The last period whose end date falls on or before the data date set on the Cover.</t>
        </is>
      </c>
      <c r="G55" s="30" t="n"/>
      <c r="H55" s="30" t="n"/>
      <c r="I55" s="30" t="n"/>
      <c r="J55" s="30" t="n"/>
      <c r="K55" s="30" t="n"/>
    </row>
    <row r="56" ht="19" customHeight="1">
      <c r="B56" s="47" t="inlineStr">
        <is>
          <t>Planned Value this period</t>
        </is>
      </c>
      <c r="C56" s="30" t="n"/>
      <c r="D56" s="31">
        <f>IF($D$55="","",IFERROR(INDEX($D$9:$D$44,$D$55),""))</f>
        <v/>
      </c>
      <c r="E56" s="32" t="n"/>
      <c r="F56" s="34" t="inlineStr">
        <is>
          <t>Baseline PV for the period — the plan, not the forecast.</t>
        </is>
      </c>
      <c r="G56" s="30" t="n"/>
      <c r="H56" s="30" t="n"/>
      <c r="I56" s="30" t="n"/>
      <c r="J56" s="30" t="n"/>
      <c r="K56" s="30" t="n"/>
    </row>
    <row r="57" ht="19" customHeight="1">
      <c r="B57" s="47" t="inlineStr">
        <is>
          <t>Earned Value this period</t>
        </is>
      </c>
      <c r="C57" s="30" t="n"/>
      <c r="D57" s="31">
        <f>IF($D$55="","",IFERROR(INDEX($F$9:$F$44,$D$55),""))</f>
        <v/>
      </c>
      <c r="E57" s="32" t="n"/>
      <c r="F57" s="34" t="inlineStr">
        <is>
          <t>Budgeted cost of the work completed in the period.</t>
        </is>
      </c>
      <c r="G57" s="30" t="n"/>
      <c r="H57" s="30" t="n"/>
      <c r="I57" s="30" t="n"/>
      <c r="J57" s="30" t="n"/>
      <c r="K57" s="30" t="n"/>
    </row>
    <row r="58" ht="19" customHeight="1">
      <c r="B58" s="47" t="inlineStr">
        <is>
          <t>Actual Cost this period</t>
        </is>
      </c>
      <c r="C58" s="30" t="n"/>
      <c r="D58" s="31">
        <f>IF($D$55="","",IFERROR(INDEX($H$9:$H$44,$D$55),""))</f>
        <v/>
      </c>
      <c r="E58" s="32" t="n"/>
      <c r="F58" s="34" t="inlineStr">
        <is>
          <t>Cost incurred in the period, on the same cut-off as the EV.</t>
        </is>
      </c>
      <c r="G58" s="30" t="n"/>
      <c r="H58" s="30" t="n"/>
      <c r="I58" s="30" t="n"/>
      <c r="J58" s="30" t="n"/>
      <c r="K58" s="30" t="n"/>
    </row>
    <row r="60" ht="26" customHeight="1">
      <c r="A60" s="16" t="inlineStr">
        <is>
          <t>SOURCE OF TRUTH — this sheet owns the shape of the baseline over time (the S-curve, the trend indices and the period splits). The EV Register owns the position at the data date (BAC, EV and AC by control account). The two must reconcile in the block above every period before the report is issued; a persistent difference means either the register or the phasing is out of date.</t>
        </is>
      </c>
    </row>
    <row r="62" ht="12.75" customHeight="1">
      <c r="A62" s="17" t="inlineStr">
        <is>
          <t>Visit mastt.com</t>
        </is>
      </c>
      <c r="B62" s="18" t="n"/>
      <c r="C62" s="18" t="n"/>
      <c r="D62" s="18" t="n"/>
      <c r="E62" s="18" t="n"/>
      <c r="F62" s="18" t="n"/>
      <c r="G62" s="18" t="n"/>
      <c r="H62" s="18" t="n"/>
      <c r="I62" s="18" t="n"/>
      <c r="J62" s="18" t="n"/>
      <c r="K62" s="18" t="n"/>
      <c r="L62" s="18" t="n"/>
      <c r="M62" s="18" t="n"/>
      <c r="N62" s="18" t="n"/>
      <c r="O62" s="18" t="n"/>
      <c r="P62" s="18" t="n"/>
      <c r="Q62" s="18" t="n"/>
    </row>
  </sheetData>
  <sheetProtection selectLockedCells="0" selectUnlockedCells="0" sheet="1" objects="0" insertRows="0" insertHyperlinks="1" autoFilter="0" scenarios="0" formatColumns="0" deleteColumns="1" insertColumns="0" pivotTables="1" deleteRows="0" formatCells="0" formatRows="0" sort="0"/>
  <autoFilter ref="A8:Q44"/>
  <mergeCells count="43">
    <mergeCell ref="F55:K55"/>
    <mergeCell ref="B54:C54"/>
    <mergeCell ref="K7:Q7"/>
    <mergeCell ref="H50:I50"/>
    <mergeCell ref="A60:Q60"/>
    <mergeCell ref="B56:C56"/>
    <mergeCell ref="B58:C58"/>
    <mergeCell ref="B48:C48"/>
    <mergeCell ref="D49:E49"/>
    <mergeCell ref="D57:E57"/>
    <mergeCell ref="F51:G51"/>
    <mergeCell ref="D2:Q2"/>
    <mergeCell ref="H49:I49"/>
    <mergeCell ref="H51:I51"/>
    <mergeCell ref="J49:K49"/>
    <mergeCell ref="F56:K56"/>
    <mergeCell ref="B47:K47"/>
    <mergeCell ref="F50:G50"/>
    <mergeCell ref="F58:K58"/>
    <mergeCell ref="D48:E48"/>
    <mergeCell ref="B57:C57"/>
    <mergeCell ref="F57:K57"/>
    <mergeCell ref="D56:E56"/>
    <mergeCell ref="D58:E58"/>
    <mergeCell ref="B49:C49"/>
    <mergeCell ref="B55:C55"/>
    <mergeCell ref="D3:Q3"/>
    <mergeCell ref="D55:E55"/>
    <mergeCell ref="F48:G48"/>
    <mergeCell ref="J50:K50"/>
    <mergeCell ref="A45:C45"/>
    <mergeCell ref="H48:I48"/>
    <mergeCell ref="F54:K54"/>
    <mergeCell ref="B51:C51"/>
    <mergeCell ref="D51:E51"/>
    <mergeCell ref="J51:K51"/>
    <mergeCell ref="B53:K53"/>
    <mergeCell ref="F49:G49"/>
    <mergeCell ref="A62:Q62"/>
    <mergeCell ref="B50:C50"/>
    <mergeCell ref="D54:E54"/>
    <mergeCell ref="D50:E50"/>
    <mergeCell ref="J48:K48"/>
  </mergeCells>
  <conditionalFormatting sqref="J49:J51">
    <cfRule type="expression" priority="1" dxfId="8" stopIfTrue="0">
      <formula>$J49="Reconciled"</formula>
    </cfRule>
    <cfRule type="expression" priority="2" dxfId="6" stopIfTrue="0">
      <formula>$J49="CHECK — investigate before issuing"</formula>
    </cfRule>
  </conditionalFormatting>
  <conditionalFormatting sqref="L9:L44">
    <cfRule type="expression" priority="3" dxfId="0" stopIfTrue="1">
      <formula>AND(L9&lt;&gt;"",ISNUMBER(L9),L9&lt;Thr_Red)</formula>
    </cfRule>
    <cfRule type="expression" priority="4" dxfId="4" stopIfTrue="1">
      <formula>AND(L9&lt;&gt;"",ISNUMBER(L9),L9&lt;Thr_Amber)</formula>
    </cfRule>
    <cfRule type="expression" priority="5" dxfId="5" stopIfTrue="1">
      <formula>AND(L9&lt;&gt;"",ISNUMBER(L9),L9&gt;=Thr_Green)</formula>
    </cfRule>
  </conditionalFormatting>
  <conditionalFormatting sqref="M9:M44">
    <cfRule type="expression" priority="6" dxfId="0" stopIfTrue="1">
      <formula>AND(M9&lt;&gt;"",ISNUMBER(M9),M9&lt;Thr_Red)</formula>
    </cfRule>
    <cfRule type="expression" priority="7" dxfId="4" stopIfTrue="1">
      <formula>AND(M9&lt;&gt;"",ISNUMBER(M9),M9&lt;Thr_Amber)</formula>
    </cfRule>
    <cfRule type="expression" priority="8" dxfId="5" stopIfTrue="1">
      <formula>AND(M9&lt;&gt;"",ISNUMBER(M9),M9&gt;=Thr_Green)</formula>
    </cfRule>
  </conditionalFormatting>
  <conditionalFormatting sqref="J9:J44">
    <cfRule type="expression" priority="9" dxfId="0" stopIfTrue="0">
      <formula>AND(J9&lt;&gt;"",ISNUMBER(J9),J9&lt;0)</formula>
    </cfRule>
  </conditionalFormatting>
  <conditionalFormatting sqref="K9:K44">
    <cfRule type="expression" priority="10" dxfId="0" stopIfTrue="0">
      <formula>AND(K9&lt;&gt;"",ISNUMBER(K9),K9&lt;0)</formula>
    </cfRule>
  </conditionalFormatting>
  <dataValidations count="4">
    <dataValidation sqref="C9:C44" showDropDown="0" showInputMessage="0" showErrorMessage="1" allowBlank="1" errorTitle="Invalid entry" error="Enter a number." type="decimal" operator="between">
      <formula1>0</formula1>
      <formula2>31</formula2>
    </dataValidation>
    <dataValidation sqref="D9:D44" showDropDown="0" showInputMessage="0" showErrorMessage="1" allowBlank="1" errorTitle="Invalid entry" error="Enter a number." type="decimal" operator="greaterThanOrEqual">
      <formula1>0</formula1>
    </dataValidation>
    <dataValidation sqref="F9:F44" showDropDown="0" showInputMessage="0" showErrorMessage="1" allowBlank="1" errorTitle="Invalid entry" error="Enter a number." type="decimal" operator="greaterThanOrEqual">
      <formula1>0</formula1>
    </dataValidation>
    <dataValidation sqref="H9:H44" showDropDown="0" showInputMessage="0" showErrorMessage="1" allowBlank="1" errorTitle="Invalid entry" error="Enter a number." type="decimal" operator="greaterThanOrEqual">
      <formula1>0</formula1>
    </dataValidation>
  </dataValidations>
  <hyperlinks>
    <hyperlink xmlns:r="http://schemas.openxmlformats.org/officeDocument/2006/relationships" ref="A2" r:id="rId1"/>
    <hyperlink xmlns:r="http://schemas.openxmlformats.org/officeDocument/2006/relationships" ref="A62" r:id="rId2"/>
  </hyperlinks>
  <pageMargins left="0.3" right="0.3" top="0.4" bottom="0.4" header="0.2" footer="0.2"/>
  <pageSetup orientation="landscape" paperSize="9" fitToHeight="0" fitToWidth="1"/>
  <drawing xmlns:r="http://schemas.openxmlformats.org/officeDocument/2006/relationships" r:id="rId3"/>
</worksheet>
</file>

<file path=xl/worksheets/sheet5.xml><?xml version="1.0" encoding="utf-8"?>
<worksheet xmlns="http://schemas.openxmlformats.org/spreadsheetml/2006/main">
  <sheetPr>
    <outlinePr summaryBelow="1" summaryRight="1"/>
    <pageSetUpPr fitToPage="1"/>
  </sheetPr>
  <dimension ref="A2:R35"/>
  <sheetViews>
    <sheetView showGridLines="0" zoomScale="100" workbookViewId="0">
      <selection activeCell="A1" sqref="A1"/>
    </sheetView>
  </sheetViews>
  <sheetFormatPr baseColWidth="8" defaultRowHeight="15"/>
  <cols>
    <col width="2.5" customWidth="1" min="1" max="1"/>
    <col width="7.5" customWidth="1" min="2" max="2"/>
    <col width="7.5" customWidth="1" min="3" max="3"/>
    <col width="7.5" customWidth="1" min="4" max="4"/>
    <col width="7.5" customWidth="1" min="5" max="5"/>
    <col width="7.5" customWidth="1" min="6" max="6"/>
    <col width="7.5" customWidth="1" min="7" max="7"/>
    <col width="7.5" customWidth="1" min="8" max="8"/>
    <col width="7.5" customWidth="1" min="9" max="9"/>
    <col width="7.5" customWidth="1" min="10" max="10"/>
    <col width="7.5" customWidth="1" min="11" max="11"/>
    <col width="7.5" customWidth="1" min="12" max="12"/>
    <col width="7.5" customWidth="1" min="13" max="13"/>
    <col width="19" customWidth="1" min="14" max="14"/>
    <col width="19" customWidth="1" min="15" max="15"/>
    <col width="19" customWidth="1" min="16" max="16"/>
    <col width="19" customWidth="1" min="17" max="17"/>
    <col width="2.5" customWidth="1" min="18" max="18"/>
  </cols>
  <sheetData>
    <row r="1" ht="3.75" customHeight="1"/>
    <row r="2" ht="27.75" customHeight="1">
      <c r="A2" s="1" t="inlineStr">
        <is>
          <t xml:space="preserve"> </t>
        </is>
      </c>
      <c r="B2" s="2" t="n"/>
      <c r="C2" s="2" t="n"/>
      <c r="D2" s="2" t="n"/>
      <c r="E2" s="3" t="inlineStr">
        <is>
          <t>Earned Value Analysis (EVM)</t>
        </is>
      </c>
    </row>
    <row r="3" ht="12.75" customHeight="1">
      <c r="A3" s="2" t="n"/>
      <c r="B3" s="2" t="n"/>
      <c r="C3" s="2" t="n"/>
      <c r="D3" s="2" t="n"/>
      <c r="E3" s="4" t="inlineStr">
        <is>
          <t>S-Curve  ·  cumulative PV, EV and AC, and the SPI / CPI trend  ·  plotted from Time-Phased Data</t>
        </is>
      </c>
    </row>
    <row r="4" ht="6" customHeight="1"/>
    <row r="6" ht="15" customHeight="1">
      <c r="A6" s="19">
        <f>IF(Proj_Name="","Project: —  |  complete the Cover sheet","Project:  "&amp;Proj_Name&amp;IF(Proj_Number="",""," · "&amp;Proj_Number))</f>
        <v/>
      </c>
      <c r="L6" s="20" t="inlineStr">
        <is>
          <t>Charts refresh automatically. The EV and AC lines stop at the last period you have entered.</t>
        </is>
      </c>
    </row>
    <row r="8" ht="22" customHeight="1">
      <c r="N8" s="72" t="inlineStr">
        <is>
          <t>HOW TO READ THE S-CURVE</t>
        </is>
      </c>
    </row>
    <row r="9" ht="23" customHeight="1">
      <c r="N9" s="73" t="inlineStr">
        <is>
          <t>The grey dashed line is the baseline (PV). It is the only line you should not be able to move without a formal rebaseline.</t>
        </is>
      </c>
    </row>
    <row r="10" ht="23" customHeight="1">
      <c r="N10" s="73" t="inlineStr">
        <is>
          <t>EV below PV means you have earned less work than you planned to by now. The horizontal gap between the two curves is roughly the schedule slip in time.</t>
        </is>
      </c>
    </row>
    <row r="11" ht="23" customHeight="1">
      <c r="N11" s="73" t="inlineStr">
        <is>
          <t>AC above EV means the work you have completed cost more than it was budgeted to cost. The vertical gap is the cost variance.</t>
        </is>
      </c>
    </row>
    <row r="12" ht="23" customHeight="1">
      <c r="N12" s="73" t="inlineStr">
        <is>
          <t>AC above PV on its own means nothing. Spending faster than plan is only a problem if you are not earning at the same rate — which is why EV sits between them.</t>
        </is>
      </c>
    </row>
    <row r="13" ht="23" customHeight="1">
      <c r="N13" s="73" t="inlineStr">
        <is>
          <t>The EV and AC lines stop at the last period you have entered. Everything beyond that is baseline only.</t>
        </is>
      </c>
    </row>
    <row r="14" ht="22" customHeight="1">
      <c r="N14" s="72" t="inlineStr">
        <is>
          <t>HOW TO READ THE INDEX TREND</t>
        </is>
      </c>
    </row>
    <row r="15" ht="23" customHeight="1">
      <c r="N15" s="73" t="inlineStr">
        <is>
          <t>A flat line at 1.00 is on plan. What matters is the direction of travel, not a single month.</t>
        </is>
      </c>
    </row>
    <row r="16" ht="34.5" customHeight="1">
      <c r="N16" s="73" t="inlineStr">
        <is>
          <t>Cumulative CPI is remarkably stable — once a project is about 20% complete it rarely improves by more than a few points. Treat a recovery plan that assumes otherwise with scepticism.</t>
        </is>
      </c>
    </row>
    <row r="17" ht="34.5" customHeight="1">
      <c r="N17" s="73" t="inlineStr">
        <is>
          <t>SPI drifts back towards 1.00 as the project finishes, because PV converges on BAC whether or not the work is late. Near completion, read the programme, not the SPI.</t>
        </is>
      </c>
    </row>
    <row r="18" ht="23" customHeight="1">
      <c r="N18" s="73" t="inlineStr">
        <is>
          <t>A widening gap between the two indices tells you which lever is moving: cost, schedule, or both.</t>
        </is>
      </c>
    </row>
    <row r="35" ht="12.75" customHeight="1">
      <c r="A35" s="17" t="inlineStr">
        <is>
          <t>Visit mastt.com</t>
        </is>
      </c>
      <c r="B35" s="18" t="n"/>
      <c r="C35" s="18" t="n"/>
      <c r="D35" s="18" t="n"/>
      <c r="E35" s="18" t="n"/>
      <c r="F35" s="18" t="n"/>
      <c r="G35" s="18" t="n"/>
      <c r="H35" s="18" t="n"/>
      <c r="I35" s="18" t="n"/>
      <c r="J35" s="18" t="n"/>
      <c r="K35" s="18" t="n"/>
      <c r="L35" s="18" t="n"/>
      <c r="M35" s="18" t="n"/>
      <c r="N35" s="18" t="n"/>
      <c r="O35" s="18" t="n"/>
      <c r="P35" s="18" t="n"/>
      <c r="Q35" s="18" t="n"/>
      <c r="R35" s="18" t="n"/>
    </row>
  </sheetData>
  <sheetProtection selectLockedCells="0" selectUnlockedCells="0" sheet="1" objects="0" insertRows="0" insertHyperlinks="1" autoFilter="0" scenarios="0" formatColumns="0" deleteColumns="1" insertColumns="0" pivotTables="1" deleteRows="0" formatCells="0" formatRows="0" sort="0"/>
  <mergeCells count="15">
    <mergeCell ref="E3:R3"/>
    <mergeCell ref="N8:Q8"/>
    <mergeCell ref="N13:Q13"/>
    <mergeCell ref="N14:Q14"/>
    <mergeCell ref="A35:R35"/>
    <mergeCell ref="N17:Q17"/>
    <mergeCell ref="N9:Q9"/>
    <mergeCell ref="N11:Q11"/>
    <mergeCell ref="E2:R2"/>
    <mergeCell ref="N12:Q12"/>
    <mergeCell ref="L6:R6"/>
    <mergeCell ref="N16:Q16"/>
    <mergeCell ref="N15:Q15"/>
    <mergeCell ref="N10:Q10"/>
    <mergeCell ref="N18:Q18"/>
  </mergeCells>
  <hyperlinks>
    <hyperlink xmlns:r="http://schemas.openxmlformats.org/officeDocument/2006/relationships" ref="A2" r:id="rId1"/>
    <hyperlink xmlns:r="http://schemas.openxmlformats.org/officeDocument/2006/relationships" ref="A35" r:id="rId2"/>
  </hyperlinks>
  <pageMargins left="0.3" right="0.3" top="0.4" bottom="0.4" header="0.2" footer="0.2"/>
  <pageSetup orientation="landscape" paperSize="9" fitToHeight="0" fitToWidth="1"/>
  <drawing xmlns:r="http://schemas.openxmlformats.org/officeDocument/2006/relationships" r:id="rId3"/>
</worksheet>
</file>

<file path=xl/worksheets/sheet6.xml><?xml version="1.0" encoding="utf-8"?>
<worksheet xmlns="http://schemas.openxmlformats.org/spreadsheetml/2006/main">
  <sheetPr>
    <outlinePr summaryBelow="1" summaryRight="1"/>
    <pageSetUpPr fitToPage="1"/>
  </sheetPr>
  <dimension ref="A2:N51"/>
  <sheetViews>
    <sheetView showGridLines="0" zoomScale="100" workbookViewId="0">
      <selection activeCell="A1" sqref="A1"/>
    </sheetView>
  </sheetViews>
  <sheetFormatPr baseColWidth="8" defaultRowHeight="15"/>
  <cols>
    <col width="2.5" customWidth="1" min="1" max="1"/>
    <col width="38" customWidth="1" min="2" max="2"/>
    <col width="32" customWidth="1" min="3" max="3"/>
    <col width="16" customWidth="1" min="4" max="4"/>
    <col width="16" customWidth="1" min="5" max="5"/>
    <col width="15" customWidth="1" min="6" max="6"/>
    <col width="15" customWidth="1" min="7" max="7"/>
    <col width="14" customWidth="1" min="8" max="8"/>
    <col width="14" customWidth="1" min="9" max="9"/>
    <col width="14" customWidth="1" min="10" max="10"/>
    <col width="14" customWidth="1" min="11" max="11"/>
    <col width="14" customWidth="1" min="12" max="12"/>
    <col width="14" customWidth="1" min="13" max="13"/>
    <col width="2.5" customWidth="1" min="14" max="14"/>
  </cols>
  <sheetData>
    <row r="1" ht="3.75" customHeight="1"/>
    <row r="2" ht="27.75" customHeight="1">
      <c r="A2" s="1" t="inlineStr">
        <is>
          <t xml:space="preserve"> </t>
        </is>
      </c>
      <c r="B2" s="2" t="n"/>
      <c r="C2" s="3" t="inlineStr">
        <is>
          <t>Earned Value Analysis (EVM)</t>
        </is>
      </c>
    </row>
    <row r="3" ht="12.75" customHeight="1">
      <c r="A3" s="2" t="n"/>
      <c r="B3" s="2" t="n"/>
      <c r="C3" s="4" t="inlineStr">
        <is>
          <t>Forecast &amp; Scenarios  ·  the four standard EAC methods, TCPI and a CPI sensitivity</t>
        </is>
      </c>
    </row>
    <row r="4" ht="6" customHeight="1"/>
    <row r="6" ht="15" customHeight="1">
      <c r="A6" s="19">
        <f>IF(Proj_Name="","Project: —  |  complete the Cover sheet","Project:  "&amp;Proj_Name&amp;IF(Proj_Number="",""," · "&amp;Proj_Number))</f>
        <v/>
      </c>
      <c r="H6" s="20" t="inlineStr">
        <is>
          <t>Choose the method that feeds the register and the dashboard on the Lists sheet.</t>
        </is>
      </c>
    </row>
    <row r="8" ht="19.5" customHeight="1">
      <c r="B8" s="21" t="inlineStr">
        <is>
          <t>INPUTS AT THE DATA DATE  ·  all taken from the EV Register total row</t>
        </is>
      </c>
    </row>
    <row r="9" ht="20" customHeight="1">
      <c r="B9" s="27" t="inlineStr">
        <is>
          <t>Input</t>
        </is>
      </c>
      <c r="C9" s="28" t="inlineStr">
        <is>
          <t>Value</t>
        </is>
      </c>
      <c r="D9" s="27" t="inlineStr">
        <is>
          <t>What it is</t>
        </is>
      </c>
      <c r="E9" s="27" t="n"/>
      <c r="F9" s="27" t="n"/>
      <c r="G9" s="27" t="n"/>
      <c r="H9" s="27" t="n"/>
      <c r="I9" s="27" t="n"/>
      <c r="J9" s="27" t="n"/>
      <c r="K9" s="27" t="n"/>
      <c r="L9" s="27" t="n"/>
      <c r="M9" s="27" t="n"/>
    </row>
    <row r="10" ht="19" customHeight="1">
      <c r="B10" s="47" t="inlineStr">
        <is>
          <t>BAC — Budget at Completion</t>
        </is>
      </c>
      <c r="C10" s="31">
        <f>IF(Tot_BAC=0,"",Tot_BAC)</f>
        <v/>
      </c>
      <c r="D10" s="34" t="inlineStr">
        <is>
          <t>Sum of the BAC column on the EV Register. Excludes management reserve.</t>
        </is>
      </c>
      <c r="E10" s="30" t="n"/>
      <c r="F10" s="30" t="n"/>
      <c r="G10" s="30" t="n"/>
      <c r="H10" s="30" t="n"/>
      <c r="I10" s="30" t="n"/>
      <c r="J10" s="30" t="n"/>
      <c r="K10" s="30" t="n"/>
      <c r="L10" s="30" t="n"/>
      <c r="M10" s="30" t="n"/>
    </row>
    <row r="11" ht="19" customHeight="1">
      <c r="B11" s="47" t="inlineStr">
        <is>
          <t>PV — Planned Value to date</t>
        </is>
      </c>
      <c r="C11" s="31">
        <f>IF(Tot_BAC=0,"",Tot_PV)</f>
        <v/>
      </c>
      <c r="D11" s="34" t="inlineStr">
        <is>
          <t>Budgeted cost of the work scheduled to be done by the data date.</t>
        </is>
      </c>
      <c r="E11" s="30" t="n"/>
      <c r="F11" s="30" t="n"/>
      <c r="G11" s="30" t="n"/>
      <c r="H11" s="30" t="n"/>
      <c r="I11" s="30" t="n"/>
      <c r="J11" s="30" t="n"/>
      <c r="K11" s="30" t="n"/>
      <c r="L11" s="30" t="n"/>
      <c r="M11" s="30" t="n"/>
    </row>
    <row r="12" ht="19" customHeight="1">
      <c r="B12" s="47" t="inlineStr">
        <is>
          <t>EV — Earned Value to date</t>
        </is>
      </c>
      <c r="C12" s="31">
        <f>IF(Tot_BAC=0,"",Tot_EV)</f>
        <v/>
      </c>
      <c r="D12" s="34" t="inlineStr">
        <is>
          <t>Budgeted cost of the work actually done by the data date.</t>
        </is>
      </c>
      <c r="E12" s="30" t="n"/>
      <c r="F12" s="30" t="n"/>
      <c r="G12" s="30" t="n"/>
      <c r="H12" s="30" t="n"/>
      <c r="I12" s="30" t="n"/>
      <c r="J12" s="30" t="n"/>
      <c r="K12" s="30" t="n"/>
      <c r="L12" s="30" t="n"/>
      <c r="M12" s="30" t="n"/>
    </row>
    <row r="13" ht="19" customHeight="1">
      <c r="B13" s="47" t="inlineStr">
        <is>
          <t>AC — Actual Cost to date</t>
        </is>
      </c>
      <c r="C13" s="31">
        <f>IF(Tot_BAC=0,"",Tot_AC)</f>
        <v/>
      </c>
      <c r="D13" s="34" t="inlineStr">
        <is>
          <t>Cost incurred for that work, on a consistent cut-off.</t>
        </is>
      </c>
      <c r="E13" s="30" t="n"/>
      <c r="F13" s="30" t="n"/>
      <c r="G13" s="30" t="n"/>
      <c r="H13" s="30" t="n"/>
      <c r="I13" s="30" t="n"/>
      <c r="J13" s="30" t="n"/>
      <c r="K13" s="30" t="n"/>
      <c r="L13" s="30" t="n"/>
      <c r="M13" s="30" t="n"/>
    </row>
    <row r="14" ht="19" customHeight="1">
      <c r="B14" s="47" t="inlineStr">
        <is>
          <t>CPI — cumulative</t>
        </is>
      </c>
      <c r="C14" s="37">
        <f>IF(OR(Tot_AC=0,Tot_BAC=0),"",Tot_EV/Tot_AC)</f>
        <v/>
      </c>
      <c r="D14" s="34" t="inlineStr">
        <is>
          <t>EV / AC. The single best predictor of the final cost outturn.</t>
        </is>
      </c>
      <c r="E14" s="30" t="n"/>
      <c r="F14" s="30" t="n"/>
      <c r="G14" s="30" t="n"/>
      <c r="H14" s="30" t="n"/>
      <c r="I14" s="30" t="n"/>
      <c r="J14" s="30" t="n"/>
      <c r="K14" s="30" t="n"/>
      <c r="L14" s="30" t="n"/>
      <c r="M14" s="30" t="n"/>
    </row>
    <row r="15" ht="19" customHeight="1">
      <c r="B15" s="47" t="inlineStr">
        <is>
          <t>SPI — cumulative</t>
        </is>
      </c>
      <c r="C15" s="37">
        <f>IF(OR(Tot_PV=0,Tot_BAC=0),"",Tot_EV/Tot_PV)</f>
        <v/>
      </c>
      <c r="D15" s="34" t="inlineStr">
        <is>
          <t>EV / PV. Use with care in the last third of the project.</t>
        </is>
      </c>
      <c r="E15" s="30" t="n"/>
      <c r="F15" s="30" t="n"/>
      <c r="G15" s="30" t="n"/>
      <c r="H15" s="30" t="n"/>
      <c r="I15" s="30" t="n"/>
      <c r="J15" s="30" t="n"/>
      <c r="K15" s="30" t="n"/>
      <c r="L15" s="30" t="n"/>
      <c r="M15" s="30" t="n"/>
    </row>
    <row r="16" ht="19" customHeight="1">
      <c r="B16" s="47" t="inlineStr">
        <is>
          <t>Work remaining (BAC − EV)</t>
        </is>
      </c>
      <c r="C16" s="31">
        <f>IF(Tot_BAC=0,"",Tot_BAC-Tot_EV)</f>
        <v/>
      </c>
      <c r="D16" s="34" t="inlineStr">
        <is>
          <t>The budget value of the scope still to be earned.</t>
        </is>
      </c>
      <c r="E16" s="30" t="n"/>
      <c r="F16" s="30" t="n"/>
      <c r="G16" s="30" t="n"/>
      <c r="H16" s="30" t="n"/>
      <c r="I16" s="30" t="n"/>
      <c r="J16" s="30" t="n"/>
      <c r="K16" s="30" t="n"/>
      <c r="L16" s="30" t="n"/>
      <c r="M16" s="30" t="n"/>
    </row>
    <row r="17" ht="19" customHeight="1">
      <c r="B17" s="47" t="inlineStr">
        <is>
          <t>Budget remaining (BAC − AC)</t>
        </is>
      </c>
      <c r="C17" s="31">
        <f>IF(Tot_BAC=0,"",Tot_BAC-Tot_AC)</f>
        <v/>
      </c>
      <c r="D17" s="34" t="inlineStr">
        <is>
          <t>The money still available inside the BAC. If this is smaller than the work remaining you are already forecasting an overrun.</t>
        </is>
      </c>
      <c r="E17" s="30" t="n"/>
      <c r="F17" s="30" t="n"/>
      <c r="G17" s="30" t="n"/>
      <c r="H17" s="30" t="n"/>
      <c r="I17" s="30" t="n"/>
      <c r="J17" s="30" t="n"/>
      <c r="K17" s="30" t="n"/>
      <c r="L17" s="30" t="n"/>
      <c r="M17" s="30" t="n"/>
    </row>
    <row r="19" ht="19.5" customHeight="1">
      <c r="B19" s="21" t="inlineStr">
        <is>
          <t>THE FOUR STANDARD EAC METHODS</t>
        </is>
      </c>
    </row>
    <row r="20" ht="28" customHeight="1">
      <c r="B20" s="27" t="inlineStr">
        <is>
          <t>Method</t>
        </is>
      </c>
      <c r="C20" s="28" t="inlineStr">
        <is>
          <t>Formula</t>
        </is>
      </c>
      <c r="D20" s="28">
        <f>"EAC ("&amp;IF(Proj_Currency="","CUR",Proj_Currency)&amp;")"</f>
        <v/>
      </c>
      <c r="E20" s="28">
        <f>"ETC ("&amp;IF(Proj_Currency="","CUR",Proj_Currency)&amp;")"</f>
        <v/>
      </c>
      <c r="F20" s="28">
        <f>"VAC ("&amp;IF(Proj_Currency="","CUR",Proj_Currency)&amp;")"</f>
        <v/>
      </c>
      <c r="G20" s="28" t="inlineStr">
        <is>
          <t>vs BAC</t>
        </is>
      </c>
      <c r="H20" s="27" t="inlineStr">
        <is>
          <t>When this is the right method</t>
        </is>
      </c>
      <c r="I20" s="27" t="n"/>
      <c r="J20" s="27" t="n"/>
      <c r="K20" s="27" t="n"/>
      <c r="L20" s="27" t="n"/>
      <c r="M20" s="27" t="n"/>
    </row>
    <row r="21" ht="48" customHeight="1">
      <c r="B21" s="47" t="inlineStr">
        <is>
          <t>1 — Remaining work at the budgeted rate</t>
        </is>
      </c>
      <c r="C21" s="74" t="inlineStr">
        <is>
          <t>EAC = AC + (BAC − EV)</t>
        </is>
      </c>
      <c r="D21" s="31">
        <f>IF(OR(Tot_BAC=0,Tot_AC=0),"",Tot_AC+(Tot_BAC-Tot_EV))</f>
        <v/>
      </c>
      <c r="E21" s="31">
        <f>IF($D21="","",$D21-Tot_AC)</f>
        <v/>
      </c>
      <c r="F21" s="35">
        <f>IF($D21="","",Tot_BAC-$D21)</f>
        <v/>
      </c>
      <c r="G21" s="40">
        <f>IF(OR($D21="",Tot_BAC=0),"",$D21/Tot_BAC-1)</f>
        <v/>
      </c>
      <c r="H21" s="34" t="inlineStr">
        <is>
          <t>Use when the cost overruns to date are demonstrably one-off — a latent condition, a single failed pour, a one-time rate correction — and the remaining work will be done at the budgeted rate. The most optimistic of the four; be able to name the reason.</t>
        </is>
      </c>
      <c r="I21" s="30" t="n"/>
      <c r="J21" s="30" t="n"/>
      <c r="K21" s="30" t="n"/>
      <c r="L21" s="30" t="n"/>
      <c r="M21" s="30" t="n"/>
    </row>
    <row r="22" ht="48" customHeight="1">
      <c r="B22" s="47" t="inlineStr">
        <is>
          <t>2 — Current cost performance continues</t>
        </is>
      </c>
      <c r="C22" s="74" t="inlineStr">
        <is>
          <t>EAC = BAC / CPI</t>
        </is>
      </c>
      <c r="D22" s="31">
        <f>IF(OR(Tot_BAC=0,Tot_AC=0,Tot_EV=0),"",Tot_BAC/(Tot_EV/Tot_AC))</f>
        <v/>
      </c>
      <c r="E22" s="31">
        <f>IF($D22="","",$D22-Tot_AC)</f>
        <v/>
      </c>
      <c r="F22" s="35">
        <f>IF($D22="","",Tot_BAC-$D22)</f>
        <v/>
      </c>
      <c r="G22" s="40">
        <f>IF(OR($D22="",Tot_BAC=0),"",$D22/Tot_BAC-1)</f>
        <v/>
      </c>
      <c r="H22" s="34" t="inlineStr">
        <is>
          <t>The default for a project past about 20% complete. It assumes what has driven the overrun so far — productivity, rates, rework — carries on. Simple, defensible, and historically the most accurate of the index-based methods.</t>
        </is>
      </c>
      <c r="I22" s="30" t="n"/>
      <c r="J22" s="30" t="n"/>
      <c r="K22" s="30" t="n"/>
      <c r="L22" s="30" t="n"/>
      <c r="M22" s="30" t="n"/>
    </row>
    <row r="23" ht="48" customHeight="1">
      <c r="B23" s="47" t="inlineStr">
        <is>
          <t>3 — Cost and schedule performance continue</t>
        </is>
      </c>
      <c r="C23" s="74" t="inlineStr">
        <is>
          <t>EAC = AC + (BAC − EV) / (CPI × SPI)</t>
        </is>
      </c>
      <c r="D23" s="31">
        <f>IF(OR(Tot_BAC=0,Tot_AC=0,Tot_PV=0,Tot_EV=0),"",Tot_AC+(Tot_BAC-Tot_EV)/((Tot_EV/Tot_AC)*(Tot_EV/Tot_PV)))</f>
        <v/>
      </c>
      <c r="E23" s="31">
        <f>IF($D23="","",$D23-Tot_AC)</f>
        <v/>
      </c>
      <c r="F23" s="35">
        <f>IF($D23="","",Tot_BAC-$D23)</f>
        <v/>
      </c>
      <c r="G23" s="40">
        <f>IF(OR($D23="",Tot_BAC=0),"",$D23/Tot_BAC-1)</f>
        <v/>
      </c>
      <c r="H23" s="34" t="inlineStr">
        <is>
          <t>Use when schedule pressure is itself driving cost — acceleration, overtime, extended preliminaries, out-of-sequence work. The most conservative index method. Some organisations weight the two indices (e.g. 0.8 CPI / 0.2 SPI); state the weighting if you do.</t>
        </is>
      </c>
      <c r="I23" s="30" t="n"/>
      <c r="J23" s="30" t="n"/>
      <c r="K23" s="30" t="n"/>
      <c r="L23" s="30" t="n"/>
      <c r="M23" s="30" t="n"/>
    </row>
    <row r="24" ht="48" customHeight="1">
      <c r="B24" s="47" t="inlineStr">
        <is>
          <t>4 — Bottom-up estimate to complete</t>
        </is>
      </c>
      <c r="C24" s="74" t="inlineStr">
        <is>
          <t>EAC = AC + bottom-up ETC</t>
        </is>
      </c>
      <c r="D24" s="31">
        <f>IF(OR(Tot_BAC=0,Tot_AC=0,ETC_BottomUp="",ETC_BottomUp&lt;=0),"",Tot_AC+ETC_BottomUp)</f>
        <v/>
      </c>
      <c r="E24" s="31">
        <f>IF($D24="","",$D24-Tot_AC)</f>
        <v/>
      </c>
      <c r="F24" s="35">
        <f>IF($D24="","",Tot_BAC-$D24)</f>
        <v/>
      </c>
      <c r="G24" s="40">
        <f>IF(OR($D24="",Tot_BAC=0),"",$D24/Tot_BAC-1)</f>
        <v/>
      </c>
      <c r="H24" s="34" t="inlineStr">
        <is>
          <t>Use when the baseline no longer represents the work — major scope change, a re-tendered package, a new delivery strategy. The only method that does not extrapolate history, and the only one that needs the team to re-estimate. Enter the ETC on the Lists sheet.</t>
        </is>
      </c>
      <c r="I24" s="30" t="n"/>
      <c r="J24" s="30" t="n"/>
      <c r="K24" s="30" t="n"/>
      <c r="L24" s="30" t="n"/>
      <c r="M24" s="30" t="n"/>
    </row>
    <row r="25" ht="24" customHeight="1">
      <c r="B25" s="66">
        <f>"SELECTED  ·  "&amp;EAC_Method</f>
        <v/>
      </c>
      <c r="C25" s="75" t="inlineStr">
        <is>
          <t>feeds the EV Register and the Dashboard</t>
        </is>
      </c>
      <c r="D25" s="42">
        <f>IF(EAC_Idx=1,$D$21,IF(EAC_Idx=2,$D$22,IF(EAC_Idx=3,$D$23,$D$24)))</f>
        <v/>
      </c>
      <c r="E25" s="42">
        <f>IF($D$25="","",$D$25-Tot_AC)</f>
        <v/>
      </c>
      <c r="F25" s="44">
        <f>IF($D$25="","",Tot_BAC-$D$25)</f>
        <v/>
      </c>
      <c r="G25" s="45">
        <f>IF(OR($D$25="",Tot_BAC=0),"",$D$25/Tot_BAC-1)</f>
        <v/>
      </c>
      <c r="H25" s="76">
        <f>IF(OR(Tot_BAC=0,$D$25=""),"",IF(Contingency_Pct*Tot_BAC+Tot_BAC-$D$25&gt;=0,"Forecast overrun is covered by the contingency allowance","Forecast overrun exceeds the contingency allowance — escalate"))</f>
        <v/>
      </c>
      <c r="I25" s="67" t="n"/>
      <c r="J25" s="67" t="n"/>
      <c r="K25" s="67" t="n"/>
      <c r="L25" s="67" t="n"/>
      <c r="M25" s="43" t="n"/>
    </row>
    <row r="27" ht="19.5" customHeight="1">
      <c r="B27" s="21" t="inlineStr">
        <is>
          <t>TO-COMPLETE PERFORMANCE INDEX (TCPI)  ·  the efficiency the remaining work must achieve</t>
        </is>
      </c>
    </row>
    <row r="28" ht="20" customHeight="1">
      <c r="B28" s="27" t="inlineStr">
        <is>
          <t>Measure</t>
        </is>
      </c>
      <c r="C28" s="28" t="inlineStr">
        <is>
          <t>Formula</t>
        </is>
      </c>
      <c r="D28" s="28" t="inlineStr">
        <is>
          <t>Value</t>
        </is>
      </c>
      <c r="E28" s="27" t="inlineStr">
        <is>
          <t>Reading</t>
        </is>
      </c>
      <c r="F28" s="27" t="n"/>
      <c r="G28" s="27" t="n"/>
      <c r="H28" s="27" t="n"/>
      <c r="I28" s="27" t="n"/>
      <c r="J28" s="27" t="n"/>
      <c r="K28" s="27" t="n"/>
      <c r="L28" s="27" t="n"/>
      <c r="M28" s="27" t="n"/>
    </row>
    <row r="29" ht="32" customHeight="1">
      <c r="B29" s="47" t="inlineStr">
        <is>
          <t>TCPI to BAC — recover to the original budget</t>
        </is>
      </c>
      <c r="C29" s="74" t="inlineStr">
        <is>
          <t>(BAC − EV) / (BAC − AC)</t>
        </is>
      </c>
      <c r="D29" s="37">
        <f>IF(OR(Tot_BAC=0,Tot_BAC-Tot_AC=0),"",(Tot_BAC-Tot_EV)/(Tot_BAC-Tot_AC))</f>
        <v/>
      </c>
      <c r="E29" s="77">
        <f>IF(TCPI_BAC="","Not enough data yet.","Every remaining unit of budget must return "&amp;TEXT(TCPI_BAC,"0.000")&amp;" units of work. Compare that with the CPI achieved so far — if it is more than about 5% above, recovery to BAC is not a credible plan.")</f>
        <v/>
      </c>
      <c r="F29" s="32" t="n"/>
      <c r="G29" s="32" t="n"/>
      <c r="H29" s="32" t="n"/>
      <c r="I29" s="32" t="n"/>
      <c r="J29" s="32" t="n"/>
      <c r="K29" s="32" t="n"/>
      <c r="L29" s="32" t="n"/>
      <c r="M29" s="32" t="n"/>
    </row>
    <row r="30" ht="32" customHeight="1">
      <c r="B30" s="47" t="inlineStr">
        <is>
          <t>TCPI to EAC — deliver the current forecast</t>
        </is>
      </c>
      <c r="C30" s="74" t="inlineStr">
        <is>
          <t>(BAC − EV) / (EAC − AC)</t>
        </is>
      </c>
      <c r="D30" s="37">
        <f>IF(OR(Tot_BAC=0,$D$25=""),"",IF($D$25-Tot_AC=0,"",(Tot_BAC-Tot_EV)/($D$25-Tot_AC)))</f>
        <v/>
      </c>
      <c r="E30" s="77">
        <f>IF(TCPI_EAC="","Not enough data yet.","The efficiency needed to land on the selected EAC. If this is close to the CPI already being achieved, the forecast is internally consistent; if it is far above, the EAC is optimistic.")</f>
        <v/>
      </c>
      <c r="F30" s="32" t="n"/>
      <c r="G30" s="32" t="n"/>
      <c r="H30" s="32" t="n"/>
      <c r="I30" s="32" t="n"/>
      <c r="J30" s="32" t="n"/>
      <c r="K30" s="32" t="n"/>
      <c r="L30" s="32" t="n"/>
      <c r="M30" s="32" t="n"/>
    </row>
    <row r="32" ht="19.5" customHeight="1">
      <c r="B32" s="21" t="inlineStr">
        <is>
          <t>SENSITIVITY  ·  what the forecast does if cost performance shifts</t>
        </is>
      </c>
    </row>
    <row r="33" ht="28" customHeight="1">
      <c r="B33" s="27" t="inlineStr">
        <is>
          <t>Scenario</t>
        </is>
      </c>
      <c r="C33" s="28" t="inlineStr">
        <is>
          <t>CPI assumed</t>
        </is>
      </c>
      <c r="D33" s="28">
        <f>"EAC = BAC / CPI ("&amp;IF(Proj_Currency="","CUR",Proj_Currency)&amp;")"</f>
        <v/>
      </c>
      <c r="E33" s="28">
        <f>"VAC ("&amp;IF(Proj_Currency="","CUR",Proj_Currency)&amp;")"</f>
        <v/>
      </c>
      <c r="F33" s="28" t="inlineStr">
        <is>
          <t>vs BAC</t>
        </is>
      </c>
      <c r="G33" s="28">
        <f>"EAC method 3 ("&amp;IF(Proj_Currency="","CUR",Proj_Currency)&amp;")"</f>
        <v/>
      </c>
      <c r="H33" s="27" t="inlineStr">
        <is>
          <t>Comment</t>
        </is>
      </c>
      <c r="I33" s="27" t="n"/>
      <c r="J33" s="27" t="n"/>
      <c r="K33" s="27" t="n"/>
      <c r="L33" s="27" t="n"/>
      <c r="M33" s="27" t="n"/>
    </row>
    <row r="34" ht="24" customHeight="1">
      <c r="B34" s="29" t="inlineStr">
        <is>
          <t>CPI falls a further 0.10</t>
        </is>
      </c>
      <c r="C34" s="37">
        <f>IF(OR(Tot_AC=0,Tot_EV=0),"",MAX(0.01,Tot_EV/Tot_AC+-0.1))</f>
        <v/>
      </c>
      <c r="D34" s="31">
        <f>IF(OR($C34="",Tot_BAC=0),"",Tot_BAC/$C34)</f>
        <v/>
      </c>
      <c r="E34" s="35">
        <f>IF($D34="","",Tot_BAC-$D34)</f>
        <v/>
      </c>
      <c r="F34" s="40">
        <f>IF(OR($D34="",Tot_BAC=0),"",$D34/Tot_BAC-1)</f>
        <v/>
      </c>
      <c r="G34" s="31">
        <f>IF(OR($C34="",Tot_BAC=0,Tot_PV=0,Tot_EV=0),"",Tot_AC+(Tot_BAC-Tot_EV)/($C34*(Tot_EV/Tot_PV)))</f>
        <v/>
      </c>
      <c r="H34" s="34" t="inlineStr">
        <is>
          <t>A material deterioration — typically rework, a failed subcontractor or sustained lost productivity.</t>
        </is>
      </c>
      <c r="I34" s="30" t="n"/>
      <c r="J34" s="30" t="n"/>
      <c r="K34" s="30" t="n"/>
      <c r="L34" s="30" t="n"/>
      <c r="M34" s="30" t="n"/>
    </row>
    <row r="35" ht="24" customHeight="1">
      <c r="B35" s="29" t="inlineStr">
        <is>
          <t>CPI falls a further 0.05</t>
        </is>
      </c>
      <c r="C35" s="37">
        <f>IF(OR(Tot_AC=0,Tot_EV=0),"",MAX(0.01,Tot_EV/Tot_AC+-0.05))</f>
        <v/>
      </c>
      <c r="D35" s="31">
        <f>IF(OR($C35="",Tot_BAC=0),"",Tot_BAC/$C35)</f>
        <v/>
      </c>
      <c r="E35" s="35">
        <f>IF($D35="","",Tot_BAC-$D35)</f>
        <v/>
      </c>
      <c r="F35" s="40">
        <f>IF(OR($D35="",Tot_BAC=0),"",$D35/Tot_BAC-1)</f>
        <v/>
      </c>
      <c r="G35" s="31">
        <f>IF(OR($C35="",Tot_BAC=0,Tot_PV=0,Tot_EV=0),"",Tot_AC+(Tot_BAC-Tot_EV)/($C35*(Tot_EV/Tot_PV)))</f>
        <v/>
      </c>
      <c r="H35" s="34" t="inlineStr">
        <is>
          <t>A realistic downside if the current trend continues without intervention.</t>
        </is>
      </c>
      <c r="I35" s="30" t="n"/>
      <c r="J35" s="30" t="n"/>
      <c r="K35" s="30" t="n"/>
      <c r="L35" s="30" t="n"/>
      <c r="M35" s="30" t="n"/>
    </row>
    <row r="36" ht="24" customHeight="1">
      <c r="B36" s="47" t="inlineStr">
        <is>
          <t>CPI holds at today's level</t>
        </is>
      </c>
      <c r="C36" s="37">
        <f>IF(OR(Tot_AC=0,Tot_EV=0),"",MAX(0.01,Tot_EV/Tot_AC+0.0))</f>
        <v/>
      </c>
      <c r="D36" s="31">
        <f>IF(OR($C36="",Tot_BAC=0),"",Tot_BAC/$C36)</f>
        <v/>
      </c>
      <c r="E36" s="35">
        <f>IF($D36="","",Tot_BAC-$D36)</f>
        <v/>
      </c>
      <c r="F36" s="40">
        <f>IF(OR($D36="",Tot_BAC=0),"",$D36/Tot_BAC-1)</f>
        <v/>
      </c>
      <c r="G36" s="31">
        <f>IF(OR($C36="",Tot_BAC=0,Tot_PV=0,Tot_EV=0),"",Tot_AC+(Tot_BAC-Tot_EV)/($C36*(Tot_EV/Tot_PV)))</f>
        <v/>
      </c>
      <c r="H36" s="34" t="inlineStr">
        <is>
          <t>The central case. This is EAC method 2.</t>
        </is>
      </c>
      <c r="I36" s="30" t="n"/>
      <c r="J36" s="30" t="n"/>
      <c r="K36" s="30" t="n"/>
      <c r="L36" s="30" t="n"/>
      <c r="M36" s="30" t="n"/>
    </row>
    <row r="37" ht="24" customHeight="1">
      <c r="B37" s="29" t="inlineStr">
        <is>
          <t>CPI improves by 0.05</t>
        </is>
      </c>
      <c r="C37" s="37">
        <f>IF(OR(Tot_AC=0,Tot_EV=0),"",MAX(0.01,Tot_EV/Tot_AC+0.05))</f>
        <v/>
      </c>
      <c r="D37" s="31">
        <f>IF(OR($C37="",Tot_BAC=0),"",Tot_BAC/$C37)</f>
        <v/>
      </c>
      <c r="E37" s="35">
        <f>IF($D37="","",Tot_BAC-$D37)</f>
        <v/>
      </c>
      <c r="F37" s="40">
        <f>IF(OR($D37="",Tot_BAC=0),"",$D37/Tot_BAC-1)</f>
        <v/>
      </c>
      <c r="G37" s="31">
        <f>IF(OR($C37="",Tot_BAC=0,Tot_PV=0,Tot_EV=0),"",Tot_AC+(Tot_BAC-Tot_EV)/($C37*(Tot_EV/Tot_PV)))</f>
        <v/>
      </c>
      <c r="H37" s="34" t="inlineStr">
        <is>
          <t>Requires a specific, funded, evidenced intervention — not optimism.</t>
        </is>
      </c>
      <c r="I37" s="30" t="n"/>
      <c r="J37" s="30" t="n"/>
      <c r="K37" s="30" t="n"/>
      <c r="L37" s="30" t="n"/>
      <c r="M37" s="30" t="n"/>
    </row>
    <row r="38" ht="24" customHeight="1">
      <c r="B38" s="29" t="inlineStr">
        <is>
          <t>CPI improves by 0.10</t>
        </is>
      </c>
      <c r="C38" s="37">
        <f>IF(OR(Tot_AC=0,Tot_EV=0),"",MAX(0.01,Tot_EV/Tot_AC+0.1))</f>
        <v/>
      </c>
      <c r="D38" s="31">
        <f>IF(OR($C38="",Tot_BAC=0),"",Tot_BAC/$C38)</f>
        <v/>
      </c>
      <c r="E38" s="35">
        <f>IF($D38="","",Tot_BAC-$D38)</f>
        <v/>
      </c>
      <c r="F38" s="40">
        <f>IF(OR($D38="",Tot_BAC=0),"",$D38/Tot_BAC-1)</f>
        <v/>
      </c>
      <c r="G38" s="31">
        <f>IF(OR($C38="",Tot_BAC=0,Tot_PV=0,Tot_EV=0),"",Tot_AC+(Tot_BAC-Tot_EV)/($C38*(Tot_EV/Tot_PV)))</f>
        <v/>
      </c>
      <c r="H38" s="34" t="inlineStr">
        <is>
          <t>Rarely achieved after 20% complete. Do not report this as the forecast.</t>
        </is>
      </c>
      <c r="I38" s="30" t="n"/>
      <c r="J38" s="30" t="n"/>
      <c r="K38" s="30" t="n"/>
      <c r="L38" s="30" t="n"/>
      <c r="M38" s="30" t="n"/>
    </row>
    <row r="40" ht="19.5" customHeight="1">
      <c r="B40" s="21" t="inlineStr">
        <is>
          <t>FUNDING VIEW</t>
        </is>
      </c>
    </row>
    <row r="41" ht="20" customHeight="1">
      <c r="B41" s="27" t="inlineStr">
        <is>
          <t>Line</t>
        </is>
      </c>
      <c r="C41" s="28">
        <f>"Amount ("&amp;IF(Proj_Currency="","CUR",Proj_Currency)&amp;")"</f>
        <v/>
      </c>
      <c r="D41" s="27" t="inlineStr">
        <is>
          <t>Basis</t>
        </is>
      </c>
      <c r="E41" s="27" t="n"/>
      <c r="F41" s="27" t="n"/>
      <c r="G41" s="27" t="n"/>
      <c r="H41" s="27" t="n"/>
      <c r="I41" s="27" t="n"/>
      <c r="J41" s="27" t="n"/>
      <c r="K41" s="27" t="n"/>
      <c r="L41" s="27" t="n"/>
      <c r="M41" s="27" t="n"/>
    </row>
    <row r="42" ht="22" customHeight="1">
      <c r="B42" s="47" t="inlineStr">
        <is>
          <t>Budget at Completion (BAC)</t>
        </is>
      </c>
      <c r="C42" s="33">
        <f>IF(Tot_BAC=0,"",Tot_BAC)</f>
        <v/>
      </c>
      <c r="D42" s="34" t="inlineStr">
        <is>
          <t>The performance measurement baseline. Everything in the EV Register.</t>
        </is>
      </c>
      <c r="E42" s="30" t="n"/>
      <c r="F42" s="30" t="n"/>
      <c r="G42" s="30" t="n"/>
      <c r="H42" s="30" t="n"/>
      <c r="I42" s="30" t="n"/>
      <c r="J42" s="30" t="n"/>
      <c r="K42" s="30" t="n"/>
      <c r="L42" s="30" t="n"/>
      <c r="M42" s="30" t="n"/>
    </row>
    <row r="43" ht="22" customHeight="1">
      <c r="B43" s="78" t="inlineStr">
        <is>
          <t>Contingency allowance</t>
        </is>
      </c>
      <c r="C43" s="31">
        <f>IF(Tot_BAC=0,"",Tot_BAC*Contingency_Pct)</f>
        <v/>
      </c>
      <c r="D43" s="34" t="inlineStr">
        <is>
          <t>BAC x the contingency % on Lists. Held inside the BAC for identified, quantified risk.</t>
        </is>
      </c>
      <c r="E43" s="30" t="n"/>
      <c r="F43" s="30" t="n"/>
      <c r="G43" s="30" t="n"/>
      <c r="H43" s="30" t="n"/>
      <c r="I43" s="30" t="n"/>
      <c r="J43" s="30" t="n"/>
      <c r="K43" s="30" t="n"/>
      <c r="L43" s="30" t="n"/>
      <c r="M43" s="30" t="n"/>
    </row>
    <row r="44" ht="22" customHeight="1">
      <c r="B44" s="78" t="inlineStr">
        <is>
          <t>Estimate at Completion (selected method)</t>
        </is>
      </c>
      <c r="C44" s="31">
        <f>IF($D$25="","",$D$25)</f>
        <v/>
      </c>
      <c r="D44" s="34" t="inlineStr">
        <is>
          <t>The forecast final cost of the work in the baseline.</t>
        </is>
      </c>
      <c r="E44" s="30" t="n"/>
      <c r="F44" s="30" t="n"/>
      <c r="G44" s="30" t="n"/>
      <c r="H44" s="30" t="n"/>
      <c r="I44" s="30" t="n"/>
      <c r="J44" s="30" t="n"/>
      <c r="K44" s="30" t="n"/>
      <c r="L44" s="30" t="n"/>
      <c r="M44" s="30" t="n"/>
    </row>
    <row r="45" ht="22" customHeight="1">
      <c r="B45" s="78" t="inlineStr">
        <is>
          <t>Forecast draw on contingency</t>
        </is>
      </c>
      <c r="C45" s="31">
        <f>IF(OR($D$25="",Tot_BAC=0),"",MAX(0,$D$25-Tot_BAC))</f>
        <v/>
      </c>
      <c r="D45" s="34" t="inlineStr">
        <is>
          <t>How much of the contingency the current forecast consumes. Zero is the target.</t>
        </is>
      </c>
      <c r="E45" s="30" t="n"/>
      <c r="F45" s="30" t="n"/>
      <c r="G45" s="30" t="n"/>
      <c r="H45" s="30" t="n"/>
      <c r="I45" s="30" t="n"/>
      <c r="J45" s="30" t="n"/>
      <c r="K45" s="30" t="n"/>
      <c r="L45" s="30" t="n"/>
      <c r="M45" s="30" t="n"/>
    </row>
    <row r="46" ht="22" customHeight="1">
      <c r="B46" s="78" t="inlineStr">
        <is>
          <t>Management reserve (outside BAC)</t>
        </is>
      </c>
      <c r="C46" s="31">
        <f>IF(Mgmt_Reserve="","",Mgmt_Reserve)</f>
        <v/>
      </c>
      <c r="D46" s="34" t="inlineStr">
        <is>
          <t>Owner-held reserve for unknown-unknowns. It is NOT part of the BAC and is never used to improve a variance. Moving reserve into the BAC is a formal baseline change.</t>
        </is>
      </c>
      <c r="E46" s="30" t="n"/>
      <c r="F46" s="30" t="n"/>
      <c r="G46" s="30" t="n"/>
      <c r="H46" s="30" t="n"/>
      <c r="I46" s="30" t="n"/>
      <c r="J46" s="30" t="n"/>
      <c r="K46" s="30" t="n"/>
      <c r="L46" s="30" t="n"/>
      <c r="M46" s="30" t="n"/>
    </row>
    <row r="47" ht="22" customHeight="1">
      <c r="B47" s="47" t="inlineStr">
        <is>
          <t>Total funding requirement</t>
        </is>
      </c>
      <c r="C47" s="33">
        <f>IF(OR($D$25="",Mgmt_Reserve=""),"",$D$25+Mgmt_Reserve)</f>
        <v/>
      </c>
      <c r="D47" s="34" t="inlineStr">
        <is>
          <t>EAC plus management reserve — the number the funder cares about.</t>
        </is>
      </c>
      <c r="E47" s="30" t="n"/>
      <c r="F47" s="30" t="n"/>
      <c r="G47" s="30" t="n"/>
      <c r="H47" s="30" t="n"/>
      <c r="I47" s="30" t="n"/>
      <c r="J47" s="30" t="n"/>
      <c r="K47" s="30" t="n"/>
      <c r="L47" s="30" t="n"/>
      <c r="M47" s="30" t="n"/>
    </row>
    <row r="49" ht="26" customHeight="1">
      <c r="B49" s="16" t="inlineStr">
        <is>
          <t>None of these forecasts is a substitute for a schedule. EVM tells you the rate at which value is being earned and consumed; it does not tell you the completion date. Read the EAC alongside a current, logic-linked programme and an independent estimate of the time to complete.</t>
        </is>
      </c>
    </row>
    <row r="51" ht="12.75" customHeight="1">
      <c r="A51" s="17" t="inlineStr">
        <is>
          <t>Visit mastt.com</t>
        </is>
      </c>
      <c r="B51" s="18" t="n"/>
      <c r="C51" s="18" t="n"/>
      <c r="D51" s="18" t="n"/>
      <c r="E51" s="18" t="n"/>
      <c r="F51" s="18" t="n"/>
      <c r="G51" s="18" t="n"/>
      <c r="H51" s="18" t="n"/>
      <c r="I51" s="18" t="n"/>
      <c r="J51" s="18" t="n"/>
      <c r="K51" s="18" t="n"/>
      <c r="L51" s="18" t="n"/>
      <c r="M51" s="18" t="n"/>
      <c r="N51" s="18" t="n"/>
    </row>
  </sheetData>
  <sheetProtection selectLockedCells="0" selectUnlockedCells="0" sheet="1" objects="0" insertRows="0" insertHyperlinks="1" autoFilter="0" scenarios="0" formatColumns="0" deleteColumns="1" insertColumns="0" pivotTables="1" deleteRows="0" formatCells="0" formatRows="0" sort="0"/>
  <mergeCells count="41">
    <mergeCell ref="H21:M21"/>
    <mergeCell ref="E29:M29"/>
    <mergeCell ref="D12:M12"/>
    <mergeCell ref="E28:M28"/>
    <mergeCell ref="H36:M36"/>
    <mergeCell ref="D9:M9"/>
    <mergeCell ref="B8:M8"/>
    <mergeCell ref="D15:M15"/>
    <mergeCell ref="A51:N51"/>
    <mergeCell ref="D42:M42"/>
    <mergeCell ref="D14:M14"/>
    <mergeCell ref="E30:M30"/>
    <mergeCell ref="C2:N2"/>
    <mergeCell ref="B19:M19"/>
    <mergeCell ref="H22:M22"/>
    <mergeCell ref="D44:M44"/>
    <mergeCell ref="H34:M34"/>
    <mergeCell ref="H37:M37"/>
    <mergeCell ref="B40:M40"/>
    <mergeCell ref="D10:M10"/>
    <mergeCell ref="B49:M49"/>
    <mergeCell ref="H33:M33"/>
    <mergeCell ref="D46:M46"/>
    <mergeCell ref="H24:M24"/>
    <mergeCell ref="D45:M45"/>
    <mergeCell ref="H23:M23"/>
    <mergeCell ref="B32:M32"/>
    <mergeCell ref="H6:N6"/>
    <mergeCell ref="C3:N3"/>
    <mergeCell ref="H35:M35"/>
    <mergeCell ref="H20:M20"/>
    <mergeCell ref="H38:M38"/>
    <mergeCell ref="D13:M13"/>
    <mergeCell ref="D11:M11"/>
    <mergeCell ref="D41:M41"/>
    <mergeCell ref="D43:M43"/>
    <mergeCell ref="D17:M17"/>
    <mergeCell ref="D47:M47"/>
    <mergeCell ref="D16:M16"/>
    <mergeCell ref="B27:M27"/>
    <mergeCell ref="H25:M25"/>
  </mergeCells>
  <conditionalFormatting sqref="E34:E38">
    <cfRule type="expression" priority="1" dxfId="0" stopIfTrue="0">
      <formula>AND(E34&lt;&gt;"",ISNUMBER(E34),E34&lt;0)</formula>
    </cfRule>
  </conditionalFormatting>
  <hyperlinks>
    <hyperlink xmlns:r="http://schemas.openxmlformats.org/officeDocument/2006/relationships" ref="A2" r:id="rId1"/>
    <hyperlink xmlns:r="http://schemas.openxmlformats.org/officeDocument/2006/relationships" ref="A51" r:id="rId2"/>
  </hyperlinks>
  <pageMargins left="0.3" right="0.3" top="0.4" bottom="0.4" header="0.2" footer="0.2"/>
  <pageSetup orientation="landscape" paperSize="9" fitToHeight="0" fitToWidth="1"/>
  <drawing xmlns:r="http://schemas.openxmlformats.org/officeDocument/2006/relationships" r:id="rId3"/>
</worksheet>
</file>

<file path=xl/worksheets/sheet7.xml><?xml version="1.0" encoding="utf-8"?>
<worksheet xmlns="http://schemas.openxmlformats.org/spreadsheetml/2006/main">
  <sheetPr>
    <outlinePr summaryBelow="1" summaryRight="1"/>
    <pageSetUpPr fitToPage="1"/>
  </sheetPr>
  <dimension ref="A2:H43"/>
  <sheetViews>
    <sheetView showGridLines="0" zoomScale="100" workbookViewId="0">
      <selection activeCell="A1" sqref="A1"/>
    </sheetView>
  </sheetViews>
  <sheetFormatPr baseColWidth="8" defaultRowHeight="15"/>
  <cols>
    <col width="2.5" customWidth="1" min="1" max="1"/>
    <col width="34" customWidth="1" min="2" max="2"/>
    <col width="34" customWidth="1" min="3" max="3"/>
    <col width="20" customWidth="1" min="4" max="4"/>
    <col width="20" customWidth="1" min="5" max="5"/>
    <col width="20" customWidth="1" min="6" max="6"/>
    <col width="20" customWidth="1" min="7" max="7"/>
    <col width="2.5" customWidth="1" min="8" max="8"/>
  </cols>
  <sheetData>
    <row r="1" ht="3.75" customHeight="1"/>
    <row r="2" ht="27.75" customHeight="1">
      <c r="A2" s="1" t="inlineStr">
        <is>
          <t xml:space="preserve"> </t>
        </is>
      </c>
      <c r="B2" s="2" t="n"/>
      <c r="C2" s="2" t="n"/>
      <c r="D2" s="3" t="inlineStr">
        <is>
          <t>Earned Value Analysis (EVM)</t>
        </is>
      </c>
    </row>
    <row r="3" ht="12.75" customHeight="1">
      <c r="A3" s="2" t="n"/>
      <c r="B3" s="2" t="n"/>
      <c r="C3" s="2" t="n"/>
      <c r="D3" s="4" t="inlineStr">
        <is>
          <t>Lists  ·  settings that drive every calculation, and every dropdown source</t>
        </is>
      </c>
    </row>
    <row r="4" ht="6" customHeight="1"/>
    <row r="6" ht="19.5" customHeight="1">
      <c r="B6" s="21" t="inlineStr">
        <is>
          <t>SETTINGS  ·  referenced by the register, the dashboard and the forecast sheet</t>
        </is>
      </c>
    </row>
    <row r="7" ht="20" customHeight="1">
      <c r="B7" s="27" t="inlineStr">
        <is>
          <t>Setting</t>
        </is>
      </c>
      <c r="C7" s="28" t="inlineStr">
        <is>
          <t>Value</t>
        </is>
      </c>
      <c r="D7" s="27" t="inlineStr">
        <is>
          <t>What it does</t>
        </is>
      </c>
      <c r="E7" s="27" t="n"/>
      <c r="F7" s="27" t="n"/>
      <c r="G7" s="27" t="n"/>
    </row>
    <row r="8" ht="30" customHeight="1">
      <c r="B8" s="47" t="inlineStr">
        <is>
          <t>Data date</t>
        </is>
      </c>
      <c r="C8" s="79">
        <f>IF(Proj_Date="","",Proj_Date)</f>
        <v/>
      </c>
      <c r="D8" s="34" t="inlineStr">
        <is>
          <t>Set on the Cover sheet — this cell mirrors it. Every planned %, every cumulative-to-date figure and the whole tie-out block keys off this one date. Change it once per period, not per sheet.</t>
        </is>
      </c>
      <c r="E8" s="30" t="n"/>
      <c r="F8" s="30" t="n"/>
      <c r="G8" s="30" t="n"/>
    </row>
    <row r="9" ht="30" customHeight="1">
      <c r="B9" s="47" t="inlineStr">
        <is>
          <t>EAC method</t>
        </is>
      </c>
      <c r="C9" s="13" t="inlineStr">
        <is>
          <t>2 — BAC / CPI</t>
        </is>
      </c>
      <c r="D9" s="34" t="inlineStr">
        <is>
          <t>Which of the four forecast methods feeds the EAC column on the EV Register, the Dashboard tile and the funding view. Choose from the dropdown; the workbook recalculates everywhere.</t>
        </is>
      </c>
      <c r="E9" s="30" t="n"/>
      <c r="F9" s="30" t="n"/>
      <c r="G9" s="30" t="n"/>
    </row>
    <row r="10" ht="30" customHeight="1">
      <c r="B10" s="47" t="inlineStr">
        <is>
          <t>EAC method index</t>
        </is>
      </c>
      <c r="C10" s="52">
        <f>IFERROR(VALUE(LEFT(EAC_Method,1)),2)</f>
        <v/>
      </c>
      <c r="D10" s="34" t="inlineStr">
        <is>
          <t>Reads the leading digit of the method above so the formulas can branch. Do not edit.</t>
        </is>
      </c>
      <c r="E10" s="30" t="n"/>
      <c r="F10" s="30" t="n"/>
      <c r="G10" s="30" t="n"/>
    </row>
    <row r="11" ht="30" customHeight="1">
      <c r="B11" s="47" t="inlineStr">
        <is>
          <t>Bottom-up ETC</t>
        </is>
      </c>
      <c r="C11" s="80" t="n">
        <v>0</v>
      </c>
      <c r="D11" s="34" t="inlineStr">
        <is>
          <t>Only used by EAC method 4. Enter the re-estimated cost to complete the remaining work, built up from the team's own estimate rather than extrapolated from an index.</t>
        </is>
      </c>
      <c r="E11" s="30" t="n"/>
      <c r="F11" s="30" t="n"/>
      <c r="G11" s="30" t="n"/>
    </row>
    <row r="12" ht="30" customHeight="1">
      <c r="B12" s="47" t="inlineStr">
        <is>
          <t>Bottom-up distribution factor</t>
        </is>
      </c>
      <c r="C12" s="81">
        <f>IF(OR(Tot_BAC=0,Tot_BAC-Tot_EV=0),0,ETC_BottomUp/(Tot_BAC-Tot_EV))</f>
        <v/>
      </c>
      <c r="D12" s="34" t="inlineStr">
        <is>
          <t>Spreads the bottom-up ETC across the register pro-rata to each element's remaining work, so the element EACs still add up to the project EAC. Do not edit.</t>
        </is>
      </c>
      <c r="E12" s="30" t="n"/>
      <c r="F12" s="30" t="n"/>
      <c r="G12" s="30" t="n"/>
    </row>
    <row r="13" ht="30" customHeight="1">
      <c r="B13" s="47" t="inlineStr">
        <is>
          <t>SPI / CPI red threshold</t>
        </is>
      </c>
      <c r="C13" s="82" t="n">
        <v>0.9</v>
      </c>
      <c r="D13" s="34" t="inlineStr">
        <is>
          <t>An index below this is reported Red. 0.90 is the common construction trigger — 10% off plan.</t>
        </is>
      </c>
      <c r="E13" s="30" t="n"/>
      <c r="F13" s="30" t="n"/>
      <c r="G13" s="30" t="n"/>
    </row>
    <row r="14" ht="30" customHeight="1">
      <c r="B14" s="47" t="inlineStr">
        <is>
          <t>SPI / CPI amber threshold</t>
        </is>
      </c>
      <c r="C14" s="82" t="n">
        <v>0.98</v>
      </c>
      <c r="D14" s="34" t="inlineStr">
        <is>
          <t>Between the red and amber thresholds the element is coloured amber and must be explained in the monthly report.</t>
        </is>
      </c>
      <c r="E14" s="30" t="n"/>
      <c r="F14" s="30" t="n"/>
      <c r="G14" s="30" t="n"/>
    </row>
    <row r="15" ht="30" customHeight="1">
      <c r="B15" s="47" t="inlineStr">
        <is>
          <t>SPI / CPI green threshold</t>
        </is>
      </c>
      <c r="C15" s="82" t="n">
        <v>1</v>
      </c>
      <c r="D15" s="34" t="inlineStr">
        <is>
          <t>At or above this an element is Green. Leave it at 1.00 unless your organisation runs a tolerance band.</t>
        </is>
      </c>
      <c r="E15" s="30" t="n"/>
      <c r="F15" s="30" t="n"/>
      <c r="G15" s="30" t="n"/>
    </row>
    <row r="16" ht="30" customHeight="1">
      <c r="B16" s="47" t="inlineStr">
        <is>
          <t>Contingency %</t>
        </is>
      </c>
      <c r="C16" s="83" t="n">
        <v>0.05</v>
      </c>
      <c r="D16" s="34" t="inlineStr">
        <is>
          <t>Contingency held inside the BAC, as a percentage of BAC. Used on the Forecast sheet to test whether the forecast overrun is covered.</t>
        </is>
      </c>
      <c r="E16" s="30" t="n"/>
      <c r="F16" s="30" t="n"/>
      <c r="G16" s="30" t="n"/>
    </row>
    <row r="17" ht="30" customHeight="1">
      <c r="B17" s="47" t="inlineStr">
        <is>
          <t>Management reserve (outside BAC)</t>
        </is>
      </c>
      <c r="C17" s="80" t="n">
        <v>0</v>
      </c>
      <c r="D17" s="34" t="inlineStr">
        <is>
          <t>Owner-held reserve for unknown-unknowns. It sits OUTSIDE the BAC and outside every index. Never use it to close a cost variance — releasing it is a formal baseline change.</t>
        </is>
      </c>
      <c r="E17" s="30" t="n"/>
      <c r="F17" s="30" t="n"/>
      <c r="G17" s="30" t="n"/>
    </row>
    <row r="18" ht="30" customHeight="1">
      <c r="B18" s="47" t="inlineStr">
        <is>
          <t>Currency</t>
        </is>
      </c>
      <c r="C18" s="54">
        <f>IF(Proj_Currency="","—",Proj_Currency)</f>
        <v/>
      </c>
      <c r="D18" s="34" t="inlineStr">
        <is>
          <t>Set on the Cover sheet. The workbook uses the code you enter in every header — no currency symbol is hard-coded anywhere.</t>
        </is>
      </c>
      <c r="E18" s="30" t="n"/>
      <c r="F18" s="30" t="n"/>
      <c r="G18" s="30" t="n"/>
    </row>
    <row r="19" ht="30" customHeight="1">
      <c r="B19" s="47" t="inlineStr">
        <is>
          <t>Baseline periods loaded</t>
        </is>
      </c>
      <c r="C19" s="52">
        <f>COUNT('Time-Phased Data'!$B$9:$B$44)</f>
        <v/>
      </c>
      <c r="D19" s="34" t="inlineStr">
        <is>
          <t>How many periods of the time-phased baseline carry an end date. The S-curve plots this many points.</t>
        </is>
      </c>
      <c r="E19" s="30" t="n"/>
      <c r="F19" s="30" t="n"/>
      <c r="G19" s="30" t="n"/>
    </row>
    <row r="21" ht="19.5" customHeight="1">
      <c r="B21" s="21" t="inlineStr">
        <is>
          <t>DROPDOWN SOURCE LISTS</t>
        </is>
      </c>
    </row>
    <row r="22" ht="22" customHeight="1">
      <c r="B22" s="16" t="inlineStr">
        <is>
          <t>To add an option, insert a row INSIDE a list (not below the last entry) so the validation range grows with it. Keep the EAC Method entries starting with their number — the workbook reads that digit.</t>
        </is>
      </c>
    </row>
    <row r="23" ht="20" customHeight="1">
      <c r="B23" s="28" t="inlineStr">
        <is>
          <t>EV Technique</t>
        </is>
      </c>
      <c r="C23" s="28" t="inlineStr">
        <is>
          <t>EAC Method</t>
        </is>
      </c>
      <c r="D23" s="28" t="inlineStr">
        <is>
          <t>WBS Level</t>
        </is>
      </c>
      <c r="E23" s="28" t="inlineStr">
        <is>
          <t>Status (calculated)</t>
        </is>
      </c>
      <c r="F23" s="28" t="inlineStr">
        <is>
          <t>Yes / No</t>
        </is>
      </c>
    </row>
    <row r="24" ht="17" customHeight="1">
      <c r="B24" s="15" t="inlineStr">
        <is>
          <t>% Complete</t>
        </is>
      </c>
      <c r="C24" s="15" t="inlineStr">
        <is>
          <t>1 — AC + (BAC − EV)</t>
        </is>
      </c>
      <c r="D24" s="13" t="n">
        <v>1</v>
      </c>
      <c r="E24" s="13" t="inlineStr">
        <is>
          <t>Green</t>
        </is>
      </c>
      <c r="F24" s="13" t="inlineStr">
        <is>
          <t>Yes</t>
        </is>
      </c>
    </row>
    <row r="25" ht="17" customHeight="1">
      <c r="B25" s="15" t="inlineStr">
        <is>
          <t>0/100</t>
        </is>
      </c>
      <c r="C25" s="15" t="inlineStr">
        <is>
          <t>2 — BAC / CPI</t>
        </is>
      </c>
      <c r="D25" s="13" t="n">
        <v>2</v>
      </c>
      <c r="E25" s="13" t="inlineStr">
        <is>
          <t>Amber</t>
        </is>
      </c>
      <c r="F25" s="13" t="inlineStr">
        <is>
          <t>No</t>
        </is>
      </c>
    </row>
    <row r="26" ht="17" customHeight="1">
      <c r="B26" s="15" t="inlineStr">
        <is>
          <t>50/50</t>
        </is>
      </c>
      <c r="C26" s="15" t="inlineStr">
        <is>
          <t>3 — AC + (BAC − EV) / (CPI × SPI)</t>
        </is>
      </c>
      <c r="D26" s="13" t="n">
        <v>3</v>
      </c>
      <c r="E26" s="13" t="inlineStr">
        <is>
          <t>Red</t>
        </is>
      </c>
    </row>
    <row r="27" ht="17" customHeight="1">
      <c r="B27" s="15" t="inlineStr">
        <is>
          <t>20/80</t>
        </is>
      </c>
      <c r="C27" s="15" t="inlineStr">
        <is>
          <t>4 — AC + Bottom-Up ETC</t>
        </is>
      </c>
      <c r="D27" s="13" t="n">
        <v>4</v>
      </c>
      <c r="E27" s="13" t="inlineStr">
        <is>
          <t>Not started</t>
        </is>
      </c>
    </row>
    <row r="28" ht="17" customHeight="1">
      <c r="B28" s="15" t="inlineStr">
        <is>
          <t>Milestone Weighted</t>
        </is>
      </c>
      <c r="D28" s="13" t="n">
        <v>5</v>
      </c>
      <c r="E28" s="13" t="inlineStr">
        <is>
          <t>Complete</t>
        </is>
      </c>
    </row>
    <row r="29" ht="17" customHeight="1">
      <c r="B29" s="15" t="inlineStr">
        <is>
          <t>Units Complete</t>
        </is>
      </c>
    </row>
    <row r="30" ht="17" customHeight="1">
      <c r="B30" s="15" t="inlineStr">
        <is>
          <t>Level of Effort</t>
        </is>
      </c>
    </row>
    <row r="31" ht="17" customHeight="1">
      <c r="B31" s="15" t="inlineStr">
        <is>
          <t>Apportioned Effort</t>
        </is>
      </c>
    </row>
    <row r="33" ht="19.5" customHeight="1">
      <c r="B33" s="21" t="inlineStr">
        <is>
          <t>EARNED VALUE TECHNIQUES  ·  what each one means</t>
        </is>
      </c>
    </row>
    <row r="34" ht="26" customHeight="1">
      <c r="B34" s="47" t="inlineStr">
        <is>
          <t>% Complete</t>
        </is>
      </c>
      <c r="C34" s="34" t="inlineStr">
        <is>
          <t>A judged or measured percentage, claimed each period. Flexible, and the easiest to abuse — insist on a quantity basis or a signed measure.</t>
        </is>
      </c>
      <c r="D34" s="30" t="n"/>
      <c r="E34" s="30" t="n"/>
      <c r="F34" s="30" t="n"/>
      <c r="G34" s="30" t="n"/>
    </row>
    <row r="35" ht="26" customHeight="1">
      <c r="B35" s="47" t="inlineStr">
        <is>
          <t>0/100</t>
        </is>
      </c>
      <c r="C35" s="34" t="inlineStr">
        <is>
          <t>No credit until the element is finished, then 100%. Best for short, discrete tasks inside one period.</t>
        </is>
      </c>
      <c r="D35" s="30" t="n"/>
      <c r="E35" s="30" t="n"/>
      <c r="F35" s="30" t="n"/>
      <c r="G35" s="30" t="n"/>
    </row>
    <row r="36" ht="26" customHeight="1">
      <c r="B36" s="47" t="inlineStr">
        <is>
          <t>50/50</t>
        </is>
      </c>
      <c r="C36" s="34" t="inlineStr">
        <is>
          <t>50% when the element starts, the balance when it finishes. Good for two-period tasks.</t>
        </is>
      </c>
      <c r="D36" s="30" t="n"/>
      <c r="E36" s="30" t="n"/>
      <c r="F36" s="30" t="n"/>
      <c r="G36" s="30" t="n"/>
    </row>
    <row r="37" ht="26" customHeight="1">
      <c r="B37" s="47" t="inlineStr">
        <is>
          <t>20/80</t>
        </is>
      </c>
      <c r="C37" s="34" t="inlineStr">
        <is>
          <t>20% on start, 80% on completion. Use where starting is cheap relative to finishing — a conservative alternative to 50/50.</t>
        </is>
      </c>
      <c r="D37" s="30" t="n"/>
      <c r="E37" s="30" t="n"/>
      <c r="F37" s="30" t="n"/>
      <c r="G37" s="30" t="n"/>
    </row>
    <row r="38" ht="26" customHeight="1">
      <c r="B38" s="47" t="inlineStr">
        <is>
          <t>Milestone Weighted</t>
        </is>
      </c>
      <c r="C38" s="34" t="inlineStr">
        <is>
          <t>Value assigned to defined, verifiable milestones (design issued, off-site QA passed, installed, tested). The most defensible technique for façade, plant and commissioning.</t>
        </is>
      </c>
      <c r="D38" s="30" t="n"/>
      <c r="E38" s="30" t="n"/>
      <c r="F38" s="30" t="n"/>
      <c r="G38" s="30" t="n"/>
    </row>
    <row r="39" ht="26" customHeight="1">
      <c r="B39" s="47" t="inlineStr">
        <is>
          <t>Units Complete</t>
        </is>
      </c>
      <c r="C39" s="34" t="inlineStr">
        <is>
          <t>EV = units installed / total units x BAC. The most objective technique. Use it wherever the work is countable — piles, cubic metres, panels, luminaires.</t>
        </is>
      </c>
      <c r="D39" s="30" t="n"/>
      <c r="E39" s="30" t="n"/>
      <c r="F39" s="30" t="n"/>
      <c r="G39" s="30" t="n"/>
    </row>
    <row r="40" ht="26" customHeight="1">
      <c r="B40" s="47" t="inlineStr">
        <is>
          <t>Level of Effort</t>
        </is>
      </c>
      <c r="C40" s="34" t="inlineStr">
        <is>
          <t>Earns exactly to plan by definition (EV = PV), so it can never show a schedule variance. Restrict it to genuine support work — site management, cleaning, security — and keep it under ~15% of BAC.</t>
        </is>
      </c>
      <c r="D40" s="30" t="n"/>
      <c r="E40" s="30" t="n"/>
      <c r="F40" s="30" t="n"/>
      <c r="G40" s="30" t="n"/>
    </row>
    <row r="41" ht="26" customHeight="1">
      <c r="B41" s="47" t="inlineStr">
        <is>
          <t>Apportioned Effort</t>
        </is>
      </c>
      <c r="C41" s="34" t="inlineStr">
        <is>
          <t>Earns as a fixed ratio of a related discrete element (e.g. QA inspection earning with the work it inspects). Never let it earn against a Level of Effort account.</t>
        </is>
      </c>
      <c r="D41" s="30" t="n"/>
      <c r="E41" s="30" t="n"/>
      <c r="F41" s="30" t="n"/>
      <c r="G41" s="30" t="n"/>
    </row>
    <row r="43" ht="12.75" customHeight="1">
      <c r="A43" s="17" t="inlineStr">
        <is>
          <t>Visit mastt.com</t>
        </is>
      </c>
      <c r="B43" s="18" t="n"/>
      <c r="C43" s="18" t="n"/>
      <c r="D43" s="18" t="n"/>
      <c r="E43" s="18" t="n"/>
      <c r="F43" s="18" t="n"/>
      <c r="G43" s="18" t="n"/>
      <c r="H43" s="18" t="n"/>
    </row>
  </sheetData>
  <sheetProtection selectLockedCells="0" selectUnlockedCells="0" sheet="1" objects="0" insertRows="0" insertHyperlinks="1" autoFilter="0" scenarios="0" formatColumns="0" deleteColumns="1" insertColumns="0" pivotTables="1" deleteRows="0" formatCells="0" formatRows="0" sort="0"/>
  <mergeCells count="28">
    <mergeCell ref="D18:G18"/>
    <mergeCell ref="D9:G9"/>
    <mergeCell ref="C34:G34"/>
    <mergeCell ref="D12:G12"/>
    <mergeCell ref="D8:G8"/>
    <mergeCell ref="D15:G15"/>
    <mergeCell ref="D14:G14"/>
    <mergeCell ref="C35:G35"/>
    <mergeCell ref="D2:H2"/>
    <mergeCell ref="C41:G41"/>
    <mergeCell ref="D19:G19"/>
    <mergeCell ref="D10:G10"/>
    <mergeCell ref="C40:G40"/>
    <mergeCell ref="B33:G33"/>
    <mergeCell ref="B6:G6"/>
    <mergeCell ref="C36:G36"/>
    <mergeCell ref="D11:G11"/>
    <mergeCell ref="D13:G13"/>
    <mergeCell ref="C39:G39"/>
    <mergeCell ref="D3:H3"/>
    <mergeCell ref="D17:G17"/>
    <mergeCell ref="B22:G22"/>
    <mergeCell ref="C38:G38"/>
    <mergeCell ref="A43:H43"/>
    <mergeCell ref="D16:G16"/>
    <mergeCell ref="D7:G7"/>
    <mergeCell ref="C37:G37"/>
    <mergeCell ref="B21:G21"/>
  </mergeCells>
  <dataValidations count="1">
    <dataValidation sqref="C9" showDropDown="0" showInputMessage="0" showErrorMessage="1" allowBlank="1" errorTitle="Invalid entry" error="Choose a value from the drop-down list." type="list">
      <formula1>Lists!$C$24:$C$27</formula1>
    </dataValidation>
  </dataValidations>
  <hyperlinks>
    <hyperlink xmlns:r="http://schemas.openxmlformats.org/officeDocument/2006/relationships" ref="A2" r:id="rId1"/>
    <hyperlink xmlns:r="http://schemas.openxmlformats.org/officeDocument/2006/relationships" ref="A43" r:id="rId2"/>
  </hyperlinks>
  <pageMargins left="0.3" right="0.3" top="0.4" bottom="0.4" header="0.2" footer="0.2"/>
  <pageSetup orientation="portrait" paperSize="9" fitToHeight="0" fitToWidth="1"/>
  <drawing xmlns:r="http://schemas.openxmlformats.org/officeDocument/2006/relationships" r:id="rId3"/>
</worksheet>
</file>

<file path=xl/worksheets/sheet8.xml><?xml version="1.0" encoding="utf-8"?>
<worksheet xmlns="http://schemas.openxmlformats.org/spreadsheetml/2006/main">
  <sheetPr>
    <outlinePr summaryBelow="1" summaryRight="1"/>
    <pageSetUpPr fitToPage="1"/>
  </sheetPr>
  <dimension ref="A2:H97"/>
  <sheetViews>
    <sheetView showGridLines="0" zoomScale="100" workbookViewId="0">
      <selection activeCell="A1" sqref="A1"/>
    </sheetView>
  </sheetViews>
  <sheetFormatPr baseColWidth="8" defaultRowHeight="15"/>
  <cols>
    <col width="2.5" customWidth="1" min="1" max="1"/>
    <col width="20" customWidth="1" min="2" max="2"/>
    <col width="22" customWidth="1" min="3" max="3"/>
    <col width="22" customWidth="1" min="4" max="4"/>
    <col width="22" customWidth="1" min="5" max="5"/>
    <col width="22" customWidth="1" min="6" max="6"/>
    <col width="22" customWidth="1" min="7" max="7"/>
    <col width="2.5" customWidth="1" min="8" max="8"/>
  </cols>
  <sheetData>
    <row r="1" ht="3.75" customHeight="1"/>
    <row r="2" ht="27.75" customHeight="1">
      <c r="A2" s="1" t="inlineStr">
        <is>
          <t xml:space="preserve"> </t>
        </is>
      </c>
      <c r="B2" s="2" t="n"/>
      <c r="C2" s="2" t="n"/>
      <c r="D2" s="3" t="inlineStr">
        <is>
          <t>Earned Value Analysis (EVM)</t>
        </is>
      </c>
    </row>
    <row r="3" ht="12.75" customHeight="1">
      <c r="A3" s="2" t="n"/>
      <c r="B3" s="2" t="n"/>
      <c r="C3" s="2" t="n"/>
      <c r="D3" s="4" t="inlineStr">
        <is>
          <t>Notes &amp; Assumptions  ·  read before issuing this template</t>
        </is>
      </c>
    </row>
    <row r="4" ht="6" customHeight="1"/>
    <row r="6" ht="19.5" customHeight="1">
      <c r="B6" s="5" t="inlineStr">
        <is>
          <t>WHAT THIS WORKBOOK DOES</t>
        </is>
      </c>
    </row>
    <row r="7" ht="37.5" customHeight="1">
      <c r="B7" s="10" t="inlineStr">
        <is>
          <t>Earned Value Management measures three things in the same unit — money — and compares them: what you planned to have done by now (PV), what you have actually done (EV), and what it cost you to do it (AC). Everything else in EVM is arithmetic on those three numbers.</t>
        </is>
      </c>
    </row>
    <row r="8" ht="37.5" customHeight="1">
      <c r="B8" s="10" t="inlineStr">
        <is>
          <t>This workbook implements the standard method described in the PMI Practice Standard for Earned Value Management and ISO 21508. Terminology is the international convention: PV (formerly BCWS), EV (formerly BCWP), AC (formerly ACWP).</t>
        </is>
      </c>
    </row>
    <row r="9" ht="25" customHeight="1">
      <c r="B9" s="10" t="inlineStr">
        <is>
          <t>It is jurisdiction-neutral. No statute, tax or contract clause is referenced, and no currency symbol is hard-coded — the workbook uses the currency code you enter on the Cover sheet.</t>
        </is>
      </c>
    </row>
    <row r="11" ht="19.5" customHeight="1">
      <c r="B11" s="5" t="inlineStr">
        <is>
          <t>WHICH SHEET OWNS WHAT — THE SOURCE OF TRUTH</t>
        </is>
      </c>
    </row>
    <row r="12" ht="37.5" customHeight="1">
      <c r="B12" s="10" t="inlineStr">
        <is>
          <t>EV Register — owns the position at the data date. BAC by control account, Actual % Complete, and Actual Cost are entered here, and the register total row is what the Dashboard reports. If a number on the Dashboard looks wrong, the register is where you fix it.</t>
        </is>
      </c>
    </row>
    <row r="13" ht="37.5" customHeight="1">
      <c r="B13" s="10" t="inlineStr">
        <is>
          <t>Time-Phased Data — owns the shape of the baseline over time. The 36-period grid is the performance measurement baseline (PMB); the S-curve and every trend index are plotted from it. It also owns the period splits used for the 'this period' column on the Dashboard.</t>
        </is>
      </c>
    </row>
    <row r="14" ht="37.5" customHeight="1">
      <c r="B14" s="10" t="inlineStr">
        <is>
          <t>The two must reconcile. The tie-out block on Time-Phased Data compares its cumulative PV, EV and AC at the data date with the register totals and flags any difference above 0.5% of BAC. A persistent difference means one of the two is not being maintained — usually the phasing.</t>
        </is>
      </c>
    </row>
    <row r="15" ht="25" customHeight="1">
      <c r="B15" s="10" t="inlineStr">
        <is>
          <t>Lists — owns every tunable setting: the EAC method, the bottom-up ETC, the RAG thresholds, the contingency percentage and the management reserve. Nothing is hard-coded in a formula that belongs on Lists.</t>
        </is>
      </c>
    </row>
    <row r="17" ht="19.5" customHeight="1">
      <c r="B17" s="5" t="inlineStr">
        <is>
          <t>THE THREE PREREQUISITES FOR MEANINGFUL EARNED VALUE</t>
        </is>
      </c>
    </row>
    <row r="18" ht="50" customHeight="1">
      <c r="B18" s="10" t="inlineStr">
        <is>
          <t>1. A scoped WBS. Every element in the register must have a defined, deliverable scope and a single accountable control account manager. If two people can each claim the same work, or if scope sits between elements, the EV is unreliable no matter how good the arithmetic is. 100% of the scope must be in the WBS, and nothing may appear twice.</t>
        </is>
      </c>
    </row>
    <row r="19" ht="37.5" customHeight="1">
      <c r="B19" s="10" t="inlineStr">
        <is>
          <t>2. A time-phased baseline. A budget without dates is not a baseline. Each element's BAC must be spread across the periods in which the work is planned to be earned — that spread is the PV curve, and without it there is no schedule variance to measure. Load it on the Time-Phased Data sheet and freeze it.</t>
        </is>
      </c>
    </row>
    <row r="20" ht="50" customHeight="1">
      <c r="B20" s="10" t="inlineStr">
        <is>
          <t>3. Disciplined actual cost capture. AC must cover the same scope, and the same cut-off, as the EV claimed against it. If the EV includes work done in the last week of the month but the AC excludes invoices not yet received, CPI will look better than reality every month and then correct violently. Accrue committed but uninvoiced cost, and be consistent.</t>
        </is>
      </c>
    </row>
    <row r="22" ht="19.5" customHeight="1">
      <c r="B22" s="5" t="inlineStr">
        <is>
          <t>DEFINITIONS — THE MEASURES</t>
        </is>
      </c>
    </row>
    <row r="23" ht="25" customHeight="1">
      <c r="B23" s="10" t="inlineStr">
        <is>
          <t>BAC — Budget at Completion. The total authorised budget for the scope in the baseline, excluding management reserve. The sum of the BAC column on the EV Register.</t>
        </is>
      </c>
    </row>
    <row r="24" ht="14" customHeight="1">
      <c r="B24" s="10" t="inlineStr">
        <is>
          <t>PV — Planned Value (BCWS). The budgeted cost of the work scheduled to be completed by the data date.</t>
        </is>
      </c>
    </row>
    <row r="25" ht="25" customHeight="1">
      <c r="B25" s="10" t="inlineStr">
        <is>
          <t>EV — Earned Value (BCWP). The budgeted cost of the work actually completed by the data date. EV is measured in budget currency, not in cost incurred — this is the single most misunderstood point in EVM.</t>
        </is>
      </c>
    </row>
    <row r="26" ht="25" customHeight="1">
      <c r="B26" s="10" t="inlineStr">
        <is>
          <t>AC — Actual Cost (ACWP). The cost actually incurred for the work included in the EV, on a consistent cut-off basis.</t>
        </is>
      </c>
    </row>
    <row r="27" ht="25" customHeight="1">
      <c r="B27" s="10" t="inlineStr">
        <is>
          <t>SV — Schedule Variance = EV − PV. Negative means less work has been earned than planned. Expressed in money, not time.</t>
        </is>
      </c>
    </row>
    <row r="28" ht="25" customHeight="1">
      <c r="B28" s="10" t="inlineStr">
        <is>
          <t>CV — Cost Variance = EV − AC. Negative means the completed work cost more than budgeted. This is the variance that rarely recovers.</t>
        </is>
      </c>
    </row>
    <row r="29" ht="14" customHeight="1">
      <c r="B29" s="10" t="inlineStr">
        <is>
          <t>SV % = SV / PV.  CV % = CV / EV. Percentages make elements of different size comparable.</t>
        </is>
      </c>
    </row>
    <row r="31" ht="19.5" customHeight="1">
      <c r="B31" s="5" t="inlineStr">
        <is>
          <t>DEFINITIONS — THE INDICES AND FORECASTS</t>
        </is>
      </c>
    </row>
    <row r="32" ht="25" customHeight="1">
      <c r="B32" s="10" t="inlineStr">
        <is>
          <t>SPI — Schedule Performance Index = EV / PV. 1.00 is on plan. SPI is a rate, not a date: it says nothing about whether the work that is late is on the critical path.</t>
        </is>
      </c>
    </row>
    <row r="33" ht="37.5" customHeight="1">
      <c r="B33" s="10" t="inlineStr">
        <is>
          <t>CPI — Cost Performance Index = EV / AC. 1.00 means a unit of budget is buying a unit of work. Extensive research on completed projects shows cumulative CPI is stable to within about 0.10 from roughly 20% complete onward — treat a forecast that assumes CPI recovers as an exception requiring evidence.</t>
        </is>
      </c>
    </row>
    <row r="34" ht="37.5" customHeight="1">
      <c r="B34" s="10" t="inlineStr">
        <is>
          <t>EAC — Estimate at Completion. The forecast total cost of the baselined scope. Four standard methods are computed side by side on the Forecast &amp; Scenarios sheet; the one you select on Lists drives the register and the Dashboard.</t>
        </is>
      </c>
    </row>
    <row r="35" ht="14" customHeight="1">
      <c r="B35" s="10" t="inlineStr">
        <is>
          <t>ETC — Estimate to Complete = EAC − AC. What the remaining work will cost.</t>
        </is>
      </c>
    </row>
    <row r="36" ht="14" customHeight="1">
      <c r="B36" s="10" t="inlineStr">
        <is>
          <t>VAC — Variance at Completion = BAC − EAC. Negative is a forecast overrun.</t>
        </is>
      </c>
    </row>
    <row r="37" ht="50" customHeight="1">
      <c r="B37" s="10" t="inlineStr">
        <is>
          <t>TCPI — To-Complete Performance Index. TCPI to BAC = (BAC − EV) / (BAC − AC) is the cost efficiency the remaining work must achieve to finish on the original budget. TCPI to EAC = (BAC − EV) / (EAC − AC) is the efficiency needed to land on your own forecast. If TCPI is far above the CPI you have achieved so far, the plan is not credible.</t>
        </is>
      </c>
    </row>
    <row r="39" ht="19.5" customHeight="1">
      <c r="B39" s="5" t="inlineStr">
        <is>
          <t>THE FORMULAS THIS WORKBOOK USES</t>
        </is>
      </c>
    </row>
    <row r="40" ht="14" customHeight="1">
      <c r="B40" s="10" t="inlineStr">
        <is>
          <t>PV = BAC x Planned % Complete   ·   EV = BAC x Actual % Complete   ·   SV = EV − PV   ·   CV = EV − AC</t>
        </is>
      </c>
    </row>
    <row r="41" ht="14" customHeight="1">
      <c r="B41" s="10" t="inlineStr">
        <is>
          <t>SPI = EV / PV   ·   CPI = EV / AC   ·   SV % = SV / PV   ·   CV % = CV / EV</t>
        </is>
      </c>
    </row>
    <row r="42" ht="25" customHeight="1">
      <c r="B42" s="10" t="inlineStr">
        <is>
          <t>EAC method 1 = AC + (BAC − EV)   ·   method 2 = BAC / CPI   ·   method 3 = AC + (BAC − EV) / (CPI x SPI)   ·   method 4 = AC + bottom-up ETC</t>
        </is>
      </c>
    </row>
    <row r="43" ht="25" customHeight="1">
      <c r="B43" s="10" t="inlineStr">
        <is>
          <t>ETC = EAC − AC   ·   VAC = BAC − EAC   ·   TCPI to BAC = (BAC − EV) / (BAC − AC)   ·   TCPI to EAC = (BAC − EV) / (EAC − AC)</t>
        </is>
      </c>
    </row>
    <row r="44" ht="37.5" customHeight="1">
      <c r="B44" s="10" t="inlineStr">
        <is>
          <t>Every division in this workbook is guarded: a blank or zero denominator returns an empty cell, never an error. If you see a blank where you expect a number, an input is missing — usually Actual Cost or Actual % Complete.</t>
        </is>
      </c>
    </row>
    <row r="45" ht="37.5" customHeight="1">
      <c r="B45" s="10" t="inlineStr">
        <is>
          <t>Element-level EAC applies the selected method row by row. For methods 2 and 3 the element EACs will not sum to the project EAC, because CPI and SPI are weighted averages. The project EAC on the total row and the Dashboard is computed from project totals and is the figure to report.</t>
        </is>
      </c>
    </row>
    <row r="46" ht="25" customHeight="1">
      <c r="B46" s="10" t="inlineStr">
        <is>
          <t>A register row with no Actual Cost recorded returns a blank EAC, ETC and CPI — there is no basis for a forecast until cost has been incurred against the element. Enter 0 where an element has genuinely cost nothing yet.</t>
        </is>
      </c>
    </row>
    <row r="48" ht="19.5" customHeight="1">
      <c r="B48" s="5" t="inlineStr">
        <is>
          <t>CHOOSING AN EARNED VALUE TECHNIQUE</t>
        </is>
      </c>
    </row>
    <row r="49" ht="25" customHeight="1">
      <c r="B49" s="10" t="inlineStr">
        <is>
          <t>Match the technique to how the work is actually measured, and fix it before the period starts — changing technique mid-stream is the easiest way to manufacture progress.</t>
        </is>
      </c>
    </row>
    <row r="50" ht="25" customHeight="1">
      <c r="B50" s="10" t="inlineStr">
        <is>
          <t>Prefer objective techniques. Units Complete and Milestone Weighted are defensible in an audit; a judged % Complete is not, unless it is backed by a measured quantity or a signed measure.</t>
        </is>
      </c>
    </row>
    <row r="51" ht="25" customHeight="1">
      <c r="B51" s="10" t="inlineStr">
        <is>
          <t>0/100, 50/50 and 20/80 are for discrete, short-duration work. The shorter the element relative to the reporting period, the more conservative the split should be.</t>
        </is>
      </c>
    </row>
    <row r="52" ht="25" customHeight="1">
      <c r="B52" s="10" t="inlineStr">
        <is>
          <t>Level of Effort earns to plan by definition, so it can never report a schedule variance — see the traps below.</t>
        </is>
      </c>
    </row>
    <row r="53" ht="14" customHeight="1">
      <c r="B53" s="10" t="inlineStr">
        <is>
          <t>Apportioned Effort should track a discrete base account, never a Level of Effort account.</t>
        </is>
      </c>
    </row>
    <row r="55" ht="19.5" customHeight="1">
      <c r="B55" s="5" t="inlineStr">
        <is>
          <t>TRAPS — THE THINGS THAT MAKE EARNED VALUE DATA MISLEADING</t>
        </is>
      </c>
    </row>
    <row r="56" ht="50" customHeight="1">
      <c r="B56" s="10" t="inlineStr">
        <is>
          <t>Level-of-effort distortion. LOE accounts earn EV equal to PV every period regardless of what happens, so they dilute the project SPI towards 1.00 and hide real schedule slippage in the discrete work. Keep LOE below roughly 15% of BAC, tag it clearly (use the EV Technique column), and read the SPI of the discrete accounts separately before you believe the project number.</t>
        </is>
      </c>
    </row>
    <row r="57" ht="50" customHeight="1">
      <c r="B57" s="10" t="inlineStr">
        <is>
          <t>Earning value on procurement and materials on site. Delivering a switchboard to site is not progress; installing it is. Claiming EV on delivery front-loads the curve and produces a flattering SPI followed by an unexplained collapse. If materials must be recognised, use a milestone technique with a small delivery weighting (typically 10-20%) and the balance on installation and test.</t>
        </is>
      </c>
    </row>
    <row r="58" ht="37.5" customHeight="1">
      <c r="B58" s="10" t="inlineStr">
        <is>
          <t>Actual cost cut-off versus claim certification. The most common cause of CPI whiplash. EV is claimed to the end of the month; AC often reflects only invoices processed, which lag by weeks. Accrue the uninvoiced but incurred cost, or the CPI you report is measuring your accounts payable process rather than your project.</t>
        </is>
      </c>
    </row>
    <row r="59" ht="25" customHeight="1">
      <c r="B59" s="10" t="inlineStr">
        <is>
          <t>Subcontractor claim timing. A subcontractor's certified claim reflects their assessment, at their cut-off, on their measurement basis. Reconcile it to your own EV measurement before it becomes AC.</t>
        </is>
      </c>
    </row>
    <row r="60" ht="37.5" customHeight="1">
      <c r="B60" s="10" t="inlineStr">
        <is>
          <t>SPI near completion. As the project finishes, PV converges on BAC and so does EV, dragging SPI towards 1.00 even on a project that is months late. In the last third, read the programme and the earned schedule, not the SPI.</t>
        </is>
      </c>
    </row>
    <row r="61" ht="37.5" customHeight="1">
      <c r="B61" s="10" t="inlineStr">
        <is>
          <t>Retention, escalation and provisional sums. Decide once whether AC is gross or net of retention, whether escalation sits in the BAC, and how provisional sums are treated — then apply it consistently across every element. Document the decision here.</t>
        </is>
      </c>
    </row>
    <row r="62" ht="25" customHeight="1">
      <c r="B62" s="10" t="inlineStr">
        <is>
          <t>Negative or reversed progress. Rework can genuinely reduce EV. Do not suppress it; a falling EV is information.</t>
        </is>
      </c>
    </row>
    <row r="64" ht="19.5" customHeight="1">
      <c r="B64" s="5" t="inlineStr">
        <is>
          <t>VARIATIONS AND APPROVED CHANGES TO THE BAC</t>
        </is>
      </c>
    </row>
    <row r="65" ht="37.5" customHeight="1">
      <c r="B65" s="10" t="inlineStr">
        <is>
          <t>The BAC changes only through an approved change to the baseline. Until a variation is approved, do not adjust the BAC of the affected element — the cost incurred still appears in AC, the cost variance still shows, and that is the correct signal.</t>
        </is>
      </c>
    </row>
    <row r="66" ht="50" customHeight="1">
      <c r="B66" s="10" t="inlineStr">
        <is>
          <t>When a variation is approved, add its value to the BAC of the affected control accounts, phase it into the Time-Phased Data sheet in the periods it will be earned, and record the change on the Cover sheet revision history with the variation reference. Both sheets move together; if only one moves, the tie-out block will tell you.</t>
        </is>
      </c>
    </row>
    <row r="67" ht="37.5" customHeight="1">
      <c r="B67" s="10" t="inlineStr">
        <is>
          <t>Never adjust EV retrospectively to make a past variance disappear. If a claimed percentage was wrong, correct it in the current period and note why in the Variance Explanation column — the audit trail matters more than a smooth curve.</t>
        </is>
      </c>
    </row>
    <row r="68" ht="25" customHeight="1">
      <c r="B68" s="10" t="inlineStr">
        <is>
          <t>Work done on instruction but not yet approved is a real risk. Track it outside the BAC and disclose it alongside the EAC so the forecast is not quietly understated.</t>
        </is>
      </c>
    </row>
    <row r="70" ht="19.5" customHeight="1">
      <c r="B70" s="5" t="inlineStr">
        <is>
          <t>CONTINGENCY AND MANAGEMENT RESERVE</t>
        </is>
      </c>
    </row>
    <row r="71" ht="37.5" customHeight="1">
      <c r="B71" s="10" t="inlineStr">
        <is>
          <t>Contingency sits inside the BAC. It is money set aside for identified, quantified risk within the current scope, and drawing on it is a project decision. Set the percentage on Lists; the Forecast sheet tests whether the forecast overrun is covered by it.</t>
        </is>
      </c>
    </row>
    <row r="72" ht="37.5" customHeight="1">
      <c r="B72" s="10" t="inlineStr">
        <is>
          <t>Management reserve sits outside the BAC. It is the owner's allowance for unknown-unknowns, it is excluded from every index and every variance, and it must never be used to close a cost variance. Releasing management reserve into the BAC is a formal baseline change with its own approval.</t>
        </is>
      </c>
    </row>
    <row r="73" ht="25" customHeight="1">
      <c r="B73" s="10" t="inlineStr">
        <is>
          <t>A CPI that only looks acceptable because reserve has been absorbed into the baseline is not a measurement — it is a presentation. Keep the two separate and the numbers stay honest.</t>
        </is>
      </c>
    </row>
    <row r="75" ht="19.5" customHeight="1">
      <c r="B75" s="5" t="inlineStr">
        <is>
          <t>REBASELINING DISCIPLINE</t>
        </is>
      </c>
    </row>
    <row r="76" ht="37.5" customHeight="1">
      <c r="B76" s="10" t="inlineStr">
        <is>
          <t>Rebaselining resets the comparison and destroys the trend you have built up. Do it only when the baseline no longer represents a plan anyone intends to follow — after a major scope change, a re-tender, or an agreed extension of time — and never simply because the variances have become uncomfortable.</t>
        </is>
      </c>
    </row>
    <row r="77" ht="37.5" customHeight="1">
      <c r="B77" s="10" t="inlineStr">
        <is>
          <t>When you do rebaseline: keep the old baseline as a separate saved copy, record the approval and the reason in the revision history, restate the BAC and the time-phased PV together, and state clearly in the next report that the comparison basis has changed and what the variance was immediately before the reset.</t>
        </is>
      </c>
    </row>
    <row r="78" ht="25" customHeight="1">
      <c r="B78" s="10" t="inlineStr">
        <is>
          <t>Between rebaselines, the PV column and the Time-Phased Data grid are read-only in practice, even though the cells are unlocked so that you can load them in the first place.</t>
        </is>
      </c>
    </row>
    <row r="80" ht="19.5" customHeight="1">
      <c r="B80" s="5" t="inlineStr">
        <is>
          <t>THE MONTHLY EVM CYCLE</t>
        </is>
      </c>
    </row>
    <row r="81" ht="14" customHeight="1">
      <c r="B81" s="10" t="inlineStr">
        <is>
          <t>1. Fix the data date on the Cover and hold it for every input in the cycle.</t>
        </is>
      </c>
    </row>
    <row r="82" ht="25" customHeight="1">
      <c r="B82" s="10" t="inlineStr">
        <is>
          <t>2. Collect Actual % Complete for every control account, on the technique recorded in the register, evidenced by measure, milestone or unit count.</t>
        </is>
      </c>
    </row>
    <row r="83" ht="14" customHeight="1">
      <c r="B83" s="10" t="inlineStr">
        <is>
          <t>3. Collect Actual Cost on the same cut-off, including accruals for work done but not invoiced.</t>
        </is>
      </c>
    </row>
    <row r="84" ht="14" customHeight="1">
      <c r="B84" s="10" t="inlineStr">
        <is>
          <t>4. Enter both in the EV Register; enter the period EV and AC on the Time-Phased Data sheet.</t>
        </is>
      </c>
    </row>
    <row r="85" ht="14" customHeight="1">
      <c r="B85" s="10" t="inlineStr">
        <is>
          <t>5. Check the tie-out block. Resolve any difference before you look at the indices.</t>
        </is>
      </c>
    </row>
    <row r="86" ht="14" customHeight="1">
      <c r="B86" s="10" t="inlineStr">
        <is>
          <t>6. Read the Dashboard: SPI, CPI, the four EAC methods and the top five worst-performing elements.</t>
        </is>
      </c>
    </row>
    <row r="87" ht="25" customHeight="1">
      <c r="B87" s="10" t="inlineStr">
        <is>
          <t>7. Write a Variance Explanation and a Corrective Action for every amber and red element. A variance without a named owner and a dated action is a statistic, not management.</t>
        </is>
      </c>
    </row>
    <row r="88" ht="14" customHeight="1">
      <c r="B88" s="10" t="inlineStr">
        <is>
          <t>8. Issue, then archive a copy of the workbook. The trend is only useful if the history is intact.</t>
        </is>
      </c>
    </row>
    <row r="90" ht="19.5" customHeight="1">
      <c r="B90" s="5" t="inlineStr">
        <is>
          <t>LIMITATIONS OF THIS WORKBOOK</t>
        </is>
      </c>
    </row>
    <row r="91" ht="25" customHeight="1">
      <c r="B91" s="10" t="inlineStr">
        <is>
          <t>EVM measures cost-loaded progress. It does not model the critical path, float, or resource constraint, and SV expressed in money is not the same as delay in days. Use it alongside a current, logic-linked programme.</t>
        </is>
      </c>
    </row>
    <row r="92" ht="25" customHeight="1">
      <c r="B92" s="10" t="inlineStr">
        <is>
          <t>The workbook carries 200 register rows and 36 monthly periods as supplied. To extend either, insert rows inside the existing range so the formulas, validation and named ranges expand with them.</t>
        </is>
      </c>
    </row>
    <row r="93" ht="25" customHeight="1">
      <c r="B93" s="10" t="inlineStr">
        <is>
          <t>Earned schedule (ES, SV(t), SPI(t)) is not implemented here. If your organisation reports earned schedule, derive it from the cumulative EV and PV curves on the Time-Phased Data sheet.</t>
        </is>
      </c>
    </row>
    <row r="94" ht="25" customHeight="1">
      <c r="B94" s="10" t="inlineStr">
        <is>
          <t>The example rows describe a mid-rise commercial building and exist only to show the shape of a coherent WBS. Delete them before use — they are flagged in the Notes column of each sheet.</t>
        </is>
      </c>
    </row>
    <row r="97" ht="12.75" customHeight="1">
      <c r="A97" s="17" t="inlineStr">
        <is>
          <t>Visit mastt.com</t>
        </is>
      </c>
      <c r="B97" s="18" t="n"/>
      <c r="C97" s="18" t="n"/>
      <c r="D97" s="18" t="n"/>
      <c r="E97" s="18" t="n"/>
      <c r="F97" s="18" t="n"/>
      <c r="G97" s="18" t="n"/>
      <c r="H97" s="18" t="n"/>
    </row>
  </sheetData>
  <sheetProtection selectLockedCells="0" selectUnlockedCells="0" sheet="1" objects="0" insertRows="0" insertHyperlinks="1" autoFilter="0" scenarios="0" formatColumns="0" deleteColumns="1" insertColumns="0" pivotTables="1" deleteRows="0" formatCells="0" formatRows="0" sort="0"/>
  <mergeCells count="67">
    <mergeCell ref="B42:G42"/>
    <mergeCell ref="B14:G14"/>
    <mergeCell ref="B60:G60"/>
    <mergeCell ref="B67:G67"/>
    <mergeCell ref="B23:G23"/>
    <mergeCell ref="B61:G61"/>
    <mergeCell ref="B57:G57"/>
    <mergeCell ref="B8:G8"/>
    <mergeCell ref="B73:G73"/>
    <mergeCell ref="B13:G13"/>
    <mergeCell ref="B88:G88"/>
    <mergeCell ref="B44:G44"/>
    <mergeCell ref="B53:G53"/>
    <mergeCell ref="B78:G78"/>
    <mergeCell ref="B29:G29"/>
    <mergeCell ref="B82:G82"/>
    <mergeCell ref="B87:G87"/>
    <mergeCell ref="B19:G19"/>
    <mergeCell ref="B34:G34"/>
    <mergeCell ref="B28:G28"/>
    <mergeCell ref="B37:G37"/>
    <mergeCell ref="B84:G84"/>
    <mergeCell ref="D2:H2"/>
    <mergeCell ref="B9:G9"/>
    <mergeCell ref="B49:G49"/>
    <mergeCell ref="B65:G65"/>
    <mergeCell ref="B83:G83"/>
    <mergeCell ref="B40:G40"/>
    <mergeCell ref="B92:G92"/>
    <mergeCell ref="B68:G68"/>
    <mergeCell ref="B15:G15"/>
    <mergeCell ref="B33:G33"/>
    <mergeCell ref="B24:G24"/>
    <mergeCell ref="B51:G51"/>
    <mergeCell ref="B20:G20"/>
    <mergeCell ref="B85:G85"/>
    <mergeCell ref="B36:G36"/>
    <mergeCell ref="B76:G76"/>
    <mergeCell ref="B94:G94"/>
    <mergeCell ref="B45:G45"/>
    <mergeCell ref="B41:G41"/>
    <mergeCell ref="B32:G32"/>
    <mergeCell ref="B35:G35"/>
    <mergeCell ref="B50:G50"/>
    <mergeCell ref="B26:G26"/>
    <mergeCell ref="B62:G62"/>
    <mergeCell ref="B7:G7"/>
    <mergeCell ref="B25:G25"/>
    <mergeCell ref="D3:H3"/>
    <mergeCell ref="B72:G72"/>
    <mergeCell ref="B91:G91"/>
    <mergeCell ref="B81:G81"/>
    <mergeCell ref="A97:H97"/>
    <mergeCell ref="B46:G46"/>
    <mergeCell ref="B59:G59"/>
    <mergeCell ref="B66:G66"/>
    <mergeCell ref="B27:G27"/>
    <mergeCell ref="B71:G71"/>
    <mergeCell ref="B93:G93"/>
    <mergeCell ref="B43:G43"/>
    <mergeCell ref="B12:G12"/>
    <mergeCell ref="B18:G18"/>
    <mergeCell ref="B56:G56"/>
    <mergeCell ref="B52:G52"/>
    <mergeCell ref="B58:G58"/>
    <mergeCell ref="B86:G86"/>
    <mergeCell ref="B77:G77"/>
  </mergeCells>
  <hyperlinks>
    <hyperlink xmlns:r="http://schemas.openxmlformats.org/officeDocument/2006/relationships" ref="A2" r:id="rId1"/>
    <hyperlink xmlns:r="http://schemas.openxmlformats.org/officeDocument/2006/relationships" ref="A97" r:id="rId2"/>
  </hyperlinks>
  <pageMargins left="0.3" right="0.3" top="0.4" bottom="0.4" header="0.2" footer="0.2"/>
  <pageSetup orientation="portrait" paperSize="9" fitToHeight="0" fitToWidth="1"/>
  <drawing xmlns:r="http://schemas.openxmlformats.org/officeDocument/2006/relationships" r:id="rId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2026-08-19T09:23:08Z</dcterms:created>
  <dcterms:modified xmlns:dcterms="http://purl.org/dc/terms/" xmlns:xsi="http://www.w3.org/2001/XMLSchema-instance" xsi:type="dcterms:W3CDTF">2026-08-19T09:23:09Z</dcterms:modified>
</cp:coreProperties>
</file>