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Register" sheetId="3" state="visible" r:id="rId5"/>
    <sheet name="Matrix" sheetId="4" state="visible" r:id="rId6"/>
    <sheet name="Engagement Plan" sheetId="5" state="visible" r:id="rId7"/>
    <sheet name="Commitments" sheetId="6" state="visible" r:id="rId8"/>
    <sheet name="Log" sheetId="7" state="visible" r:id="rId9"/>
    <sheet name="Reference" sheetId="8" state="visible" r:id="rId10"/>
  </sheets>
  <definedNames>
    <definedName function="false" hidden="false" localSheetId="5" name="_xlnm.Print_Area" vbProcedure="false">Commitments!$A$1:$M$19</definedName>
    <definedName function="false" hidden="true" localSheetId="5" name="_xlnm._FilterDatabase" vbProcedure="false">Commitments!$B$6:$M$17</definedName>
    <definedName function="false" hidden="false" localSheetId="0" name="_xlnm.Print_Area" vbProcedure="false">Cover!$A$1:$G$64</definedName>
    <definedName function="false" hidden="false" localSheetId="4" name="_xlnm.Print_Area" vbProcedure="false">'Engagement Plan'!$A$1:$M$28</definedName>
    <definedName function="false" hidden="true" localSheetId="4" name="_xlnm._FilterDatabase" vbProcedure="false">'Engagement Plan'!$B$6:$M$26</definedName>
    <definedName function="false" hidden="false" localSheetId="6" name="_xlnm.Print_Area" vbProcedure="false">Log!$A$1:$K$28</definedName>
    <definedName function="false" hidden="true" localSheetId="6" name="_xlnm._FilterDatabase" vbProcedure="false">Log!$B$6:$K$26</definedName>
    <definedName function="false" hidden="false" localSheetId="3" name="_xlnm.Print_Area" vbProcedure="false">Matrix!$A$1:$G$52</definedName>
    <definedName function="false" hidden="false" localSheetId="7" name="_xlnm.Print_Area" vbProcedure="false">Reference!$A$1:$K$44</definedName>
    <definedName function="false" hidden="false" localSheetId="2" name="_xlnm.Print_Area" vbProcedure="false">Register!$A$1:$P$28</definedName>
    <definedName function="false" hidden="true" localSheetId="2" name="_xlnm._FilterDatabase" vbProcedure="false">Register!$B$6:$P$26</definedName>
    <definedName function="false" hidden="false" localSheetId="1" name="_xlnm.Print_Area" vbProcedure="false">Setup!$A$1:$H$25</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<sst xmlns="http://schemas.openxmlformats.org/spreadsheetml/2006/main" count="655" uniqueCount="353">
  <si>
    <t xml:space="preserve">Stakeholder Management Plan</t>
  </si>
  <si>
    <t xml:space="preserve">A register, a grid that redraws itself, and the commitments sheet most templates leave out</t>
  </si>
  <si>
    <t xml:space="preserve">List who matters, score how much they can affect the project and how closely they are watching, and say what you are promising each of them. The grid draws itself from the scores, the next contact date works itself out from the log, and every promise you make sits in a register with the evidence that discharges it.</t>
  </si>
  <si>
    <t xml:space="preserve">HOW TO USE IT</t>
  </si>
  <si>
    <t xml:space="preserve">1.   Fill in Setup</t>
  </si>
  <si>
    <t xml:space="preserve">Project, the data date, the two thresholds that decide which stakeholders are high influence and high interest, and how often a stakeholder has to be contacted before the register flags it.</t>
  </si>
  <si>
    <t xml:space="preserve">2.   List the stakeholders, not the people</t>
  </si>
  <si>
    <t xml:space="preserve">One row per group or organisation. Score influence and interest, set where they are now and where you need them, and name one person here who owns the relationship.</t>
  </si>
  <si>
    <t xml:space="preserve">3.   Say what you are promising them</t>
  </si>
  <si>
    <t xml:space="preserve">On the Engagement Plan, and separately from how they feel about you. What you promise sets what you have to do; how they feel is the result.</t>
  </si>
  <si>
    <t xml:space="preserve">4.   Put every promise in Commitments the moment it is made</t>
  </si>
  <si>
    <t xml:space="preserve">Whether it came out of a meeting, a condition of approval or a public statement. This is the sheet that gets looked at in an audit, and the one most stakeholder templates leave out.</t>
  </si>
  <si>
    <t xml:space="preserve">5.   Write the log entry the same day</t>
  </si>
  <si>
    <t xml:space="preserve">What was raised, and what you did about it - including where you said no and why. That second half is the whole point of the column.</t>
  </si>
  <si>
    <t xml:space="preserve">6.   Read the Check columns</t>
  </si>
  <si>
    <t xml:space="preserve">They name what is wrong in words: a commitment overdue with no evidence, a high-influence stakeholder nobody has spoken to, a gap between where they are and where you need them with no engagement planned.</t>
  </si>
  <si>
    <t xml:space="preserve">WHAT IS IN THE WORKBOOK</t>
  </si>
  <si>
    <t xml:space="preserve">Setup</t>
  </si>
  <si>
    <t xml:space="preserve">The project, the data date, the two thresholds and the contact cadence.</t>
  </si>
  <si>
    <t xml:space="preserve">Register</t>
  </si>
  <si>
    <t xml:space="preserve">One row per stakeholder: influence, interest, where they are, where you need them, who owns it, and how sensitive the row is.</t>
  </si>
  <si>
    <t xml:space="preserve">Matrix</t>
  </si>
  <si>
    <t xml:space="preserve">The register drawn as an influence and interest grid. It redraws itself.</t>
  </si>
  <si>
    <t xml:space="preserve">Engagement Plan</t>
  </si>
  <si>
    <t xml:space="preserve">What you promise each stakeholder, who leads, how often, and when it is next due.</t>
  </si>
  <si>
    <t xml:space="preserve">Commitments</t>
  </si>
  <si>
    <t xml:space="preserve">Every promise made, what secures it, who owns it, when it is due and what evidence discharges it.</t>
  </si>
  <si>
    <t xml:space="preserve">Log</t>
  </si>
  <si>
    <t xml:space="preserve">What was raised, and how it was taken into account or why it was not.</t>
  </si>
  <si>
    <t xml:space="preserve">Reference</t>
  </si>
  <si>
    <t xml:space="preserve">The colour key and every dropdown source.</t>
  </si>
  <si>
    <t xml:space="preserve">The colour key, the other names this document goes by, and every dropdown source are on the Reference sheet.</t>
  </si>
  <si>
    <t xml:space="preserve">IMPORTANT</t>
  </si>
  <si>
    <t xml:space="preserve">This workbook is a planning and record-keeping tool, not a substitute for whatever your funder, lender or consent authority requires. Where a condition of approval, a financing standard or a participation policy sets the engagement process, that document governs and this one records against it. Write every row as though it will be read outside the project team. If you are a public authority, or hold this on behalf of one, freedom-of-information and environmental-information regimes can reach a register like this; if you are a contractor it is usually reached another way - through your client, a planning submission, an audit or a dispute. Use the disclosure column, and keep personal contact details somewhere else.</t>
  </si>
  <si>
    <t xml:space="preserve">Built for teams delivering capital projects, programs and portfolios  ·  mastt.com</t>
  </si>
  <si>
    <t xml:space="preserve">STAKEHOLDER MANAGEMENT PLAN     ·     SETUP</t>
  </si>
  <si>
    <t xml:space="preserve">The project, the date everything is measured against, what counts as high influence and high interest, and the two windows the flags use.</t>
  </si>
  <si>
    <t xml:space="preserve">1  ·  THE PROJECT</t>
  </si>
  <si>
    <t xml:space="preserve">Project</t>
  </si>
  <si>
    <t xml:space="preserve">EXAMPLE - Brayford Interchange upgrade</t>
  </si>
  <si>
    <t xml:space="preserve">Project number</t>
  </si>
  <si>
    <t xml:space="preserve">EX-2026-207</t>
  </si>
  <si>
    <t xml:space="preserve">Client or business unit</t>
  </si>
  <si>
    <t xml:space="preserve">Infrastructure Delivery</t>
  </si>
  <si>
    <t xml:space="preserve">Plan owned by</t>
  </si>
  <si>
    <t xml:space="preserve">L. Okafor, Community and Stakeholder Lead</t>
  </si>
  <si>
    <t xml:space="preserve">Data date</t>
  </si>
  <si>
    <t xml:space="preserve">Everything overdue, due soon or in hand is measured against this date, not against today. Set it to the date you are reporting and the whole workbook reports as at that day.</t>
  </si>
  <si>
    <t xml:space="preserve">2  ·  WHAT COUNTS AS HIGH</t>
  </si>
  <si>
    <t xml:space="preserve">Influence at or above this is high</t>
  </si>
  <si>
    <t xml:space="preserve">Influence is scored 1 to 5 on the Register. This is the line between the top two quadrants of the Matrix and the bottom two. Move it and the Matrix redraws.</t>
  </si>
  <si>
    <t xml:space="preserve">Interest at or above this is high</t>
  </si>
  <si>
    <t xml:space="preserve">The same, for the other axis. Nothing else in the workbook hard-codes a 4.</t>
  </si>
  <si>
    <t xml:space="preserve">3  ·  THE TWO WINDOWS THE FLAGS USE</t>
  </si>
  <si>
    <t xml:space="preserve">Treat anything due within this many days as due soon</t>
  </si>
  <si>
    <t xml:space="preserve">Flag a stakeholder with no engagement planned after this many days</t>
  </si>
  <si>
    <t xml:space="preserve">Only applies to stakeholders who have no row on the Engagement Plan. Everyone who does is measured against their own cadence instead.</t>
  </si>
  <si>
    <t xml:space="preserve">There is no "last contacted" field to keep up to date anywhere in this workbook, and that is deliberate. Last contact is read off the Log, and the next due date is worked out from it. Write the log entry and everything else follows; skip it and the Register says so by name.</t>
  </si>
  <si>
    <t xml:space="preserve">Visit mastt.com</t>
  </si>
  <si>
    <t xml:space="preserve">STAKEHOLDER MANAGEMENT PLAN     ·     REGISTER</t>
  </si>
  <si>
    <t xml:space="preserve">One row per group or organisation, not per person. Score influence and interest, say where they are and where you need them, and name one person who owns the relationship. Everything else on this sheet is worked out.</t>
  </si>
  <si>
    <t xml:space="preserve">ID</t>
  </si>
  <si>
    <t xml:space="preserve">Stakeholder</t>
  </si>
  <si>
    <t xml:space="preserve">Category</t>
  </si>
  <si>
    <t xml:space="preserve">What it affects</t>
  </si>
  <si>
    <t xml:space="preserve">Influence
(1-5)</t>
  </si>
  <si>
    <t xml:space="preserve">Interest
(1-5)</t>
  </si>
  <si>
    <t xml:space="preserve">Priority</t>
  </si>
  <si>
    <t xml:space="preserve">Where they
are now</t>
  </si>
  <si>
    <t xml:space="preserve">Where you
need them</t>
  </si>
  <si>
    <t xml:space="preserve">Gap</t>
  </si>
  <si>
    <t xml:space="preserve">Who owns the
relationship</t>
  </si>
  <si>
    <t xml:space="preserve">Where the details
are held</t>
  </si>
  <si>
    <t xml:space="preserve">Disclosure</t>
  </si>
  <si>
    <t xml:space="preserve">Last
contact</t>
  </si>
  <si>
    <t xml:space="preserve">Check</t>
  </si>
  <si>
    <t xml:space="preserve">S01</t>
  </si>
  <si>
    <t xml:space="preserve">Brayford City Council - development assessment</t>
  </si>
  <si>
    <t xml:space="preserve">Approval authority</t>
  </si>
  <si>
    <t xml:space="preserve">Approval or consent</t>
  </si>
  <si>
    <t xml:space="preserve">Neutral</t>
  </si>
  <si>
    <t xml:space="preserve">Supportive</t>
  </si>
  <si>
    <t xml:space="preserve">Approvals Manager</t>
  </si>
  <si>
    <t xml:space="preserve">Approvals contacts</t>
  </si>
  <si>
    <t xml:space="preserve">Internal</t>
  </si>
  <si>
    <t xml:space="preserve">S02</t>
  </si>
  <si>
    <t xml:space="preserve">State roads authority</t>
  </si>
  <si>
    <t xml:space="preserve">S03</t>
  </si>
  <si>
    <t xml:space="preserve">Rail operator - Brayford line</t>
  </si>
  <si>
    <t xml:space="preserve">Utility or service provider</t>
  </si>
  <si>
    <t xml:space="preserve">Programme</t>
  </si>
  <si>
    <t xml:space="preserve">Interface Manager</t>
  </si>
  <si>
    <t xml:space="preserve">Interface agreements</t>
  </si>
  <si>
    <t xml:space="preserve">S04</t>
  </si>
  <si>
    <t xml:space="preserve">Electricity network operator</t>
  </si>
  <si>
    <t xml:space="preserve">Services Coordinator</t>
  </si>
  <si>
    <t xml:space="preserve">Utility register</t>
  </si>
  <si>
    <t xml:space="preserve">S05</t>
  </si>
  <si>
    <t xml:space="preserve">Water authority</t>
  </si>
  <si>
    <t xml:space="preserve">Design</t>
  </si>
  <si>
    <t xml:space="preserve">S06</t>
  </si>
  <si>
    <t xml:space="preserve">Environment regulator</t>
  </si>
  <si>
    <t xml:space="preserve">Regulator</t>
  </si>
  <si>
    <t xml:space="preserve">Environment Manager</t>
  </si>
  <si>
    <t xml:space="preserve">S07</t>
  </si>
  <si>
    <t xml:space="preserve">Adjoining landowners - Halloway Road frontage</t>
  </si>
  <si>
    <t xml:space="preserve">Landowner or occupier</t>
  </si>
  <si>
    <t xml:space="preserve">Access or land</t>
  </si>
  <si>
    <t xml:space="preserve">Resistant</t>
  </si>
  <si>
    <t xml:space="preserve">Community Lead</t>
  </si>
  <si>
    <t xml:space="preserve">Property acquisition file</t>
  </si>
  <si>
    <t xml:space="preserve">Restricted</t>
  </si>
  <si>
    <t xml:space="preserve">S08</t>
  </si>
  <si>
    <t xml:space="preserve">Brayford Chamber of Commerce</t>
  </si>
  <si>
    <t xml:space="preserve">Business</t>
  </si>
  <si>
    <t xml:space="preserve">Reputation</t>
  </si>
  <si>
    <t xml:space="preserve">Stakeholder contact list</t>
  </si>
  <si>
    <t xml:space="preserve">Public</t>
  </si>
  <si>
    <t xml:space="preserve">S09</t>
  </si>
  <si>
    <t xml:space="preserve">Halloway Road traders</t>
  </si>
  <si>
    <t xml:space="preserve">S10</t>
  </si>
  <si>
    <t xml:space="preserve">Brayford Residents Association</t>
  </si>
  <si>
    <t xml:space="preserve">Community</t>
  </si>
  <si>
    <t xml:space="preserve">S11</t>
  </si>
  <si>
    <t xml:space="preserve">Cycling advocacy group</t>
  </si>
  <si>
    <t xml:space="preserve">Interest group</t>
  </si>
  <si>
    <t xml:space="preserve">Design Manager</t>
  </si>
  <si>
    <t xml:space="preserve">S12</t>
  </si>
  <si>
    <t xml:space="preserve">Brayford Primary School</t>
  </si>
  <si>
    <t xml:space="preserve">Operations</t>
  </si>
  <si>
    <t xml:space="preserve">S13</t>
  </si>
  <si>
    <t xml:space="preserve">Bus operator</t>
  </si>
  <si>
    <t xml:space="preserve">S14</t>
  </si>
  <si>
    <t xml:space="preserve">Member for Brayford</t>
  </si>
  <si>
    <t xml:space="preserve">Elected representative</t>
  </si>
  <si>
    <t xml:space="preserve">Project Director</t>
  </si>
  <si>
    <t xml:space="preserve">Executive contact list</t>
  </si>
  <si>
    <t xml:space="preserve">S15</t>
  </si>
  <si>
    <t xml:space="preserve">Emergency services</t>
  </si>
  <si>
    <t xml:space="preserve">Emergency services list</t>
  </si>
  <si>
    <t xml:space="preserve">S16</t>
  </si>
  <si>
    <t xml:space="preserve">Principal contractor</t>
  </si>
  <si>
    <t xml:space="preserve">Delivery partner</t>
  </si>
  <si>
    <t xml:space="preserve">Leading</t>
  </si>
  <si>
    <t xml:space="preserve">Contract register</t>
  </si>
  <si>
    <t xml:space="preserve">S17</t>
  </si>
  <si>
    <t xml:space="preserve">Local newspaper</t>
  </si>
  <si>
    <t xml:space="preserve">Media</t>
  </si>
  <si>
    <t xml:space="preserve">Communications Lead</t>
  </si>
  <si>
    <t xml:space="preserve">Media contact list</t>
  </si>
  <si>
    <t xml:space="preserve">Last contact is read off the Log. There is nothing to keep up to date here.</t>
  </si>
  <si>
    <t xml:space="preserve">STAKEHOLDER MANAGEMENT PLAN     ·     MATRIX</t>
  </si>
  <si>
    <t xml:space="preserve">Drawn from the Register every time it recalculates. There is no picture to update and no second list to keep in step - change a score on the Register and this changes.</t>
  </si>
  <si>
    <t xml:space="preserve">WHERE THIS PLAN STANDS</t>
  </si>
  <si>
    <t xml:space="preserve">On the register</t>
  </si>
  <si>
    <t xml:space="preserve">Work with them</t>
  </si>
  <si>
    <t xml:space="preserve">Not with you yet</t>
  </si>
  <si>
    <t xml:space="preserve">Gaps to close</t>
  </si>
  <si>
    <t xml:space="preserve">Engagement overdue</t>
  </si>
  <si>
    <t xml:space="preserve">Commitments overdue</t>
  </si>
  <si>
    <t xml:space="preserve">INFLUENCE AND INTEREST</t>
  </si>
  <si>
    <t xml:space="preserve">Interest 1</t>
  </si>
  <si>
    <t xml:space="preserve">Interest 2</t>
  </si>
  <si>
    <t xml:space="preserve">Interest 3</t>
  </si>
  <si>
    <t xml:space="preserve">Interest 4</t>
  </si>
  <si>
    <t xml:space="preserve">Interest 5</t>
  </si>
  <si>
    <t xml:space="preserve">Influence 5</t>
  </si>
  <si>
    <t xml:space="preserve">Influence 4</t>
  </si>
  <si>
    <t xml:space="preserve">Influence 3</t>
  </si>
  <si>
    <t xml:space="preserve">Influence 2</t>
  </si>
  <si>
    <t xml:space="preserve">Influence 1</t>
  </si>
  <si>
    <t xml:space="preserve">The shading follows the two thresholds on Setup, so it moves when you move them. Anyone with no influence or interest score does not appear in the grid at all - the Register says so on their row.</t>
  </si>
  <si>
    <t xml:space="preserve">STAKEHOLDER MANAGEMENT PLAN     ·     ENGAGEMENT PLAN</t>
  </si>
  <si>
    <t xml:space="preserve">What you promise each stakeholder, who leads it and how often. The next due date is worked out from the last contact on the Log plus the cadence - the only date you type is one that is already in the diary.</t>
  </si>
  <si>
    <t xml:space="preserve">What we
promise them</t>
  </si>
  <si>
    <t xml:space="preserve">How</t>
  </si>
  <si>
    <t xml:space="preserve">Who leads it</t>
  </si>
  <si>
    <t xml:space="preserve">Every
(weeks)</t>
  </si>
  <si>
    <t xml:space="preserve">Next due</t>
  </si>
  <si>
    <t xml:space="preserve">Booked for</t>
  </si>
  <si>
    <t xml:space="preserve">Status</t>
  </si>
  <si>
    <t xml:space="preserve">Collaborate</t>
  </si>
  <si>
    <t xml:space="preserve">Meeting</t>
  </si>
  <si>
    <t xml:space="preserve">Consult</t>
  </si>
  <si>
    <t xml:space="preserve">Email</t>
  </si>
  <si>
    <t xml:space="preserve">Inform</t>
  </si>
  <si>
    <t xml:space="preserve">Involve</t>
  </si>
  <si>
    <t xml:space="preserve">Site visit</t>
  </si>
  <si>
    <t xml:space="preserve">Public session</t>
  </si>
  <si>
    <t xml:space="preserve">Letter</t>
  </si>
  <si>
    <t xml:space="preserve">STAKEHOLDER MANAGEMENT PLAN     ·     COMMITMENTS</t>
  </si>
  <si>
    <t xml:space="preserve">Every promise you have made and what discharges it. Put it here the moment it is made - out of a meeting, out of a condition of approval, out of something said in public. This is the sheet that gets read in an audit.</t>
  </si>
  <si>
    <t xml:space="preserve">Ref</t>
  </si>
  <si>
    <t xml:space="preserve">What was committed to</t>
  </si>
  <si>
    <t xml:space="preserve">To
whom</t>
  </si>
  <si>
    <t xml:space="preserve">Where it
came from</t>
  </si>
  <si>
    <t xml:space="preserve">What secures it</t>
  </si>
  <si>
    <t xml:space="preserve">Phase</t>
  </si>
  <si>
    <t xml:space="preserve">Owner</t>
  </si>
  <si>
    <t xml:space="preserve">Due</t>
  </si>
  <si>
    <t xml:space="preserve">Evidence it is
discharged</t>
  </si>
  <si>
    <t xml:space="preserve">C01</t>
  </si>
  <si>
    <t xml:space="preserve">No construction traffic on Halloway Road between 8.00 and 9.30 am on school days</t>
  </si>
  <si>
    <t xml:space="preserve">Condition of approval</t>
  </si>
  <si>
    <t xml:space="preserve">Consent condition 34</t>
  </si>
  <si>
    <t xml:space="preserve">Construction</t>
  </si>
  <si>
    <t xml:space="preserve">Site Manager</t>
  </si>
  <si>
    <t xml:space="preserve">C02</t>
  </si>
  <si>
    <t xml:space="preserve">Maintain two-way access to every Halloway Road business frontage at all times</t>
  </si>
  <si>
    <t xml:space="preserve">Consultation</t>
  </si>
  <si>
    <t xml:space="preserve">Construction traffic management plan</t>
  </si>
  <si>
    <t xml:space="preserve">C03</t>
  </si>
  <si>
    <t xml:space="preserve">Reinstate the shared path to its existing width or better</t>
  </si>
  <si>
    <t xml:space="preserve">Public statement</t>
  </si>
  <si>
    <t xml:space="preserve">Design report section 6</t>
  </si>
  <si>
    <t xml:space="preserve">Drawing DR-214 rev C, issued for construction</t>
  </si>
  <si>
    <t xml:space="preserve">C04</t>
  </si>
  <si>
    <t xml:space="preserve">Give landowners 20 working days' notice before any survey on their land</t>
  </si>
  <si>
    <t xml:space="preserve">Agreement or deed</t>
  </si>
  <si>
    <t xml:space="preserve">Access deed clause schedule</t>
  </si>
  <si>
    <t xml:space="preserve">Property Lead</t>
  </si>
  <si>
    <t xml:space="preserve">C05</t>
  </si>
  <si>
    <t xml:space="preserve">Publish a monthly construction update on the project page</t>
  </si>
  <si>
    <t xml:space="preserve">Our own undertaking</t>
  </si>
  <si>
    <t xml:space="preserve">Communications plan</t>
  </si>
  <si>
    <t xml:space="preserve">Last month's update published on the project page</t>
  </si>
  <si>
    <t xml:space="preserve">C06</t>
  </si>
  <si>
    <t xml:space="preserve">Keep one rail possession per quarter and give 16 weeks' notice of each</t>
  </si>
  <si>
    <t xml:space="preserve">Rail interface agreement</t>
  </si>
  <si>
    <t xml:space="preserve">C07</t>
  </si>
  <si>
    <t xml:space="preserve">Hold a pre-construction briefing for the Chamber before works start</t>
  </si>
  <si>
    <t xml:space="preserve">Engagement plan</t>
  </si>
  <si>
    <t xml:space="preserve">C08</t>
  </si>
  <si>
    <t xml:space="preserve">Relocate the bus stop rather than remove it</t>
  </si>
  <si>
    <t xml:space="preserve">Design report section 4</t>
  </si>
  <si>
    <t xml:space="preserve">Design change note DCN-08, approved</t>
  </si>
  <si>
    <t xml:space="preserve">A commitment with evidence against it is discharged. A commitment past its due date with the evidence column empty is the row this register exists to surface.</t>
  </si>
  <si>
    <t xml:space="preserve">STAKEHOLDER MANAGEMENT PLAN     ·     LOG</t>
  </si>
  <si>
    <t xml:space="preserve">Write it the same day. What was raised, and what you did about it - including where you said no and why. That second half is the column an auditor, a review or a disclosure request actually reads.</t>
  </si>
  <si>
    <t xml:space="preserve">Date</t>
  </si>
  <si>
    <t xml:space="preserve">Who
with</t>
  </si>
  <si>
    <t xml:space="preserve">Who from us</t>
  </si>
  <si>
    <t xml:space="preserve">What was raised</t>
  </si>
  <si>
    <t xml:space="preserve">How it was taken into account, or why it was not</t>
  </si>
  <si>
    <t xml:space="preserve">Action
needed</t>
  </si>
  <si>
    <t xml:space="preserve">Commitment
it created</t>
  </si>
  <si>
    <t xml:space="preserve">Contractor raised a clash between the rail possession window and the utility diversion</t>
  </si>
  <si>
    <t xml:space="preserve">Accepted. The diversion moved to the following window and the programme reissued.</t>
  </si>
  <si>
    <t xml:space="preserve">Yes</t>
  </si>
  <si>
    <t xml:space="preserve">Traders asked for loading access to be kept during the daytime, not overnight only</t>
  </si>
  <si>
    <t xml:space="preserve">Accepted in part. Daytime loading kept on the northern frontage; the southern frontage cannot be kept open during the deck pour and that was explained on site.</t>
  </si>
  <si>
    <t xml:space="preserve">Landowners objected to the survey notice period and to the acquisition boundary</t>
  </si>
  <si>
    <t xml:space="preserve">Notice period accepted and recorded as C04. The boundary is fixed by the approved alignment and cannot change; the reason was given to them in writing.</t>
  </si>
  <si>
    <t xml:space="preserve">Roads authority asked for the road occupancy programme before the works approval issues</t>
  </si>
  <si>
    <t xml:space="preserve">Accepted. The programme was issued and the approval is expected before mobilisation.</t>
  </si>
  <si>
    <t xml:space="preserve">Cycling group asked for a separated path rather than a shared path</t>
  </si>
  <si>
    <t xml:space="preserve">Not accepted. A separated path does not fit the approved corridor width. The shared path will be reinstated wider than existing - recorded as C03.</t>
  </si>
  <si>
    <t xml:space="preserve">No</t>
  </si>
  <si>
    <t xml:space="preserve">Council asked how construction parking would be managed</t>
  </si>
  <si>
    <t xml:space="preserve">Answered, and carried into the construction traffic management plan.</t>
  </si>
  <si>
    <t xml:space="preserve">Network operator confirmed the diversion design and asked for 12 weeks' notice of the outage</t>
  </si>
  <si>
    <t xml:space="preserve">Accepted. The notice date is in the programme and the outage window is booked.</t>
  </si>
  <si>
    <t xml:space="preserve">Residents raised noise from night work and asked for a single point of contact</t>
  </si>
  <si>
    <t xml:space="preserve">Both accepted. Night work limited to the two deck pours, and the site manager's number published on the hoarding and in the monthly update - recorded as C05.</t>
  </si>
  <si>
    <t xml:space="preserve">Regulator asked how sediment would be managed during the deck works</t>
  </si>
  <si>
    <t xml:space="preserve">Answered. The erosion and sediment control plan was submitted for approval.</t>
  </si>
  <si>
    <t xml:space="preserve">Bus operator asked whether the stop would be removed for the duration of the works</t>
  </si>
  <si>
    <t xml:space="preserve">Not removed. It will be relocated 40 m north for the duration - recorded as C08.</t>
  </si>
  <si>
    <t xml:space="preserve">Chamber asked to be briefed before works start rather than after</t>
  </si>
  <si>
    <t xml:space="preserve">Accepted and recorded as C07.</t>
  </si>
  <si>
    <t xml:space="preserve">School asked that heavy vehicle movements avoid both drop-off and pick-up times</t>
  </si>
  <si>
    <t xml:space="preserve">Accepted for the morning and recorded as C01. The afternoon cannot be avoided during the deck pour; that was put in writing with the dates it applies.</t>
  </si>
  <si>
    <t xml:space="preserve">Rail operator set the possession regime and the notice period</t>
  </si>
  <si>
    <t xml:space="preserve">Accepted and recorded as C06.</t>
  </si>
  <si>
    <t xml:space="preserve">Water authority confirmed no assets are affected within the works footprint</t>
  </si>
  <si>
    <t xml:space="preserve">Noted. Nothing to action, and the confirmation is filed with the utility register.</t>
  </si>
  <si>
    <t xml:space="preserve">Briefing on scope, cost and programme. Nothing raised.</t>
  </si>
  <si>
    <t xml:space="preserve">Nothing to action. The next briefing is at the start of construction.</t>
  </si>
  <si>
    <t xml:space="preserve">Emergency services asked to be told of any overnight lane closure 10 days ahead</t>
  </si>
  <si>
    <t xml:space="preserve">Accepted and built into the traffic management plan notification process.</t>
  </si>
  <si>
    <t xml:space="preserve">Newspaper asked for comment on the acquisition of the Halloway Road frontage</t>
  </si>
  <si>
    <t xml:space="preserve">Referred to the approved statement. No further comment while negotiations are open.</t>
  </si>
  <si>
    <t xml:space="preserve">STAKEHOLDER MANAGEMENT PLAN     ·     REFERENCE</t>
  </si>
  <si>
    <t xml:space="preserve">The colour key, what the words mean, and every dropdown source. Edit a list here and every dropdown in the workbook follows it.</t>
  </si>
  <si>
    <t xml:space="preserve">THE COLOUR KEY - THE SAME SIX MEANINGS ON EVERY SHEET</t>
  </si>
  <si>
    <t xml:space="preserve">Colour</t>
  </si>
  <si>
    <t xml:space="preserve">It means</t>
  </si>
  <si>
    <t xml:space="preserve">When you will see it</t>
  </si>
  <si>
    <t xml:space="preserve">ACT NOW</t>
  </si>
  <si>
    <t xml:space="preserve">Act now</t>
  </si>
  <si>
    <t xml:space="preserve">An overdue commitment, or a high-influence stakeholder who is resistant with no engagement planned.</t>
  </si>
  <si>
    <t xml:space="preserve">DUE SOON</t>
  </si>
  <si>
    <t xml:space="preserve">Due soon</t>
  </si>
  <si>
    <t xml:space="preserve">Inside the window you set on Setup, or a gap between where they are and where you need them.</t>
  </si>
  <si>
    <t xml:space="preserve">MISSING SOMETHING</t>
  </si>
  <si>
    <t xml:space="preserve">Missing something</t>
  </si>
  <si>
    <t xml:space="preserve">A field the rest of the sheet needs before it can calculate.</t>
  </si>
  <si>
    <t xml:space="preserve">IN HAND</t>
  </si>
  <si>
    <t xml:space="preserve">In hand</t>
  </si>
  <si>
    <t xml:space="preserve">Planned, current, and somebody owns it.</t>
  </si>
  <si>
    <t xml:space="preserve">DONE</t>
  </si>
  <si>
    <t xml:space="preserve">Done</t>
  </si>
  <si>
    <t xml:space="preserve">Discharged, with evidence recorded.</t>
  </si>
  <si>
    <t xml:space="preserve">NOT APPLICABLE</t>
  </si>
  <si>
    <t xml:space="preserve">Not applicable</t>
  </si>
  <si>
    <t xml:space="preserve">Out of scope, or nothing to calculate yet.</t>
  </si>
  <si>
    <t xml:space="preserve">HOW TO READ A CELL</t>
  </si>
  <si>
    <t xml:space="preserve">Pale blue</t>
  </si>
  <si>
    <t xml:space="preserve">You type in it.</t>
  </si>
  <si>
    <t xml:space="preserve">Off-white</t>
  </si>
  <si>
    <t xml:space="preserve">Calculated. Typing in it breaks the sheet.</t>
  </si>
  <si>
    <t xml:space="preserve">Red row</t>
  </si>
  <si>
    <t xml:space="preserve">Needs action now.</t>
  </si>
  <si>
    <t xml:space="preserve">Orange row</t>
  </si>
  <si>
    <t xml:space="preserve">Due soon, or a gap nobody is closing.</t>
  </si>
  <si>
    <t xml:space="preserve">Grey row</t>
  </si>
  <si>
    <t xml:space="preserve">Not applicable, or nothing to calculate yet.</t>
  </si>
  <si>
    <t xml:space="preserve">THE SAME THING UNDER ANOTHER NAME</t>
  </si>
  <si>
    <t xml:space="preserve">This workbook calls it</t>
  </si>
  <si>
    <t xml:space="preserve">You will also see it called</t>
  </si>
  <si>
    <t xml:space="preserve">Where it is in here</t>
  </si>
  <si>
    <t xml:space="preserve">Stakeholder management plan</t>
  </si>
  <si>
    <t xml:space="preserve">Stakeholder engagement plan, SEP, communications and engagement plan</t>
  </si>
  <si>
    <t xml:space="preserve">This workbook. A lender or a consent authority will ask for a stakeholder ENGAGEMENT plan: PMI renamed the plan from management to engagement in 2017, and IFC Performance Standard 1 and World Bank ESS10 both require a Stakeholder Engagement Plan by that name. Those standards set content this workbook does not cover - information disclosure, consultation method, and a grievance mechanism. Plan and record against your SEP with this. It is not the SEP.</t>
  </si>
  <si>
    <t xml:space="preserve">Commitment</t>
  </si>
  <si>
    <t xml:space="preserve">Undertaking, obligation, register of environmental actions and commitments (REAC), commitments register, consolidated mitigation measures</t>
  </si>
  <si>
    <t xml:space="preserve">The Commitments sheet. UK road schemes must have one - DMRB LA 120 requires the environmental management plan to include a register of environmental actions and commitments - and REACs are submitted on road and energy projects. For Nationally Significant Infrastructure Projects the Planning Inspectorate advises the title Commitments Register and publishes a standard template for it. In NSW the equivalent is the consolidated mitigation measures schedule in the environmental impact statement.</t>
  </si>
  <si>
    <t xml:space="preserve">Influence</t>
  </si>
  <si>
    <t xml:space="preserve">Power, authority, ability to affect the outcome</t>
  </si>
  <si>
    <t xml:space="preserve">A score on the Register</t>
  </si>
  <si>
    <t xml:space="preserve">What we promise</t>
  </si>
  <si>
    <t xml:space="preserve">Level of participation, engagement level</t>
  </si>
  <si>
    <t xml:space="preserve">The Engagement Plan. Not the same thing as how supportive they are.</t>
  </si>
  <si>
    <t xml:space="preserve">Grievance</t>
  </si>
  <si>
    <t xml:space="preserve">Complaint, objection, issue raised</t>
  </si>
  <si>
    <t xml:space="preserve">The Log, with the action it produced</t>
  </si>
  <si>
    <t xml:space="preserve">DROPDOWN SOURCES - EDIT THESE AND EVERY LIST IN THE WORKBOOK FOLLOWS</t>
  </si>
  <si>
    <t xml:space="preserve">Where it came from</t>
  </si>
  <si>
    <t xml:space="preserve">Position</t>
  </si>
  <si>
    <t xml:space="preserve">Yes or no</t>
  </si>
  <si>
    <t xml:space="preserve">Business case</t>
  </si>
  <si>
    <t xml:space="preserve">Unaware</t>
  </si>
  <si>
    <t xml:space="preserve">Call</t>
  </si>
  <si>
    <t xml:space="preserve">Approvals</t>
  </si>
  <si>
    <t xml:space="preserve">Procurement</t>
  </si>
  <si>
    <t xml:space="preserve">Contract</t>
  </si>
  <si>
    <t xml:space="preserve">Cost</t>
  </si>
  <si>
    <t xml:space="preserve">Empower</t>
  </si>
  <si>
    <t xml:space="preserve">Commissioning</t>
  </si>
  <si>
    <t xml:space="preserve">Written submission</t>
  </si>
  <si>
    <t xml:space="preserve">Nothing directly</t>
  </si>
  <si>
    <t xml:space="preserve">Site notice</t>
  </si>
  <si>
    <t xml:space="preserve">Door knock</t>
  </si>
</sst>
</file>

<file path=xl/styles.xml><?xml version="1.0" encoding="utf-8"?>
<styleSheet xmlns="http://schemas.openxmlformats.org/spreadsheetml/2006/main">
  <numFmts count="8">
    <numFmt numFmtId="164" formatCode="General"/>
    <numFmt numFmtId="165" formatCode="d\ mmm\ yyyy"/>
    <numFmt numFmtId="166" formatCode="0"/>
    <numFmt numFmtId="167" formatCode="@"/>
    <numFmt numFmtId="168" formatCode="\+0;\-0;\-"/>
    <numFmt numFmtId="169" formatCode="General"/>
    <numFmt numFmtId="170" formatCode="#,##0;;\-"/>
    <numFmt numFmtId="171" formatCode="0;;\-"/>
  </numFmts>
  <fonts count="29">
    <font>
      <sz val="11"/>
      <color theme="1"/>
      <name val="Calibri"/>
      <family val="2"/>
      <charset val="1"/>
    </font>
    <font>
      <sz val="10"/>
      <name val="Arial"/>
      <family val="0"/>
    </font>
    <font>
      <sz val="10"/>
      <name val="Arial"/>
      <family val="0"/>
    </font>
    <font>
      <sz val="10"/>
      <name val="Arial"/>
      <family val="0"/>
    </font>
    <font>
      <b val="true"/>
      <sz val="11"/>
      <color rgb="FFFFFFFF"/>
      <name val="Inter"/>
      <family val="0"/>
      <charset val="1"/>
    </font>
    <font>
      <b val="true"/>
      <sz val="24"/>
      <color rgb="FF1D3245"/>
      <name val="Inter"/>
      <family val="0"/>
      <charset val="1"/>
    </font>
    <font>
      <sz val="12"/>
      <color rgb="FF3480BC"/>
      <name val="Inter"/>
      <family val="0"/>
      <charset val="1"/>
    </font>
    <font>
      <sz val="10.5"/>
      <color rgb="FF1D3245"/>
      <name val="Inter"/>
      <family val="0"/>
      <charset val="1"/>
    </font>
    <font>
      <b val="true"/>
      <sz val="10"/>
      <color rgb="FF0D3C61"/>
      <name val="Inter"/>
      <family val="0"/>
      <charset val="1"/>
    </font>
    <font>
      <sz val="9.5"/>
      <color rgb="FF1D3245"/>
      <name val="Inter"/>
      <family val="0"/>
      <charset val="1"/>
    </font>
    <font>
      <i val="true"/>
      <sz val="9.5"/>
      <color rgb="FF8E98A2"/>
      <name val="Inter"/>
      <family val="0"/>
      <charset val="1"/>
    </font>
    <font>
      <b val="true"/>
      <sz val="10"/>
      <color rgb="FFEC6917"/>
      <name val="Inter"/>
      <family val="0"/>
      <charset val="1"/>
    </font>
    <font>
      <u val="single"/>
      <sz val="9.5"/>
      <color rgb="FF3480BC"/>
      <name val="Inter"/>
      <family val="0"/>
      <charset val="1"/>
    </font>
    <font>
      <b val="true"/>
      <sz val="13"/>
      <color rgb="FFFFFFFF"/>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b val="true"/>
      <sz val="9.5"/>
      <color rgb="FF1D3245"/>
      <name val="Inter"/>
      <family val="0"/>
      <charset val="1"/>
    </font>
    <font>
      <b val="true"/>
      <sz val="9.5"/>
      <color rgb="FF0D3C61"/>
      <name val="Inter"/>
      <family val="0"/>
      <charset val="1"/>
    </font>
    <font>
      <sz val="9.5"/>
      <color rgb="FF0D3C61"/>
      <name val="Inter"/>
      <family val="0"/>
      <charset val="1"/>
    </font>
    <font>
      <b val="true"/>
      <sz val="20"/>
      <color rgb="FF0D3C61"/>
      <name val="Inter"/>
      <family val="0"/>
      <charset val="1"/>
    </font>
    <font>
      <b val="true"/>
      <sz val="9"/>
      <color rgb="FF8E98A2"/>
      <name val="Inter"/>
      <family val="0"/>
      <charset val="1"/>
    </font>
    <font>
      <b val="true"/>
      <sz val="9.5"/>
      <color rgb="FFFFFFFF"/>
      <name val="Inter"/>
      <family val="0"/>
      <charset val="1"/>
    </font>
    <font>
      <b val="true"/>
      <sz val="9.5"/>
      <color rgb="FFE31B0C"/>
      <name val="Inter"/>
      <family val="0"/>
      <charset val="1"/>
    </font>
    <font>
      <b val="true"/>
      <sz val="9.5"/>
      <color rgb="FFEC6917"/>
      <name val="Inter"/>
      <family val="0"/>
      <charset val="1"/>
    </font>
    <font>
      <b val="true"/>
      <sz val="9.5"/>
      <color rgb="FFFFB547"/>
      <name val="Inter"/>
      <family val="0"/>
      <charset val="1"/>
    </font>
    <font>
      <b val="true"/>
      <sz val="9.5"/>
      <color rgb="FF0B79D0"/>
      <name val="Inter"/>
      <family val="0"/>
      <charset val="1"/>
    </font>
    <font>
      <b val="true"/>
      <sz val="9.5"/>
      <color rgb="FF4CAF50"/>
      <name val="Inter"/>
      <family val="0"/>
      <charset val="1"/>
    </font>
    <font>
      <b val="true"/>
      <sz val="9.5"/>
      <color rgb="FF8E98A2"/>
      <name val="Inter"/>
      <family val="0"/>
      <charset val="1"/>
    </font>
  </fonts>
  <fills count="25">
    <fill>
      <patternFill patternType="none"/>
    </fill>
    <fill>
      <patternFill patternType="gray125"/>
    </fill>
    <fill>
      <patternFill patternType="solid">
        <fgColor rgb="FF1D3245"/>
        <bgColor rgb="FF0D3C61"/>
      </patternFill>
    </fill>
    <fill>
      <patternFill patternType="solid">
        <fgColor rgb="FF3480BC"/>
        <bgColor rgb="FF0B79D0"/>
      </patternFill>
    </fill>
    <fill>
      <patternFill patternType="solid">
        <fgColor rgb="FF0D3C61"/>
        <bgColor rgb="FF1D3245"/>
      </patternFill>
    </fill>
    <fill>
      <patternFill patternType="solid">
        <fgColor rgb="FFFFF4E0"/>
        <bgColor rgb="FFFDEBE0"/>
      </patternFill>
    </fill>
    <fill>
      <patternFill patternType="solid">
        <fgColor rgb="FF215383"/>
        <bgColor rgb="FF0D3C61"/>
      </patternFill>
    </fill>
    <fill>
      <patternFill patternType="solid">
        <fgColor rgb="FFE3F0FA"/>
        <bgColor rgb="FFDCE9F4"/>
      </patternFill>
    </fill>
    <fill>
      <patternFill patternType="solid">
        <fgColor rgb="FFDCE9F4"/>
        <bgColor rgb="FFE3F0FA"/>
      </patternFill>
    </fill>
    <fill>
      <patternFill patternType="solid">
        <fgColor rgb="FFFFFFFF"/>
        <bgColor rgb="FFF6F9FC"/>
      </patternFill>
    </fill>
    <fill>
      <patternFill patternType="solid">
        <fgColor rgb="FFF6F9FC"/>
        <bgColor rgb="FFF5F5F5"/>
      </patternFill>
    </fill>
    <fill>
      <patternFill patternType="solid">
        <fgColor rgb="FFF5F5F5"/>
        <bgColor rgb="FFF6F9FC"/>
      </patternFill>
    </fill>
    <fill>
      <patternFill patternType="solid">
        <fgColor rgb="FF0B79D0"/>
        <bgColor rgb="FF3480BC"/>
      </patternFill>
    </fill>
    <fill>
      <patternFill patternType="solid">
        <fgColor rgb="FF039BE5"/>
        <bgColor rgb="FF0B79D0"/>
      </patternFill>
    </fill>
    <fill>
      <patternFill patternType="solid">
        <fgColor rgb="FFEC6917"/>
        <bgColor rgb="FFFF9900"/>
      </patternFill>
    </fill>
    <fill>
      <patternFill patternType="solid">
        <fgColor rgb="FF8E98A2"/>
        <bgColor rgb="FF808080"/>
      </patternFill>
    </fill>
    <fill>
      <patternFill patternType="solid">
        <fgColor rgb="FFE31B0C"/>
        <bgColor rgb="FF993300"/>
      </patternFill>
    </fill>
    <fill>
      <patternFill patternType="solid">
        <fgColor rgb="FFFDEBE9"/>
        <bgColor rgb="FFFDEBE0"/>
      </patternFill>
    </fill>
    <fill>
      <patternFill patternType="solid">
        <fgColor rgb="FFFDEBE0"/>
        <bgColor rgb="FFFDEBE9"/>
      </patternFill>
    </fill>
    <fill>
      <patternFill patternType="solid">
        <fgColor rgb="FFFFB547"/>
        <bgColor rgb="FFFF9900"/>
      </patternFill>
    </fill>
    <fill>
      <patternFill patternType="solid">
        <fgColor rgb="FF64B6F7"/>
        <bgColor rgb="FF33CCCC"/>
      </patternFill>
    </fill>
    <fill>
      <patternFill patternType="solid">
        <fgColor rgb="FF4CAF50"/>
        <bgColor rgb="FF8E98A2"/>
      </patternFill>
    </fill>
    <fill>
      <patternFill patternType="solid">
        <fgColor rgb="FFE8F5E9"/>
        <bgColor rgb="FFEEEEEE"/>
      </patternFill>
    </fill>
    <fill>
      <patternFill patternType="solid">
        <fgColor rgb="FFE0E0E0"/>
        <bgColor rgb="FFDCE9F4"/>
      </patternFill>
    </fill>
    <fill>
      <patternFill patternType="solid">
        <fgColor rgb="FFEEEEEE"/>
        <bgColor rgb="FFE8F5E9"/>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4" fillId="3"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4" fillId="4" borderId="0" xfId="0" applyFont="true" applyBorder="true" applyAlignment="true" applyProtection="false">
      <alignment horizontal="left" vertical="center" textRotation="0" wrapText="false" indent="1"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0" borderId="0" xfId="0" applyFont="true" applyBorder="true" applyAlignment="true" applyProtection="false">
      <alignment horizontal="left" vertical="center" textRotation="0" wrapText="false" indent="1" shrinkToFit="false"/>
      <protection locked="true" hidden="false"/>
    </xf>
    <xf numFmtId="164" fontId="11" fillId="5" borderId="1" xfId="0" applyFont="true" applyBorder="true" applyAlignment="true" applyProtection="false">
      <alignment horizontal="left" vertical="top" textRotation="0" wrapText="false" indent="1" shrinkToFit="false"/>
      <protection locked="true" hidden="false"/>
    </xf>
    <xf numFmtId="164" fontId="9" fillId="5" borderId="1" xfId="0" applyFont="true" applyBorder="true" applyAlignment="true" applyProtection="false">
      <alignment horizontal="left" vertical="top" textRotation="0" wrapText="true" indent="1" shrinkToFit="false"/>
      <protection locked="true" hidden="false"/>
    </xf>
    <xf numFmtId="164" fontId="12" fillId="0" borderId="0" xfId="0" applyFont="true" applyBorder="true" applyAlignment="true" applyProtection="false">
      <alignment horizontal="left" vertical="center" textRotation="0" wrapText="false" indent="1" shrinkToFit="false"/>
      <protection locked="true" hidden="false"/>
    </xf>
    <xf numFmtId="164" fontId="13" fillId="2" borderId="0" xfId="0" applyFont="true" applyBorder="true" applyAlignment="true" applyProtection="false">
      <alignment horizontal="left" vertical="center" textRotation="0" wrapText="false" indent="15" shrinkToFit="false"/>
      <protection locked="true" hidden="false"/>
    </xf>
    <xf numFmtId="164" fontId="4" fillId="6" borderId="0" xfId="0" applyFont="true" applyBorder="true" applyAlignment="true" applyProtection="false">
      <alignment horizontal="left" vertical="center" textRotation="0" wrapText="false" indent="1" shrinkToFit="false"/>
      <protection locked="true" hidden="false"/>
    </xf>
    <xf numFmtId="164" fontId="14" fillId="0" borderId="0" xfId="0" applyFont="true" applyBorder="true" applyAlignment="true" applyProtection="false">
      <alignment horizontal="left" vertical="top" textRotation="0" wrapText="true" indent="1" shrinkToFit="false"/>
      <protection locked="true" hidden="false"/>
    </xf>
    <xf numFmtId="164" fontId="15" fillId="0" borderId="0" xfId="0" applyFont="true" applyBorder="false" applyAlignment="true" applyProtection="false">
      <alignment horizontal="left" vertical="center" textRotation="0" wrapText="true" indent="1" shrinkToFit="false"/>
      <protection locked="true" hidden="false"/>
    </xf>
    <xf numFmtId="164" fontId="16" fillId="7" borderId="1" xfId="0" applyFont="true" applyBorder="true" applyAlignment="true" applyProtection="false">
      <alignment horizontal="left" vertical="center" textRotation="0" wrapText="false" indent="1" shrinkToFit="false"/>
      <protection locked="true" hidden="false"/>
    </xf>
    <xf numFmtId="165" fontId="16" fillId="7" borderId="1" xfId="0" applyFont="true" applyBorder="true" applyAlignment="true" applyProtection="false">
      <alignment horizontal="left" vertical="center" textRotation="0" wrapText="false" indent="1" shrinkToFit="false"/>
      <protection locked="true" hidden="false"/>
    </xf>
    <xf numFmtId="166" fontId="16" fillId="7" borderId="1" xfId="0" applyFont="true" applyBorder="true" applyAlignment="true" applyProtection="false">
      <alignment horizontal="left" vertical="center" textRotation="0" wrapText="false" indent="1" shrinkToFit="false"/>
      <protection locked="true" hidden="false"/>
    </xf>
    <xf numFmtId="164" fontId="12" fillId="0" borderId="0" xfId="0" applyFont="true" applyBorder="true" applyAlignment="true" applyProtection="false">
      <alignment horizontal="right" vertical="center" textRotation="0" wrapText="false" indent="0" shrinkToFit="false"/>
      <protection locked="true" hidden="false"/>
    </xf>
    <xf numFmtId="164" fontId="17" fillId="0" borderId="0" xfId="0" applyFont="true" applyBorder="true" applyAlignment="true" applyProtection="false">
      <alignment horizontal="left" vertical="center" textRotation="0" wrapText="false" indent="1" shrinkToFit="false"/>
      <protection locked="true" hidden="false"/>
    </xf>
    <xf numFmtId="164" fontId="18" fillId="8" borderId="2" xfId="0" applyFont="true" applyBorder="true" applyAlignment="true" applyProtection="false">
      <alignment horizontal="center" vertical="center" textRotation="0" wrapText="true" indent="0" shrinkToFit="false"/>
      <protection locked="true" hidden="false"/>
    </xf>
    <xf numFmtId="167" fontId="18" fillId="9" borderId="1" xfId="0" applyFont="true" applyBorder="true" applyAlignment="true" applyProtection="false">
      <alignment horizontal="left" vertical="center" textRotation="0" wrapText="true" indent="1" shrinkToFit="false"/>
      <protection locked="true" hidden="false"/>
    </xf>
    <xf numFmtId="164" fontId="19" fillId="9" borderId="1" xfId="0" applyFont="true" applyBorder="true" applyAlignment="true" applyProtection="false">
      <alignment horizontal="left" vertical="center" textRotation="0" wrapText="true" indent="1" shrinkToFit="false"/>
      <protection locked="true" hidden="false"/>
    </xf>
    <xf numFmtId="166" fontId="19" fillId="9" borderId="1" xfId="0" applyFont="true" applyBorder="true" applyAlignment="true" applyProtection="false">
      <alignment horizontal="center" vertical="center" textRotation="0" wrapText="false" indent="0" shrinkToFit="false"/>
      <protection locked="true" hidden="false"/>
    </xf>
    <xf numFmtId="164" fontId="9" fillId="10" borderId="1" xfId="0" applyFont="true" applyBorder="true" applyAlignment="true" applyProtection="false">
      <alignment horizontal="left" vertical="center" textRotation="0" wrapText="true" indent="1" shrinkToFit="false"/>
      <protection locked="true" hidden="false"/>
    </xf>
    <xf numFmtId="168" fontId="9" fillId="10" borderId="1" xfId="0" applyFont="true" applyBorder="true" applyAlignment="true" applyProtection="false">
      <alignment horizontal="center" vertical="center" textRotation="0" wrapText="false" indent="0" shrinkToFit="false"/>
      <protection locked="true" hidden="false"/>
    </xf>
    <xf numFmtId="165" fontId="9" fillId="10" borderId="1" xfId="0" applyFont="true" applyBorder="true" applyAlignment="true" applyProtection="false">
      <alignment horizontal="center" vertical="center"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7" fontId="18" fillId="11" borderId="1" xfId="0" applyFont="true" applyBorder="true" applyAlignment="true" applyProtection="false">
      <alignment horizontal="left" vertical="center" textRotation="0" wrapText="true" indent="1" shrinkToFit="false"/>
      <protection locked="true" hidden="false"/>
    </xf>
    <xf numFmtId="164" fontId="19" fillId="11" borderId="1" xfId="0" applyFont="true" applyBorder="true" applyAlignment="true" applyProtection="false">
      <alignment horizontal="left" vertical="center" textRotation="0" wrapText="true" indent="1" shrinkToFit="false"/>
      <protection locked="true" hidden="false"/>
    </xf>
    <xf numFmtId="166" fontId="19" fillId="11" borderId="1" xfId="0" applyFont="true" applyBorder="true" applyAlignment="true" applyProtection="false">
      <alignment horizontal="center" vertical="center" textRotation="0" wrapText="false" indent="0" shrinkToFit="false"/>
      <protection locked="true" hidden="false"/>
    </xf>
    <xf numFmtId="164" fontId="4" fillId="12" borderId="0" xfId="0" applyFont="true" applyBorder="true" applyAlignment="true" applyProtection="false">
      <alignment horizontal="left" vertical="center" textRotation="0" wrapText="false" indent="1" shrinkToFit="false"/>
      <protection locked="true" hidden="false"/>
    </xf>
    <xf numFmtId="170" fontId="20" fillId="10" borderId="1" xfId="0" applyFont="true" applyBorder="true" applyAlignment="true" applyProtection="false">
      <alignment horizontal="center" vertical="center" textRotation="0" wrapText="false" indent="0" shrinkToFit="false"/>
      <protection locked="true" hidden="false"/>
    </xf>
    <xf numFmtId="164" fontId="21" fillId="10" borderId="1" xfId="0" applyFont="true" applyBorder="true" applyAlignment="true" applyProtection="false">
      <alignment horizontal="center" vertical="center" textRotation="0" wrapText="true" indent="0" shrinkToFit="false"/>
      <protection locked="true" hidden="false"/>
    </xf>
    <xf numFmtId="164" fontId="0" fillId="8" borderId="2" xfId="0" applyFont="false" applyBorder="true" applyAlignment="false" applyProtection="false">
      <alignment horizontal="general" vertical="bottom" textRotation="0" wrapText="false" indent="0" shrinkToFit="false"/>
      <protection locked="true" hidden="false"/>
    </xf>
    <xf numFmtId="164" fontId="18" fillId="8" borderId="2" xfId="0" applyFont="true" applyBorder="true" applyAlignment="true" applyProtection="false">
      <alignment horizontal="center" vertical="center" textRotation="0" wrapText="false" indent="0" shrinkToFit="false"/>
      <protection locked="true" hidden="false"/>
    </xf>
    <xf numFmtId="164" fontId="9" fillId="9" borderId="1" xfId="0" applyFont="true" applyBorder="true" applyAlignment="true" applyProtection="false">
      <alignment horizontal="center" vertical="center" textRotation="0" wrapText="true" indent="0" shrinkToFit="false"/>
      <protection locked="true" hidden="false"/>
    </xf>
    <xf numFmtId="164" fontId="18" fillId="10" borderId="1" xfId="0" applyFont="true" applyBorder="true" applyAlignment="true" applyProtection="false">
      <alignment horizontal="center" vertical="center" textRotation="0" wrapText="false" indent="0" shrinkToFit="false"/>
      <protection locked="true" hidden="false"/>
    </xf>
    <xf numFmtId="164" fontId="9" fillId="10" borderId="1" xfId="0" applyFont="true" applyBorder="true" applyAlignment="true" applyProtection="false">
      <alignment horizontal="left" vertical="center" textRotation="0" wrapText="false" indent="1" shrinkToFit="false"/>
      <protection locked="true" hidden="false"/>
    </xf>
    <xf numFmtId="164" fontId="4" fillId="13" borderId="0" xfId="0" applyFont="true" applyBorder="true" applyAlignment="true" applyProtection="false">
      <alignment horizontal="left" vertical="center" textRotation="0" wrapText="false" indent="1" shrinkToFit="false"/>
      <protection locked="true" hidden="false"/>
    </xf>
    <xf numFmtId="171" fontId="19" fillId="9" borderId="1" xfId="0" applyFont="true" applyBorder="true" applyAlignment="true" applyProtection="false">
      <alignment horizontal="center" vertical="center" textRotation="0" wrapText="false" indent="0" shrinkToFit="false"/>
      <protection locked="true" hidden="false"/>
    </xf>
    <xf numFmtId="165" fontId="19" fillId="9" borderId="1" xfId="0" applyFont="true" applyBorder="true" applyAlignment="true" applyProtection="false">
      <alignment horizontal="center" vertical="center" textRotation="0" wrapText="false" indent="0" shrinkToFit="false"/>
      <protection locked="true" hidden="false"/>
    </xf>
    <xf numFmtId="171" fontId="19" fillId="11" borderId="1" xfId="0" applyFont="true" applyBorder="true" applyAlignment="true" applyProtection="false">
      <alignment horizontal="center" vertical="center" textRotation="0" wrapText="false" indent="0" shrinkToFit="false"/>
      <protection locked="true" hidden="false"/>
    </xf>
    <xf numFmtId="165" fontId="19" fillId="11" borderId="1" xfId="0" applyFont="true" applyBorder="true" applyAlignment="true" applyProtection="false">
      <alignment horizontal="center" vertical="center" textRotation="0" wrapText="false" indent="0" shrinkToFit="false"/>
      <protection locked="true" hidden="false"/>
    </xf>
    <xf numFmtId="164" fontId="4" fillId="14" borderId="0" xfId="0" applyFont="true" applyBorder="true" applyAlignment="true" applyProtection="false">
      <alignment horizontal="left" vertical="center" textRotation="0" wrapText="false" indent="1" shrinkToFit="false"/>
      <protection locked="true" hidden="false"/>
    </xf>
    <xf numFmtId="167" fontId="19" fillId="9" borderId="1" xfId="0" applyFont="true" applyBorder="true" applyAlignment="true" applyProtection="false">
      <alignment horizontal="center" vertical="center" textRotation="0" wrapText="false" indent="0" shrinkToFit="false"/>
      <protection locked="true" hidden="false"/>
    </xf>
    <xf numFmtId="167" fontId="19" fillId="11" borderId="1" xfId="0" applyFont="true" applyBorder="true" applyAlignment="true" applyProtection="false">
      <alignment horizontal="center" vertical="center" textRotation="0" wrapText="false" indent="0" shrinkToFit="false"/>
      <protection locked="true" hidden="false"/>
    </xf>
    <xf numFmtId="164" fontId="4" fillId="15" borderId="0" xfId="0" applyFont="true" applyBorder="true" applyAlignment="true" applyProtection="false">
      <alignment horizontal="left" vertical="center" textRotation="0" wrapText="false" indent="1" shrinkToFit="false"/>
      <protection locked="true" hidden="false"/>
    </xf>
    <xf numFmtId="165" fontId="18" fillId="9" borderId="1" xfId="0" applyFont="true" applyBorder="true" applyAlignment="true" applyProtection="false">
      <alignment horizontal="center" vertical="center" textRotation="0" wrapText="false" indent="0" shrinkToFit="false"/>
      <protection locked="true" hidden="false"/>
    </xf>
    <xf numFmtId="167" fontId="19" fillId="9" borderId="1" xfId="0" applyFont="true" applyBorder="true" applyAlignment="true" applyProtection="false">
      <alignment horizontal="left" vertical="center" textRotation="0" wrapText="true" indent="1" shrinkToFit="false"/>
      <protection locked="true" hidden="false"/>
    </xf>
    <xf numFmtId="164" fontId="19" fillId="9" borderId="1" xfId="0" applyFont="true" applyBorder="true" applyAlignment="true" applyProtection="false">
      <alignment horizontal="center" vertical="center" textRotation="0" wrapText="false" indent="0" shrinkToFit="false"/>
      <protection locked="true" hidden="false"/>
    </xf>
    <xf numFmtId="165" fontId="18" fillId="11" borderId="1" xfId="0" applyFont="true" applyBorder="true" applyAlignment="true" applyProtection="false">
      <alignment horizontal="center" vertical="center" textRotation="0" wrapText="false" indent="0" shrinkToFit="false"/>
      <protection locked="true" hidden="false"/>
    </xf>
    <xf numFmtId="167" fontId="19" fillId="11" borderId="1" xfId="0" applyFont="true" applyBorder="true" applyAlignment="true" applyProtection="false">
      <alignment horizontal="left" vertical="center" textRotation="0" wrapText="true" indent="1" shrinkToFit="false"/>
      <protection locked="true" hidden="false"/>
    </xf>
    <xf numFmtId="164" fontId="19" fillId="11" borderId="1" xfId="0" applyFont="true" applyBorder="true" applyAlignment="true" applyProtection="false">
      <alignment horizontal="center" vertical="center" textRotation="0" wrapText="false" indent="0" shrinkToFit="false"/>
      <protection locked="true" hidden="false"/>
    </xf>
    <xf numFmtId="164" fontId="22" fillId="16" borderId="1" xfId="0" applyFont="true" applyBorder="true" applyAlignment="true" applyProtection="false">
      <alignment horizontal="center" vertical="center" textRotation="0" wrapText="false" indent="0" shrinkToFit="false"/>
      <protection locked="true" hidden="false"/>
    </xf>
    <xf numFmtId="164" fontId="23" fillId="17" borderId="1" xfId="0" applyFont="true" applyBorder="true" applyAlignment="true" applyProtection="false">
      <alignment horizontal="left" vertical="center" textRotation="0" wrapText="false" indent="1" shrinkToFit="false"/>
      <protection locked="true" hidden="false"/>
    </xf>
    <xf numFmtId="164" fontId="9" fillId="0" borderId="1" xfId="0" applyFont="true" applyBorder="true" applyAlignment="true" applyProtection="false">
      <alignment horizontal="left" vertical="center" textRotation="0" wrapText="true" indent="1" shrinkToFit="false"/>
      <protection locked="true" hidden="false"/>
    </xf>
    <xf numFmtId="164" fontId="22" fillId="14" borderId="1" xfId="0" applyFont="true" applyBorder="true" applyAlignment="true" applyProtection="false">
      <alignment horizontal="center" vertical="center" textRotation="0" wrapText="false" indent="0" shrinkToFit="false"/>
      <protection locked="true" hidden="false"/>
    </xf>
    <xf numFmtId="164" fontId="24" fillId="18" borderId="1" xfId="0" applyFont="true" applyBorder="true" applyAlignment="true" applyProtection="false">
      <alignment horizontal="left" vertical="center" textRotation="0" wrapText="false" indent="1" shrinkToFit="false"/>
      <protection locked="true" hidden="false"/>
    </xf>
    <xf numFmtId="164" fontId="17" fillId="19" borderId="1" xfId="0" applyFont="true" applyBorder="true" applyAlignment="true" applyProtection="false">
      <alignment horizontal="center" vertical="center" textRotation="0" wrapText="false" indent="0" shrinkToFit="false"/>
      <protection locked="true" hidden="false"/>
    </xf>
    <xf numFmtId="164" fontId="25" fillId="5" borderId="1" xfId="0" applyFont="true" applyBorder="true" applyAlignment="true" applyProtection="false">
      <alignment horizontal="left" vertical="center" textRotation="0" wrapText="false" indent="1" shrinkToFit="false"/>
      <protection locked="true" hidden="false"/>
    </xf>
    <xf numFmtId="164" fontId="17" fillId="20" borderId="1" xfId="0" applyFont="true" applyBorder="true" applyAlignment="true" applyProtection="false">
      <alignment horizontal="center" vertical="center" textRotation="0" wrapText="false" indent="0" shrinkToFit="false"/>
      <protection locked="true" hidden="false"/>
    </xf>
    <xf numFmtId="164" fontId="26" fillId="7" borderId="1" xfId="0" applyFont="true" applyBorder="true" applyAlignment="true" applyProtection="false">
      <alignment horizontal="left" vertical="center" textRotation="0" wrapText="false" indent="1" shrinkToFit="false"/>
      <protection locked="true" hidden="false"/>
    </xf>
    <xf numFmtId="164" fontId="17" fillId="21" borderId="1" xfId="0" applyFont="true" applyBorder="true" applyAlignment="true" applyProtection="false">
      <alignment horizontal="center" vertical="center" textRotation="0" wrapText="false" indent="0" shrinkToFit="false"/>
      <protection locked="true" hidden="false"/>
    </xf>
    <xf numFmtId="164" fontId="27" fillId="22" borderId="1" xfId="0" applyFont="true" applyBorder="true" applyAlignment="true" applyProtection="false">
      <alignment horizontal="left" vertical="center" textRotation="0" wrapText="false" indent="1" shrinkToFit="false"/>
      <protection locked="true" hidden="false"/>
    </xf>
    <xf numFmtId="164" fontId="17" fillId="23" borderId="1" xfId="0" applyFont="true" applyBorder="true" applyAlignment="true" applyProtection="false">
      <alignment horizontal="center" vertical="center" textRotation="0" wrapText="false" indent="0" shrinkToFit="false"/>
      <protection locked="true" hidden="false"/>
    </xf>
    <xf numFmtId="164" fontId="28" fillId="24" borderId="1" xfId="0" applyFont="true" applyBorder="true" applyAlignment="true" applyProtection="false">
      <alignment horizontal="left" vertical="center" textRotation="0" wrapText="false" indent="1" shrinkToFit="false"/>
      <protection locked="true" hidden="false"/>
    </xf>
    <xf numFmtId="164" fontId="18" fillId="11" borderId="1" xfId="0" applyFont="true" applyBorder="true" applyAlignment="true" applyProtection="false">
      <alignment horizontal="left" vertical="center" textRotation="0" wrapText="false" indent="1" shrinkToFit="false"/>
      <protection locked="true" hidden="false"/>
    </xf>
    <xf numFmtId="164" fontId="18" fillId="11" borderId="1" xfId="0" applyFont="true" applyBorder="true" applyAlignment="true" applyProtection="false">
      <alignment horizontal="left" vertical="top" textRotation="0" wrapText="true" indent="1" shrinkToFit="false"/>
      <protection locked="true" hidden="false"/>
    </xf>
    <xf numFmtId="164" fontId="9" fillId="0" borderId="1" xfId="0" applyFont="true" applyBorder="true" applyAlignment="true" applyProtection="false">
      <alignment horizontal="left" vertical="top" textRotation="0" wrapText="true" indent="1" shrinkToFit="false"/>
      <protection locked="true" hidden="false"/>
    </xf>
    <xf numFmtId="164" fontId="18" fillId="8" borderId="2" xfId="0" applyFont="true" applyBorder="true" applyAlignment="true" applyProtection="false">
      <alignment horizontal="left" vertical="center" textRotation="0" wrapText="true" indent="1" shrinkToFit="false"/>
      <protection locked="true" hidden="false"/>
    </xf>
    <xf numFmtId="164" fontId="9" fillId="9" borderId="1" xfId="0" applyFont="true" applyBorder="true" applyAlignment="true" applyProtection="false">
      <alignment horizontal="left" vertical="center" textRotation="0" wrapText="true" indent="1" shrinkToFit="false"/>
      <protection locked="true" hidden="false"/>
    </xf>
    <xf numFmtId="164" fontId="9" fillId="11" borderId="1"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6">
    <dxf>
      <fill>
        <patternFill patternType="solid">
          <fgColor rgb="FFDCE9F4"/>
          <bgColor rgb="FF000000"/>
        </patternFill>
      </fill>
    </dxf>
    <dxf>
      <fill>
        <patternFill patternType="solid">
          <fgColor rgb="FFF5F5F5"/>
          <bgColor rgb="FF000000"/>
        </patternFill>
      </fill>
    </dxf>
    <dxf>
      <fill>
        <patternFill patternType="solid">
          <fgColor rgb="FFFDEBE9"/>
          <bgColor rgb="FF000000"/>
        </patternFill>
      </fill>
    </dxf>
    <dxf>
      <fill>
        <patternFill patternType="solid">
          <fgColor rgb="FFFFFFFF"/>
          <bgColor rgb="FF000000"/>
        </patternFill>
      </fill>
    </dxf>
    <dxf>
      <fill>
        <patternFill patternType="solid">
          <fgColor rgb="FF0D3C61"/>
          <bgColor rgb="FF000000"/>
        </patternFill>
      </fill>
    </dxf>
    <dxf>
      <fill>
        <patternFill patternType="solid">
          <fgColor rgb="FFF6F9FC"/>
          <bgColor rgb="FF000000"/>
        </patternFill>
      </fill>
    </dxf>
    <dxf>
      <fill>
        <patternFill patternType="solid">
          <fgColor rgb="FF1D3245"/>
          <bgColor rgb="FF000000"/>
        </patternFill>
      </fill>
    </dxf>
    <dxf>
      <fill>
        <patternFill>
          <bgColor rgb="FFFFF4E0"/>
        </patternFill>
      </fill>
    </dxf>
    <dxf>
      <fill>
        <patternFill>
          <bgColor rgb="FFFDEBE9"/>
        </patternFill>
      </fill>
    </dxf>
    <dxf>
      <fill>
        <patternFill>
          <bgColor rgb="FFFDEBE0"/>
        </patternFill>
      </fill>
    </dxf>
    <dxf>
      <fill>
        <patternFill>
          <bgColor rgb="FFE3F0FA"/>
        </patternFill>
      </fill>
    </dxf>
    <dxf>
      <fill>
        <patternFill>
          <bgColor rgb="FFF5F5F5"/>
        </patternFill>
      </fill>
    </dxf>
    <dxf>
      <fill>
        <patternFill patternType="solid">
          <fgColor rgb="FFFDEBE0"/>
          <bgColor rgb="FF000000"/>
        </patternFill>
      </fill>
    </dxf>
    <dxf>
      <fill>
        <patternFill patternType="solid">
          <fgColor rgb="FFE8F5E9"/>
          <bgColor rgb="FF000000"/>
        </patternFill>
      </fill>
    </dxf>
    <dxf>
      <fill>
        <patternFill patternType="solid">
          <fgColor rgb="FF4CAF50"/>
          <bgColor rgb="FF000000"/>
        </patternFill>
      </fill>
    </dxf>
    <dxf>
      <font>
        <name val="Inter"/>
        <charset val="1"/>
        <family val="0"/>
        <b val="1"/>
        <color rgb="FF4CAF50"/>
        <sz val="9"/>
      </font>
      <fill>
        <patternFill>
          <bgColor rgb="FFE8F5E9"/>
        </patternFill>
      </fill>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EEEEEE"/>
      <rgbColor rgb="FF808080"/>
      <rgbColor rgb="FF9999FF"/>
      <rgbColor rgb="FF993366"/>
      <rgbColor rgb="FFFFF4E0"/>
      <rgbColor rgb="FFE3F0FA"/>
      <rgbColor rgb="FF660066"/>
      <rgbColor rgb="FFFF8080"/>
      <rgbColor rgb="FF0B79D0"/>
      <rgbColor rgb="FFE0E0E0"/>
      <rgbColor rgb="FF000080"/>
      <rgbColor rgb="FFFF00FF"/>
      <rgbColor rgb="FFFFFF00"/>
      <rgbColor rgb="FF00FFFF"/>
      <rgbColor rgb="FF800080"/>
      <rgbColor rgb="FF800000"/>
      <rgbColor rgb="FF008080"/>
      <rgbColor rgb="FF0000FF"/>
      <rgbColor rgb="FF039BE5"/>
      <rgbColor rgb="FFE8F5E9"/>
      <rgbColor rgb="FFDCE9F4"/>
      <rgbColor rgb="FFFDEBE0"/>
      <rgbColor rgb="FF64B6F7"/>
      <rgbColor rgb="FFF5F5F5"/>
      <rgbColor rgb="FFF6F9FC"/>
      <rgbColor rgb="FFFDEBE9"/>
      <rgbColor rgb="FF3480BC"/>
      <rgbColor rgb="FF33CCCC"/>
      <rgbColor rgb="FF99CC00"/>
      <rgbColor rgb="FFFFB547"/>
      <rgbColor rgb="FFFF9900"/>
      <rgbColor rgb="FFEC6917"/>
      <rgbColor rgb="FF666699"/>
      <rgbColor rgb="FF8E98A2"/>
      <rgbColor rgb="FF0D3C61"/>
      <rgbColor rgb="FF4CAF50"/>
      <rgbColor rgb="FF003300"/>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95400</xdr:colOff>
      <xdr:row>0</xdr:row>
      <xdr:rowOff>114480</xdr:rowOff>
    </xdr:from>
    <xdr:to>
      <xdr:col>1</xdr:col>
      <xdr:colOff>1523880</xdr:colOff>
      <xdr:row>0</xdr:row>
      <xdr:rowOff>542880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50200" y="114480"/>
          <a:ext cx="1428480" cy="4284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493560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493560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35640</xdr:colOff>
      <xdr:row>0</xdr:row>
      <xdr:rowOff>313920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7"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G6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8"/>
    <col collapsed="false" customWidth="true" hidden="false" outlineLevel="0" max="7" min="3" style="0" width="15"/>
    <col collapsed="false" customWidth="true" hidden="false" outlineLevel="0" max="8" min="8" style="0" width="2.2"/>
  </cols>
  <sheetData>
    <row r="1" customFormat="false" ht="48" hidden="false" customHeight="true" outlineLevel="0" collapsed="false">
      <c r="B1" s="1"/>
      <c r="C1" s="1"/>
      <c r="D1" s="1"/>
      <c r="E1" s="1"/>
      <c r="F1" s="1"/>
      <c r="G1" s="1"/>
    </row>
    <row r="2" customFormat="false" ht="4.5" hidden="false" customHeight="true" outlineLevel="0" collapsed="false">
      <c r="B2" s="2"/>
      <c r="C2" s="2"/>
      <c r="D2" s="2"/>
      <c r="E2" s="2"/>
      <c r="F2" s="2"/>
      <c r="G2" s="2"/>
    </row>
    <row r="4" customFormat="false" ht="39.75" hidden="false" customHeight="true" outlineLevel="0" collapsed="false">
      <c r="B4" s="3" t="s">
        <v>0</v>
      </c>
      <c r="C4" s="3"/>
      <c r="D4" s="3"/>
      <c r="E4" s="3"/>
      <c r="F4" s="3"/>
      <c r="G4" s="3"/>
    </row>
    <row r="5" customFormat="false" ht="24" hidden="false" customHeight="true" outlineLevel="0" collapsed="false">
      <c r="B5" s="4" t="s">
        <v>1</v>
      </c>
      <c r="C5" s="4"/>
      <c r="D5" s="4"/>
      <c r="E5" s="4"/>
      <c r="F5" s="4"/>
      <c r="G5" s="4"/>
    </row>
    <row r="7" customFormat="false" ht="15" hidden="false" customHeight="true" outlineLevel="0" collapsed="false">
      <c r="B7" s="5" t="s">
        <v>2</v>
      </c>
      <c r="C7" s="5"/>
      <c r="D7" s="5"/>
      <c r="E7" s="5"/>
      <c r="F7" s="5"/>
      <c r="G7" s="5"/>
    </row>
    <row r="8" customFormat="false" ht="15" hidden="false" customHeight="true" outlineLevel="0" collapsed="false">
      <c r="B8" s="5"/>
      <c r="C8" s="5"/>
      <c r="D8" s="5"/>
      <c r="E8" s="5"/>
      <c r="F8" s="5"/>
      <c r="G8" s="5"/>
    </row>
    <row r="9" customFormat="false" ht="15" hidden="false" customHeight="true" outlineLevel="0" collapsed="false">
      <c r="B9" s="5"/>
      <c r="C9" s="5"/>
      <c r="D9" s="5"/>
      <c r="E9" s="5"/>
      <c r="F9" s="5"/>
      <c r="G9" s="5"/>
    </row>
    <row r="11" customFormat="false" ht="21.75" hidden="false" customHeight="true" outlineLevel="0" collapsed="false">
      <c r="B11" s="6" t="s">
        <v>3</v>
      </c>
      <c r="C11" s="6"/>
      <c r="D11" s="6"/>
      <c r="E11" s="6"/>
      <c r="F11" s="6"/>
      <c r="G11" s="6"/>
    </row>
    <row r="12" customFormat="false" ht="12.75" hidden="false" customHeight="true" outlineLevel="0" collapsed="false">
      <c r="B12" s="7" t="s">
        <v>4</v>
      </c>
      <c r="C12" s="7"/>
      <c r="D12" s="8" t="s">
        <v>5</v>
      </c>
      <c r="E12" s="8"/>
      <c r="F12" s="8"/>
      <c r="G12" s="8"/>
    </row>
    <row r="13" customFormat="false" ht="12.75" hidden="false" customHeight="true" outlineLevel="0" collapsed="false">
      <c r="B13" s="7"/>
      <c r="C13" s="7"/>
      <c r="D13" s="8"/>
      <c r="E13" s="8"/>
      <c r="F13" s="8"/>
      <c r="G13" s="8"/>
    </row>
    <row r="14" customFormat="false" ht="12.75" hidden="false" customHeight="true" outlineLevel="0" collapsed="false">
      <c r="B14" s="7"/>
      <c r="C14" s="7"/>
      <c r="D14" s="8"/>
      <c r="E14" s="8"/>
      <c r="F14" s="8"/>
      <c r="G14" s="8"/>
    </row>
    <row r="15" customFormat="false" ht="4.5" hidden="false" customHeight="true" outlineLevel="0" collapsed="false"/>
    <row r="16" customFormat="false" ht="12.75" hidden="false" customHeight="true" outlineLevel="0" collapsed="false">
      <c r="B16" s="7" t="s">
        <v>6</v>
      </c>
      <c r="C16" s="7"/>
      <c r="D16" s="8" t="s">
        <v>7</v>
      </c>
      <c r="E16" s="8"/>
      <c r="F16" s="8"/>
      <c r="G16" s="8"/>
    </row>
    <row r="17" customFormat="false" ht="12.75" hidden="false" customHeight="true" outlineLevel="0" collapsed="false">
      <c r="B17" s="7"/>
      <c r="C17" s="7"/>
      <c r="D17" s="8"/>
      <c r="E17" s="8"/>
      <c r="F17" s="8"/>
      <c r="G17" s="8"/>
    </row>
    <row r="18" customFormat="false" ht="12.75" hidden="false" customHeight="true" outlineLevel="0" collapsed="false">
      <c r="B18" s="7"/>
      <c r="C18" s="7"/>
      <c r="D18" s="8"/>
      <c r="E18" s="8"/>
      <c r="F18" s="8"/>
      <c r="G18" s="8"/>
    </row>
    <row r="19" customFormat="false" ht="4.5" hidden="false" customHeight="true" outlineLevel="0" collapsed="false"/>
    <row r="20" customFormat="false" ht="12.75" hidden="false" customHeight="true" outlineLevel="0" collapsed="false">
      <c r="B20" s="7" t="s">
        <v>8</v>
      </c>
      <c r="C20" s="7"/>
      <c r="D20" s="8" t="s">
        <v>9</v>
      </c>
      <c r="E20" s="8"/>
      <c r="F20" s="8"/>
      <c r="G20" s="8"/>
    </row>
    <row r="21" customFormat="false" ht="12.75" hidden="false" customHeight="true" outlineLevel="0" collapsed="false">
      <c r="B21" s="7"/>
      <c r="C21" s="7"/>
      <c r="D21" s="8"/>
      <c r="E21" s="8"/>
      <c r="F21" s="8"/>
      <c r="G21" s="8"/>
    </row>
    <row r="22" customFormat="false" ht="4.5" hidden="false" customHeight="true" outlineLevel="0" collapsed="false"/>
    <row r="23" customFormat="false" ht="12.75" hidden="false" customHeight="true" outlineLevel="0" collapsed="false">
      <c r="B23" s="7" t="s">
        <v>10</v>
      </c>
      <c r="C23" s="7"/>
      <c r="D23" s="8" t="s">
        <v>11</v>
      </c>
      <c r="E23" s="8"/>
      <c r="F23" s="8"/>
      <c r="G23" s="8"/>
    </row>
    <row r="24" customFormat="false" ht="12.75" hidden="false" customHeight="true" outlineLevel="0" collapsed="false">
      <c r="B24" s="7"/>
      <c r="C24" s="7"/>
      <c r="D24" s="8"/>
      <c r="E24" s="8"/>
      <c r="F24" s="8"/>
      <c r="G24" s="8"/>
    </row>
    <row r="25" customFormat="false" ht="12.75" hidden="false" customHeight="true" outlineLevel="0" collapsed="false">
      <c r="B25" s="7"/>
      <c r="C25" s="7"/>
      <c r="D25" s="8"/>
      <c r="E25" s="8"/>
      <c r="F25" s="8"/>
      <c r="G25" s="8"/>
    </row>
    <row r="26" customFormat="false" ht="4.5" hidden="false" customHeight="true" outlineLevel="0" collapsed="false"/>
    <row r="27" customFormat="false" ht="12.75" hidden="false" customHeight="true" outlineLevel="0" collapsed="false">
      <c r="B27" s="7" t="s">
        <v>12</v>
      </c>
      <c r="C27" s="7"/>
      <c r="D27" s="8" t="s">
        <v>13</v>
      </c>
      <c r="E27" s="8"/>
      <c r="F27" s="8"/>
      <c r="G27" s="8"/>
    </row>
    <row r="28" customFormat="false" ht="12.75" hidden="false" customHeight="true" outlineLevel="0" collapsed="false">
      <c r="B28" s="7"/>
      <c r="C28" s="7"/>
      <c r="D28" s="8"/>
      <c r="E28" s="8"/>
      <c r="F28" s="8"/>
      <c r="G28" s="8"/>
    </row>
    <row r="29" customFormat="false" ht="4.5" hidden="false" customHeight="true" outlineLevel="0" collapsed="false"/>
    <row r="30" customFormat="false" ht="12.75" hidden="false" customHeight="true" outlineLevel="0" collapsed="false">
      <c r="B30" s="7" t="s">
        <v>14</v>
      </c>
      <c r="C30" s="7"/>
      <c r="D30" s="8" t="s">
        <v>15</v>
      </c>
      <c r="E30" s="8"/>
      <c r="F30" s="8"/>
      <c r="G30" s="8"/>
    </row>
    <row r="31" customFormat="false" ht="12.75" hidden="false" customHeight="true" outlineLevel="0" collapsed="false">
      <c r="B31" s="7"/>
      <c r="C31" s="7"/>
      <c r="D31" s="8"/>
      <c r="E31" s="8"/>
      <c r="F31" s="8"/>
      <c r="G31" s="8"/>
    </row>
    <row r="32" customFormat="false" ht="12.75" hidden="false" customHeight="true" outlineLevel="0" collapsed="false">
      <c r="B32" s="7"/>
      <c r="C32" s="7"/>
      <c r="D32" s="8"/>
      <c r="E32" s="8"/>
      <c r="F32" s="8"/>
      <c r="G32" s="8"/>
    </row>
    <row r="33" customFormat="false" ht="12.75" hidden="false" customHeight="true" outlineLevel="0" collapsed="false">
      <c r="B33" s="7"/>
      <c r="C33" s="7"/>
      <c r="D33" s="8"/>
      <c r="E33" s="8"/>
      <c r="F33" s="8"/>
      <c r="G33" s="8"/>
    </row>
    <row r="34" customFormat="false" ht="4.5" hidden="false" customHeight="true" outlineLevel="0" collapsed="false"/>
    <row r="35" customFormat="false" ht="21.75" hidden="false" customHeight="true" outlineLevel="0" collapsed="false">
      <c r="B35" s="6" t="s">
        <v>16</v>
      </c>
      <c r="C35" s="6"/>
      <c r="D35" s="6"/>
      <c r="E35" s="6"/>
      <c r="F35" s="6"/>
      <c r="G35" s="6"/>
    </row>
    <row r="36" customFormat="false" ht="12.75" hidden="false" customHeight="true" outlineLevel="0" collapsed="false">
      <c r="B36" s="7" t="s">
        <v>17</v>
      </c>
      <c r="C36" s="7"/>
      <c r="D36" s="8" t="s">
        <v>18</v>
      </c>
      <c r="E36" s="8"/>
      <c r="F36" s="8"/>
      <c r="G36" s="8"/>
    </row>
    <row r="37" customFormat="false" ht="4.5" hidden="false" customHeight="true" outlineLevel="0" collapsed="false"/>
    <row r="38" customFormat="false" ht="12.75" hidden="false" customHeight="true" outlineLevel="0" collapsed="false">
      <c r="B38" s="7" t="s">
        <v>19</v>
      </c>
      <c r="C38" s="7"/>
      <c r="D38" s="8" t="s">
        <v>20</v>
      </c>
      <c r="E38" s="8"/>
      <c r="F38" s="8"/>
      <c r="G38" s="8"/>
    </row>
    <row r="39" customFormat="false" ht="12.75" hidden="false" customHeight="true" outlineLevel="0" collapsed="false">
      <c r="B39" s="7"/>
      <c r="C39" s="7"/>
      <c r="D39" s="8"/>
      <c r="E39" s="8"/>
      <c r="F39" s="8"/>
      <c r="G39" s="8"/>
    </row>
    <row r="40" customFormat="false" ht="4.5" hidden="false" customHeight="true" outlineLevel="0" collapsed="false"/>
    <row r="41" customFormat="false" ht="12.75" hidden="false" customHeight="true" outlineLevel="0" collapsed="false">
      <c r="B41" s="7" t="s">
        <v>21</v>
      </c>
      <c r="C41" s="7"/>
      <c r="D41" s="8" t="s">
        <v>22</v>
      </c>
      <c r="E41" s="8"/>
      <c r="F41" s="8"/>
      <c r="G41" s="8"/>
    </row>
    <row r="42" customFormat="false" ht="4.5" hidden="false" customHeight="true" outlineLevel="0" collapsed="false"/>
    <row r="43" customFormat="false" ht="12.75" hidden="false" customHeight="true" outlineLevel="0" collapsed="false">
      <c r="B43" s="7" t="s">
        <v>23</v>
      </c>
      <c r="C43" s="7"/>
      <c r="D43" s="8" t="s">
        <v>24</v>
      </c>
      <c r="E43" s="8"/>
      <c r="F43" s="8"/>
      <c r="G43" s="8"/>
    </row>
    <row r="44" customFormat="false" ht="12.75" hidden="false" customHeight="true" outlineLevel="0" collapsed="false">
      <c r="B44" s="7"/>
      <c r="C44" s="7"/>
      <c r="D44" s="8"/>
      <c r="E44" s="8"/>
      <c r="F44" s="8"/>
      <c r="G44" s="8"/>
    </row>
    <row r="45" customFormat="false" ht="4.5" hidden="false" customHeight="true" outlineLevel="0" collapsed="false"/>
    <row r="46" customFormat="false" ht="12.75" hidden="false" customHeight="true" outlineLevel="0" collapsed="false">
      <c r="B46" s="7" t="s">
        <v>25</v>
      </c>
      <c r="C46" s="7"/>
      <c r="D46" s="8" t="s">
        <v>26</v>
      </c>
      <c r="E46" s="8"/>
      <c r="F46" s="8"/>
      <c r="G46" s="8"/>
    </row>
    <row r="47" customFormat="false" ht="12.75" hidden="false" customHeight="true" outlineLevel="0" collapsed="false">
      <c r="B47" s="7"/>
      <c r="C47" s="7"/>
      <c r="D47" s="8"/>
      <c r="E47" s="8"/>
      <c r="F47" s="8"/>
      <c r="G47" s="8"/>
    </row>
    <row r="48" customFormat="false" ht="4.5" hidden="false" customHeight="true" outlineLevel="0" collapsed="false"/>
    <row r="49" customFormat="false" ht="12.75" hidden="false" customHeight="true" outlineLevel="0" collapsed="false">
      <c r="B49" s="7" t="s">
        <v>27</v>
      </c>
      <c r="C49" s="7"/>
      <c r="D49" s="8" t="s">
        <v>28</v>
      </c>
      <c r="E49" s="8"/>
      <c r="F49" s="8"/>
      <c r="G49" s="8"/>
    </row>
    <row r="50" customFormat="false" ht="4.5" hidden="false" customHeight="true" outlineLevel="0" collapsed="false"/>
    <row r="51" customFormat="false" ht="12.75" hidden="false" customHeight="true" outlineLevel="0" collapsed="false">
      <c r="B51" s="7" t="s">
        <v>29</v>
      </c>
      <c r="C51" s="7"/>
      <c r="D51" s="8" t="s">
        <v>30</v>
      </c>
      <c r="E51" s="8"/>
      <c r="F51" s="8"/>
      <c r="G51" s="8"/>
    </row>
    <row r="52" customFormat="false" ht="4.5" hidden="false" customHeight="true" outlineLevel="0" collapsed="false"/>
    <row r="53" customFormat="false" ht="18" hidden="false" customHeight="true" outlineLevel="0" collapsed="false">
      <c r="B53" s="9" t="s">
        <v>31</v>
      </c>
      <c r="C53" s="9"/>
      <c r="D53" s="9"/>
      <c r="E53" s="9"/>
      <c r="F53" s="9"/>
      <c r="G53" s="9"/>
    </row>
    <row r="55" customFormat="false" ht="12.75" hidden="false" customHeight="true" outlineLevel="0" collapsed="false">
      <c r="B55" s="10" t="s">
        <v>32</v>
      </c>
      <c r="C55" s="11" t="s">
        <v>33</v>
      </c>
      <c r="D55" s="11"/>
      <c r="E55" s="11"/>
      <c r="F55" s="11"/>
      <c r="G55" s="11"/>
    </row>
    <row r="56" customFormat="false" ht="12.75" hidden="false" customHeight="true" outlineLevel="0" collapsed="false">
      <c r="B56" s="10"/>
      <c r="C56" s="11"/>
      <c r="D56" s="11"/>
      <c r="E56" s="11"/>
      <c r="F56" s="11"/>
      <c r="G56" s="11"/>
    </row>
    <row r="57" customFormat="false" ht="12.75" hidden="false" customHeight="true" outlineLevel="0" collapsed="false">
      <c r="B57" s="10"/>
      <c r="C57" s="11"/>
      <c r="D57" s="11"/>
      <c r="E57" s="11"/>
      <c r="F57" s="11"/>
      <c r="G57" s="11"/>
    </row>
    <row r="58" customFormat="false" ht="12.75" hidden="false" customHeight="true" outlineLevel="0" collapsed="false">
      <c r="B58" s="10"/>
      <c r="C58" s="11"/>
      <c r="D58" s="11"/>
      <c r="E58" s="11"/>
      <c r="F58" s="11"/>
      <c r="G58" s="11"/>
    </row>
    <row r="59" customFormat="false" ht="12.75" hidden="false" customHeight="true" outlineLevel="0" collapsed="false">
      <c r="B59" s="10"/>
      <c r="C59" s="11"/>
      <c r="D59" s="11"/>
      <c r="E59" s="11"/>
      <c r="F59" s="11"/>
      <c r="G59" s="11"/>
    </row>
    <row r="60" customFormat="false" ht="12.75" hidden="false" customHeight="true" outlineLevel="0" collapsed="false">
      <c r="B60" s="10"/>
      <c r="C60" s="11"/>
      <c r="D60" s="11"/>
      <c r="E60" s="11"/>
      <c r="F60" s="11"/>
      <c r="G60" s="11"/>
    </row>
    <row r="61" customFormat="false" ht="12.75" hidden="false" customHeight="true" outlineLevel="0" collapsed="false">
      <c r="B61" s="10"/>
      <c r="C61" s="11"/>
      <c r="D61" s="11"/>
      <c r="E61" s="11"/>
      <c r="F61" s="11"/>
      <c r="G61" s="11"/>
    </row>
    <row r="62" customFormat="false" ht="12.75" hidden="false" customHeight="true" outlineLevel="0" collapsed="false">
      <c r="B62" s="10"/>
      <c r="C62" s="11"/>
      <c r="D62" s="11"/>
      <c r="E62" s="11"/>
      <c r="F62" s="11"/>
      <c r="G62" s="11"/>
    </row>
    <row r="63" customFormat="false" ht="12.75" hidden="false" customHeight="true" outlineLevel="0" collapsed="false">
      <c r="B63" s="10"/>
      <c r="C63" s="11"/>
      <c r="D63" s="11"/>
      <c r="E63" s="11"/>
      <c r="F63" s="11"/>
      <c r="G63" s="11"/>
    </row>
    <row r="64" customFormat="false" ht="19.5" hidden="false" customHeight="true" outlineLevel="0" collapsed="false">
      <c r="B64" s="12" t="s">
        <v>34</v>
      </c>
      <c r="C64" s="12"/>
      <c r="D64" s="12"/>
      <c r="E64" s="12"/>
      <c r="F64" s="12"/>
      <c r="G64" s="12"/>
    </row>
  </sheetData>
  <mergeCells count="37">
    <mergeCell ref="B1:G1"/>
    <mergeCell ref="B2:G2"/>
    <mergeCell ref="B4:G4"/>
    <mergeCell ref="B5:G5"/>
    <mergeCell ref="B7:G9"/>
    <mergeCell ref="B11:G11"/>
    <mergeCell ref="B12:C14"/>
    <mergeCell ref="D12:G14"/>
    <mergeCell ref="B16:C18"/>
    <mergeCell ref="D16:G18"/>
    <mergeCell ref="B20:C21"/>
    <mergeCell ref="D20:G21"/>
    <mergeCell ref="B23:C25"/>
    <mergeCell ref="D23:G25"/>
    <mergeCell ref="B27:C28"/>
    <mergeCell ref="D27:G28"/>
    <mergeCell ref="B30:C33"/>
    <mergeCell ref="D30:G33"/>
    <mergeCell ref="B35:G35"/>
    <mergeCell ref="B36:C36"/>
    <mergeCell ref="D36:G36"/>
    <mergeCell ref="B38:C39"/>
    <mergeCell ref="D38:G39"/>
    <mergeCell ref="B41:C41"/>
    <mergeCell ref="D41:G41"/>
    <mergeCell ref="B43:C44"/>
    <mergeCell ref="D43:G44"/>
    <mergeCell ref="B46:C47"/>
    <mergeCell ref="D46:G47"/>
    <mergeCell ref="B49:C49"/>
    <mergeCell ref="D49:G49"/>
    <mergeCell ref="B51:C51"/>
    <mergeCell ref="D51:G51"/>
    <mergeCell ref="B53:G53"/>
    <mergeCell ref="B55:B63"/>
    <mergeCell ref="C55:G63"/>
    <mergeCell ref="B64:G64"/>
  </mergeCells>
  <hyperlinks>
    <hyperlink ref="B64" r:id="rId1" display="Built for teams delivering capital projects, programs and portfolios  ·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H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2"/>
    <col collapsed="false" customWidth="true" hidden="false" outlineLevel="0" max="3" min="3" style="0" width="3"/>
    <col collapsed="false" customWidth="true" hidden="false" outlineLevel="0" max="4" min="4" style="0" width="20"/>
    <col collapsed="false" customWidth="true" hidden="false" outlineLevel="0" max="5" min="5" style="0" width="18"/>
    <col collapsed="false" customWidth="true" hidden="false" outlineLevel="0" max="7" min="6" style="0" width="20"/>
    <col collapsed="false" customWidth="true" hidden="false" outlineLevel="0" max="8" min="8" style="0" width="26"/>
    <col collapsed="false" customWidth="true" hidden="false" outlineLevel="0" max="9" min="9" style="0" width="2.2"/>
  </cols>
  <sheetData>
    <row r="1" customFormat="false" ht="33.75" hidden="false" customHeight="true" outlineLevel="0" collapsed="false">
      <c r="B1" s="13" t="s">
        <v>35</v>
      </c>
      <c r="C1" s="13"/>
      <c r="D1" s="13"/>
      <c r="E1" s="13"/>
      <c r="F1" s="13"/>
      <c r="G1" s="13"/>
      <c r="H1" s="13"/>
    </row>
    <row r="2" customFormat="false" ht="4.5" hidden="false" customHeight="true" outlineLevel="0" collapsed="false">
      <c r="B2" s="14"/>
      <c r="C2" s="14"/>
      <c r="D2" s="14"/>
      <c r="E2" s="14"/>
      <c r="F2" s="14"/>
      <c r="G2" s="14"/>
      <c r="H2" s="14"/>
    </row>
    <row r="4" customFormat="false" ht="25.5" hidden="false" customHeight="true" outlineLevel="0" collapsed="false">
      <c r="B4" s="15" t="s">
        <v>36</v>
      </c>
      <c r="C4" s="15"/>
      <c r="D4" s="15"/>
      <c r="E4" s="15"/>
      <c r="F4" s="15"/>
      <c r="G4" s="15"/>
      <c r="H4" s="15"/>
    </row>
    <row r="6" customFormat="false" ht="21.75" hidden="false" customHeight="true" outlineLevel="0" collapsed="false">
      <c r="B6" s="6" t="s">
        <v>37</v>
      </c>
      <c r="C6" s="6"/>
      <c r="D6" s="6"/>
      <c r="E6" s="6"/>
      <c r="F6" s="6"/>
      <c r="G6" s="6"/>
      <c r="H6" s="6"/>
    </row>
    <row r="7" customFormat="false" ht="21" hidden="false" customHeight="true" outlineLevel="0" collapsed="false">
      <c r="B7" s="16" t="s">
        <v>38</v>
      </c>
      <c r="D7" s="17" t="s">
        <v>39</v>
      </c>
      <c r="E7" s="17"/>
    </row>
    <row r="8" customFormat="false" ht="21" hidden="false" customHeight="true" outlineLevel="0" collapsed="false">
      <c r="B8" s="16" t="s">
        <v>40</v>
      </c>
      <c r="D8" s="17" t="s">
        <v>41</v>
      </c>
      <c r="E8" s="17"/>
    </row>
    <row r="9" customFormat="false" ht="21" hidden="false" customHeight="true" outlineLevel="0" collapsed="false">
      <c r="B9" s="16" t="s">
        <v>42</v>
      </c>
      <c r="D9" s="17" t="s">
        <v>43</v>
      </c>
      <c r="E9" s="17"/>
    </row>
    <row r="10" customFormat="false" ht="21" hidden="false" customHeight="true" outlineLevel="0" collapsed="false">
      <c r="B10" s="16" t="s">
        <v>44</v>
      </c>
      <c r="D10" s="17" t="s">
        <v>45</v>
      </c>
      <c r="E10" s="17"/>
    </row>
    <row r="11" customFormat="false" ht="55.5" hidden="false" customHeight="true" outlineLevel="0" collapsed="false">
      <c r="B11" s="16" t="s">
        <v>46</v>
      </c>
      <c r="D11" s="18" t="n">
        <f aca="true">TODAY()</f>
        <v>46253</v>
      </c>
      <c r="E11" s="18"/>
      <c r="F11" s="15" t="s">
        <v>47</v>
      </c>
      <c r="G11" s="15"/>
      <c r="H11" s="15"/>
    </row>
    <row r="13" customFormat="false" ht="21.75" hidden="false" customHeight="true" outlineLevel="0" collapsed="false">
      <c r="B13" s="6" t="s">
        <v>48</v>
      </c>
      <c r="C13" s="6"/>
      <c r="D13" s="6"/>
      <c r="E13" s="6"/>
      <c r="F13" s="6"/>
      <c r="G13" s="6"/>
      <c r="H13" s="6"/>
    </row>
    <row r="14" customFormat="false" ht="43.5" hidden="false" customHeight="true" outlineLevel="0" collapsed="false">
      <c r="B14" s="16" t="s">
        <v>49</v>
      </c>
      <c r="D14" s="19" t="n">
        <v>4</v>
      </c>
      <c r="E14" s="19"/>
      <c r="F14" s="15" t="s">
        <v>50</v>
      </c>
      <c r="G14" s="15"/>
      <c r="H14" s="15"/>
    </row>
    <row r="15" customFormat="false" ht="31.5" hidden="false" customHeight="true" outlineLevel="0" collapsed="false">
      <c r="B15" s="16" t="s">
        <v>51</v>
      </c>
      <c r="D15" s="19" t="n">
        <v>4</v>
      </c>
      <c r="E15" s="19"/>
      <c r="F15" s="15" t="s">
        <v>52</v>
      </c>
      <c r="G15" s="15"/>
      <c r="H15" s="15"/>
    </row>
    <row r="17" customFormat="false" ht="21.75" hidden="false" customHeight="true" outlineLevel="0" collapsed="false">
      <c r="B17" s="6" t="s">
        <v>53</v>
      </c>
      <c r="C17" s="6"/>
      <c r="D17" s="6"/>
      <c r="E17" s="6"/>
      <c r="F17" s="6"/>
      <c r="G17" s="6"/>
      <c r="H17" s="6"/>
    </row>
    <row r="18" customFormat="false" ht="31.5" hidden="false" customHeight="true" outlineLevel="0" collapsed="false">
      <c r="B18" s="16" t="s">
        <v>54</v>
      </c>
      <c r="D18" s="19" t="n">
        <v>14</v>
      </c>
      <c r="E18" s="19"/>
    </row>
    <row r="19" customFormat="false" ht="43.5" hidden="false" customHeight="true" outlineLevel="0" collapsed="false">
      <c r="B19" s="16" t="s">
        <v>55</v>
      </c>
      <c r="D19" s="19" t="n">
        <v>60</v>
      </c>
      <c r="E19" s="19"/>
      <c r="F19" s="15" t="s">
        <v>56</v>
      </c>
      <c r="G19" s="15"/>
      <c r="H19" s="15"/>
    </row>
    <row r="21" customFormat="false" ht="12.75" hidden="false" customHeight="true" outlineLevel="0" collapsed="false">
      <c r="B21" s="15" t="s">
        <v>57</v>
      </c>
      <c r="C21" s="15"/>
      <c r="D21" s="15"/>
      <c r="E21" s="15"/>
      <c r="F21" s="15"/>
      <c r="G21" s="15"/>
      <c r="H21" s="15"/>
    </row>
    <row r="22" customFormat="false" ht="12.75" hidden="false" customHeight="true" outlineLevel="0" collapsed="false">
      <c r="B22" s="15"/>
      <c r="C22" s="15"/>
      <c r="D22" s="15"/>
      <c r="E22" s="15"/>
      <c r="F22" s="15"/>
      <c r="G22" s="15"/>
      <c r="H22" s="15"/>
    </row>
    <row r="23" customFormat="false" ht="12.75" hidden="false" customHeight="true" outlineLevel="0" collapsed="false">
      <c r="B23" s="15"/>
      <c r="C23" s="15"/>
      <c r="D23" s="15"/>
      <c r="E23" s="15"/>
      <c r="F23" s="15"/>
      <c r="G23" s="15"/>
      <c r="H23" s="15"/>
    </row>
    <row r="24" customFormat="false" ht="12.75" hidden="false" customHeight="true" outlineLevel="0" collapsed="false">
      <c r="B24" s="15"/>
      <c r="C24" s="15"/>
      <c r="D24" s="15"/>
      <c r="E24" s="15"/>
      <c r="F24" s="15"/>
      <c r="G24" s="15"/>
      <c r="H24" s="15"/>
    </row>
    <row r="25" customFormat="false" ht="18" hidden="false" customHeight="true" outlineLevel="0" collapsed="false">
      <c r="B25" s="20" t="s">
        <v>58</v>
      </c>
      <c r="C25" s="20"/>
      <c r="D25" s="20"/>
      <c r="E25" s="20"/>
      <c r="F25" s="20"/>
      <c r="G25" s="20"/>
      <c r="H25" s="20"/>
    </row>
  </sheetData>
  <mergeCells count="21">
    <mergeCell ref="B1:H1"/>
    <mergeCell ref="B2:H2"/>
    <mergeCell ref="B4:H4"/>
    <mergeCell ref="B6:H6"/>
    <mergeCell ref="D7:E7"/>
    <mergeCell ref="D8:E8"/>
    <mergeCell ref="D9:E9"/>
    <mergeCell ref="D10:E10"/>
    <mergeCell ref="D11:E11"/>
    <mergeCell ref="F11:H11"/>
    <mergeCell ref="B13:H13"/>
    <mergeCell ref="D14:E14"/>
    <mergeCell ref="F14:H14"/>
    <mergeCell ref="D15:E15"/>
    <mergeCell ref="F15:H15"/>
    <mergeCell ref="B17:H17"/>
    <mergeCell ref="D18:E18"/>
    <mergeCell ref="D19:E19"/>
    <mergeCell ref="F19:H19"/>
    <mergeCell ref="B21:H24"/>
    <mergeCell ref="B25:H25"/>
  </mergeCells>
  <hyperlinks>
    <hyperlink ref="B25" r:id="rId1" display="Visit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W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51"/>
    <col collapsed="false" customWidth="true" hidden="false" outlineLevel="0" max="3" min="3" style="0" width="30"/>
    <col collapsed="false" customWidth="true" hidden="false" outlineLevel="0" max="4" min="4" style="0" width="16"/>
    <col collapsed="false" customWidth="true" hidden="false" outlineLevel="0" max="5" min="5" style="0" width="15"/>
    <col collapsed="false" customWidth="true" hidden="false" outlineLevel="0" max="7" min="6" style="0" width="11"/>
    <col collapsed="false" customWidth="true" hidden="false" outlineLevel="0" max="8" min="8" style="0" width="15"/>
    <col collapsed="false" customWidth="true" hidden="false" outlineLevel="0" max="10" min="9" style="0" width="11.5"/>
    <col collapsed="false" customWidth="true" hidden="false" outlineLevel="0" max="11" min="11" style="0" width="6"/>
    <col collapsed="false" customWidth="true" hidden="false" outlineLevel="0" max="12" min="12" style="0" width="17"/>
    <col collapsed="false" customWidth="true" hidden="false" outlineLevel="0" max="13" min="13" style="0" width="18"/>
    <col collapsed="false" customWidth="true" hidden="false" outlineLevel="0" max="14" min="14" style="0" width="12.5"/>
    <col collapsed="false" customWidth="true" hidden="false" outlineLevel="0" max="15" min="15" style="0" width="13"/>
    <col collapsed="false" customWidth="true" hidden="false" outlineLevel="0" max="16" min="16" style="0" width="24"/>
    <col collapsed="false" customWidth="true" hidden="false" outlineLevel="0" max="17" min="17" style="0" width="2.2"/>
    <col collapsed="false" customWidth="true" hidden="true" outlineLevel="0" max="23" min="18" style="0" width="9"/>
  </cols>
  <sheetData>
    <row r="1" customFormat="false" ht="33.75" hidden="false" customHeight="true" outlineLevel="0" collapsed="false">
      <c r="B1" s="13" t="s">
        <v>59</v>
      </c>
      <c r="C1" s="13"/>
      <c r="D1" s="13"/>
      <c r="E1" s="13"/>
      <c r="F1" s="13"/>
      <c r="G1" s="13"/>
      <c r="H1" s="13"/>
      <c r="I1" s="13"/>
      <c r="J1" s="13"/>
      <c r="K1" s="13"/>
      <c r="L1" s="13"/>
      <c r="M1" s="13"/>
      <c r="N1" s="13"/>
      <c r="O1" s="13"/>
      <c r="P1" s="13"/>
    </row>
    <row r="2" customFormat="false" ht="4.5" hidden="false" customHeight="true" outlineLevel="0" collapsed="false">
      <c r="B2" s="6"/>
      <c r="C2" s="6"/>
      <c r="D2" s="6"/>
      <c r="E2" s="6"/>
      <c r="F2" s="6"/>
      <c r="G2" s="6"/>
      <c r="H2" s="6"/>
      <c r="I2" s="6"/>
      <c r="J2" s="6"/>
      <c r="K2" s="6"/>
      <c r="L2" s="6"/>
      <c r="M2" s="6"/>
      <c r="N2" s="6"/>
      <c r="O2" s="6"/>
      <c r="P2" s="6"/>
    </row>
    <row r="3" customFormat="false" ht="16.5" hidden="false" customHeight="true" outlineLevel="0" collapsed="false">
      <c r="B3" s="21" t="str">
        <f aca="false">IF(LEFT(Setup!$D$7,7)&lt;&gt;"EXAMPLE","","EXAMPLE DATA - type your own project name on Setup to clear this.")</f>
        <v>EXAMPLE DATA - type your own project name on Setup to clear this.</v>
      </c>
      <c r="C3" s="21"/>
      <c r="D3" s="21"/>
      <c r="E3" s="21"/>
      <c r="F3" s="21"/>
      <c r="G3" s="21"/>
      <c r="H3" s="21"/>
      <c r="I3" s="21"/>
      <c r="J3" s="21"/>
      <c r="K3" s="21"/>
      <c r="L3" s="21"/>
      <c r="M3" s="21"/>
      <c r="N3" s="21"/>
      <c r="O3" s="21"/>
      <c r="P3" s="21"/>
    </row>
    <row r="4" customFormat="false" ht="25.5" hidden="false" customHeight="true" outlineLevel="0" collapsed="false">
      <c r="B4" s="15" t="s">
        <v>60</v>
      </c>
      <c r="C4" s="15"/>
      <c r="D4" s="15"/>
      <c r="E4" s="15"/>
      <c r="F4" s="15"/>
      <c r="G4" s="15"/>
      <c r="H4" s="15"/>
      <c r="I4" s="15"/>
      <c r="J4" s="15"/>
      <c r="K4" s="15"/>
      <c r="L4" s="15"/>
      <c r="M4" s="15"/>
      <c r="N4" s="15"/>
      <c r="O4" s="15"/>
      <c r="P4" s="15"/>
    </row>
    <row r="6" customFormat="false" ht="60" hidden="false" customHeight="true" outlineLevel="0" collapsed="false">
      <c r="B6" s="22" t="s">
        <v>61</v>
      </c>
      <c r="C6" s="22" t="s">
        <v>62</v>
      </c>
      <c r="D6" s="22" t="s">
        <v>63</v>
      </c>
      <c r="E6" s="22" t="s">
        <v>64</v>
      </c>
      <c r="F6" s="22" t="s">
        <v>65</v>
      </c>
      <c r="G6" s="22" t="s">
        <v>66</v>
      </c>
      <c r="H6" s="22" t="s">
        <v>67</v>
      </c>
      <c r="I6" s="22" t="s">
        <v>68</v>
      </c>
      <c r="J6" s="22" t="s">
        <v>69</v>
      </c>
      <c r="K6" s="22" t="s">
        <v>70</v>
      </c>
      <c r="L6" s="22" t="s">
        <v>71</v>
      </c>
      <c r="M6" s="22" t="s">
        <v>72</v>
      </c>
      <c r="N6" s="22" t="s">
        <v>73</v>
      </c>
      <c r="O6" s="22" t="s">
        <v>74</v>
      </c>
      <c r="P6" s="22" t="s">
        <v>75</v>
      </c>
    </row>
    <row r="7" customFormat="false" ht="46.5" hidden="false" customHeight="true" outlineLevel="0" collapsed="false">
      <c r="B7" s="23" t="s">
        <v>76</v>
      </c>
      <c r="C7" s="24" t="s">
        <v>77</v>
      </c>
      <c r="D7" s="24" t="s">
        <v>78</v>
      </c>
      <c r="E7" s="24" t="s">
        <v>79</v>
      </c>
      <c r="F7" s="25" t="n">
        <v>5</v>
      </c>
      <c r="G7" s="25" t="n">
        <v>4</v>
      </c>
      <c r="H7" s="26" t="str">
        <f aca="false">IF(OR($C7="",$F7="",$G7=""),"",IF($F7&gt;=Setup!$D$14,IF($G7&gt;=Setup!$D$15,"Work with them","Keep on side"),IF($G7&gt;=Setup!$D$15,"Keep in the loop","Watch")))</f>
        <v>Work with them</v>
      </c>
      <c r="I7" s="24" t="s">
        <v>80</v>
      </c>
      <c r="J7" s="24" t="s">
        <v>81</v>
      </c>
      <c r="K7" s="27" t="n">
        <f aca="false">IF(OR($I7="",$J7=""),"",MATCH($J7,Reference!$H$32:$H$36,0)-MATCH($I7,Reference!$H$32:$H$36,0))</f>
        <v>1</v>
      </c>
      <c r="L7" s="24" t="s">
        <v>82</v>
      </c>
      <c r="M7" s="24" t="s">
        <v>83</v>
      </c>
      <c r="N7" s="24" t="s">
        <v>84</v>
      </c>
      <c r="O7" s="28" t="n">
        <f aca="false">IF($B7="","",IF(SUMPRODUCT(MAX((Log!$C$7:$C$26=$B7)*Log!$B$7:$B$26))=0,"",SUMPRODUCT(MAX((Log!$C$7:$C$26=$B7)*Log!$B$7:$B$26))))</f>
        <v>46237</v>
      </c>
      <c r="P7" s="26" t="str">
        <f aca="false">IF($C7="","",IF($B7="","give this stakeholder an ID - every other sheet links on it",IF(COUNTIF($B$7:$B$26,$B7)&gt;1,"this ID is used twice on this sheet",IF(OR($F7="",$G7=""),"score influence and interest from 1 to 5",IF(OR($I7="",$J7=""),"set where they are now and where you need them",IF($L7="","name one person who owns this relationship",IF(AND($F7&gt;=Setup!$D$14,OR($I7="Resistant",$I7="Unaware"),$V7=0),"high influence and not with you, and nothing is planned",IF($O7="","no contact recorded on the Log",IF(AND($U7&gt;0,(Setup!$D$11-$O7)&gt;$U7*7),"last contact "&amp;(Setup!$D$11-$O7)&amp;" days ago - the plan says every "&amp;$U7&amp;" weeks",IF(AND($V7=0,(Setup!$D$11-$O7)&gt;Setup!$D$19),"last contact "&amp;(Setup!$D$11-$O7)&amp;" days ago and there is no engagement planned",IF(AND($K7&gt;0,$V7=0),"you need them at "&amp;$J7&amp;" and there is no engagement planned","")))))))))))</f>
        <v>last contact 16 days ago - the plan says every 2 weeks</v>
      </c>
      <c r="R7" s="0" t="n">
        <v>1</v>
      </c>
      <c r="S7" s="29" t="n">
        <f aca="false">IF(OR($C7="",$F7="",$G7=""),0,COUNTIFS($F$7:$F7,$F7,$G$7:$G7,$G7))</f>
        <v>1</v>
      </c>
      <c r="T7" s="29" t="n">
        <f aca="false">IF($H7="",0,COUNTIF($H$7:$H7,$H7))</f>
        <v>1</v>
      </c>
      <c r="U7" s="29" t="n">
        <f aca="false">IF($B7="",0,SUMIF('Engagement Plan'!$B$7:$B$26,$B7,'Engagement Plan'!$H$7:$H$26))</f>
        <v>2</v>
      </c>
      <c r="V7" s="29" t="n">
        <f aca="false">IF($B7="",0,COUNTIF('Engagement Plan'!$B$7:$B$26,$B7))</f>
        <v>1</v>
      </c>
      <c r="W7" s="0" t="str">
        <f aca="false">IF($C7="","grey",IF($B7="","amber",IF(COUNTIF($B$7:$B$26,$B7)&gt;1,"amber",IF(OR($F7="",$G7=""),"amber",IF(OR($I7="",$J7=""),"amber",IF($L7="","amber",IF(AND($F7&gt;=Setup!$D$14,OR($I7="Resistant",$I7="Unaware"),$V7=0),"red",IF($O7="","orange",IF(AND($U7&gt;0,(Setup!$D$11-$O7)&gt;$U7*7),"red",IF(AND($V7=0,(Setup!$D$11-$O7)&gt;Setup!$D$19),"orange",IF(AND($K7&gt;0,$V7=0),"orange","")))))))))))</f>
        <v>red</v>
      </c>
    </row>
    <row r="8" customFormat="false" ht="46.5" hidden="false" customHeight="true" outlineLevel="0" collapsed="false">
      <c r="B8" s="30" t="s">
        <v>85</v>
      </c>
      <c r="C8" s="31" t="s">
        <v>86</v>
      </c>
      <c r="D8" s="31" t="s">
        <v>78</v>
      </c>
      <c r="E8" s="31" t="s">
        <v>79</v>
      </c>
      <c r="F8" s="32" t="n">
        <v>5</v>
      </c>
      <c r="G8" s="32" t="n">
        <v>4</v>
      </c>
      <c r="H8" s="26" t="str">
        <f aca="false">IF(OR($C8="",$F8="",$G8=""),"",IF($F8&gt;=Setup!$D$14,IF($G8&gt;=Setup!$D$15,"Work with them","Keep on side"),IF($G8&gt;=Setup!$D$15,"Keep in the loop","Watch")))</f>
        <v>Work with them</v>
      </c>
      <c r="I8" s="31" t="s">
        <v>81</v>
      </c>
      <c r="J8" s="31" t="s">
        <v>81</v>
      </c>
      <c r="K8" s="27" t="n">
        <f aca="false">IF(OR($I8="",$J8=""),"",MATCH($J8,Reference!$H$32:$H$36,0)-MATCH($I8,Reference!$H$32:$H$36,0))</f>
        <v>0</v>
      </c>
      <c r="L8" s="31" t="s">
        <v>82</v>
      </c>
      <c r="M8" s="31" t="s">
        <v>83</v>
      </c>
      <c r="N8" s="31" t="s">
        <v>84</v>
      </c>
      <c r="O8" s="28" t="n">
        <f aca="false">IF($B8="","",IF(SUMPRODUCT(MAX((Log!$C$7:$C$26=$B8)*Log!$B$7:$B$26))=0,"",SUMPRODUCT(MAX((Log!$C$7:$C$26=$B8)*Log!$B$7:$B$26))))</f>
        <v>46241</v>
      </c>
      <c r="P8" s="26" t="str">
        <f aca="false">IF($C8="","",IF($B8="","give this stakeholder an ID - every other sheet links on it",IF(COUNTIF($B$7:$B$26,$B8)&gt;1,"this ID is used twice on this sheet",IF(OR($F8="",$G8=""),"score influence and interest from 1 to 5",IF(OR($I8="",$J8=""),"set where they are now and where you need them",IF($L8="","name one person who owns this relationship",IF(AND($F8&gt;=Setup!$D$14,OR($I8="Resistant",$I8="Unaware"),$V8=0),"high influence and not with you, and nothing is planned",IF($O8="","no contact recorded on the Log",IF(AND($U8&gt;0,(Setup!$D$11-$O8)&gt;$U8*7),"last contact "&amp;(Setup!$D$11-$O8)&amp;" days ago - the plan says every "&amp;$U8&amp;" weeks",IF(AND($V8=0,(Setup!$D$11-$O8)&gt;Setup!$D$19),"last contact "&amp;(Setup!$D$11-$O8)&amp;" days ago and there is no engagement planned",IF(AND($K8&gt;0,$V8=0),"you need them at "&amp;$J8&amp;" and there is no engagement planned","")))))))))))</f>
        <v/>
      </c>
      <c r="R8" s="0" t="n">
        <v>2</v>
      </c>
      <c r="S8" s="29" t="n">
        <f aca="false">IF(OR($C8="",$F8="",$G8=""),0,COUNTIFS($F$7:$F8,$F8,$G$7:$G8,$G8))</f>
        <v>2</v>
      </c>
      <c r="T8" s="29" t="n">
        <f aca="false">IF($H8="",0,COUNTIF($H$7:$H8,$H8))</f>
        <v>2</v>
      </c>
      <c r="U8" s="29" t="n">
        <f aca="false">IF($B8="",0,SUMIF('Engagement Plan'!$B$7:$B$26,$B8,'Engagement Plan'!$H$7:$H$26))</f>
        <v>4</v>
      </c>
      <c r="V8" s="29" t="n">
        <f aca="false">IF($B8="",0,COUNTIF('Engagement Plan'!$B$7:$B$26,$B8))</f>
        <v>1</v>
      </c>
      <c r="W8" s="0" t="str">
        <f aca="false">IF($C8="","grey",IF($B8="","amber",IF(COUNTIF($B$7:$B$26,$B8)&gt;1,"amber",IF(OR($F8="",$G8=""),"amber",IF(OR($I8="",$J8=""),"amber",IF($L8="","amber",IF(AND($F8&gt;=Setup!$D$14,OR($I8="Resistant",$I8="Unaware"),$V8=0),"red",IF($O8="","orange",IF(AND($U8&gt;0,(Setup!$D$11-$O8)&gt;$U8*7),"red",IF(AND($V8=0,(Setup!$D$11-$O8)&gt;Setup!$D$19),"orange",IF(AND($K8&gt;0,$V8=0),"orange","")))))))))))</f>
        <v/>
      </c>
    </row>
    <row r="9" customFormat="false" ht="46.5" hidden="false" customHeight="true" outlineLevel="0" collapsed="false">
      <c r="B9" s="23" t="s">
        <v>87</v>
      </c>
      <c r="C9" s="24" t="s">
        <v>88</v>
      </c>
      <c r="D9" s="24" t="s">
        <v>89</v>
      </c>
      <c r="E9" s="24" t="s">
        <v>90</v>
      </c>
      <c r="F9" s="25" t="n">
        <v>5</v>
      </c>
      <c r="G9" s="25" t="n">
        <v>3</v>
      </c>
      <c r="H9" s="26" t="str">
        <f aca="false">IF(OR($C9="",$F9="",$G9=""),"",IF($F9&gt;=Setup!$D$14,IF($G9&gt;=Setup!$D$15,"Work with them","Keep on side"),IF($G9&gt;=Setup!$D$15,"Keep in the loop","Watch")))</f>
        <v>Keep on side</v>
      </c>
      <c r="I9" s="24" t="s">
        <v>80</v>
      </c>
      <c r="J9" s="24" t="s">
        <v>81</v>
      </c>
      <c r="K9" s="27" t="n">
        <f aca="false">IF(OR($I9="",$J9=""),"",MATCH($J9,Reference!$H$32:$H$36,0)-MATCH($I9,Reference!$H$32:$H$36,0))</f>
        <v>1</v>
      </c>
      <c r="L9" s="24" t="s">
        <v>91</v>
      </c>
      <c r="M9" s="24" t="s">
        <v>92</v>
      </c>
      <c r="N9" s="24" t="s">
        <v>84</v>
      </c>
      <c r="O9" s="28" t="n">
        <f aca="false">IF($B9="","",IF(SUMPRODUCT(MAX((Log!$C$7:$C$26=$B9)*Log!$B$7:$B$26))=0,"",SUMPRODUCT(MAX((Log!$C$7:$C$26=$B9)*Log!$B$7:$B$26))))</f>
        <v>46218</v>
      </c>
      <c r="P9" s="26" t="str">
        <f aca="false">IF($C9="","",IF($B9="","give this stakeholder an ID - every other sheet links on it",IF(COUNTIF($B$7:$B$26,$B9)&gt;1,"this ID is used twice on this sheet",IF(OR($F9="",$G9=""),"score influence and interest from 1 to 5",IF(OR($I9="",$J9=""),"set where they are now and where you need them",IF($L9="","name one person who owns this relationship",IF(AND($F9&gt;=Setup!$D$14,OR($I9="Resistant",$I9="Unaware"),$V9=0),"high influence and not with you, and nothing is planned",IF($O9="","no contact recorded on the Log",IF(AND($U9&gt;0,(Setup!$D$11-$O9)&gt;$U9*7),"last contact "&amp;(Setup!$D$11-$O9)&amp;" days ago - the plan says every "&amp;$U9&amp;" weeks",IF(AND($V9=0,(Setup!$D$11-$O9)&gt;Setup!$D$19),"last contact "&amp;(Setup!$D$11-$O9)&amp;" days ago and there is no engagement planned",IF(AND($K9&gt;0,$V9=0),"you need them at "&amp;$J9&amp;" and there is no engagement planned","")))))))))))</f>
        <v>last contact 35 days ago - the plan says every 2 weeks</v>
      </c>
      <c r="R9" s="0" t="n">
        <v>3</v>
      </c>
      <c r="S9" s="29" t="n">
        <f aca="false">IF(OR($C9="",$F9="",$G9=""),0,COUNTIFS($F$7:$F9,$F9,$G$7:$G9,$G9))</f>
        <v>1</v>
      </c>
      <c r="T9" s="29" t="n">
        <f aca="false">IF($H9="",0,COUNTIF($H$7:$H9,$H9))</f>
        <v>1</v>
      </c>
      <c r="U9" s="29" t="n">
        <f aca="false">IF($B9="",0,SUMIF('Engagement Plan'!$B$7:$B$26,$B9,'Engagement Plan'!$H$7:$H$26))</f>
        <v>2</v>
      </c>
      <c r="V9" s="29" t="n">
        <f aca="false">IF($B9="",0,COUNTIF('Engagement Plan'!$B$7:$B$26,$B9))</f>
        <v>1</v>
      </c>
      <c r="W9" s="0" t="str">
        <f aca="false">IF($C9="","grey",IF($B9="","amber",IF(COUNTIF($B$7:$B$26,$B9)&gt;1,"amber",IF(OR($F9="",$G9=""),"amber",IF(OR($I9="",$J9=""),"amber",IF($L9="","amber",IF(AND($F9&gt;=Setup!$D$14,OR($I9="Resistant",$I9="Unaware"),$V9=0),"red",IF($O9="","orange",IF(AND($U9&gt;0,(Setup!$D$11-$O9)&gt;$U9*7),"red",IF(AND($V9=0,(Setup!$D$11-$O9)&gt;Setup!$D$19),"orange",IF(AND($K9&gt;0,$V9=0),"orange","")))))))))))</f>
        <v>red</v>
      </c>
    </row>
    <row r="10" customFormat="false" ht="46.5" hidden="false" customHeight="true" outlineLevel="0" collapsed="false">
      <c r="B10" s="30" t="s">
        <v>93</v>
      </c>
      <c r="C10" s="31" t="s">
        <v>94</v>
      </c>
      <c r="D10" s="31" t="s">
        <v>89</v>
      </c>
      <c r="E10" s="31" t="s">
        <v>90</v>
      </c>
      <c r="F10" s="32" t="n">
        <v>4</v>
      </c>
      <c r="G10" s="32" t="n">
        <v>2</v>
      </c>
      <c r="H10" s="26" t="str">
        <f aca="false">IF(OR($C10="",$F10="",$G10=""),"",IF($F10&gt;=Setup!$D$14,IF($G10&gt;=Setup!$D$15,"Work with them","Keep on side"),IF($G10&gt;=Setup!$D$15,"Keep in the loop","Watch")))</f>
        <v>Keep on side</v>
      </c>
      <c r="I10" s="31" t="s">
        <v>80</v>
      </c>
      <c r="J10" s="31" t="s">
        <v>81</v>
      </c>
      <c r="K10" s="27" t="n">
        <f aca="false">IF(OR($I10="",$J10=""),"",MATCH($J10,Reference!$H$32:$H$36,0)-MATCH($I10,Reference!$H$32:$H$36,0))</f>
        <v>1</v>
      </c>
      <c r="L10" s="31" t="s">
        <v>95</v>
      </c>
      <c r="M10" s="31" t="s">
        <v>96</v>
      </c>
      <c r="N10" s="31" t="s">
        <v>84</v>
      </c>
      <c r="O10" s="28" t="n">
        <f aca="false">IF($B10="","",IF(SUMPRODUCT(MAX((Log!$C$7:$C$26=$B10)*Log!$B$7:$B$26))=0,"",SUMPRODUCT(MAX((Log!$C$7:$C$26=$B10)*Log!$B$7:$B$26))))</f>
        <v>46235</v>
      </c>
      <c r="P10" s="26" t="str">
        <f aca="false">IF($C10="","",IF($B10="","give this stakeholder an ID - every other sheet links on it",IF(COUNTIF($B$7:$B$26,$B10)&gt;1,"this ID is used twice on this sheet",IF(OR($F10="",$G10=""),"score influence and interest from 1 to 5",IF(OR($I10="",$J10=""),"set where they are now and where you need them",IF($L10="","name one person who owns this relationship",IF(AND($F10&gt;=Setup!$D$14,OR($I10="Resistant",$I10="Unaware"),$V10=0),"high influence and not with you, and nothing is planned",IF($O10="","no contact recorded on the Log",IF(AND($U10&gt;0,(Setup!$D$11-$O10)&gt;$U10*7),"last contact "&amp;(Setup!$D$11-$O10)&amp;" days ago - the plan says every "&amp;$U10&amp;" weeks",IF(AND($V10=0,(Setup!$D$11-$O10)&gt;Setup!$D$19),"last contact "&amp;(Setup!$D$11-$O10)&amp;" days ago and there is no engagement planned",IF(AND($K10&gt;0,$V10=0),"you need them at "&amp;$J10&amp;" and there is no engagement planned","")))))))))))</f>
        <v/>
      </c>
      <c r="R10" s="0" t="n">
        <v>4</v>
      </c>
      <c r="S10" s="29" t="n">
        <f aca="false">IF(OR($C10="",$F10="",$G10=""),0,COUNTIFS($F$7:$F10,$F10,$G$7:$G10,$G10))</f>
        <v>1</v>
      </c>
      <c r="T10" s="29" t="n">
        <f aca="false">IF($H10="",0,COUNTIF($H$7:$H10,$H10))</f>
        <v>2</v>
      </c>
      <c r="U10" s="29" t="n">
        <f aca="false">IF($B10="",0,SUMIF('Engagement Plan'!$B$7:$B$26,$B10,'Engagement Plan'!$H$7:$H$26))</f>
        <v>4</v>
      </c>
      <c r="V10" s="29" t="n">
        <f aca="false">IF($B10="",0,COUNTIF('Engagement Plan'!$B$7:$B$26,$B10))</f>
        <v>1</v>
      </c>
      <c r="W10" s="0" t="str">
        <f aca="false">IF($C10="","grey",IF($B10="","amber",IF(COUNTIF($B$7:$B$26,$B10)&gt;1,"amber",IF(OR($F10="",$G10=""),"amber",IF(OR($I10="",$J10=""),"amber",IF($L10="","amber",IF(AND($F10&gt;=Setup!$D$14,OR($I10="Resistant",$I10="Unaware"),$V10=0),"red",IF($O10="","orange",IF(AND($U10&gt;0,(Setup!$D$11-$O10)&gt;$U10*7),"red",IF(AND($V10=0,(Setup!$D$11-$O10)&gt;Setup!$D$19),"orange",IF(AND($K10&gt;0,$V10=0),"orange","")))))))))))</f>
        <v/>
      </c>
    </row>
    <row r="11" customFormat="false" ht="46.5" hidden="false" customHeight="true" outlineLevel="0" collapsed="false">
      <c r="B11" s="23" t="s">
        <v>97</v>
      </c>
      <c r="C11" s="24" t="s">
        <v>98</v>
      </c>
      <c r="D11" s="24" t="s">
        <v>89</v>
      </c>
      <c r="E11" s="24" t="s">
        <v>99</v>
      </c>
      <c r="F11" s="25" t="n">
        <v>3</v>
      </c>
      <c r="G11" s="25" t="n">
        <v>2</v>
      </c>
      <c r="H11" s="26" t="str">
        <f aca="false">IF(OR($C11="",$F11="",$G11=""),"",IF($F11&gt;=Setup!$D$14,IF($G11&gt;=Setup!$D$15,"Work with them","Keep on side"),IF($G11&gt;=Setup!$D$15,"Keep in the loop","Watch")))</f>
        <v>Watch</v>
      </c>
      <c r="I11" s="24" t="s">
        <v>80</v>
      </c>
      <c r="J11" s="24" t="s">
        <v>80</v>
      </c>
      <c r="K11" s="27" t="n">
        <f aca="false">IF(OR($I11="",$J11=""),"",MATCH($J11,Reference!$H$32:$H$36,0)-MATCH($I11,Reference!$H$32:$H$36,0))</f>
        <v>0</v>
      </c>
      <c r="L11" s="24" t="s">
        <v>95</v>
      </c>
      <c r="M11" s="24" t="s">
        <v>96</v>
      </c>
      <c r="N11" s="24" t="s">
        <v>84</v>
      </c>
      <c r="O11" s="28" t="n">
        <f aca="false">IF($B11="","",IF(SUMPRODUCT(MAX((Log!$C$7:$C$26=$B11)*Log!$B$7:$B$26))=0,"",SUMPRODUCT(MAX((Log!$C$7:$C$26=$B11)*Log!$B$7:$B$26))))</f>
        <v>46213</v>
      </c>
      <c r="P11" s="26" t="str">
        <f aca="false">IF($C11="","",IF($B11="","give this stakeholder an ID - every other sheet links on it",IF(COUNTIF($B$7:$B$26,$B11)&gt;1,"this ID is used twice on this sheet",IF(OR($F11="",$G11=""),"score influence and interest from 1 to 5",IF(OR($I11="",$J11=""),"set where they are now and where you need them",IF($L11="","name one person who owns this relationship",IF(AND($F11&gt;=Setup!$D$14,OR($I11="Resistant",$I11="Unaware"),$V11=0),"high influence and not with you, and nothing is planned",IF($O11="","no contact recorded on the Log",IF(AND($U11&gt;0,(Setup!$D$11-$O11)&gt;$U11*7),"last contact "&amp;(Setup!$D$11-$O11)&amp;" days ago - the plan says every "&amp;$U11&amp;" weeks",IF(AND($V11=0,(Setup!$D$11-$O11)&gt;Setup!$D$19),"last contact "&amp;(Setup!$D$11-$O11)&amp;" days ago and there is no engagement planned",IF(AND($K11&gt;0,$V11=0),"you need them at "&amp;$J11&amp;" and there is no engagement planned","")))))))))))</f>
        <v/>
      </c>
      <c r="R11" s="0" t="n">
        <v>5</v>
      </c>
      <c r="S11" s="29" t="n">
        <f aca="false">IF(OR($C11="",$F11="",$G11=""),0,COUNTIFS($F$7:$F11,$F11,$G$7:$G11,$G11))</f>
        <v>1</v>
      </c>
      <c r="T11" s="29" t="n">
        <f aca="false">IF($H11="",0,COUNTIF($H$7:$H11,$H11))</f>
        <v>1</v>
      </c>
      <c r="U11" s="29" t="n">
        <f aca="false">IF($B11="",0,SUMIF('Engagement Plan'!$B$7:$B$26,$B11,'Engagement Plan'!$H$7:$H$26))</f>
        <v>8</v>
      </c>
      <c r="V11" s="29" t="n">
        <f aca="false">IF($B11="",0,COUNTIF('Engagement Plan'!$B$7:$B$26,$B11))</f>
        <v>1</v>
      </c>
      <c r="W11" s="0" t="str">
        <f aca="false">IF($C11="","grey",IF($B11="","amber",IF(COUNTIF($B$7:$B$26,$B11)&gt;1,"amber",IF(OR($F11="",$G11=""),"amber",IF(OR($I11="",$J11=""),"amber",IF($L11="","amber",IF(AND($F11&gt;=Setup!$D$14,OR($I11="Resistant",$I11="Unaware"),$V11=0),"red",IF($O11="","orange",IF(AND($U11&gt;0,(Setup!$D$11-$O11)&gt;$U11*7),"red",IF(AND($V11=0,(Setup!$D$11-$O11)&gt;Setup!$D$19),"orange",IF(AND($K11&gt;0,$V11=0),"orange","")))))))))))</f>
        <v/>
      </c>
    </row>
    <row r="12" customFormat="false" ht="46.5" hidden="false" customHeight="true" outlineLevel="0" collapsed="false">
      <c r="B12" s="30" t="s">
        <v>100</v>
      </c>
      <c r="C12" s="31" t="s">
        <v>101</v>
      </c>
      <c r="D12" s="31" t="s">
        <v>102</v>
      </c>
      <c r="E12" s="31" t="s">
        <v>79</v>
      </c>
      <c r="F12" s="32" t="n">
        <v>4</v>
      </c>
      <c r="G12" s="32" t="n">
        <v>3</v>
      </c>
      <c r="H12" s="26" t="str">
        <f aca="false">IF(OR($C12="",$F12="",$G12=""),"",IF($F12&gt;=Setup!$D$14,IF($G12&gt;=Setup!$D$15,"Work with them","Keep on side"),IF($G12&gt;=Setup!$D$15,"Keep in the loop","Watch")))</f>
        <v>Keep on side</v>
      </c>
      <c r="I12" s="31" t="s">
        <v>80</v>
      </c>
      <c r="J12" s="31" t="s">
        <v>81</v>
      </c>
      <c r="K12" s="27" t="n">
        <f aca="false">IF(OR($I12="",$J12=""),"",MATCH($J12,Reference!$H$32:$H$36,0)-MATCH($I12,Reference!$H$32:$H$36,0))</f>
        <v>1</v>
      </c>
      <c r="L12" s="31" t="s">
        <v>103</v>
      </c>
      <c r="M12" s="31" t="s">
        <v>83</v>
      </c>
      <c r="N12" s="31" t="s">
        <v>84</v>
      </c>
      <c r="O12" s="28" t="n">
        <f aca="false">IF($B12="","",IF(SUMPRODUCT(MAX((Log!$C$7:$C$26=$B12)*Log!$B$7:$B$26))=0,"",SUMPRODUCT(MAX((Log!$C$7:$C$26=$B12)*Log!$B$7:$B$26))))</f>
        <v>46229</v>
      </c>
      <c r="P12" s="26" t="str">
        <f aca="false">IF($C12="","",IF($B12="","give this stakeholder an ID - every other sheet links on it",IF(COUNTIF($B$7:$B$26,$B12)&gt;1,"this ID is used twice on this sheet",IF(OR($F12="",$G12=""),"score influence and interest from 1 to 5",IF(OR($I12="",$J12=""),"set where they are now and where you need them",IF($L12="","name one person who owns this relationship",IF(AND($F12&gt;=Setup!$D$14,OR($I12="Resistant",$I12="Unaware"),$V12=0),"high influence and not with you, and nothing is planned",IF($O12="","no contact recorded on the Log",IF(AND($U12&gt;0,(Setup!$D$11-$O12)&gt;$U12*7),"last contact "&amp;(Setup!$D$11-$O12)&amp;" days ago - the plan says every "&amp;$U12&amp;" weeks",IF(AND($V12=0,(Setup!$D$11-$O12)&gt;Setup!$D$19),"last contact "&amp;(Setup!$D$11-$O12)&amp;" days ago and there is no engagement planned",IF(AND($K12&gt;0,$V12=0),"you need them at "&amp;$J12&amp;" and there is no engagement planned","")))))))))))</f>
        <v/>
      </c>
      <c r="R12" s="0" t="n">
        <v>6</v>
      </c>
      <c r="S12" s="29" t="n">
        <f aca="false">IF(OR($C12="",$F12="",$G12=""),0,COUNTIFS($F$7:$F12,$F12,$G$7:$G12,$G12))</f>
        <v>1</v>
      </c>
      <c r="T12" s="29" t="n">
        <f aca="false">IF($H12="",0,COUNTIF($H$7:$H12,$H12))</f>
        <v>3</v>
      </c>
      <c r="U12" s="29" t="n">
        <f aca="false">IF($B12="",0,SUMIF('Engagement Plan'!$B$7:$B$26,$B12,'Engagement Plan'!$H$7:$H$26))</f>
        <v>4</v>
      </c>
      <c r="V12" s="29" t="n">
        <f aca="false">IF($B12="",0,COUNTIF('Engagement Plan'!$B$7:$B$26,$B12))</f>
        <v>1</v>
      </c>
      <c r="W12" s="0" t="str">
        <f aca="false">IF($C12="","grey",IF($B12="","amber",IF(COUNTIF($B$7:$B$26,$B12)&gt;1,"amber",IF(OR($F12="",$G12=""),"amber",IF(OR($I12="",$J12=""),"amber",IF($L12="","amber",IF(AND($F12&gt;=Setup!$D$14,OR($I12="Resistant",$I12="Unaware"),$V12=0),"red",IF($O12="","orange",IF(AND($U12&gt;0,(Setup!$D$11-$O12)&gt;$U12*7),"red",IF(AND($V12=0,(Setup!$D$11-$O12)&gt;Setup!$D$19),"orange",IF(AND($K12&gt;0,$V12=0),"orange","")))))))))))</f>
        <v/>
      </c>
    </row>
    <row r="13" customFormat="false" ht="46.5" hidden="false" customHeight="true" outlineLevel="0" collapsed="false">
      <c r="B13" s="23" t="s">
        <v>104</v>
      </c>
      <c r="C13" s="24" t="s">
        <v>105</v>
      </c>
      <c r="D13" s="24" t="s">
        <v>106</v>
      </c>
      <c r="E13" s="24" t="s">
        <v>107</v>
      </c>
      <c r="F13" s="25" t="n">
        <v>3</v>
      </c>
      <c r="G13" s="25" t="n">
        <v>5</v>
      </c>
      <c r="H13" s="26" t="str">
        <f aca="false">IF(OR($C13="",$F13="",$G13=""),"",IF($F13&gt;=Setup!$D$14,IF($G13&gt;=Setup!$D$15,"Work with them","Keep on side"),IF($G13&gt;=Setup!$D$15,"Keep in the loop","Watch")))</f>
        <v>Keep in the loop</v>
      </c>
      <c r="I13" s="24" t="s">
        <v>108</v>
      </c>
      <c r="J13" s="24" t="s">
        <v>80</v>
      </c>
      <c r="K13" s="27" t="n">
        <f aca="false">IF(OR($I13="",$J13=""),"",MATCH($J13,Reference!$H$32:$H$36,0)-MATCH($I13,Reference!$H$32:$H$36,0))</f>
        <v>1</v>
      </c>
      <c r="L13" s="24" t="s">
        <v>109</v>
      </c>
      <c r="M13" s="24" t="s">
        <v>110</v>
      </c>
      <c r="N13" s="24" t="s">
        <v>111</v>
      </c>
      <c r="O13" s="28" t="n">
        <f aca="false">IF($B13="","",IF(SUMPRODUCT(MAX((Log!$C$7:$C$26=$B13)*Log!$B$7:$B$26))=0,"",SUMPRODUCT(MAX((Log!$C$7:$C$26=$B13)*Log!$B$7:$B$26))))</f>
        <v>46244</v>
      </c>
      <c r="P13" s="26" t="str">
        <f aca="false">IF($C13="","",IF($B13="","give this stakeholder an ID - every other sheet links on it",IF(COUNTIF($B$7:$B$26,$B13)&gt;1,"this ID is used twice on this sheet",IF(OR($F13="",$G13=""),"score influence and interest from 1 to 5",IF(OR($I13="",$J13=""),"set where they are now and where you need them",IF($L13="","name one person who owns this relationship",IF(AND($F13&gt;=Setup!$D$14,OR($I13="Resistant",$I13="Unaware"),$V13=0),"high influence and not with you, and nothing is planned",IF($O13="","no contact recorded on the Log",IF(AND($U13&gt;0,(Setup!$D$11-$O13)&gt;$U13*7),"last contact "&amp;(Setup!$D$11-$O13)&amp;" days ago - the plan says every "&amp;$U13&amp;" weeks",IF(AND($V13=0,(Setup!$D$11-$O13)&gt;Setup!$D$19),"last contact "&amp;(Setup!$D$11-$O13)&amp;" days ago and there is no engagement planned",IF(AND($K13&gt;0,$V13=0),"you need them at "&amp;$J13&amp;" and there is no engagement planned","")))))))))))</f>
        <v/>
      </c>
      <c r="R13" s="0" t="n">
        <v>7</v>
      </c>
      <c r="S13" s="29" t="n">
        <f aca="false">IF(OR($C13="",$F13="",$G13=""),0,COUNTIFS($F$7:$F13,$F13,$G$7:$G13,$G13))</f>
        <v>1</v>
      </c>
      <c r="T13" s="29" t="n">
        <f aca="false">IF($H13="",0,COUNTIF($H$7:$H13,$H13))</f>
        <v>1</v>
      </c>
      <c r="U13" s="29" t="n">
        <f aca="false">IF($B13="",0,SUMIF('Engagement Plan'!$B$7:$B$26,$B13,'Engagement Plan'!$H$7:$H$26))</f>
        <v>2</v>
      </c>
      <c r="V13" s="29" t="n">
        <f aca="false">IF($B13="",0,COUNTIF('Engagement Plan'!$B$7:$B$26,$B13))</f>
        <v>1</v>
      </c>
      <c r="W13" s="0" t="str">
        <f aca="false">IF($C13="","grey",IF($B13="","amber",IF(COUNTIF($B$7:$B$26,$B13)&gt;1,"amber",IF(OR($F13="",$G13=""),"amber",IF(OR($I13="",$J13=""),"amber",IF($L13="","amber",IF(AND($F13&gt;=Setup!$D$14,OR($I13="Resistant",$I13="Unaware"),$V13=0),"red",IF($O13="","orange",IF(AND($U13&gt;0,(Setup!$D$11-$O13)&gt;$U13*7),"red",IF(AND($V13=0,(Setup!$D$11-$O13)&gt;Setup!$D$19),"orange",IF(AND($K13&gt;0,$V13=0),"orange","")))))))))))</f>
        <v/>
      </c>
    </row>
    <row r="14" customFormat="false" ht="46.5" hidden="false" customHeight="true" outlineLevel="0" collapsed="false">
      <c r="B14" s="30" t="s">
        <v>112</v>
      </c>
      <c r="C14" s="31" t="s">
        <v>113</v>
      </c>
      <c r="D14" s="31" t="s">
        <v>114</v>
      </c>
      <c r="E14" s="31" t="s">
        <v>115</v>
      </c>
      <c r="F14" s="32" t="n">
        <v>3</v>
      </c>
      <c r="G14" s="32" t="n">
        <v>4</v>
      </c>
      <c r="H14" s="26" t="str">
        <f aca="false">IF(OR($C14="",$F14="",$G14=""),"",IF($F14&gt;=Setup!$D$14,IF($G14&gt;=Setup!$D$15,"Work with them","Keep on side"),IF($G14&gt;=Setup!$D$15,"Keep in the loop","Watch")))</f>
        <v>Keep in the loop</v>
      </c>
      <c r="I14" s="31" t="s">
        <v>108</v>
      </c>
      <c r="J14" s="31" t="s">
        <v>80</v>
      </c>
      <c r="K14" s="27" t="n">
        <f aca="false">IF(OR($I14="",$J14=""),"",MATCH($J14,Reference!$H$32:$H$36,0)-MATCH($I14,Reference!$H$32:$H$36,0))</f>
        <v>1</v>
      </c>
      <c r="L14" s="31" t="s">
        <v>109</v>
      </c>
      <c r="M14" s="31" t="s">
        <v>116</v>
      </c>
      <c r="N14" s="31" t="s">
        <v>117</v>
      </c>
      <c r="O14" s="28" t="n">
        <f aca="false">IF($B14="","",IF(SUMPRODUCT(MAX((Log!$C$7:$C$26=$B14)*Log!$B$7:$B$26))=0,"",SUMPRODUCT(MAX((Log!$C$7:$C$26=$B14)*Log!$B$7:$B$26))))</f>
        <v>46223</v>
      </c>
      <c r="P14" s="26" t="str">
        <f aca="false">IF($C14="","",IF($B14="","give this stakeholder an ID - every other sheet links on it",IF(COUNTIF($B$7:$B$26,$B14)&gt;1,"this ID is used twice on this sheet",IF(OR($F14="",$G14=""),"score influence and interest from 1 to 5",IF(OR($I14="",$J14=""),"set where they are now and where you need them",IF($L14="","name one person who owns this relationship",IF(AND($F14&gt;=Setup!$D$14,OR($I14="Resistant",$I14="Unaware"),$V14=0),"high influence and not with you, and nothing is planned",IF($O14="","no contact recorded on the Log",IF(AND($U14&gt;0,(Setup!$D$11-$O14)&gt;$U14*7),"last contact "&amp;(Setup!$D$11-$O14)&amp;" days ago - the plan says every "&amp;$U14&amp;" weeks",IF(AND($V14=0,(Setup!$D$11-$O14)&gt;Setup!$D$19),"last contact "&amp;(Setup!$D$11-$O14)&amp;" days ago and there is no engagement planned",IF(AND($K14&gt;0,$V14=0),"you need them at "&amp;$J14&amp;" and there is no engagement planned","")))))))))))</f>
        <v>last contact 30 days ago - the plan says every 4 weeks</v>
      </c>
      <c r="R14" s="0" t="n">
        <v>8</v>
      </c>
      <c r="S14" s="29" t="n">
        <f aca="false">IF(OR($C14="",$F14="",$G14=""),0,COUNTIFS($F$7:$F14,$F14,$G$7:$G14,$G14))</f>
        <v>1</v>
      </c>
      <c r="T14" s="29" t="n">
        <f aca="false">IF($H14="",0,COUNTIF($H$7:$H14,$H14))</f>
        <v>2</v>
      </c>
      <c r="U14" s="29" t="n">
        <f aca="false">IF($B14="",0,SUMIF('Engagement Plan'!$B$7:$B$26,$B14,'Engagement Plan'!$H$7:$H$26))</f>
        <v>4</v>
      </c>
      <c r="V14" s="29" t="n">
        <f aca="false">IF($B14="",0,COUNTIF('Engagement Plan'!$B$7:$B$26,$B14))</f>
        <v>1</v>
      </c>
      <c r="W14" s="0" t="str">
        <f aca="false">IF($C14="","grey",IF($B14="","amber",IF(COUNTIF($B$7:$B$26,$B14)&gt;1,"amber",IF(OR($F14="",$G14=""),"amber",IF(OR($I14="",$J14=""),"amber",IF($L14="","amber",IF(AND($F14&gt;=Setup!$D$14,OR($I14="Resistant",$I14="Unaware"),$V14=0),"red",IF($O14="","orange",IF(AND($U14&gt;0,(Setup!$D$11-$O14)&gt;$U14*7),"red",IF(AND($V14=0,(Setup!$D$11-$O14)&gt;Setup!$D$19),"orange",IF(AND($K14&gt;0,$V14=0),"orange","")))))))))))</f>
        <v>red</v>
      </c>
    </row>
    <row r="15" customFormat="false" ht="46.5" hidden="false" customHeight="true" outlineLevel="0" collapsed="false">
      <c r="B15" s="23" t="s">
        <v>118</v>
      </c>
      <c r="C15" s="24" t="s">
        <v>119</v>
      </c>
      <c r="D15" s="24" t="s">
        <v>114</v>
      </c>
      <c r="E15" s="24" t="s">
        <v>107</v>
      </c>
      <c r="F15" s="25" t="n">
        <v>2</v>
      </c>
      <c r="G15" s="25" t="n">
        <v>5</v>
      </c>
      <c r="H15" s="26" t="str">
        <f aca="false">IF(OR($C15="",$F15="",$G15=""),"",IF($F15&gt;=Setup!$D$14,IF($G15&gt;=Setup!$D$15,"Work with them","Keep on side"),IF($G15&gt;=Setup!$D$15,"Keep in the loop","Watch")))</f>
        <v>Keep in the loop</v>
      </c>
      <c r="I15" s="24" t="s">
        <v>108</v>
      </c>
      <c r="J15" s="24" t="s">
        <v>80</v>
      </c>
      <c r="K15" s="27" t="n">
        <f aca="false">IF(OR($I15="",$J15=""),"",MATCH($J15,Reference!$H$32:$H$36,0)-MATCH($I15,Reference!$H$32:$H$36,0))</f>
        <v>1</v>
      </c>
      <c r="L15" s="24" t="s">
        <v>109</v>
      </c>
      <c r="M15" s="24" t="s">
        <v>116</v>
      </c>
      <c r="N15" s="24" t="s">
        <v>84</v>
      </c>
      <c r="O15" s="28" t="n">
        <f aca="false">IF($B15="","",IF(SUMPRODUCT(MAX((Log!$C$7:$C$26=$B15)*Log!$B$7:$B$26))=0,"",SUMPRODUCT(MAX((Log!$C$7:$C$26=$B15)*Log!$B$7:$B$26))))</f>
        <v>46248</v>
      </c>
      <c r="P15" s="26" t="str">
        <f aca="false">IF($C15="","",IF($B15="","give this stakeholder an ID - every other sheet links on it",IF(COUNTIF($B$7:$B$26,$B15)&gt;1,"this ID is used twice on this sheet",IF(OR($F15="",$G15=""),"score influence and interest from 1 to 5",IF(OR($I15="",$J15=""),"set where they are now and where you need them",IF($L15="","name one person who owns this relationship",IF(AND($F15&gt;=Setup!$D$14,OR($I15="Resistant",$I15="Unaware"),$V15=0),"high influence and not with you, and nothing is planned",IF($O15="","no contact recorded on the Log",IF(AND($U15&gt;0,(Setup!$D$11-$O15)&gt;$U15*7),"last contact "&amp;(Setup!$D$11-$O15)&amp;" days ago - the plan says every "&amp;$U15&amp;" weeks",IF(AND($V15=0,(Setup!$D$11-$O15)&gt;Setup!$D$19),"last contact "&amp;(Setup!$D$11-$O15)&amp;" days ago and there is no engagement planned",IF(AND($K15&gt;0,$V15=0),"you need them at "&amp;$J15&amp;" and there is no engagement planned","")))))))))))</f>
        <v/>
      </c>
      <c r="R15" s="0" t="n">
        <v>9</v>
      </c>
      <c r="S15" s="29" t="n">
        <f aca="false">IF(OR($C15="",$F15="",$G15=""),0,COUNTIFS($F$7:$F15,$F15,$G$7:$G15,$G15))</f>
        <v>1</v>
      </c>
      <c r="T15" s="29" t="n">
        <f aca="false">IF($H15="",0,COUNTIF($H$7:$H15,$H15))</f>
        <v>3</v>
      </c>
      <c r="U15" s="29" t="n">
        <f aca="false">IF($B15="",0,SUMIF('Engagement Plan'!$B$7:$B$26,$B15,'Engagement Plan'!$H$7:$H$26))</f>
        <v>2</v>
      </c>
      <c r="V15" s="29" t="n">
        <f aca="false">IF($B15="",0,COUNTIF('Engagement Plan'!$B$7:$B$26,$B15))</f>
        <v>1</v>
      </c>
      <c r="W15" s="0" t="str">
        <f aca="false">IF($C15="","grey",IF($B15="","amber",IF(COUNTIF($B$7:$B$26,$B15)&gt;1,"amber",IF(OR($F15="",$G15=""),"amber",IF(OR($I15="",$J15=""),"amber",IF($L15="","amber",IF(AND($F15&gt;=Setup!$D$14,OR($I15="Resistant",$I15="Unaware"),$V15=0),"red",IF($O15="","orange",IF(AND($U15&gt;0,(Setup!$D$11-$O15)&gt;$U15*7),"red",IF(AND($V15=0,(Setup!$D$11-$O15)&gt;Setup!$D$19),"orange",IF(AND($K15&gt;0,$V15=0),"orange","")))))))))))</f>
        <v/>
      </c>
    </row>
    <row r="16" customFormat="false" ht="46.5" hidden="false" customHeight="true" outlineLevel="0" collapsed="false">
      <c r="B16" s="30" t="s">
        <v>120</v>
      </c>
      <c r="C16" s="31" t="s">
        <v>121</v>
      </c>
      <c r="D16" s="31" t="s">
        <v>122</v>
      </c>
      <c r="E16" s="31" t="s">
        <v>115</v>
      </c>
      <c r="F16" s="32" t="n">
        <v>2</v>
      </c>
      <c r="G16" s="32" t="n">
        <v>5</v>
      </c>
      <c r="H16" s="26" t="str">
        <f aca="false">IF(OR($C16="",$F16="",$G16=""),"",IF($F16&gt;=Setup!$D$14,IF($G16&gt;=Setup!$D$15,"Work with them","Keep on side"),IF($G16&gt;=Setup!$D$15,"Keep in the loop","Watch")))</f>
        <v>Keep in the loop</v>
      </c>
      <c r="I16" s="31" t="s">
        <v>80</v>
      </c>
      <c r="J16" s="31" t="s">
        <v>81</v>
      </c>
      <c r="K16" s="27" t="n">
        <f aca="false">IF(OR($I16="",$J16=""),"",MATCH($J16,Reference!$H$32:$H$36,0)-MATCH($I16,Reference!$H$32:$H$36,0))</f>
        <v>1</v>
      </c>
      <c r="L16" s="31" t="s">
        <v>109</v>
      </c>
      <c r="M16" s="31" t="s">
        <v>116</v>
      </c>
      <c r="N16" s="31" t="s">
        <v>117</v>
      </c>
      <c r="O16" s="28" t="n">
        <f aca="false">IF($B16="","",IF(SUMPRODUCT(MAX((Log!$C$7:$C$26=$B16)*Log!$B$7:$B$26))=0,"",SUMPRODUCT(MAX((Log!$C$7:$C$26=$B16)*Log!$B$7:$B$26))))</f>
        <v>46232</v>
      </c>
      <c r="P16" s="26" t="str">
        <f aca="false">IF($C16="","",IF($B16="","give this stakeholder an ID - every other sheet links on it",IF(COUNTIF($B$7:$B$26,$B16)&gt;1,"this ID is used twice on this sheet",IF(OR($F16="",$G16=""),"score influence and interest from 1 to 5",IF(OR($I16="",$J16=""),"set where they are now and where you need them",IF($L16="","name one person who owns this relationship",IF(AND($F16&gt;=Setup!$D$14,OR($I16="Resistant",$I16="Unaware"),$V16=0),"high influence and not with you, and nothing is planned",IF($O16="","no contact recorded on the Log",IF(AND($U16&gt;0,(Setup!$D$11-$O16)&gt;$U16*7),"last contact "&amp;(Setup!$D$11-$O16)&amp;" days ago - the plan says every "&amp;$U16&amp;" weeks",IF(AND($V16=0,(Setup!$D$11-$O16)&gt;Setup!$D$19),"last contact "&amp;(Setup!$D$11-$O16)&amp;" days ago and there is no engagement planned",IF(AND($K16&gt;0,$V16=0),"you need them at "&amp;$J16&amp;" and there is no engagement planned","")))))))))))</f>
        <v/>
      </c>
      <c r="R16" s="0" t="n">
        <v>10</v>
      </c>
      <c r="S16" s="29" t="n">
        <f aca="false">IF(OR($C16="",$F16="",$G16=""),0,COUNTIFS($F$7:$F16,$F16,$G$7:$G16,$G16))</f>
        <v>2</v>
      </c>
      <c r="T16" s="29" t="n">
        <f aca="false">IF($H16="",0,COUNTIF($H$7:$H16,$H16))</f>
        <v>4</v>
      </c>
      <c r="U16" s="29" t="n">
        <f aca="false">IF($B16="",0,SUMIF('Engagement Plan'!$B$7:$B$26,$B16,'Engagement Plan'!$H$7:$H$26))</f>
        <v>6</v>
      </c>
      <c r="V16" s="29" t="n">
        <f aca="false">IF($B16="",0,COUNTIF('Engagement Plan'!$B$7:$B$26,$B16))</f>
        <v>1</v>
      </c>
      <c r="W16" s="0" t="str">
        <f aca="false">IF($C16="","grey",IF($B16="","amber",IF(COUNTIF($B$7:$B$26,$B16)&gt;1,"amber",IF(OR($F16="",$G16=""),"amber",IF(OR($I16="",$J16=""),"amber",IF($L16="","amber",IF(AND($F16&gt;=Setup!$D$14,OR($I16="Resistant",$I16="Unaware"),$V16=0),"red",IF($O16="","orange",IF(AND($U16&gt;0,(Setup!$D$11-$O16)&gt;$U16*7),"red",IF(AND($V16=0,(Setup!$D$11-$O16)&gt;Setup!$D$19),"orange",IF(AND($K16&gt;0,$V16=0),"orange","")))))))))))</f>
        <v/>
      </c>
    </row>
    <row r="17" customFormat="false" ht="46.5" hidden="false" customHeight="true" outlineLevel="0" collapsed="false">
      <c r="B17" s="23" t="s">
        <v>123</v>
      </c>
      <c r="C17" s="24" t="s">
        <v>124</v>
      </c>
      <c r="D17" s="24" t="s">
        <v>125</v>
      </c>
      <c r="E17" s="24" t="s">
        <v>99</v>
      </c>
      <c r="F17" s="25" t="n">
        <v>2</v>
      </c>
      <c r="G17" s="25" t="n">
        <v>4</v>
      </c>
      <c r="H17" s="26" t="str">
        <f aca="false">IF(OR($C17="",$F17="",$G17=""),"",IF($F17&gt;=Setup!$D$14,IF($G17&gt;=Setup!$D$15,"Work with them","Keep on side"),IF($G17&gt;=Setup!$D$15,"Keep in the loop","Watch")))</f>
        <v>Keep in the loop</v>
      </c>
      <c r="I17" s="24" t="s">
        <v>108</v>
      </c>
      <c r="J17" s="24" t="s">
        <v>80</v>
      </c>
      <c r="K17" s="27" t="n">
        <f aca="false">IF(OR($I17="",$J17=""),"",MATCH($J17,Reference!$H$32:$H$36,0)-MATCH($I17,Reference!$H$32:$H$36,0))</f>
        <v>1</v>
      </c>
      <c r="L17" s="24" t="s">
        <v>126</v>
      </c>
      <c r="M17" s="24" t="s">
        <v>116</v>
      </c>
      <c r="N17" s="24" t="s">
        <v>117</v>
      </c>
      <c r="O17" s="28" t="n">
        <f aca="false">IF($B17="","",IF(SUMPRODUCT(MAX((Log!$C$7:$C$26=$B17)*Log!$B$7:$B$26))=0,"",SUMPRODUCT(MAX((Log!$C$7:$C$26=$B17)*Log!$B$7:$B$26))))</f>
        <v>46239</v>
      </c>
      <c r="P17" s="26" t="str">
        <f aca="false">IF($C17="","",IF($B17="","give this stakeholder an ID - every other sheet links on it",IF(COUNTIF($B$7:$B$26,$B17)&gt;1,"this ID is used twice on this sheet",IF(OR($F17="",$G17=""),"score influence and interest from 1 to 5",IF(OR($I17="",$J17=""),"set where they are now and where you need them",IF($L17="","name one person who owns this relationship",IF(AND($F17&gt;=Setup!$D$14,OR($I17="Resistant",$I17="Unaware"),$V17=0),"high influence and not with you, and nothing is planned",IF($O17="","no contact recorded on the Log",IF(AND($U17&gt;0,(Setup!$D$11-$O17)&gt;$U17*7),"last contact "&amp;(Setup!$D$11-$O17)&amp;" days ago - the plan says every "&amp;$U17&amp;" weeks",IF(AND($V17=0,(Setup!$D$11-$O17)&gt;Setup!$D$19),"last contact "&amp;(Setup!$D$11-$O17)&amp;" days ago and there is no engagement planned",IF(AND($K17&gt;0,$V17=0),"you need them at "&amp;$J17&amp;" and there is no engagement planned","")))))))))))</f>
        <v/>
      </c>
      <c r="R17" s="0" t="n">
        <v>11</v>
      </c>
      <c r="S17" s="29" t="n">
        <f aca="false">IF(OR($C17="",$F17="",$G17=""),0,COUNTIFS($F$7:$F17,$F17,$G$7:$G17,$G17))</f>
        <v>1</v>
      </c>
      <c r="T17" s="29" t="n">
        <f aca="false">IF($H17="",0,COUNTIF($H$7:$H17,$H17))</f>
        <v>5</v>
      </c>
      <c r="U17" s="29" t="n">
        <f aca="false">IF($B17="",0,SUMIF('Engagement Plan'!$B$7:$B$26,$B17,'Engagement Plan'!$H$7:$H$26))</f>
        <v>8</v>
      </c>
      <c r="V17" s="29" t="n">
        <f aca="false">IF($B17="",0,COUNTIF('Engagement Plan'!$B$7:$B$26,$B17))</f>
        <v>1</v>
      </c>
      <c r="W17" s="0" t="str">
        <f aca="false">IF($C17="","grey",IF($B17="","amber",IF(COUNTIF($B$7:$B$26,$B17)&gt;1,"amber",IF(OR($F17="",$G17=""),"amber",IF(OR($I17="",$J17=""),"amber",IF($L17="","amber",IF(AND($F17&gt;=Setup!$D$14,OR($I17="Resistant",$I17="Unaware"),$V17=0),"red",IF($O17="","orange",IF(AND($U17&gt;0,(Setup!$D$11-$O17)&gt;$U17*7),"red",IF(AND($V17=0,(Setup!$D$11-$O17)&gt;Setup!$D$19),"orange",IF(AND($K17&gt;0,$V17=0),"orange","")))))))))))</f>
        <v/>
      </c>
    </row>
    <row r="18" customFormat="false" ht="46.5" hidden="false" customHeight="true" outlineLevel="0" collapsed="false">
      <c r="B18" s="30" t="s">
        <v>127</v>
      </c>
      <c r="C18" s="31" t="s">
        <v>128</v>
      </c>
      <c r="D18" s="31" t="s">
        <v>122</v>
      </c>
      <c r="E18" s="31" t="s">
        <v>129</v>
      </c>
      <c r="F18" s="32" t="n">
        <v>2</v>
      </c>
      <c r="G18" s="32" t="n">
        <v>4</v>
      </c>
      <c r="H18" s="26" t="str">
        <f aca="false">IF(OR($C18="",$F18="",$G18=""),"",IF($F18&gt;=Setup!$D$14,IF($G18&gt;=Setup!$D$15,"Work with them","Keep on side"),IF($G18&gt;=Setup!$D$15,"Keep in the loop","Watch")))</f>
        <v>Keep in the loop</v>
      </c>
      <c r="I18" s="31" t="s">
        <v>80</v>
      </c>
      <c r="J18" s="31" t="s">
        <v>81</v>
      </c>
      <c r="K18" s="27" t="n">
        <f aca="false">IF(OR($I18="",$J18=""),"",MATCH($J18,Reference!$H$32:$H$36,0)-MATCH($I18,Reference!$H$32:$H$36,0))</f>
        <v>1</v>
      </c>
      <c r="L18" s="31" t="s">
        <v>109</v>
      </c>
      <c r="M18" s="31" t="s">
        <v>116</v>
      </c>
      <c r="N18" s="31" t="s">
        <v>117</v>
      </c>
      <c r="O18" s="28" t="n">
        <f aca="false">IF($B18="","",IF(SUMPRODUCT(MAX((Log!$C$7:$C$26=$B18)*Log!$B$7:$B$26))=0,"",SUMPRODUCT(MAX((Log!$C$7:$C$26=$B18)*Log!$B$7:$B$26))))</f>
        <v>46220</v>
      </c>
      <c r="P18" s="26" t="str">
        <f aca="false">IF($C18="","",IF($B18="","give this stakeholder an ID - every other sheet links on it",IF(COUNTIF($B$7:$B$26,$B18)&gt;1,"this ID is used twice on this sheet",IF(OR($F18="",$G18=""),"score influence and interest from 1 to 5",IF(OR($I18="",$J18=""),"set where they are now and where you need them",IF($L18="","name one person who owns this relationship",IF(AND($F18&gt;=Setup!$D$14,OR($I18="Resistant",$I18="Unaware"),$V18=0),"high influence and not with you, and nothing is planned",IF($O18="","no contact recorded on the Log",IF(AND($U18&gt;0,(Setup!$D$11-$O18)&gt;$U18*7),"last contact "&amp;(Setup!$D$11-$O18)&amp;" days ago - the plan says every "&amp;$U18&amp;" weeks",IF(AND($V18=0,(Setup!$D$11-$O18)&gt;Setup!$D$19),"last contact "&amp;(Setup!$D$11-$O18)&amp;" days ago and there is no engagement planned",IF(AND($K18&gt;0,$V18=0),"you need them at "&amp;$J18&amp;" and there is no engagement planned","")))))))))))</f>
        <v/>
      </c>
      <c r="R18" s="0" t="n">
        <v>12</v>
      </c>
      <c r="S18" s="29" t="n">
        <f aca="false">IF(OR($C18="",$F18="",$G18=""),0,COUNTIFS($F$7:$F18,$F18,$G$7:$G18,$G18))</f>
        <v>2</v>
      </c>
      <c r="T18" s="29" t="n">
        <f aca="false">IF($H18="",0,COUNTIF($H$7:$H18,$H18))</f>
        <v>6</v>
      </c>
      <c r="U18" s="29" t="n">
        <f aca="false">IF($B18="",0,SUMIF('Engagement Plan'!$B$7:$B$26,$B18,'Engagement Plan'!$H$7:$H$26))</f>
        <v>8</v>
      </c>
      <c r="V18" s="29" t="n">
        <f aca="false">IF($B18="",0,COUNTIF('Engagement Plan'!$B$7:$B$26,$B18))</f>
        <v>1</v>
      </c>
      <c r="W18" s="0" t="str">
        <f aca="false">IF($C18="","grey",IF($B18="","amber",IF(COUNTIF($B$7:$B$26,$B18)&gt;1,"amber",IF(OR($F18="",$G18=""),"amber",IF(OR($I18="",$J18=""),"amber",IF($L18="","amber",IF(AND($F18&gt;=Setup!$D$14,OR($I18="Resistant",$I18="Unaware"),$V18=0),"red",IF($O18="","orange",IF(AND($U18&gt;0,(Setup!$D$11-$O18)&gt;$U18*7),"red",IF(AND($V18=0,(Setup!$D$11-$O18)&gt;Setup!$D$19),"orange",IF(AND($K18&gt;0,$V18=0),"orange","")))))))))))</f>
        <v/>
      </c>
    </row>
    <row r="19" customFormat="false" ht="46.5" hidden="false" customHeight="true" outlineLevel="0" collapsed="false">
      <c r="B19" s="23" t="s">
        <v>130</v>
      </c>
      <c r="C19" s="24" t="s">
        <v>131</v>
      </c>
      <c r="D19" s="24" t="s">
        <v>89</v>
      </c>
      <c r="E19" s="24" t="s">
        <v>129</v>
      </c>
      <c r="F19" s="25" t="n">
        <v>3</v>
      </c>
      <c r="G19" s="25" t="n">
        <v>3</v>
      </c>
      <c r="H19" s="26" t="str">
        <f aca="false">IF(OR($C19="",$F19="",$G19=""),"",IF($F19&gt;=Setup!$D$14,IF($G19&gt;=Setup!$D$15,"Work with them","Keep on side"),IF($G19&gt;=Setup!$D$15,"Keep in the loop","Watch")))</f>
        <v>Watch</v>
      </c>
      <c r="I19" s="24" t="s">
        <v>80</v>
      </c>
      <c r="J19" s="24" t="s">
        <v>81</v>
      </c>
      <c r="K19" s="27" t="n">
        <f aca="false">IF(OR($I19="",$J19=""),"",MATCH($J19,Reference!$H$32:$H$36,0)-MATCH($I19,Reference!$H$32:$H$36,0))</f>
        <v>1</v>
      </c>
      <c r="L19" s="24" t="s">
        <v>91</v>
      </c>
      <c r="M19" s="24" t="s">
        <v>92</v>
      </c>
      <c r="N19" s="24" t="s">
        <v>84</v>
      </c>
      <c r="O19" s="28" t="n">
        <f aca="false">IF($B19="","",IF(SUMPRODUCT(MAX((Log!$C$7:$C$26=$B19)*Log!$B$7:$B$26))=0,"",SUMPRODUCT(MAX((Log!$C$7:$C$26=$B19)*Log!$B$7:$B$26))))</f>
        <v>46227</v>
      </c>
      <c r="P19" s="26" t="str">
        <f aca="false">IF($C19="","",IF($B19="","give this stakeholder an ID - every other sheet links on it",IF(COUNTIF($B$7:$B$26,$B19)&gt;1,"this ID is used twice on this sheet",IF(OR($F19="",$G19=""),"score influence and interest from 1 to 5",IF(OR($I19="",$J19=""),"set where they are now and where you need them",IF($L19="","name one person who owns this relationship",IF(AND($F19&gt;=Setup!$D$14,OR($I19="Resistant",$I19="Unaware"),$V19=0),"high influence and not with you, and nothing is planned",IF($O19="","no contact recorded on the Log",IF(AND($U19&gt;0,(Setup!$D$11-$O19)&gt;$U19*7),"last contact "&amp;(Setup!$D$11-$O19)&amp;" days ago - the plan says every "&amp;$U19&amp;" weeks",IF(AND($V19=0,(Setup!$D$11-$O19)&gt;Setup!$D$19),"last contact "&amp;(Setup!$D$11-$O19)&amp;" days ago and there is no engagement planned",IF(AND($K19&gt;0,$V19=0),"you need them at "&amp;$J19&amp;" and there is no engagement planned","")))))))))))</f>
        <v/>
      </c>
      <c r="R19" s="0" t="n">
        <v>13</v>
      </c>
      <c r="S19" s="29" t="n">
        <f aca="false">IF(OR($C19="",$F19="",$G19=""),0,COUNTIFS($F$7:$F19,$F19,$G$7:$G19,$G19))</f>
        <v>1</v>
      </c>
      <c r="T19" s="29" t="n">
        <f aca="false">IF($H19="",0,COUNTIF($H$7:$H19,$H19))</f>
        <v>2</v>
      </c>
      <c r="U19" s="29" t="n">
        <f aca="false">IF($B19="",0,SUMIF('Engagement Plan'!$B$7:$B$26,$B19,'Engagement Plan'!$H$7:$H$26))</f>
        <v>4</v>
      </c>
      <c r="V19" s="29" t="n">
        <f aca="false">IF($B19="",0,COUNTIF('Engagement Plan'!$B$7:$B$26,$B19))</f>
        <v>1</v>
      </c>
      <c r="W19" s="0" t="str">
        <f aca="false">IF($C19="","grey",IF($B19="","amber",IF(COUNTIF($B$7:$B$26,$B19)&gt;1,"amber",IF(OR($F19="",$G19=""),"amber",IF(OR($I19="",$J19=""),"amber",IF($L19="","amber",IF(AND($F19&gt;=Setup!$D$14,OR($I19="Resistant",$I19="Unaware"),$V19=0),"red",IF($O19="","orange",IF(AND($U19&gt;0,(Setup!$D$11-$O19)&gt;$U19*7),"red",IF(AND($V19=0,(Setup!$D$11-$O19)&gt;Setup!$D$19),"orange",IF(AND($K19&gt;0,$V19=0),"orange","")))))))))))</f>
        <v/>
      </c>
    </row>
    <row r="20" customFormat="false" ht="46.5" hidden="false" customHeight="true" outlineLevel="0" collapsed="false">
      <c r="B20" s="30" t="s">
        <v>132</v>
      </c>
      <c r="C20" s="31" t="s">
        <v>133</v>
      </c>
      <c r="D20" s="31" t="s">
        <v>134</v>
      </c>
      <c r="E20" s="31" t="s">
        <v>115</v>
      </c>
      <c r="F20" s="32" t="n">
        <v>4</v>
      </c>
      <c r="G20" s="32" t="n">
        <v>3</v>
      </c>
      <c r="H20" s="26" t="str">
        <f aca="false">IF(OR($C20="",$F20="",$G20=""),"",IF($F20&gt;=Setup!$D$14,IF($G20&gt;=Setup!$D$15,"Work with them","Keep on side"),IF($G20&gt;=Setup!$D$15,"Keep in the loop","Watch")))</f>
        <v>Keep on side</v>
      </c>
      <c r="I20" s="31" t="s">
        <v>80</v>
      </c>
      <c r="J20" s="31" t="s">
        <v>81</v>
      </c>
      <c r="K20" s="27" t="n">
        <f aca="false">IF(OR($I20="",$J20=""),"",MATCH($J20,Reference!$H$32:$H$36,0)-MATCH($I20,Reference!$H$32:$H$36,0))</f>
        <v>1</v>
      </c>
      <c r="L20" s="31" t="s">
        <v>135</v>
      </c>
      <c r="M20" s="31" t="s">
        <v>136</v>
      </c>
      <c r="N20" s="31" t="s">
        <v>111</v>
      </c>
      <c r="O20" s="28" t="n">
        <f aca="false">IF($B20="","",IF(SUMPRODUCT(MAX((Log!$C$7:$C$26=$B20)*Log!$B$7:$B$26))=0,"",SUMPRODUCT(MAX((Log!$C$7:$C$26=$B20)*Log!$B$7:$B$26))))</f>
        <v>46209</v>
      </c>
      <c r="P20" s="26" t="str">
        <f aca="false">IF($C20="","",IF($B20="","give this stakeholder an ID - every other sheet links on it",IF(COUNTIF($B$7:$B$26,$B20)&gt;1,"this ID is used twice on this sheet",IF(OR($F20="",$G20=""),"score influence and interest from 1 to 5",IF(OR($I20="",$J20=""),"set where they are now and where you need them",IF($L20="","name one person who owns this relationship",IF(AND($F20&gt;=Setup!$D$14,OR($I20="Resistant",$I20="Unaware"),$V20=0),"high influence and not with you, and nothing is planned",IF($O20="","no contact recorded on the Log",IF(AND($U20&gt;0,(Setup!$D$11-$O20)&gt;$U20*7),"last contact "&amp;(Setup!$D$11-$O20)&amp;" days ago - the plan says every "&amp;$U20&amp;" weeks",IF(AND($V20=0,(Setup!$D$11-$O20)&gt;Setup!$D$19),"last contact "&amp;(Setup!$D$11-$O20)&amp;" days ago and there is no engagement planned",IF(AND($K20&gt;0,$V20=0),"you need them at "&amp;$J20&amp;" and there is no engagement planned","")))))))))))</f>
        <v/>
      </c>
      <c r="R20" s="0" t="n">
        <v>14</v>
      </c>
      <c r="S20" s="29" t="n">
        <f aca="false">IF(OR($C20="",$F20="",$G20=""),0,COUNTIFS($F$7:$F20,$F20,$G$7:$G20,$G20))</f>
        <v>2</v>
      </c>
      <c r="T20" s="29" t="n">
        <f aca="false">IF($H20="",0,COUNTIF($H$7:$H20,$H20))</f>
        <v>4</v>
      </c>
      <c r="U20" s="29" t="n">
        <f aca="false">IF($B20="",0,SUMIF('Engagement Plan'!$B$7:$B$26,$B20,'Engagement Plan'!$H$7:$H$26))</f>
        <v>12</v>
      </c>
      <c r="V20" s="29" t="n">
        <f aca="false">IF($B20="",0,COUNTIF('Engagement Plan'!$B$7:$B$26,$B20))</f>
        <v>1</v>
      </c>
      <c r="W20" s="0" t="str">
        <f aca="false">IF($C20="","grey",IF($B20="","amber",IF(COUNTIF($B$7:$B$26,$B20)&gt;1,"amber",IF(OR($F20="",$G20=""),"amber",IF(OR($I20="",$J20=""),"amber",IF($L20="","amber",IF(AND($F20&gt;=Setup!$D$14,OR($I20="Resistant",$I20="Unaware"),$V20=0),"red",IF($O20="","orange",IF(AND($U20&gt;0,(Setup!$D$11-$O20)&gt;$U20*7),"red",IF(AND($V20=0,(Setup!$D$11-$O20)&gt;Setup!$D$19),"orange",IF(AND($K20&gt;0,$V20=0),"orange","")))))))))))</f>
        <v/>
      </c>
    </row>
    <row r="21" customFormat="false" ht="46.5" hidden="false" customHeight="true" outlineLevel="0" collapsed="false">
      <c r="B21" s="23" t="s">
        <v>137</v>
      </c>
      <c r="C21" s="24" t="s">
        <v>138</v>
      </c>
      <c r="D21" s="24" t="s">
        <v>102</v>
      </c>
      <c r="E21" s="24" t="s">
        <v>129</v>
      </c>
      <c r="F21" s="25" t="n">
        <v>3</v>
      </c>
      <c r="G21" s="25" t="n">
        <v>3</v>
      </c>
      <c r="H21" s="26" t="str">
        <f aca="false">IF(OR($C21="",$F21="",$G21=""),"",IF($F21&gt;=Setup!$D$14,IF($G21&gt;=Setup!$D$15,"Work with them","Keep on side"),IF($G21&gt;=Setup!$D$15,"Keep in the loop","Watch")))</f>
        <v>Watch</v>
      </c>
      <c r="I21" s="24" t="s">
        <v>80</v>
      </c>
      <c r="J21" s="24" t="s">
        <v>81</v>
      </c>
      <c r="K21" s="27" t="n">
        <f aca="false">IF(OR($I21="",$J21=""),"",MATCH($J21,Reference!$H$32:$H$36,0)-MATCH($I21,Reference!$H$32:$H$36,0))</f>
        <v>1</v>
      </c>
      <c r="L21" s="24" t="s">
        <v>91</v>
      </c>
      <c r="M21" s="24" t="s">
        <v>139</v>
      </c>
      <c r="N21" s="24" t="s">
        <v>84</v>
      </c>
      <c r="O21" s="28" t="n">
        <f aca="false">IF($B21="","",IF(SUMPRODUCT(MAX((Log!$C$7:$C$26=$B21)*Log!$B$7:$B$26))=0,"",SUMPRODUCT(MAX((Log!$C$7:$C$26=$B21)*Log!$B$7:$B$26))))</f>
        <v>46202</v>
      </c>
      <c r="P21" s="26" t="str">
        <f aca="false">IF($C21="","",IF($B21="","give this stakeholder an ID - every other sheet links on it",IF(COUNTIF($B$7:$B$26,$B21)&gt;1,"this ID is used twice on this sheet",IF(OR($F21="",$G21=""),"score influence and interest from 1 to 5",IF(OR($I21="",$J21=""),"set where they are now and where you need them",IF($L21="","name one person who owns this relationship",IF(AND($F21&gt;=Setup!$D$14,OR($I21="Resistant",$I21="Unaware"),$V21=0),"high influence and not with you, and nothing is planned",IF($O21="","no contact recorded on the Log",IF(AND($U21&gt;0,(Setup!$D$11-$O21)&gt;$U21*7),"last contact "&amp;(Setup!$D$11-$O21)&amp;" days ago - the plan says every "&amp;$U21&amp;" weeks",IF(AND($V21=0,(Setup!$D$11-$O21)&gt;Setup!$D$19),"last contact "&amp;(Setup!$D$11-$O21)&amp;" days ago and there is no engagement planned",IF(AND($K21&gt;0,$V21=0),"you need them at "&amp;$J21&amp;" and there is no engagement planned","")))))))))))</f>
        <v/>
      </c>
      <c r="R21" s="0" t="n">
        <v>15</v>
      </c>
      <c r="S21" s="29" t="n">
        <f aca="false">IF(OR($C21="",$F21="",$G21=""),0,COUNTIFS($F$7:$F21,$F21,$G$7:$G21,$G21))</f>
        <v>2</v>
      </c>
      <c r="T21" s="29" t="n">
        <f aca="false">IF($H21="",0,COUNTIF($H$7:$H21,$H21))</f>
        <v>3</v>
      </c>
      <c r="U21" s="29" t="n">
        <f aca="false">IF($B21="",0,SUMIF('Engagement Plan'!$B$7:$B$26,$B21,'Engagement Plan'!$H$7:$H$26))</f>
        <v>8</v>
      </c>
      <c r="V21" s="29" t="n">
        <f aca="false">IF($B21="",0,COUNTIF('Engagement Plan'!$B$7:$B$26,$B21))</f>
        <v>1</v>
      </c>
      <c r="W21" s="0" t="str">
        <f aca="false">IF($C21="","grey",IF($B21="","amber",IF(COUNTIF($B$7:$B$26,$B21)&gt;1,"amber",IF(OR($F21="",$G21=""),"amber",IF(OR($I21="",$J21=""),"amber",IF($L21="","amber",IF(AND($F21&gt;=Setup!$D$14,OR($I21="Resistant",$I21="Unaware"),$V21=0),"red",IF($O21="","orange",IF(AND($U21&gt;0,(Setup!$D$11-$O21)&gt;$U21*7),"red",IF(AND($V21=0,(Setup!$D$11-$O21)&gt;Setup!$D$19),"orange",IF(AND($K21&gt;0,$V21=0),"orange","")))))))))))</f>
        <v/>
      </c>
    </row>
    <row r="22" customFormat="false" ht="46.5" hidden="false" customHeight="true" outlineLevel="0" collapsed="false">
      <c r="B22" s="30" t="s">
        <v>140</v>
      </c>
      <c r="C22" s="31" t="s">
        <v>141</v>
      </c>
      <c r="D22" s="31" t="s">
        <v>142</v>
      </c>
      <c r="E22" s="31" t="s">
        <v>90</v>
      </c>
      <c r="F22" s="32" t="n">
        <v>4</v>
      </c>
      <c r="G22" s="32" t="n">
        <v>5</v>
      </c>
      <c r="H22" s="26" t="str">
        <f aca="false">IF(OR($C22="",$F22="",$G22=""),"",IF($F22&gt;=Setup!$D$14,IF($G22&gt;=Setup!$D$15,"Work with them","Keep on side"),IF($G22&gt;=Setup!$D$15,"Keep in the loop","Watch")))</f>
        <v>Work with them</v>
      </c>
      <c r="I22" s="31" t="s">
        <v>81</v>
      </c>
      <c r="J22" s="31" t="s">
        <v>143</v>
      </c>
      <c r="K22" s="27" t="n">
        <f aca="false">IF(OR($I22="",$J22=""),"",MATCH($J22,Reference!$H$32:$H$36,0)-MATCH($I22,Reference!$H$32:$H$36,0))</f>
        <v>1</v>
      </c>
      <c r="L22" s="31" t="s">
        <v>135</v>
      </c>
      <c r="M22" s="31" t="s">
        <v>144</v>
      </c>
      <c r="N22" s="31" t="s">
        <v>84</v>
      </c>
      <c r="O22" s="28" t="n">
        <f aca="false">IF($B22="","",IF(SUMPRODUCT(MAX((Log!$C$7:$C$26=$B22)*Log!$B$7:$B$26))=0,"",SUMPRODUCT(MAX((Log!$C$7:$C$26=$B22)*Log!$B$7:$B$26))))</f>
        <v>46251</v>
      </c>
      <c r="P22" s="26" t="str">
        <f aca="false">IF($C22="","",IF($B22="","give this stakeholder an ID - every other sheet links on it",IF(COUNTIF($B$7:$B$26,$B22)&gt;1,"this ID is used twice on this sheet",IF(OR($F22="",$G22=""),"score influence and interest from 1 to 5",IF(OR($I22="",$J22=""),"set where they are now and where you need them",IF($L22="","name one person who owns this relationship",IF(AND($F22&gt;=Setup!$D$14,OR($I22="Resistant",$I22="Unaware"),$V22=0),"high influence and not with you, and nothing is planned",IF($O22="","no contact recorded on the Log",IF(AND($U22&gt;0,(Setup!$D$11-$O22)&gt;$U22*7),"last contact "&amp;(Setup!$D$11-$O22)&amp;" days ago - the plan says every "&amp;$U22&amp;" weeks",IF(AND($V22=0,(Setup!$D$11-$O22)&gt;Setup!$D$19),"last contact "&amp;(Setup!$D$11-$O22)&amp;" days ago and there is no engagement planned",IF(AND($K22&gt;0,$V22=0),"you need them at "&amp;$J22&amp;" and there is no engagement planned","")))))))))))</f>
        <v/>
      </c>
      <c r="R22" s="0" t="n">
        <v>16</v>
      </c>
      <c r="S22" s="29" t="n">
        <f aca="false">IF(OR($C22="",$F22="",$G22=""),0,COUNTIFS($F$7:$F22,$F22,$G$7:$G22,$G22))</f>
        <v>1</v>
      </c>
      <c r="T22" s="29" t="n">
        <f aca="false">IF($H22="",0,COUNTIF($H$7:$H22,$H22))</f>
        <v>3</v>
      </c>
      <c r="U22" s="29" t="n">
        <f aca="false">IF($B22="",0,SUMIF('Engagement Plan'!$B$7:$B$26,$B22,'Engagement Plan'!$H$7:$H$26))</f>
        <v>1</v>
      </c>
      <c r="V22" s="29" t="n">
        <f aca="false">IF($B22="",0,COUNTIF('Engagement Plan'!$B$7:$B$26,$B22))</f>
        <v>1</v>
      </c>
      <c r="W22" s="0" t="str">
        <f aca="false">IF($C22="","grey",IF($B22="","amber",IF(COUNTIF($B$7:$B$26,$B22)&gt;1,"amber",IF(OR($F22="",$G22=""),"amber",IF(OR($I22="",$J22=""),"amber",IF($L22="","amber",IF(AND($F22&gt;=Setup!$D$14,OR($I22="Resistant",$I22="Unaware"),$V22=0),"red",IF($O22="","orange",IF(AND($U22&gt;0,(Setup!$D$11-$O22)&gt;$U22*7),"red",IF(AND($V22=0,(Setup!$D$11-$O22)&gt;Setup!$D$19),"orange",IF(AND($K22&gt;0,$V22=0),"orange","")))))))))))</f>
        <v/>
      </c>
    </row>
    <row r="23" customFormat="false" ht="46.5" hidden="false" customHeight="true" outlineLevel="0" collapsed="false">
      <c r="B23" s="23" t="s">
        <v>145</v>
      </c>
      <c r="C23" s="24" t="s">
        <v>146</v>
      </c>
      <c r="D23" s="24" t="s">
        <v>147</v>
      </c>
      <c r="E23" s="24" t="s">
        <v>115</v>
      </c>
      <c r="F23" s="25" t="n">
        <v>2</v>
      </c>
      <c r="G23" s="25" t="n">
        <v>2</v>
      </c>
      <c r="H23" s="26" t="str">
        <f aca="false">IF(OR($C23="",$F23="",$G23=""),"",IF($F23&gt;=Setup!$D$14,IF($G23&gt;=Setup!$D$15,"Work with them","Keep on side"),IF($G23&gt;=Setup!$D$15,"Keep in the loop","Watch")))</f>
        <v>Watch</v>
      </c>
      <c r="I23" s="24" t="s">
        <v>80</v>
      </c>
      <c r="J23" s="24" t="s">
        <v>80</v>
      </c>
      <c r="K23" s="27" t="n">
        <f aca="false">IF(OR($I23="",$J23=""),"",MATCH($J23,Reference!$H$32:$H$36,0)-MATCH($I23,Reference!$H$32:$H$36,0))</f>
        <v>0</v>
      </c>
      <c r="L23" s="24" t="s">
        <v>148</v>
      </c>
      <c r="M23" s="24" t="s">
        <v>149</v>
      </c>
      <c r="N23" s="24" t="s">
        <v>84</v>
      </c>
      <c r="O23" s="28" t="n">
        <f aca="false">IF($B23="","",IF(SUMPRODUCT(MAX((Log!$C$7:$C$26=$B23)*Log!$B$7:$B$26))=0,"",SUMPRODUCT(MAX((Log!$C$7:$C$26=$B23)*Log!$B$7:$B$26))))</f>
        <v>46193</v>
      </c>
      <c r="P23" s="26" t="str">
        <f aca="false">IF($C23="","",IF($B23="","give this stakeholder an ID - every other sheet links on it",IF(COUNTIF($B$7:$B$26,$B23)&gt;1,"this ID is used twice on this sheet",IF(OR($F23="",$G23=""),"score influence and interest from 1 to 5",IF(OR($I23="",$J23=""),"set where they are now and where you need them",IF($L23="","name one person who owns this relationship",IF(AND($F23&gt;=Setup!$D$14,OR($I23="Resistant",$I23="Unaware"),$V23=0),"high influence and not with you, and nothing is planned",IF($O23="","no contact recorded on the Log",IF(AND($U23&gt;0,(Setup!$D$11-$O23)&gt;$U23*7),"last contact "&amp;(Setup!$D$11-$O23)&amp;" days ago - the plan says every "&amp;$U23&amp;" weeks",IF(AND($V23=0,(Setup!$D$11-$O23)&gt;Setup!$D$19),"last contact "&amp;(Setup!$D$11-$O23)&amp;" days ago and there is no engagement planned",IF(AND($K23&gt;0,$V23=0),"you need them at "&amp;$J23&amp;" and there is no engagement planned","")))))))))))</f>
        <v/>
      </c>
      <c r="R23" s="0" t="n">
        <v>17</v>
      </c>
      <c r="S23" s="29" t="n">
        <f aca="false">IF(OR($C23="",$F23="",$G23=""),0,COUNTIFS($F$7:$F23,$F23,$G$7:$G23,$G23))</f>
        <v>1</v>
      </c>
      <c r="T23" s="29" t="n">
        <f aca="false">IF($H23="",0,COUNTIF($H$7:$H23,$H23))</f>
        <v>4</v>
      </c>
      <c r="U23" s="29" t="n">
        <f aca="false">IF($B23="",0,SUMIF('Engagement Plan'!$B$7:$B$26,$B23,'Engagement Plan'!$H$7:$H$26))</f>
        <v>12</v>
      </c>
      <c r="V23" s="29" t="n">
        <f aca="false">IF($B23="",0,COUNTIF('Engagement Plan'!$B$7:$B$26,$B23))</f>
        <v>1</v>
      </c>
      <c r="W23" s="0" t="str">
        <f aca="false">IF($C23="","grey",IF($B23="","amber",IF(COUNTIF($B$7:$B$26,$B23)&gt;1,"amber",IF(OR($F23="",$G23=""),"amber",IF(OR($I23="",$J23=""),"amber",IF($L23="","amber",IF(AND($F23&gt;=Setup!$D$14,OR($I23="Resistant",$I23="Unaware"),$V23=0),"red",IF($O23="","orange",IF(AND($U23&gt;0,(Setup!$D$11-$O23)&gt;$U23*7),"red",IF(AND($V23=0,(Setup!$D$11-$O23)&gt;Setup!$D$19),"orange",IF(AND($K23&gt;0,$V23=0),"orange","")))))))))))</f>
        <v/>
      </c>
    </row>
    <row r="24" customFormat="false" ht="46.5" hidden="false" customHeight="true" outlineLevel="0" collapsed="false">
      <c r="B24" s="30"/>
      <c r="C24" s="31"/>
      <c r="D24" s="31"/>
      <c r="E24" s="31"/>
      <c r="F24" s="32"/>
      <c r="G24" s="32"/>
      <c r="H24" s="26" t="str">
        <f aca="false">IF(OR($C24="",$F24="",$G24=""),"",IF($F24&gt;=Setup!$D$14,IF($G24&gt;=Setup!$D$15,"Work with them","Keep on side"),IF($G24&gt;=Setup!$D$15,"Keep in the loop","Watch")))</f>
        <v/>
      </c>
      <c r="I24" s="31"/>
      <c r="J24" s="31"/>
      <c r="K24" s="27" t="str">
        <f aca="false">IF(OR($I24="",$J24=""),"",MATCH($J24,Reference!$H$32:$H$36,0)-MATCH($I24,Reference!$H$32:$H$36,0))</f>
        <v/>
      </c>
      <c r="L24" s="31"/>
      <c r="M24" s="31"/>
      <c r="N24" s="31"/>
      <c r="O24" s="28" t="str">
        <f aca="false">IF($B24="","",IF(SUMPRODUCT(MAX((Log!$C$7:$C$26=$B24)*Log!$B$7:$B$26))=0,"",SUMPRODUCT(MAX((Log!$C$7:$C$26=$B24)*Log!$B$7:$B$26))))</f>
        <v/>
      </c>
      <c r="P24" s="26" t="str">
        <f aca="false">IF($C24="","",IF($B24="","give this stakeholder an ID - every other sheet links on it",IF(COUNTIF($B$7:$B$26,$B24)&gt;1,"this ID is used twice on this sheet",IF(OR($F24="",$G24=""),"score influence and interest from 1 to 5",IF(OR($I24="",$J24=""),"set where they are now and where you need them",IF($L24="","name one person who owns this relationship",IF(AND($F24&gt;=Setup!$D$14,OR($I24="Resistant",$I24="Unaware"),$V24=0),"high influence and not with you, and nothing is planned",IF($O24="","no contact recorded on the Log",IF(AND($U24&gt;0,(Setup!$D$11-$O24)&gt;$U24*7),"last contact "&amp;(Setup!$D$11-$O24)&amp;" days ago - the plan says every "&amp;$U24&amp;" weeks",IF(AND($V24=0,(Setup!$D$11-$O24)&gt;Setup!$D$19),"last contact "&amp;(Setup!$D$11-$O24)&amp;" days ago and there is no engagement planned",IF(AND($K24&gt;0,$V24=0),"you need them at "&amp;$J24&amp;" and there is no engagement planned","")))))))))))</f>
        <v/>
      </c>
      <c r="R24" s="0" t="n">
        <v>18</v>
      </c>
      <c r="S24" s="29" t="n">
        <f aca="false">IF(OR($C24="",$F24="",$G24=""),0,COUNTIFS($F$7:$F24,$F24,$G$7:$G24,$G24))</f>
        <v>0</v>
      </c>
      <c r="T24" s="29" t="n">
        <f aca="false">IF($H24="",0,COUNTIF($H$7:$H24,$H24))</f>
        <v>0</v>
      </c>
      <c r="U24" s="29" t="n">
        <f aca="false">IF($B24="",0,SUMIF('Engagement Plan'!$B$7:$B$26,$B24,'Engagement Plan'!$H$7:$H$26))</f>
        <v>0</v>
      </c>
      <c r="V24" s="29" t="n">
        <f aca="false">IF($B24="",0,COUNTIF('Engagement Plan'!$B$7:$B$26,$B24))</f>
        <v>0</v>
      </c>
      <c r="W24" s="0" t="str">
        <f aca="false">IF($C24="","grey",IF($B24="","amber",IF(COUNTIF($B$7:$B$26,$B24)&gt;1,"amber",IF(OR($F24="",$G24=""),"amber",IF(OR($I24="",$J24=""),"amber",IF($L24="","amber",IF(AND($F24&gt;=Setup!$D$14,OR($I24="Resistant",$I24="Unaware"),$V24=0),"red",IF($O24="","orange",IF(AND($U24&gt;0,(Setup!$D$11-$O24)&gt;$U24*7),"red",IF(AND($V24=0,(Setup!$D$11-$O24)&gt;Setup!$D$19),"orange",IF(AND($K24&gt;0,$V24=0),"orange","")))))))))))</f>
        <v>grey</v>
      </c>
    </row>
    <row r="25" customFormat="false" ht="46.5" hidden="false" customHeight="true" outlineLevel="0" collapsed="false">
      <c r="B25" s="23"/>
      <c r="C25" s="24"/>
      <c r="D25" s="24"/>
      <c r="E25" s="24"/>
      <c r="F25" s="25"/>
      <c r="G25" s="25"/>
      <c r="H25" s="26" t="str">
        <f aca="false">IF(OR($C25="",$F25="",$G25=""),"",IF($F25&gt;=Setup!$D$14,IF($G25&gt;=Setup!$D$15,"Work with them","Keep on side"),IF($G25&gt;=Setup!$D$15,"Keep in the loop","Watch")))</f>
        <v/>
      </c>
      <c r="I25" s="24"/>
      <c r="J25" s="24"/>
      <c r="K25" s="27" t="str">
        <f aca="false">IF(OR($I25="",$J25=""),"",MATCH($J25,Reference!$H$32:$H$36,0)-MATCH($I25,Reference!$H$32:$H$36,0))</f>
        <v/>
      </c>
      <c r="L25" s="24"/>
      <c r="M25" s="24"/>
      <c r="N25" s="24"/>
      <c r="O25" s="28" t="str">
        <f aca="false">IF($B25="","",IF(SUMPRODUCT(MAX((Log!$C$7:$C$26=$B25)*Log!$B$7:$B$26))=0,"",SUMPRODUCT(MAX((Log!$C$7:$C$26=$B25)*Log!$B$7:$B$26))))</f>
        <v/>
      </c>
      <c r="P25" s="26" t="str">
        <f aca="false">IF($C25="","",IF($B25="","give this stakeholder an ID - every other sheet links on it",IF(COUNTIF($B$7:$B$26,$B25)&gt;1,"this ID is used twice on this sheet",IF(OR($F25="",$G25=""),"score influence and interest from 1 to 5",IF(OR($I25="",$J25=""),"set where they are now and where you need them",IF($L25="","name one person who owns this relationship",IF(AND($F25&gt;=Setup!$D$14,OR($I25="Resistant",$I25="Unaware"),$V25=0),"high influence and not with you, and nothing is planned",IF($O25="","no contact recorded on the Log",IF(AND($U25&gt;0,(Setup!$D$11-$O25)&gt;$U25*7),"last contact "&amp;(Setup!$D$11-$O25)&amp;" days ago - the plan says every "&amp;$U25&amp;" weeks",IF(AND($V25=0,(Setup!$D$11-$O25)&gt;Setup!$D$19),"last contact "&amp;(Setup!$D$11-$O25)&amp;" days ago and there is no engagement planned",IF(AND($K25&gt;0,$V25=0),"you need them at "&amp;$J25&amp;" and there is no engagement planned","")))))))))))</f>
        <v/>
      </c>
      <c r="R25" s="0" t="n">
        <v>19</v>
      </c>
      <c r="S25" s="29" t="n">
        <f aca="false">IF(OR($C25="",$F25="",$G25=""),0,COUNTIFS($F$7:$F25,$F25,$G$7:$G25,$G25))</f>
        <v>0</v>
      </c>
      <c r="T25" s="29" t="n">
        <f aca="false">IF($H25="",0,COUNTIF($H$7:$H25,$H25))</f>
        <v>0</v>
      </c>
      <c r="U25" s="29" t="n">
        <f aca="false">IF($B25="",0,SUMIF('Engagement Plan'!$B$7:$B$26,$B25,'Engagement Plan'!$H$7:$H$26))</f>
        <v>0</v>
      </c>
      <c r="V25" s="29" t="n">
        <f aca="false">IF($B25="",0,COUNTIF('Engagement Plan'!$B$7:$B$26,$B25))</f>
        <v>0</v>
      </c>
      <c r="W25" s="0" t="str">
        <f aca="false">IF($C25="","grey",IF($B25="","amber",IF(COUNTIF($B$7:$B$26,$B25)&gt;1,"amber",IF(OR($F25="",$G25=""),"amber",IF(OR($I25="",$J25=""),"amber",IF($L25="","amber",IF(AND($F25&gt;=Setup!$D$14,OR($I25="Resistant",$I25="Unaware"),$V25=0),"red",IF($O25="","orange",IF(AND($U25&gt;0,(Setup!$D$11-$O25)&gt;$U25*7),"red",IF(AND($V25=0,(Setup!$D$11-$O25)&gt;Setup!$D$19),"orange",IF(AND($K25&gt;0,$V25=0),"orange","")))))))))))</f>
        <v>grey</v>
      </c>
    </row>
    <row r="26" customFormat="false" ht="46.5" hidden="false" customHeight="true" outlineLevel="0" collapsed="false">
      <c r="B26" s="30"/>
      <c r="C26" s="31"/>
      <c r="D26" s="31"/>
      <c r="E26" s="31"/>
      <c r="F26" s="32"/>
      <c r="G26" s="32"/>
      <c r="H26" s="26" t="str">
        <f aca="false">IF(OR($C26="",$F26="",$G26=""),"",IF($F26&gt;=Setup!$D$14,IF($G26&gt;=Setup!$D$15,"Work with them","Keep on side"),IF($G26&gt;=Setup!$D$15,"Keep in the loop","Watch")))</f>
        <v/>
      </c>
      <c r="I26" s="31"/>
      <c r="J26" s="31"/>
      <c r="K26" s="27" t="str">
        <f aca="false">IF(OR($I26="",$J26=""),"",MATCH($J26,Reference!$H$32:$H$36,0)-MATCH($I26,Reference!$H$32:$H$36,0))</f>
        <v/>
      </c>
      <c r="L26" s="31"/>
      <c r="M26" s="31"/>
      <c r="N26" s="31"/>
      <c r="O26" s="28" t="str">
        <f aca="false">IF($B26="","",IF(SUMPRODUCT(MAX((Log!$C$7:$C$26=$B26)*Log!$B$7:$B$26))=0,"",SUMPRODUCT(MAX((Log!$C$7:$C$26=$B26)*Log!$B$7:$B$26))))</f>
        <v/>
      </c>
      <c r="P26" s="26" t="str">
        <f aca="false">IF($C26="","",IF($B26="","give this stakeholder an ID - every other sheet links on it",IF(COUNTIF($B$7:$B$26,$B26)&gt;1,"this ID is used twice on this sheet",IF(OR($F26="",$G26=""),"score influence and interest from 1 to 5",IF(OR($I26="",$J26=""),"set where they are now and where you need them",IF($L26="","name one person who owns this relationship",IF(AND($F26&gt;=Setup!$D$14,OR($I26="Resistant",$I26="Unaware"),$V26=0),"high influence and not with you, and nothing is planned",IF($O26="","no contact recorded on the Log",IF(AND($U26&gt;0,(Setup!$D$11-$O26)&gt;$U26*7),"last contact "&amp;(Setup!$D$11-$O26)&amp;" days ago - the plan says every "&amp;$U26&amp;" weeks",IF(AND($V26=0,(Setup!$D$11-$O26)&gt;Setup!$D$19),"last contact "&amp;(Setup!$D$11-$O26)&amp;" days ago and there is no engagement planned",IF(AND($K26&gt;0,$V26=0),"you need them at "&amp;$J26&amp;" and there is no engagement planned","")))))))))))</f>
        <v/>
      </c>
      <c r="R26" s="0" t="n">
        <v>20</v>
      </c>
      <c r="S26" s="29" t="n">
        <f aca="false">IF(OR($C26="",$F26="",$G26=""),0,COUNTIFS($F$7:$F26,$F26,$G$7:$G26,$G26))</f>
        <v>0</v>
      </c>
      <c r="T26" s="29" t="n">
        <f aca="false">IF($H26="",0,COUNTIF($H$7:$H26,$H26))</f>
        <v>0</v>
      </c>
      <c r="U26" s="29" t="n">
        <f aca="false">IF($B26="",0,SUMIF('Engagement Plan'!$B$7:$B$26,$B26,'Engagement Plan'!$H$7:$H$26))</f>
        <v>0</v>
      </c>
      <c r="V26" s="29" t="n">
        <f aca="false">IF($B26="",0,COUNTIF('Engagement Plan'!$B$7:$B$26,$B26))</f>
        <v>0</v>
      </c>
      <c r="W26" s="0" t="str">
        <f aca="false">IF($C26="","grey",IF($B26="","amber",IF(COUNTIF($B$7:$B$26,$B26)&gt;1,"amber",IF(OR($F26="",$G26=""),"amber",IF(OR($I26="",$J26=""),"amber",IF($L26="","amber",IF(AND($F26&gt;=Setup!$D$14,OR($I26="Resistant",$I26="Unaware"),$V26=0),"red",IF($O26="","orange",IF(AND($U26&gt;0,(Setup!$D$11-$O26)&gt;$U26*7),"red",IF(AND($V26=0,(Setup!$D$11-$O26)&gt;Setup!$D$19),"orange",IF(AND($K26&gt;0,$V26=0),"orange","")))))))))))</f>
        <v>grey</v>
      </c>
    </row>
    <row r="27" customFormat="false" ht="15.75" hidden="false" customHeight="true" outlineLevel="0" collapsed="false">
      <c r="B27" s="15" t="s">
        <v>150</v>
      </c>
      <c r="C27" s="15"/>
      <c r="D27" s="15"/>
      <c r="E27" s="15"/>
      <c r="F27" s="15"/>
      <c r="G27" s="15"/>
      <c r="H27" s="15"/>
      <c r="I27" s="15"/>
      <c r="J27" s="15"/>
      <c r="K27" s="15"/>
      <c r="L27" s="15"/>
      <c r="M27" s="15"/>
      <c r="N27" s="15"/>
      <c r="O27" s="15"/>
      <c r="P27" s="15"/>
    </row>
    <row r="28" customFormat="false" ht="18" hidden="false" customHeight="true" outlineLevel="0" collapsed="false">
      <c r="B28" s="20" t="s">
        <v>58</v>
      </c>
      <c r="C28" s="20"/>
      <c r="D28" s="20"/>
      <c r="E28" s="20"/>
      <c r="F28" s="20"/>
      <c r="G28" s="20"/>
      <c r="H28" s="20"/>
      <c r="I28" s="20"/>
      <c r="J28" s="20"/>
      <c r="K28" s="20"/>
      <c r="L28" s="20"/>
      <c r="M28" s="20"/>
      <c r="N28" s="20"/>
      <c r="O28" s="20"/>
      <c r="P28" s="20"/>
    </row>
  </sheetData>
  <autoFilter ref="B6:P26"/>
  <mergeCells count="6">
    <mergeCell ref="B1:P1"/>
    <mergeCell ref="B2:P2"/>
    <mergeCell ref="B3:P3"/>
    <mergeCell ref="B4:P4"/>
    <mergeCell ref="B27:P27"/>
    <mergeCell ref="B28:P28"/>
  </mergeCells>
  <conditionalFormatting sqref="B3:P3">
    <cfRule type="expression" priority="2" aboveAverage="0" equalAverage="0" bottom="0" percent="0" rank="0" text="" dxfId="7">
      <formula>LEN($B$3)&gt;0</formula>
    </cfRule>
  </conditionalFormatting>
  <conditionalFormatting sqref="B7:P26">
    <cfRule type="expression" priority="3" aboveAverage="0" equalAverage="0" bottom="0" percent="0" rank="0" text="" dxfId="8">
      <formula>$W7="red"</formula>
    </cfRule>
    <cfRule type="expression" priority="4" aboveAverage="0" equalAverage="0" bottom="0" percent="0" rank="0" text="" dxfId="9">
      <formula>$W7="orange"</formula>
    </cfRule>
    <cfRule type="expression" priority="5" aboveAverage="0" equalAverage="0" bottom="0" percent="0" rank="0" text="" dxfId="7">
      <formula>$W7="amber"</formula>
    </cfRule>
  </conditionalFormatting>
  <dataValidations count="101">
    <dataValidation allowBlank="true" errorStyle="stop" operator="between" showDropDown="false" showErrorMessage="false" showInputMessage="false" sqref="D7" type="list">
      <formula1>Reference!$B$32:$B$42</formula1>
      <formula2>0</formula2>
    </dataValidation>
    <dataValidation allowBlank="true" errorStyle="stop" operator="between" showDropDown="false" showErrorMessage="false" showInputMessage="false" sqref="E7" type="list">
      <formula1>Reference!$D$32:$D$39</formula1>
      <formula2>0</formula2>
    </dataValidation>
    <dataValidation allowBlank="true" errorStyle="stop" operator="between" showDropDown="false" showErrorMessage="false" showInputMessage="false" sqref="I7" type="list">
      <formula1>Reference!$H$32:$H$36</formula1>
      <formula2>0</formula2>
    </dataValidation>
    <dataValidation allowBlank="true" errorStyle="stop" operator="between" showDropDown="false" showErrorMessage="false" showInputMessage="false" sqref="J7" type="list">
      <formula1>Reference!$H$32:$H$36</formula1>
      <formula2>0</formula2>
    </dataValidation>
    <dataValidation allowBlank="true" errorStyle="stop" operator="between" showDropDown="false" showErrorMessage="false" showInputMessage="false" sqref="N7" type="list">
      <formula1>Reference!$I$32:$I$34</formula1>
      <formula2>0</formula2>
    </dataValidation>
    <dataValidation allowBlank="true" error="Influence and interest are scored 1 to 5." errorStyle="stop" errorTitle="1 to 5" operator="between" showDropDown="false" showErrorMessage="true" showInputMessage="false" sqref="F7:G26" type="whole">
      <formula1>1</formula1>
      <formula2>5</formula2>
    </dataValidation>
    <dataValidation allowBlank="true" errorStyle="stop" operator="between" showDropDown="false" showErrorMessage="false" showInputMessage="false" sqref="D8" type="list">
      <formula1>Reference!$B$32:$B$42</formula1>
      <formula2>0</formula2>
    </dataValidation>
    <dataValidation allowBlank="true" errorStyle="stop" operator="between" showDropDown="false" showErrorMessage="false" showInputMessage="false" sqref="E8" type="list">
      <formula1>Reference!$D$32:$D$39</formula1>
      <formula2>0</formula2>
    </dataValidation>
    <dataValidation allowBlank="true" errorStyle="stop" operator="between" showDropDown="false" showErrorMessage="false" showInputMessage="false" sqref="I8" type="list">
      <formula1>Reference!$H$32:$H$36</formula1>
      <formula2>0</formula2>
    </dataValidation>
    <dataValidation allowBlank="true" errorStyle="stop" operator="between" showDropDown="false" showErrorMessage="false" showInputMessage="false" sqref="J8" type="list">
      <formula1>Reference!$H$32:$H$36</formula1>
      <formula2>0</formula2>
    </dataValidation>
    <dataValidation allowBlank="true" errorStyle="stop" operator="between" showDropDown="false" showErrorMessage="false" showInputMessage="false" sqref="N8" type="list">
      <formula1>Reference!$I$32:$I$34</formula1>
      <formula2>0</formula2>
    </dataValidation>
    <dataValidation allowBlank="true" errorStyle="stop" operator="between" showDropDown="false" showErrorMessage="false" showInputMessage="false" sqref="D9" type="list">
      <formula1>Reference!$B$32:$B$42</formula1>
      <formula2>0</formula2>
    </dataValidation>
    <dataValidation allowBlank="true" errorStyle="stop" operator="between" showDropDown="false" showErrorMessage="false" showInputMessage="false" sqref="E9" type="list">
      <formula1>Reference!$D$32:$D$39</formula1>
      <formula2>0</formula2>
    </dataValidation>
    <dataValidation allowBlank="true" errorStyle="stop" operator="between" showDropDown="false" showErrorMessage="false" showInputMessage="false" sqref="I9" type="list">
      <formula1>Reference!$H$32:$H$36</formula1>
      <formula2>0</formula2>
    </dataValidation>
    <dataValidation allowBlank="true" errorStyle="stop" operator="between" showDropDown="false" showErrorMessage="false" showInputMessage="false" sqref="J9" type="list">
      <formula1>Reference!$H$32:$H$36</formula1>
      <formula2>0</formula2>
    </dataValidation>
    <dataValidation allowBlank="true" errorStyle="stop" operator="between" showDropDown="false" showErrorMessage="false" showInputMessage="false" sqref="N9" type="list">
      <formula1>Reference!$I$32:$I$34</formula1>
      <formula2>0</formula2>
    </dataValidation>
    <dataValidation allowBlank="true" errorStyle="stop" operator="between" showDropDown="false" showErrorMessage="false" showInputMessage="false" sqref="D10" type="list">
      <formula1>Reference!$B$32:$B$42</formula1>
      <formula2>0</formula2>
    </dataValidation>
    <dataValidation allowBlank="true" errorStyle="stop" operator="between" showDropDown="false" showErrorMessage="false" showInputMessage="false" sqref="E10" type="list">
      <formula1>Reference!$D$32:$D$39</formula1>
      <formula2>0</formula2>
    </dataValidation>
    <dataValidation allowBlank="true" errorStyle="stop" operator="between" showDropDown="false" showErrorMessage="false" showInputMessage="false" sqref="I10" type="list">
      <formula1>Reference!$H$32:$H$36</formula1>
      <formula2>0</formula2>
    </dataValidation>
    <dataValidation allowBlank="true" errorStyle="stop" operator="between" showDropDown="false" showErrorMessage="false" showInputMessage="false" sqref="J10" type="list">
      <formula1>Reference!$H$32:$H$36</formula1>
      <formula2>0</formula2>
    </dataValidation>
    <dataValidation allowBlank="true" errorStyle="stop" operator="between" showDropDown="false" showErrorMessage="false" showInputMessage="false" sqref="N10" type="list">
      <formula1>Reference!$I$32:$I$34</formula1>
      <formula2>0</formula2>
    </dataValidation>
    <dataValidation allowBlank="true" errorStyle="stop" operator="between" showDropDown="false" showErrorMessage="false" showInputMessage="false" sqref="D11" type="list">
      <formula1>Reference!$B$32:$B$42</formula1>
      <formula2>0</formula2>
    </dataValidation>
    <dataValidation allowBlank="true" errorStyle="stop" operator="between" showDropDown="false" showErrorMessage="false" showInputMessage="false" sqref="E11" type="list">
      <formula1>Reference!$D$32:$D$39</formula1>
      <formula2>0</formula2>
    </dataValidation>
    <dataValidation allowBlank="true" errorStyle="stop" operator="between" showDropDown="false" showErrorMessage="false" showInputMessage="false" sqref="I11" type="list">
      <formula1>Reference!$H$32:$H$36</formula1>
      <formula2>0</formula2>
    </dataValidation>
    <dataValidation allowBlank="true" errorStyle="stop" operator="between" showDropDown="false" showErrorMessage="false" showInputMessage="false" sqref="J11" type="list">
      <formula1>Reference!$H$32:$H$36</formula1>
      <formula2>0</formula2>
    </dataValidation>
    <dataValidation allowBlank="true" errorStyle="stop" operator="between" showDropDown="false" showErrorMessage="false" showInputMessage="false" sqref="N11" type="list">
      <formula1>Reference!$I$32:$I$34</formula1>
      <formula2>0</formula2>
    </dataValidation>
    <dataValidation allowBlank="true" errorStyle="stop" operator="between" showDropDown="false" showErrorMessage="false" showInputMessage="false" sqref="D12" type="list">
      <formula1>Reference!$B$32:$B$42</formula1>
      <formula2>0</formula2>
    </dataValidation>
    <dataValidation allowBlank="true" errorStyle="stop" operator="between" showDropDown="false" showErrorMessage="false" showInputMessage="false" sqref="E12" type="list">
      <formula1>Reference!$D$32:$D$39</formula1>
      <formula2>0</formula2>
    </dataValidation>
    <dataValidation allowBlank="true" errorStyle="stop" operator="between" showDropDown="false" showErrorMessage="false" showInputMessage="false" sqref="I12" type="list">
      <formula1>Reference!$H$32:$H$36</formula1>
      <formula2>0</formula2>
    </dataValidation>
    <dataValidation allowBlank="true" errorStyle="stop" operator="between" showDropDown="false" showErrorMessage="false" showInputMessage="false" sqref="J12" type="list">
      <formula1>Reference!$H$32:$H$36</formula1>
      <formula2>0</formula2>
    </dataValidation>
    <dataValidation allowBlank="true" errorStyle="stop" operator="between" showDropDown="false" showErrorMessage="false" showInputMessage="false" sqref="N12" type="list">
      <formula1>Reference!$I$32:$I$34</formula1>
      <formula2>0</formula2>
    </dataValidation>
    <dataValidation allowBlank="true" errorStyle="stop" operator="between" showDropDown="false" showErrorMessage="false" showInputMessage="false" sqref="D13" type="list">
      <formula1>Reference!$B$32:$B$42</formula1>
      <formula2>0</formula2>
    </dataValidation>
    <dataValidation allowBlank="true" errorStyle="stop" operator="between" showDropDown="false" showErrorMessage="false" showInputMessage="false" sqref="E13" type="list">
      <formula1>Reference!$D$32:$D$39</formula1>
      <formula2>0</formula2>
    </dataValidation>
    <dataValidation allowBlank="true" errorStyle="stop" operator="between" showDropDown="false" showErrorMessage="false" showInputMessage="false" sqref="I13" type="list">
      <formula1>Reference!$H$32:$H$36</formula1>
      <formula2>0</formula2>
    </dataValidation>
    <dataValidation allowBlank="true" errorStyle="stop" operator="between" showDropDown="false" showErrorMessage="false" showInputMessage="false" sqref="J13" type="list">
      <formula1>Reference!$H$32:$H$36</formula1>
      <formula2>0</formula2>
    </dataValidation>
    <dataValidation allowBlank="true" errorStyle="stop" operator="between" showDropDown="false" showErrorMessage="false" showInputMessage="false" sqref="N13" type="list">
      <formula1>Reference!$I$32:$I$34</formula1>
      <formula2>0</formula2>
    </dataValidation>
    <dataValidation allowBlank="true" errorStyle="stop" operator="between" showDropDown="false" showErrorMessage="false" showInputMessage="false" sqref="D14" type="list">
      <formula1>Reference!$B$32:$B$42</formula1>
      <formula2>0</formula2>
    </dataValidation>
    <dataValidation allowBlank="true" errorStyle="stop" operator="between" showDropDown="false" showErrorMessage="false" showInputMessage="false" sqref="E14" type="list">
      <formula1>Reference!$D$32:$D$39</formula1>
      <formula2>0</formula2>
    </dataValidation>
    <dataValidation allowBlank="true" errorStyle="stop" operator="between" showDropDown="false" showErrorMessage="false" showInputMessage="false" sqref="I14" type="list">
      <formula1>Reference!$H$32:$H$36</formula1>
      <formula2>0</formula2>
    </dataValidation>
    <dataValidation allowBlank="true" errorStyle="stop" operator="between" showDropDown="false" showErrorMessage="false" showInputMessage="false" sqref="J14" type="list">
      <formula1>Reference!$H$32:$H$36</formula1>
      <formula2>0</formula2>
    </dataValidation>
    <dataValidation allowBlank="true" errorStyle="stop" operator="between" showDropDown="false" showErrorMessage="false" showInputMessage="false" sqref="N14" type="list">
      <formula1>Reference!$I$32:$I$34</formula1>
      <formula2>0</formula2>
    </dataValidation>
    <dataValidation allowBlank="true" errorStyle="stop" operator="between" showDropDown="false" showErrorMessage="false" showInputMessage="false" sqref="D15" type="list">
      <formula1>Reference!$B$32:$B$42</formula1>
      <formula2>0</formula2>
    </dataValidation>
    <dataValidation allowBlank="true" errorStyle="stop" operator="between" showDropDown="false" showErrorMessage="false" showInputMessage="false" sqref="E15" type="list">
      <formula1>Reference!$D$32:$D$39</formula1>
      <formula2>0</formula2>
    </dataValidation>
    <dataValidation allowBlank="true" errorStyle="stop" operator="between" showDropDown="false" showErrorMessage="false" showInputMessage="false" sqref="I15" type="list">
      <formula1>Reference!$H$32:$H$36</formula1>
      <formula2>0</formula2>
    </dataValidation>
    <dataValidation allowBlank="true" errorStyle="stop" operator="between" showDropDown="false" showErrorMessage="false" showInputMessage="false" sqref="J15" type="list">
      <formula1>Reference!$H$32:$H$36</formula1>
      <formula2>0</formula2>
    </dataValidation>
    <dataValidation allowBlank="true" errorStyle="stop" operator="between" showDropDown="false" showErrorMessage="false" showInputMessage="false" sqref="N15" type="list">
      <formula1>Reference!$I$32:$I$34</formula1>
      <formula2>0</formula2>
    </dataValidation>
    <dataValidation allowBlank="true" errorStyle="stop" operator="between" showDropDown="false" showErrorMessage="false" showInputMessage="false" sqref="D16" type="list">
      <formula1>Reference!$B$32:$B$42</formula1>
      <formula2>0</formula2>
    </dataValidation>
    <dataValidation allowBlank="true" errorStyle="stop" operator="between" showDropDown="false" showErrorMessage="false" showInputMessage="false" sqref="E16" type="list">
      <formula1>Reference!$D$32:$D$39</formula1>
      <formula2>0</formula2>
    </dataValidation>
    <dataValidation allowBlank="true" errorStyle="stop" operator="between" showDropDown="false" showErrorMessage="false" showInputMessage="false" sqref="I16" type="list">
      <formula1>Reference!$H$32:$H$36</formula1>
      <formula2>0</formula2>
    </dataValidation>
    <dataValidation allowBlank="true" errorStyle="stop" operator="between" showDropDown="false" showErrorMessage="false" showInputMessage="false" sqref="J16" type="list">
      <formula1>Reference!$H$32:$H$36</formula1>
      <formula2>0</formula2>
    </dataValidation>
    <dataValidation allowBlank="true" errorStyle="stop" operator="between" showDropDown="false" showErrorMessage="false" showInputMessage="false" sqref="N16" type="list">
      <formula1>Reference!$I$32:$I$34</formula1>
      <formula2>0</formula2>
    </dataValidation>
    <dataValidation allowBlank="true" errorStyle="stop" operator="between" showDropDown="false" showErrorMessage="false" showInputMessage="false" sqref="D17" type="list">
      <formula1>Reference!$B$32:$B$42</formula1>
      <formula2>0</formula2>
    </dataValidation>
    <dataValidation allowBlank="true" errorStyle="stop" operator="between" showDropDown="false" showErrorMessage="false" showInputMessage="false" sqref="E17" type="list">
      <formula1>Reference!$D$32:$D$39</formula1>
      <formula2>0</formula2>
    </dataValidation>
    <dataValidation allowBlank="true" errorStyle="stop" operator="between" showDropDown="false" showErrorMessage="false" showInputMessage="false" sqref="I17" type="list">
      <formula1>Reference!$H$32:$H$36</formula1>
      <formula2>0</formula2>
    </dataValidation>
    <dataValidation allowBlank="true" errorStyle="stop" operator="between" showDropDown="false" showErrorMessage="false" showInputMessage="false" sqref="J17" type="list">
      <formula1>Reference!$H$32:$H$36</formula1>
      <formula2>0</formula2>
    </dataValidation>
    <dataValidation allowBlank="true" errorStyle="stop" operator="between" showDropDown="false" showErrorMessage="false" showInputMessage="false" sqref="N17" type="list">
      <formula1>Reference!$I$32:$I$34</formula1>
      <formula2>0</formula2>
    </dataValidation>
    <dataValidation allowBlank="true" errorStyle="stop" operator="between" showDropDown="false" showErrorMessage="false" showInputMessage="false" sqref="D18" type="list">
      <formula1>Reference!$B$32:$B$42</formula1>
      <formula2>0</formula2>
    </dataValidation>
    <dataValidation allowBlank="true" errorStyle="stop" operator="between" showDropDown="false" showErrorMessage="false" showInputMessage="false" sqref="E18" type="list">
      <formula1>Reference!$D$32:$D$39</formula1>
      <formula2>0</formula2>
    </dataValidation>
    <dataValidation allowBlank="true" errorStyle="stop" operator="between" showDropDown="false" showErrorMessage="false" showInputMessage="false" sqref="I18" type="list">
      <formula1>Reference!$H$32:$H$36</formula1>
      <formula2>0</formula2>
    </dataValidation>
    <dataValidation allowBlank="true" errorStyle="stop" operator="between" showDropDown="false" showErrorMessage="false" showInputMessage="false" sqref="J18" type="list">
      <formula1>Reference!$H$32:$H$36</formula1>
      <formula2>0</formula2>
    </dataValidation>
    <dataValidation allowBlank="true" errorStyle="stop" operator="between" showDropDown="false" showErrorMessage="false" showInputMessage="false" sqref="N18" type="list">
      <formula1>Reference!$I$32:$I$34</formula1>
      <formula2>0</formula2>
    </dataValidation>
    <dataValidation allowBlank="true" errorStyle="stop" operator="between" showDropDown="false" showErrorMessage="false" showInputMessage="false" sqref="D19" type="list">
      <formula1>Reference!$B$32:$B$42</formula1>
      <formula2>0</formula2>
    </dataValidation>
    <dataValidation allowBlank="true" errorStyle="stop" operator="between" showDropDown="false" showErrorMessage="false" showInputMessage="false" sqref="E19" type="list">
      <formula1>Reference!$D$32:$D$39</formula1>
      <formula2>0</formula2>
    </dataValidation>
    <dataValidation allowBlank="true" errorStyle="stop" operator="between" showDropDown="false" showErrorMessage="false" showInputMessage="false" sqref="I19" type="list">
      <formula1>Reference!$H$32:$H$36</formula1>
      <formula2>0</formula2>
    </dataValidation>
    <dataValidation allowBlank="true" errorStyle="stop" operator="between" showDropDown="false" showErrorMessage="false" showInputMessage="false" sqref="J19" type="list">
      <formula1>Reference!$H$32:$H$36</formula1>
      <formula2>0</formula2>
    </dataValidation>
    <dataValidation allowBlank="true" errorStyle="stop" operator="between" showDropDown="false" showErrorMessage="false" showInputMessage="false" sqref="N19" type="list">
      <formula1>Reference!$I$32:$I$34</formula1>
      <formula2>0</formula2>
    </dataValidation>
    <dataValidation allowBlank="true" errorStyle="stop" operator="between" showDropDown="false" showErrorMessage="false" showInputMessage="false" sqref="D20" type="list">
      <formula1>Reference!$B$32:$B$42</formula1>
      <formula2>0</formula2>
    </dataValidation>
    <dataValidation allowBlank="true" errorStyle="stop" operator="between" showDropDown="false" showErrorMessage="false" showInputMessage="false" sqref="E20" type="list">
      <formula1>Reference!$D$32:$D$39</formula1>
      <formula2>0</formula2>
    </dataValidation>
    <dataValidation allowBlank="true" errorStyle="stop" operator="between" showDropDown="false" showErrorMessage="false" showInputMessage="false" sqref="I20" type="list">
      <formula1>Reference!$H$32:$H$36</formula1>
      <formula2>0</formula2>
    </dataValidation>
    <dataValidation allowBlank="true" errorStyle="stop" operator="between" showDropDown="false" showErrorMessage="false" showInputMessage="false" sqref="J20" type="list">
      <formula1>Reference!$H$32:$H$36</formula1>
      <formula2>0</formula2>
    </dataValidation>
    <dataValidation allowBlank="true" errorStyle="stop" operator="between" showDropDown="false" showErrorMessage="false" showInputMessage="false" sqref="N20" type="list">
      <formula1>Reference!$I$32:$I$34</formula1>
      <formula2>0</formula2>
    </dataValidation>
    <dataValidation allowBlank="true" errorStyle="stop" operator="between" showDropDown="false" showErrorMessage="false" showInputMessage="false" sqref="D21" type="list">
      <formula1>Reference!$B$32:$B$42</formula1>
      <formula2>0</formula2>
    </dataValidation>
    <dataValidation allowBlank="true" errorStyle="stop" operator="between" showDropDown="false" showErrorMessage="false" showInputMessage="false" sqref="E21" type="list">
      <formula1>Reference!$D$32:$D$39</formula1>
      <formula2>0</formula2>
    </dataValidation>
    <dataValidation allowBlank="true" errorStyle="stop" operator="between" showDropDown="false" showErrorMessage="false" showInputMessage="false" sqref="I21" type="list">
      <formula1>Reference!$H$32:$H$36</formula1>
      <formula2>0</formula2>
    </dataValidation>
    <dataValidation allowBlank="true" errorStyle="stop" operator="between" showDropDown="false" showErrorMessage="false" showInputMessage="false" sqref="J21" type="list">
      <formula1>Reference!$H$32:$H$36</formula1>
      <formula2>0</formula2>
    </dataValidation>
    <dataValidation allowBlank="true" errorStyle="stop" operator="between" showDropDown="false" showErrorMessage="false" showInputMessage="false" sqref="N21" type="list">
      <formula1>Reference!$I$32:$I$34</formula1>
      <formula2>0</formula2>
    </dataValidation>
    <dataValidation allowBlank="true" errorStyle="stop" operator="between" showDropDown="false" showErrorMessage="false" showInputMessage="false" sqref="D22" type="list">
      <formula1>Reference!$B$32:$B$42</formula1>
      <formula2>0</formula2>
    </dataValidation>
    <dataValidation allowBlank="true" errorStyle="stop" operator="between" showDropDown="false" showErrorMessage="false" showInputMessage="false" sqref="E22" type="list">
      <formula1>Reference!$D$32:$D$39</formula1>
      <formula2>0</formula2>
    </dataValidation>
    <dataValidation allowBlank="true" errorStyle="stop" operator="between" showDropDown="false" showErrorMessage="false" showInputMessage="false" sqref="I22" type="list">
      <formula1>Reference!$H$32:$H$36</formula1>
      <formula2>0</formula2>
    </dataValidation>
    <dataValidation allowBlank="true" errorStyle="stop" operator="between" showDropDown="false" showErrorMessage="false" showInputMessage="false" sqref="J22" type="list">
      <formula1>Reference!$H$32:$H$36</formula1>
      <formula2>0</formula2>
    </dataValidation>
    <dataValidation allowBlank="true" errorStyle="stop" operator="between" showDropDown="false" showErrorMessage="false" showInputMessage="false" sqref="N22" type="list">
      <formula1>Reference!$I$32:$I$34</formula1>
      <formula2>0</formula2>
    </dataValidation>
    <dataValidation allowBlank="true" errorStyle="stop" operator="between" showDropDown="false" showErrorMessage="false" showInputMessage="false" sqref="D23" type="list">
      <formula1>Reference!$B$32:$B$42</formula1>
      <formula2>0</formula2>
    </dataValidation>
    <dataValidation allowBlank="true" errorStyle="stop" operator="between" showDropDown="false" showErrorMessage="false" showInputMessage="false" sqref="E23" type="list">
      <formula1>Reference!$D$32:$D$39</formula1>
      <formula2>0</formula2>
    </dataValidation>
    <dataValidation allowBlank="true" errorStyle="stop" operator="between" showDropDown="false" showErrorMessage="false" showInputMessage="false" sqref="I23" type="list">
      <formula1>Reference!$H$32:$H$36</formula1>
      <formula2>0</formula2>
    </dataValidation>
    <dataValidation allowBlank="true" errorStyle="stop" operator="between" showDropDown="false" showErrorMessage="false" showInputMessage="false" sqref="J23" type="list">
      <formula1>Reference!$H$32:$H$36</formula1>
      <formula2>0</formula2>
    </dataValidation>
    <dataValidation allowBlank="true" errorStyle="stop" operator="between" showDropDown="false" showErrorMessage="false" showInputMessage="false" sqref="N23" type="list">
      <formula1>Reference!$I$32:$I$34</formula1>
      <formula2>0</formula2>
    </dataValidation>
    <dataValidation allowBlank="true" errorStyle="stop" operator="between" showDropDown="false" showErrorMessage="false" showInputMessage="false" sqref="D24" type="list">
      <formula1>Reference!$B$32:$B$42</formula1>
      <formula2>0</formula2>
    </dataValidation>
    <dataValidation allowBlank="true" errorStyle="stop" operator="between" showDropDown="false" showErrorMessage="false" showInputMessage="false" sqref="E24" type="list">
      <formula1>Reference!$D$32:$D$39</formula1>
      <formula2>0</formula2>
    </dataValidation>
    <dataValidation allowBlank="true" errorStyle="stop" operator="between" showDropDown="false" showErrorMessage="false" showInputMessage="false" sqref="I24" type="list">
      <formula1>Reference!$H$32:$H$36</formula1>
      <formula2>0</formula2>
    </dataValidation>
    <dataValidation allowBlank="true" errorStyle="stop" operator="between" showDropDown="false" showErrorMessage="false" showInputMessage="false" sqref="J24" type="list">
      <formula1>Reference!$H$32:$H$36</formula1>
      <formula2>0</formula2>
    </dataValidation>
    <dataValidation allowBlank="true" errorStyle="stop" operator="between" showDropDown="false" showErrorMessage="false" showInputMessage="false" sqref="N24" type="list">
      <formula1>Reference!$I$32:$I$34</formula1>
      <formula2>0</formula2>
    </dataValidation>
    <dataValidation allowBlank="true" errorStyle="stop" operator="between" showDropDown="false" showErrorMessage="false" showInputMessage="false" sqref="D25" type="list">
      <formula1>Reference!$B$32:$B$42</formula1>
      <formula2>0</formula2>
    </dataValidation>
    <dataValidation allowBlank="true" errorStyle="stop" operator="between" showDropDown="false" showErrorMessage="false" showInputMessage="false" sqref="E25" type="list">
      <formula1>Reference!$D$32:$D$39</formula1>
      <formula2>0</formula2>
    </dataValidation>
    <dataValidation allowBlank="true" errorStyle="stop" operator="between" showDropDown="false" showErrorMessage="false" showInputMessage="false" sqref="I25" type="list">
      <formula1>Reference!$H$32:$H$36</formula1>
      <formula2>0</formula2>
    </dataValidation>
    <dataValidation allowBlank="true" errorStyle="stop" operator="between" showDropDown="false" showErrorMessage="false" showInputMessage="false" sqref="J25" type="list">
      <formula1>Reference!$H$32:$H$36</formula1>
      <formula2>0</formula2>
    </dataValidation>
    <dataValidation allowBlank="true" errorStyle="stop" operator="between" showDropDown="false" showErrorMessage="false" showInputMessage="false" sqref="N25" type="list">
      <formula1>Reference!$I$32:$I$34</formula1>
      <formula2>0</formula2>
    </dataValidation>
    <dataValidation allowBlank="true" errorStyle="stop" operator="between" showDropDown="false" showErrorMessage="false" showInputMessage="false" sqref="D26" type="list">
      <formula1>Reference!$B$32:$B$42</formula1>
      <formula2>0</formula2>
    </dataValidation>
    <dataValidation allowBlank="true" errorStyle="stop" operator="between" showDropDown="false" showErrorMessage="false" showInputMessage="false" sqref="E26" type="list">
      <formula1>Reference!$D$32:$D$39</formula1>
      <formula2>0</formula2>
    </dataValidation>
    <dataValidation allowBlank="true" errorStyle="stop" operator="between" showDropDown="false" showErrorMessage="false" showInputMessage="false" sqref="I26" type="list">
      <formula1>Reference!$H$32:$H$36</formula1>
      <formula2>0</formula2>
    </dataValidation>
    <dataValidation allowBlank="true" errorStyle="stop" operator="between" showDropDown="false" showErrorMessage="false" showInputMessage="false" sqref="J26" type="list">
      <formula1>Reference!$H$32:$H$36</formula1>
      <formula2>0</formula2>
    </dataValidation>
    <dataValidation allowBlank="true" errorStyle="stop" operator="between" showDropDown="false" showErrorMessage="false" showInputMessage="false" sqref="N26" type="list">
      <formula1>Reference!$I$32:$I$34</formula1>
      <formula2>0</formula2>
    </dataValidation>
  </dataValidations>
  <hyperlinks>
    <hyperlink ref="B28"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79D0"/>
    <pageSetUpPr fitToPage="true"/>
  </sheetPr>
  <dimension ref="B1:G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8"/>
    <col collapsed="false" customWidth="true" hidden="false" outlineLevel="0" max="7" min="3" style="0" width="20"/>
    <col collapsed="false" customWidth="true" hidden="false" outlineLevel="0" max="8" min="8" style="0" width="2.2"/>
  </cols>
  <sheetData>
    <row r="1" customFormat="false" ht="33.75" hidden="false" customHeight="true" outlineLevel="0" collapsed="false">
      <c r="B1" s="13" t="s">
        <v>151</v>
      </c>
      <c r="C1" s="13"/>
      <c r="D1" s="13"/>
      <c r="E1" s="13"/>
      <c r="F1" s="13"/>
      <c r="G1" s="13"/>
    </row>
    <row r="2" customFormat="false" ht="4.5" hidden="false" customHeight="true" outlineLevel="0" collapsed="false">
      <c r="B2" s="33"/>
      <c r="C2" s="33"/>
      <c r="D2" s="33"/>
      <c r="E2" s="33"/>
      <c r="F2" s="33"/>
      <c r="G2" s="33"/>
    </row>
    <row r="3" customFormat="false" ht="16.5" hidden="false" customHeight="true" outlineLevel="0" collapsed="false">
      <c r="B3" s="21" t="str">
        <f aca="false">IF(LEFT(Setup!$D$7,7)&lt;&gt;"EXAMPLE","","EXAMPLE DATA - type your own project name on Setup to clear this.")</f>
        <v>EXAMPLE DATA - type your own project name on Setup to clear this.</v>
      </c>
      <c r="C3" s="21"/>
      <c r="D3" s="21"/>
      <c r="E3" s="21"/>
      <c r="F3" s="21"/>
      <c r="G3" s="21"/>
    </row>
    <row r="4" customFormat="false" ht="25.5" hidden="false" customHeight="true" outlineLevel="0" collapsed="false">
      <c r="B4" s="15" t="s">
        <v>152</v>
      </c>
      <c r="C4" s="15"/>
      <c r="D4" s="15"/>
      <c r="E4" s="15"/>
      <c r="F4" s="15"/>
      <c r="G4" s="15"/>
    </row>
    <row r="6" customFormat="false" ht="21.75" hidden="false" customHeight="true" outlineLevel="0" collapsed="false">
      <c r="B6" s="6" t="s">
        <v>153</v>
      </c>
      <c r="C6" s="6"/>
      <c r="D6" s="6"/>
      <c r="E6" s="6"/>
      <c r="F6" s="6"/>
      <c r="G6" s="6"/>
    </row>
    <row r="7" customFormat="false" ht="30" hidden="false" customHeight="true" outlineLevel="0" collapsed="false">
      <c r="B7" s="34" t="n">
        <f aca="false">COUNTIF(Register!$C$7:$C$26,"?*")</f>
        <v>17</v>
      </c>
      <c r="C7" s="34" t="n">
        <f aca="false">COUNTIF(Register!$H$7:$H$26,"Work with them")</f>
        <v>3</v>
      </c>
      <c r="D7" s="34" t="n">
        <f aca="false">COUNTIF(Register!$I$7:$I$26,"Unaware")+COUNTIF(Register!$I$7:$I$26,"Resistant")</f>
        <v>4</v>
      </c>
      <c r="E7" s="34" t="n">
        <f aca="false">COUNTIF(Register!$K$7:$K$26,"&gt;0")</f>
        <v>14</v>
      </c>
      <c r="F7" s="34" t="n">
        <f aca="false">COUNTIF('Engagement Plan'!$L$7:$L$26,"Overdue")</f>
        <v>3</v>
      </c>
      <c r="G7" s="34" t="n">
        <f aca="false">COUNTIF(Commitments!$L$7:$L$17,"Overdue")</f>
        <v>2</v>
      </c>
    </row>
    <row r="8" customFormat="false" ht="25.5" hidden="false" customHeight="true" outlineLevel="0" collapsed="false">
      <c r="B8" s="35" t="s">
        <v>154</v>
      </c>
      <c r="C8" s="35" t="s">
        <v>155</v>
      </c>
      <c r="D8" s="35" t="s">
        <v>156</v>
      </c>
      <c r="E8" s="35" t="s">
        <v>157</v>
      </c>
      <c r="F8" s="35" t="s">
        <v>158</v>
      </c>
      <c r="G8" s="35" t="s">
        <v>159</v>
      </c>
    </row>
    <row r="10" customFormat="false" ht="21.75" hidden="false" customHeight="true" outlineLevel="0" collapsed="false">
      <c r="B10" s="6" t="s">
        <v>160</v>
      </c>
      <c r="C10" s="6"/>
      <c r="D10" s="6"/>
      <c r="E10" s="6"/>
      <c r="F10" s="6"/>
      <c r="G10" s="6"/>
    </row>
    <row r="11" customFormat="false" ht="19.5" hidden="false" customHeight="true" outlineLevel="0" collapsed="false">
      <c r="B11" s="36"/>
      <c r="C11" s="37" t="s">
        <v>161</v>
      </c>
      <c r="D11" s="37" t="s">
        <v>162</v>
      </c>
      <c r="E11" s="37" t="s">
        <v>163</v>
      </c>
      <c r="F11" s="37" t="s">
        <v>164</v>
      </c>
      <c r="G11" s="37" t="s">
        <v>165</v>
      </c>
    </row>
    <row r="12" customFormat="false" ht="39.75" hidden="false" customHeight="true" outlineLevel="0" collapsed="false">
      <c r="B12" s="37" t="s">
        <v>166</v>
      </c>
      <c r="C12" s="38" t="str">
        <f aca="false">IF(SUMPRODUCT((Register!$F$7:$F$26=5)*(Register!$G$7:$G$26=1))=0,"",SUMPRODUCT((Register!$F$7:$F$26=5)*(Register!$G$7:$G$26=1))&amp;CHAR(10)&amp;IF(SUMPRODUCT((Register!$F$7:$F$26=5)*(Register!$G$7:$G$26=1)*(Register!$S$7:$S$26=1)*Register!$R$7:$R$26)=0,"",INDEX(Register!$B$7:$B$26,SUMPRODUCT((Register!$F$7:$F$26=5)*(Register!$G$7:$G$26=1)*(Register!$S$7:$S$26=1)*Register!$R$7:$R$26))) &amp; IF(SUMPRODUCT((Register!$F$7:$F$26=5)*(Register!$G$7:$G$26=1)*(Register!$S$7:$S$26=2)*Register!$R$7:$R$26)=0,"","  "&amp;INDEX(Register!$B$7:$B$26,SUMPRODUCT((Register!$F$7:$F$26=5)*(Register!$G$7:$G$26=1)*(Register!$S$7:$S$26=2)*Register!$R$7:$R$26))) &amp; IF(SUMPRODUCT((Register!$F$7:$F$26=5)*(Register!$G$7:$G$26=1)*(Register!$S$7:$S$26=3)*Register!$R$7:$R$26)=0,"","  "&amp;INDEX(Register!$B$7:$B$26,SUMPRODUCT((Register!$F$7:$F$26=5)*(Register!$G$7:$G$26=1)*(Register!$S$7:$S$26=3)*Register!$R$7:$R$26))) &amp; IF(SUMPRODUCT((Register!$F$7:$F$26=5)*(Register!$G$7:$G$26=1)*(Register!$S$7:$S$26=4)*Register!$R$7:$R$26)=0,"","  "&amp;INDEX(Register!$B$7:$B$26,SUMPRODUCT((Register!$F$7:$F$26=5)*(Register!$G$7:$G$26=1)*(Register!$S$7:$S$26=4)*Register!$R$7:$R$26)))&amp;IF(SUMPRODUCT((Register!$F$7:$F$26=5)*(Register!$G$7:$G$26=1))&gt;4,"  +"&amp;(SUMPRODUCT((Register!$F$7:$F$26=5)*(Register!$G$7:$G$26=1))-4),""))</f>
        <v/>
      </c>
      <c r="D12" s="38" t="str">
        <f aca="false">IF(SUMPRODUCT((Register!$F$7:$F$26=5)*(Register!$G$7:$G$26=2))=0,"",SUMPRODUCT((Register!$F$7:$F$26=5)*(Register!$G$7:$G$26=2))&amp;CHAR(10)&amp;IF(SUMPRODUCT((Register!$F$7:$F$26=5)*(Register!$G$7:$G$26=2)*(Register!$S$7:$S$26=1)*Register!$R$7:$R$26)=0,"",INDEX(Register!$B$7:$B$26,SUMPRODUCT((Register!$F$7:$F$26=5)*(Register!$G$7:$G$26=2)*(Register!$S$7:$S$26=1)*Register!$R$7:$R$26))) &amp; IF(SUMPRODUCT((Register!$F$7:$F$26=5)*(Register!$G$7:$G$26=2)*(Register!$S$7:$S$26=2)*Register!$R$7:$R$26)=0,"","  "&amp;INDEX(Register!$B$7:$B$26,SUMPRODUCT((Register!$F$7:$F$26=5)*(Register!$G$7:$G$26=2)*(Register!$S$7:$S$26=2)*Register!$R$7:$R$26))) &amp; IF(SUMPRODUCT((Register!$F$7:$F$26=5)*(Register!$G$7:$G$26=2)*(Register!$S$7:$S$26=3)*Register!$R$7:$R$26)=0,"","  "&amp;INDEX(Register!$B$7:$B$26,SUMPRODUCT((Register!$F$7:$F$26=5)*(Register!$G$7:$G$26=2)*(Register!$S$7:$S$26=3)*Register!$R$7:$R$26))) &amp; IF(SUMPRODUCT((Register!$F$7:$F$26=5)*(Register!$G$7:$G$26=2)*(Register!$S$7:$S$26=4)*Register!$R$7:$R$26)=0,"","  "&amp;INDEX(Register!$B$7:$B$26,SUMPRODUCT((Register!$F$7:$F$26=5)*(Register!$G$7:$G$26=2)*(Register!$S$7:$S$26=4)*Register!$R$7:$R$26)))&amp;IF(SUMPRODUCT((Register!$F$7:$F$26=5)*(Register!$G$7:$G$26=2))&gt;4,"  +"&amp;(SUMPRODUCT((Register!$F$7:$F$26=5)*(Register!$G$7:$G$26=2))-4),""))</f>
        <v/>
      </c>
      <c r="E12" s="38" t="str">
        <f aca="false">IF(SUMPRODUCT((Register!$F$7:$F$26=5)*(Register!$G$7:$G$26=3))=0,"",SUMPRODUCT((Register!$F$7:$F$26=5)*(Register!$G$7:$G$26=3))&amp;CHAR(10)&amp;IF(SUMPRODUCT((Register!$F$7:$F$26=5)*(Register!$G$7:$G$26=3)*(Register!$S$7:$S$26=1)*Register!$R$7:$R$26)=0,"",INDEX(Register!$B$7:$B$26,SUMPRODUCT((Register!$F$7:$F$26=5)*(Register!$G$7:$G$26=3)*(Register!$S$7:$S$26=1)*Register!$R$7:$R$26))) &amp; IF(SUMPRODUCT((Register!$F$7:$F$26=5)*(Register!$G$7:$G$26=3)*(Register!$S$7:$S$26=2)*Register!$R$7:$R$26)=0,"","  "&amp;INDEX(Register!$B$7:$B$26,SUMPRODUCT((Register!$F$7:$F$26=5)*(Register!$G$7:$G$26=3)*(Register!$S$7:$S$26=2)*Register!$R$7:$R$26))) &amp; IF(SUMPRODUCT((Register!$F$7:$F$26=5)*(Register!$G$7:$G$26=3)*(Register!$S$7:$S$26=3)*Register!$R$7:$R$26)=0,"","  "&amp;INDEX(Register!$B$7:$B$26,SUMPRODUCT((Register!$F$7:$F$26=5)*(Register!$G$7:$G$26=3)*(Register!$S$7:$S$26=3)*Register!$R$7:$R$26))) &amp; IF(SUMPRODUCT((Register!$F$7:$F$26=5)*(Register!$G$7:$G$26=3)*(Register!$S$7:$S$26=4)*Register!$R$7:$R$26)=0,"","  "&amp;INDEX(Register!$B$7:$B$26,SUMPRODUCT((Register!$F$7:$F$26=5)*(Register!$G$7:$G$26=3)*(Register!$S$7:$S$26=4)*Register!$R$7:$R$26)))&amp;IF(SUMPRODUCT((Register!$F$7:$F$26=5)*(Register!$G$7:$G$26=3))&gt;4,"  +"&amp;(SUMPRODUCT((Register!$F$7:$F$26=5)*(Register!$G$7:$G$26=3))-4),""))</f>
        <v>1
S03</v>
      </c>
      <c r="F12" s="38" t="str">
        <f aca="false">IF(SUMPRODUCT((Register!$F$7:$F$26=5)*(Register!$G$7:$G$26=4))=0,"",SUMPRODUCT((Register!$F$7:$F$26=5)*(Register!$G$7:$G$26=4))&amp;CHAR(10)&amp;IF(SUMPRODUCT((Register!$F$7:$F$26=5)*(Register!$G$7:$G$26=4)*(Register!$S$7:$S$26=1)*Register!$R$7:$R$26)=0,"",INDEX(Register!$B$7:$B$26,SUMPRODUCT((Register!$F$7:$F$26=5)*(Register!$G$7:$G$26=4)*(Register!$S$7:$S$26=1)*Register!$R$7:$R$26))) &amp; IF(SUMPRODUCT((Register!$F$7:$F$26=5)*(Register!$G$7:$G$26=4)*(Register!$S$7:$S$26=2)*Register!$R$7:$R$26)=0,"","  "&amp;INDEX(Register!$B$7:$B$26,SUMPRODUCT((Register!$F$7:$F$26=5)*(Register!$G$7:$G$26=4)*(Register!$S$7:$S$26=2)*Register!$R$7:$R$26))) &amp; IF(SUMPRODUCT((Register!$F$7:$F$26=5)*(Register!$G$7:$G$26=4)*(Register!$S$7:$S$26=3)*Register!$R$7:$R$26)=0,"","  "&amp;INDEX(Register!$B$7:$B$26,SUMPRODUCT((Register!$F$7:$F$26=5)*(Register!$G$7:$G$26=4)*(Register!$S$7:$S$26=3)*Register!$R$7:$R$26))) &amp; IF(SUMPRODUCT((Register!$F$7:$F$26=5)*(Register!$G$7:$G$26=4)*(Register!$S$7:$S$26=4)*Register!$R$7:$R$26)=0,"","  "&amp;INDEX(Register!$B$7:$B$26,SUMPRODUCT((Register!$F$7:$F$26=5)*(Register!$G$7:$G$26=4)*(Register!$S$7:$S$26=4)*Register!$R$7:$R$26)))&amp;IF(SUMPRODUCT((Register!$F$7:$F$26=5)*(Register!$G$7:$G$26=4))&gt;4,"  +"&amp;(SUMPRODUCT((Register!$F$7:$F$26=5)*(Register!$G$7:$G$26=4))-4),""))</f>
        <v>2
S01  S02</v>
      </c>
      <c r="G12" s="38" t="str">
        <f aca="false">IF(SUMPRODUCT((Register!$F$7:$F$26=5)*(Register!$G$7:$G$26=5))=0,"",SUMPRODUCT((Register!$F$7:$F$26=5)*(Register!$G$7:$G$26=5))&amp;CHAR(10)&amp;IF(SUMPRODUCT((Register!$F$7:$F$26=5)*(Register!$G$7:$G$26=5)*(Register!$S$7:$S$26=1)*Register!$R$7:$R$26)=0,"",INDEX(Register!$B$7:$B$26,SUMPRODUCT((Register!$F$7:$F$26=5)*(Register!$G$7:$G$26=5)*(Register!$S$7:$S$26=1)*Register!$R$7:$R$26))) &amp; IF(SUMPRODUCT((Register!$F$7:$F$26=5)*(Register!$G$7:$G$26=5)*(Register!$S$7:$S$26=2)*Register!$R$7:$R$26)=0,"","  "&amp;INDEX(Register!$B$7:$B$26,SUMPRODUCT((Register!$F$7:$F$26=5)*(Register!$G$7:$G$26=5)*(Register!$S$7:$S$26=2)*Register!$R$7:$R$26))) &amp; IF(SUMPRODUCT((Register!$F$7:$F$26=5)*(Register!$G$7:$G$26=5)*(Register!$S$7:$S$26=3)*Register!$R$7:$R$26)=0,"","  "&amp;INDEX(Register!$B$7:$B$26,SUMPRODUCT((Register!$F$7:$F$26=5)*(Register!$G$7:$G$26=5)*(Register!$S$7:$S$26=3)*Register!$R$7:$R$26))) &amp; IF(SUMPRODUCT((Register!$F$7:$F$26=5)*(Register!$G$7:$G$26=5)*(Register!$S$7:$S$26=4)*Register!$R$7:$R$26)=0,"","  "&amp;INDEX(Register!$B$7:$B$26,SUMPRODUCT((Register!$F$7:$F$26=5)*(Register!$G$7:$G$26=5)*(Register!$S$7:$S$26=4)*Register!$R$7:$R$26)))&amp;IF(SUMPRODUCT((Register!$F$7:$F$26=5)*(Register!$G$7:$G$26=5))&gt;4,"  +"&amp;(SUMPRODUCT((Register!$F$7:$F$26=5)*(Register!$G$7:$G$26=5))-4),""))</f>
        <v/>
      </c>
    </row>
    <row r="13" customFormat="false" ht="39.75" hidden="false" customHeight="true" outlineLevel="0" collapsed="false">
      <c r="B13" s="37" t="s">
        <v>167</v>
      </c>
      <c r="C13" s="38" t="str">
        <f aca="false">IF(SUMPRODUCT((Register!$F$7:$F$26=4)*(Register!$G$7:$G$26=1))=0,"",SUMPRODUCT((Register!$F$7:$F$26=4)*(Register!$G$7:$G$26=1))&amp;CHAR(10)&amp;IF(SUMPRODUCT((Register!$F$7:$F$26=4)*(Register!$G$7:$G$26=1)*(Register!$S$7:$S$26=1)*Register!$R$7:$R$26)=0,"",INDEX(Register!$B$7:$B$26,SUMPRODUCT((Register!$F$7:$F$26=4)*(Register!$G$7:$G$26=1)*(Register!$S$7:$S$26=1)*Register!$R$7:$R$26))) &amp; IF(SUMPRODUCT((Register!$F$7:$F$26=4)*(Register!$G$7:$G$26=1)*(Register!$S$7:$S$26=2)*Register!$R$7:$R$26)=0,"","  "&amp;INDEX(Register!$B$7:$B$26,SUMPRODUCT((Register!$F$7:$F$26=4)*(Register!$G$7:$G$26=1)*(Register!$S$7:$S$26=2)*Register!$R$7:$R$26))) &amp; IF(SUMPRODUCT((Register!$F$7:$F$26=4)*(Register!$G$7:$G$26=1)*(Register!$S$7:$S$26=3)*Register!$R$7:$R$26)=0,"","  "&amp;INDEX(Register!$B$7:$B$26,SUMPRODUCT((Register!$F$7:$F$26=4)*(Register!$G$7:$G$26=1)*(Register!$S$7:$S$26=3)*Register!$R$7:$R$26))) &amp; IF(SUMPRODUCT((Register!$F$7:$F$26=4)*(Register!$G$7:$G$26=1)*(Register!$S$7:$S$26=4)*Register!$R$7:$R$26)=0,"","  "&amp;INDEX(Register!$B$7:$B$26,SUMPRODUCT((Register!$F$7:$F$26=4)*(Register!$G$7:$G$26=1)*(Register!$S$7:$S$26=4)*Register!$R$7:$R$26)))&amp;IF(SUMPRODUCT((Register!$F$7:$F$26=4)*(Register!$G$7:$G$26=1))&gt;4,"  +"&amp;(SUMPRODUCT((Register!$F$7:$F$26=4)*(Register!$G$7:$G$26=1))-4),""))</f>
        <v/>
      </c>
      <c r="D13" s="38" t="str">
        <f aca="false">IF(SUMPRODUCT((Register!$F$7:$F$26=4)*(Register!$G$7:$G$26=2))=0,"",SUMPRODUCT((Register!$F$7:$F$26=4)*(Register!$G$7:$G$26=2))&amp;CHAR(10)&amp;IF(SUMPRODUCT((Register!$F$7:$F$26=4)*(Register!$G$7:$G$26=2)*(Register!$S$7:$S$26=1)*Register!$R$7:$R$26)=0,"",INDEX(Register!$B$7:$B$26,SUMPRODUCT((Register!$F$7:$F$26=4)*(Register!$G$7:$G$26=2)*(Register!$S$7:$S$26=1)*Register!$R$7:$R$26))) &amp; IF(SUMPRODUCT((Register!$F$7:$F$26=4)*(Register!$G$7:$G$26=2)*(Register!$S$7:$S$26=2)*Register!$R$7:$R$26)=0,"","  "&amp;INDEX(Register!$B$7:$B$26,SUMPRODUCT((Register!$F$7:$F$26=4)*(Register!$G$7:$G$26=2)*(Register!$S$7:$S$26=2)*Register!$R$7:$R$26))) &amp; IF(SUMPRODUCT((Register!$F$7:$F$26=4)*(Register!$G$7:$G$26=2)*(Register!$S$7:$S$26=3)*Register!$R$7:$R$26)=0,"","  "&amp;INDEX(Register!$B$7:$B$26,SUMPRODUCT((Register!$F$7:$F$26=4)*(Register!$G$7:$G$26=2)*(Register!$S$7:$S$26=3)*Register!$R$7:$R$26))) &amp; IF(SUMPRODUCT((Register!$F$7:$F$26=4)*(Register!$G$7:$G$26=2)*(Register!$S$7:$S$26=4)*Register!$R$7:$R$26)=0,"","  "&amp;INDEX(Register!$B$7:$B$26,SUMPRODUCT((Register!$F$7:$F$26=4)*(Register!$G$7:$G$26=2)*(Register!$S$7:$S$26=4)*Register!$R$7:$R$26)))&amp;IF(SUMPRODUCT((Register!$F$7:$F$26=4)*(Register!$G$7:$G$26=2))&gt;4,"  +"&amp;(SUMPRODUCT((Register!$F$7:$F$26=4)*(Register!$G$7:$G$26=2))-4),""))</f>
        <v>1
S04</v>
      </c>
      <c r="E13" s="38" t="str">
        <f aca="false">IF(SUMPRODUCT((Register!$F$7:$F$26=4)*(Register!$G$7:$G$26=3))=0,"",SUMPRODUCT((Register!$F$7:$F$26=4)*(Register!$G$7:$G$26=3))&amp;CHAR(10)&amp;IF(SUMPRODUCT((Register!$F$7:$F$26=4)*(Register!$G$7:$G$26=3)*(Register!$S$7:$S$26=1)*Register!$R$7:$R$26)=0,"",INDEX(Register!$B$7:$B$26,SUMPRODUCT((Register!$F$7:$F$26=4)*(Register!$G$7:$G$26=3)*(Register!$S$7:$S$26=1)*Register!$R$7:$R$26))) &amp; IF(SUMPRODUCT((Register!$F$7:$F$26=4)*(Register!$G$7:$G$26=3)*(Register!$S$7:$S$26=2)*Register!$R$7:$R$26)=0,"","  "&amp;INDEX(Register!$B$7:$B$26,SUMPRODUCT((Register!$F$7:$F$26=4)*(Register!$G$7:$G$26=3)*(Register!$S$7:$S$26=2)*Register!$R$7:$R$26))) &amp; IF(SUMPRODUCT((Register!$F$7:$F$26=4)*(Register!$G$7:$G$26=3)*(Register!$S$7:$S$26=3)*Register!$R$7:$R$26)=0,"","  "&amp;INDEX(Register!$B$7:$B$26,SUMPRODUCT((Register!$F$7:$F$26=4)*(Register!$G$7:$G$26=3)*(Register!$S$7:$S$26=3)*Register!$R$7:$R$26))) &amp; IF(SUMPRODUCT((Register!$F$7:$F$26=4)*(Register!$G$7:$G$26=3)*(Register!$S$7:$S$26=4)*Register!$R$7:$R$26)=0,"","  "&amp;INDEX(Register!$B$7:$B$26,SUMPRODUCT((Register!$F$7:$F$26=4)*(Register!$G$7:$G$26=3)*(Register!$S$7:$S$26=4)*Register!$R$7:$R$26)))&amp;IF(SUMPRODUCT((Register!$F$7:$F$26=4)*(Register!$G$7:$G$26=3))&gt;4,"  +"&amp;(SUMPRODUCT((Register!$F$7:$F$26=4)*(Register!$G$7:$G$26=3))-4),""))</f>
        <v>2
S06  S14</v>
      </c>
      <c r="F13" s="38" t="str">
        <f aca="false">IF(SUMPRODUCT((Register!$F$7:$F$26=4)*(Register!$G$7:$G$26=4))=0,"",SUMPRODUCT((Register!$F$7:$F$26=4)*(Register!$G$7:$G$26=4))&amp;CHAR(10)&amp;IF(SUMPRODUCT((Register!$F$7:$F$26=4)*(Register!$G$7:$G$26=4)*(Register!$S$7:$S$26=1)*Register!$R$7:$R$26)=0,"",INDEX(Register!$B$7:$B$26,SUMPRODUCT((Register!$F$7:$F$26=4)*(Register!$G$7:$G$26=4)*(Register!$S$7:$S$26=1)*Register!$R$7:$R$26))) &amp; IF(SUMPRODUCT((Register!$F$7:$F$26=4)*(Register!$G$7:$G$26=4)*(Register!$S$7:$S$26=2)*Register!$R$7:$R$26)=0,"","  "&amp;INDEX(Register!$B$7:$B$26,SUMPRODUCT((Register!$F$7:$F$26=4)*(Register!$G$7:$G$26=4)*(Register!$S$7:$S$26=2)*Register!$R$7:$R$26))) &amp; IF(SUMPRODUCT((Register!$F$7:$F$26=4)*(Register!$G$7:$G$26=4)*(Register!$S$7:$S$26=3)*Register!$R$7:$R$26)=0,"","  "&amp;INDEX(Register!$B$7:$B$26,SUMPRODUCT((Register!$F$7:$F$26=4)*(Register!$G$7:$G$26=4)*(Register!$S$7:$S$26=3)*Register!$R$7:$R$26))) &amp; IF(SUMPRODUCT((Register!$F$7:$F$26=4)*(Register!$G$7:$G$26=4)*(Register!$S$7:$S$26=4)*Register!$R$7:$R$26)=0,"","  "&amp;INDEX(Register!$B$7:$B$26,SUMPRODUCT((Register!$F$7:$F$26=4)*(Register!$G$7:$G$26=4)*(Register!$S$7:$S$26=4)*Register!$R$7:$R$26)))&amp;IF(SUMPRODUCT((Register!$F$7:$F$26=4)*(Register!$G$7:$G$26=4))&gt;4,"  +"&amp;(SUMPRODUCT((Register!$F$7:$F$26=4)*(Register!$G$7:$G$26=4))-4),""))</f>
        <v/>
      </c>
      <c r="G13" s="38" t="str">
        <f aca="false">IF(SUMPRODUCT((Register!$F$7:$F$26=4)*(Register!$G$7:$G$26=5))=0,"",SUMPRODUCT((Register!$F$7:$F$26=4)*(Register!$G$7:$G$26=5))&amp;CHAR(10)&amp;IF(SUMPRODUCT((Register!$F$7:$F$26=4)*(Register!$G$7:$G$26=5)*(Register!$S$7:$S$26=1)*Register!$R$7:$R$26)=0,"",INDEX(Register!$B$7:$B$26,SUMPRODUCT((Register!$F$7:$F$26=4)*(Register!$G$7:$G$26=5)*(Register!$S$7:$S$26=1)*Register!$R$7:$R$26))) &amp; IF(SUMPRODUCT((Register!$F$7:$F$26=4)*(Register!$G$7:$G$26=5)*(Register!$S$7:$S$26=2)*Register!$R$7:$R$26)=0,"","  "&amp;INDEX(Register!$B$7:$B$26,SUMPRODUCT((Register!$F$7:$F$26=4)*(Register!$G$7:$G$26=5)*(Register!$S$7:$S$26=2)*Register!$R$7:$R$26))) &amp; IF(SUMPRODUCT((Register!$F$7:$F$26=4)*(Register!$G$7:$G$26=5)*(Register!$S$7:$S$26=3)*Register!$R$7:$R$26)=0,"","  "&amp;INDEX(Register!$B$7:$B$26,SUMPRODUCT((Register!$F$7:$F$26=4)*(Register!$G$7:$G$26=5)*(Register!$S$7:$S$26=3)*Register!$R$7:$R$26))) &amp; IF(SUMPRODUCT((Register!$F$7:$F$26=4)*(Register!$G$7:$G$26=5)*(Register!$S$7:$S$26=4)*Register!$R$7:$R$26)=0,"","  "&amp;INDEX(Register!$B$7:$B$26,SUMPRODUCT((Register!$F$7:$F$26=4)*(Register!$G$7:$G$26=5)*(Register!$S$7:$S$26=4)*Register!$R$7:$R$26)))&amp;IF(SUMPRODUCT((Register!$F$7:$F$26=4)*(Register!$G$7:$G$26=5))&gt;4,"  +"&amp;(SUMPRODUCT((Register!$F$7:$F$26=4)*(Register!$G$7:$G$26=5))-4),""))</f>
        <v>1
S16</v>
      </c>
    </row>
    <row r="14" customFormat="false" ht="39.75" hidden="false" customHeight="true" outlineLevel="0" collapsed="false">
      <c r="B14" s="37" t="s">
        <v>168</v>
      </c>
      <c r="C14" s="38" t="str">
        <f aca="false">IF(SUMPRODUCT((Register!$F$7:$F$26=3)*(Register!$G$7:$G$26=1))=0,"",SUMPRODUCT((Register!$F$7:$F$26=3)*(Register!$G$7:$G$26=1))&amp;CHAR(10)&amp;IF(SUMPRODUCT((Register!$F$7:$F$26=3)*(Register!$G$7:$G$26=1)*(Register!$S$7:$S$26=1)*Register!$R$7:$R$26)=0,"",INDEX(Register!$B$7:$B$26,SUMPRODUCT((Register!$F$7:$F$26=3)*(Register!$G$7:$G$26=1)*(Register!$S$7:$S$26=1)*Register!$R$7:$R$26))) &amp; IF(SUMPRODUCT((Register!$F$7:$F$26=3)*(Register!$G$7:$G$26=1)*(Register!$S$7:$S$26=2)*Register!$R$7:$R$26)=0,"","  "&amp;INDEX(Register!$B$7:$B$26,SUMPRODUCT((Register!$F$7:$F$26=3)*(Register!$G$7:$G$26=1)*(Register!$S$7:$S$26=2)*Register!$R$7:$R$26))) &amp; IF(SUMPRODUCT((Register!$F$7:$F$26=3)*(Register!$G$7:$G$26=1)*(Register!$S$7:$S$26=3)*Register!$R$7:$R$26)=0,"","  "&amp;INDEX(Register!$B$7:$B$26,SUMPRODUCT((Register!$F$7:$F$26=3)*(Register!$G$7:$G$26=1)*(Register!$S$7:$S$26=3)*Register!$R$7:$R$26))) &amp; IF(SUMPRODUCT((Register!$F$7:$F$26=3)*(Register!$G$7:$G$26=1)*(Register!$S$7:$S$26=4)*Register!$R$7:$R$26)=0,"","  "&amp;INDEX(Register!$B$7:$B$26,SUMPRODUCT((Register!$F$7:$F$26=3)*(Register!$G$7:$G$26=1)*(Register!$S$7:$S$26=4)*Register!$R$7:$R$26)))&amp;IF(SUMPRODUCT((Register!$F$7:$F$26=3)*(Register!$G$7:$G$26=1))&gt;4,"  +"&amp;(SUMPRODUCT((Register!$F$7:$F$26=3)*(Register!$G$7:$G$26=1))-4),""))</f>
        <v/>
      </c>
      <c r="D14" s="38" t="str">
        <f aca="false">IF(SUMPRODUCT((Register!$F$7:$F$26=3)*(Register!$G$7:$G$26=2))=0,"",SUMPRODUCT((Register!$F$7:$F$26=3)*(Register!$G$7:$G$26=2))&amp;CHAR(10)&amp;IF(SUMPRODUCT((Register!$F$7:$F$26=3)*(Register!$G$7:$G$26=2)*(Register!$S$7:$S$26=1)*Register!$R$7:$R$26)=0,"",INDEX(Register!$B$7:$B$26,SUMPRODUCT((Register!$F$7:$F$26=3)*(Register!$G$7:$G$26=2)*(Register!$S$7:$S$26=1)*Register!$R$7:$R$26))) &amp; IF(SUMPRODUCT((Register!$F$7:$F$26=3)*(Register!$G$7:$G$26=2)*(Register!$S$7:$S$26=2)*Register!$R$7:$R$26)=0,"","  "&amp;INDEX(Register!$B$7:$B$26,SUMPRODUCT((Register!$F$7:$F$26=3)*(Register!$G$7:$G$26=2)*(Register!$S$7:$S$26=2)*Register!$R$7:$R$26))) &amp; IF(SUMPRODUCT((Register!$F$7:$F$26=3)*(Register!$G$7:$G$26=2)*(Register!$S$7:$S$26=3)*Register!$R$7:$R$26)=0,"","  "&amp;INDEX(Register!$B$7:$B$26,SUMPRODUCT((Register!$F$7:$F$26=3)*(Register!$G$7:$G$26=2)*(Register!$S$7:$S$26=3)*Register!$R$7:$R$26))) &amp; IF(SUMPRODUCT((Register!$F$7:$F$26=3)*(Register!$G$7:$G$26=2)*(Register!$S$7:$S$26=4)*Register!$R$7:$R$26)=0,"","  "&amp;INDEX(Register!$B$7:$B$26,SUMPRODUCT((Register!$F$7:$F$26=3)*(Register!$G$7:$G$26=2)*(Register!$S$7:$S$26=4)*Register!$R$7:$R$26)))&amp;IF(SUMPRODUCT((Register!$F$7:$F$26=3)*(Register!$G$7:$G$26=2))&gt;4,"  +"&amp;(SUMPRODUCT((Register!$F$7:$F$26=3)*(Register!$G$7:$G$26=2))-4),""))</f>
        <v>1
S05</v>
      </c>
      <c r="E14" s="38" t="str">
        <f aca="false">IF(SUMPRODUCT((Register!$F$7:$F$26=3)*(Register!$G$7:$G$26=3))=0,"",SUMPRODUCT((Register!$F$7:$F$26=3)*(Register!$G$7:$G$26=3))&amp;CHAR(10)&amp;IF(SUMPRODUCT((Register!$F$7:$F$26=3)*(Register!$G$7:$G$26=3)*(Register!$S$7:$S$26=1)*Register!$R$7:$R$26)=0,"",INDEX(Register!$B$7:$B$26,SUMPRODUCT((Register!$F$7:$F$26=3)*(Register!$G$7:$G$26=3)*(Register!$S$7:$S$26=1)*Register!$R$7:$R$26))) &amp; IF(SUMPRODUCT((Register!$F$7:$F$26=3)*(Register!$G$7:$G$26=3)*(Register!$S$7:$S$26=2)*Register!$R$7:$R$26)=0,"","  "&amp;INDEX(Register!$B$7:$B$26,SUMPRODUCT((Register!$F$7:$F$26=3)*(Register!$G$7:$G$26=3)*(Register!$S$7:$S$26=2)*Register!$R$7:$R$26))) &amp; IF(SUMPRODUCT((Register!$F$7:$F$26=3)*(Register!$G$7:$G$26=3)*(Register!$S$7:$S$26=3)*Register!$R$7:$R$26)=0,"","  "&amp;INDEX(Register!$B$7:$B$26,SUMPRODUCT((Register!$F$7:$F$26=3)*(Register!$G$7:$G$26=3)*(Register!$S$7:$S$26=3)*Register!$R$7:$R$26))) &amp; IF(SUMPRODUCT((Register!$F$7:$F$26=3)*(Register!$G$7:$G$26=3)*(Register!$S$7:$S$26=4)*Register!$R$7:$R$26)=0,"","  "&amp;INDEX(Register!$B$7:$B$26,SUMPRODUCT((Register!$F$7:$F$26=3)*(Register!$G$7:$G$26=3)*(Register!$S$7:$S$26=4)*Register!$R$7:$R$26)))&amp;IF(SUMPRODUCT((Register!$F$7:$F$26=3)*(Register!$G$7:$G$26=3))&gt;4,"  +"&amp;(SUMPRODUCT((Register!$F$7:$F$26=3)*(Register!$G$7:$G$26=3))-4),""))</f>
        <v>2
S13  S15</v>
      </c>
      <c r="F14" s="38" t="str">
        <f aca="false">IF(SUMPRODUCT((Register!$F$7:$F$26=3)*(Register!$G$7:$G$26=4))=0,"",SUMPRODUCT((Register!$F$7:$F$26=3)*(Register!$G$7:$G$26=4))&amp;CHAR(10)&amp;IF(SUMPRODUCT((Register!$F$7:$F$26=3)*(Register!$G$7:$G$26=4)*(Register!$S$7:$S$26=1)*Register!$R$7:$R$26)=0,"",INDEX(Register!$B$7:$B$26,SUMPRODUCT((Register!$F$7:$F$26=3)*(Register!$G$7:$G$26=4)*(Register!$S$7:$S$26=1)*Register!$R$7:$R$26))) &amp; IF(SUMPRODUCT((Register!$F$7:$F$26=3)*(Register!$G$7:$G$26=4)*(Register!$S$7:$S$26=2)*Register!$R$7:$R$26)=0,"","  "&amp;INDEX(Register!$B$7:$B$26,SUMPRODUCT((Register!$F$7:$F$26=3)*(Register!$G$7:$G$26=4)*(Register!$S$7:$S$26=2)*Register!$R$7:$R$26))) &amp; IF(SUMPRODUCT((Register!$F$7:$F$26=3)*(Register!$G$7:$G$26=4)*(Register!$S$7:$S$26=3)*Register!$R$7:$R$26)=0,"","  "&amp;INDEX(Register!$B$7:$B$26,SUMPRODUCT((Register!$F$7:$F$26=3)*(Register!$G$7:$G$26=4)*(Register!$S$7:$S$26=3)*Register!$R$7:$R$26))) &amp; IF(SUMPRODUCT((Register!$F$7:$F$26=3)*(Register!$G$7:$G$26=4)*(Register!$S$7:$S$26=4)*Register!$R$7:$R$26)=0,"","  "&amp;INDEX(Register!$B$7:$B$26,SUMPRODUCT((Register!$F$7:$F$26=3)*(Register!$G$7:$G$26=4)*(Register!$S$7:$S$26=4)*Register!$R$7:$R$26)))&amp;IF(SUMPRODUCT((Register!$F$7:$F$26=3)*(Register!$G$7:$G$26=4))&gt;4,"  +"&amp;(SUMPRODUCT((Register!$F$7:$F$26=3)*(Register!$G$7:$G$26=4))-4),""))</f>
        <v>1
S08</v>
      </c>
      <c r="G14" s="38" t="str">
        <f aca="false">IF(SUMPRODUCT((Register!$F$7:$F$26=3)*(Register!$G$7:$G$26=5))=0,"",SUMPRODUCT((Register!$F$7:$F$26=3)*(Register!$G$7:$G$26=5))&amp;CHAR(10)&amp;IF(SUMPRODUCT((Register!$F$7:$F$26=3)*(Register!$G$7:$G$26=5)*(Register!$S$7:$S$26=1)*Register!$R$7:$R$26)=0,"",INDEX(Register!$B$7:$B$26,SUMPRODUCT((Register!$F$7:$F$26=3)*(Register!$G$7:$G$26=5)*(Register!$S$7:$S$26=1)*Register!$R$7:$R$26))) &amp; IF(SUMPRODUCT((Register!$F$7:$F$26=3)*(Register!$G$7:$G$26=5)*(Register!$S$7:$S$26=2)*Register!$R$7:$R$26)=0,"","  "&amp;INDEX(Register!$B$7:$B$26,SUMPRODUCT((Register!$F$7:$F$26=3)*(Register!$G$7:$G$26=5)*(Register!$S$7:$S$26=2)*Register!$R$7:$R$26))) &amp; IF(SUMPRODUCT((Register!$F$7:$F$26=3)*(Register!$G$7:$G$26=5)*(Register!$S$7:$S$26=3)*Register!$R$7:$R$26)=0,"","  "&amp;INDEX(Register!$B$7:$B$26,SUMPRODUCT((Register!$F$7:$F$26=3)*(Register!$G$7:$G$26=5)*(Register!$S$7:$S$26=3)*Register!$R$7:$R$26))) &amp; IF(SUMPRODUCT((Register!$F$7:$F$26=3)*(Register!$G$7:$G$26=5)*(Register!$S$7:$S$26=4)*Register!$R$7:$R$26)=0,"","  "&amp;INDEX(Register!$B$7:$B$26,SUMPRODUCT((Register!$F$7:$F$26=3)*(Register!$G$7:$G$26=5)*(Register!$S$7:$S$26=4)*Register!$R$7:$R$26)))&amp;IF(SUMPRODUCT((Register!$F$7:$F$26=3)*(Register!$G$7:$G$26=5))&gt;4,"  +"&amp;(SUMPRODUCT((Register!$F$7:$F$26=3)*(Register!$G$7:$G$26=5))-4),""))</f>
        <v>1
S07</v>
      </c>
    </row>
    <row r="15" customFormat="false" ht="39.75" hidden="false" customHeight="true" outlineLevel="0" collapsed="false">
      <c r="B15" s="37" t="s">
        <v>169</v>
      </c>
      <c r="C15" s="38" t="str">
        <f aca="false">IF(SUMPRODUCT((Register!$F$7:$F$26=2)*(Register!$G$7:$G$26=1))=0,"",SUMPRODUCT((Register!$F$7:$F$26=2)*(Register!$G$7:$G$26=1))&amp;CHAR(10)&amp;IF(SUMPRODUCT((Register!$F$7:$F$26=2)*(Register!$G$7:$G$26=1)*(Register!$S$7:$S$26=1)*Register!$R$7:$R$26)=0,"",INDEX(Register!$B$7:$B$26,SUMPRODUCT((Register!$F$7:$F$26=2)*(Register!$G$7:$G$26=1)*(Register!$S$7:$S$26=1)*Register!$R$7:$R$26))) &amp; IF(SUMPRODUCT((Register!$F$7:$F$26=2)*(Register!$G$7:$G$26=1)*(Register!$S$7:$S$26=2)*Register!$R$7:$R$26)=0,"","  "&amp;INDEX(Register!$B$7:$B$26,SUMPRODUCT((Register!$F$7:$F$26=2)*(Register!$G$7:$G$26=1)*(Register!$S$7:$S$26=2)*Register!$R$7:$R$26))) &amp; IF(SUMPRODUCT((Register!$F$7:$F$26=2)*(Register!$G$7:$G$26=1)*(Register!$S$7:$S$26=3)*Register!$R$7:$R$26)=0,"","  "&amp;INDEX(Register!$B$7:$B$26,SUMPRODUCT((Register!$F$7:$F$26=2)*(Register!$G$7:$G$26=1)*(Register!$S$7:$S$26=3)*Register!$R$7:$R$26))) &amp; IF(SUMPRODUCT((Register!$F$7:$F$26=2)*(Register!$G$7:$G$26=1)*(Register!$S$7:$S$26=4)*Register!$R$7:$R$26)=0,"","  "&amp;INDEX(Register!$B$7:$B$26,SUMPRODUCT((Register!$F$7:$F$26=2)*(Register!$G$7:$G$26=1)*(Register!$S$7:$S$26=4)*Register!$R$7:$R$26)))&amp;IF(SUMPRODUCT((Register!$F$7:$F$26=2)*(Register!$G$7:$G$26=1))&gt;4,"  +"&amp;(SUMPRODUCT((Register!$F$7:$F$26=2)*(Register!$G$7:$G$26=1))-4),""))</f>
        <v/>
      </c>
      <c r="D15" s="38" t="str">
        <f aca="false">IF(SUMPRODUCT((Register!$F$7:$F$26=2)*(Register!$G$7:$G$26=2))=0,"",SUMPRODUCT((Register!$F$7:$F$26=2)*(Register!$G$7:$G$26=2))&amp;CHAR(10)&amp;IF(SUMPRODUCT((Register!$F$7:$F$26=2)*(Register!$G$7:$G$26=2)*(Register!$S$7:$S$26=1)*Register!$R$7:$R$26)=0,"",INDEX(Register!$B$7:$B$26,SUMPRODUCT((Register!$F$7:$F$26=2)*(Register!$G$7:$G$26=2)*(Register!$S$7:$S$26=1)*Register!$R$7:$R$26))) &amp; IF(SUMPRODUCT((Register!$F$7:$F$26=2)*(Register!$G$7:$G$26=2)*(Register!$S$7:$S$26=2)*Register!$R$7:$R$26)=0,"","  "&amp;INDEX(Register!$B$7:$B$26,SUMPRODUCT((Register!$F$7:$F$26=2)*(Register!$G$7:$G$26=2)*(Register!$S$7:$S$26=2)*Register!$R$7:$R$26))) &amp; IF(SUMPRODUCT((Register!$F$7:$F$26=2)*(Register!$G$7:$G$26=2)*(Register!$S$7:$S$26=3)*Register!$R$7:$R$26)=0,"","  "&amp;INDEX(Register!$B$7:$B$26,SUMPRODUCT((Register!$F$7:$F$26=2)*(Register!$G$7:$G$26=2)*(Register!$S$7:$S$26=3)*Register!$R$7:$R$26))) &amp; IF(SUMPRODUCT((Register!$F$7:$F$26=2)*(Register!$G$7:$G$26=2)*(Register!$S$7:$S$26=4)*Register!$R$7:$R$26)=0,"","  "&amp;INDEX(Register!$B$7:$B$26,SUMPRODUCT((Register!$F$7:$F$26=2)*(Register!$G$7:$G$26=2)*(Register!$S$7:$S$26=4)*Register!$R$7:$R$26)))&amp;IF(SUMPRODUCT((Register!$F$7:$F$26=2)*(Register!$G$7:$G$26=2))&gt;4,"  +"&amp;(SUMPRODUCT((Register!$F$7:$F$26=2)*(Register!$G$7:$G$26=2))-4),""))</f>
        <v>1
S17</v>
      </c>
      <c r="E15" s="38" t="str">
        <f aca="false">IF(SUMPRODUCT((Register!$F$7:$F$26=2)*(Register!$G$7:$G$26=3))=0,"",SUMPRODUCT((Register!$F$7:$F$26=2)*(Register!$G$7:$G$26=3))&amp;CHAR(10)&amp;IF(SUMPRODUCT((Register!$F$7:$F$26=2)*(Register!$G$7:$G$26=3)*(Register!$S$7:$S$26=1)*Register!$R$7:$R$26)=0,"",INDEX(Register!$B$7:$B$26,SUMPRODUCT((Register!$F$7:$F$26=2)*(Register!$G$7:$G$26=3)*(Register!$S$7:$S$26=1)*Register!$R$7:$R$26))) &amp; IF(SUMPRODUCT((Register!$F$7:$F$26=2)*(Register!$G$7:$G$26=3)*(Register!$S$7:$S$26=2)*Register!$R$7:$R$26)=0,"","  "&amp;INDEX(Register!$B$7:$B$26,SUMPRODUCT((Register!$F$7:$F$26=2)*(Register!$G$7:$G$26=3)*(Register!$S$7:$S$26=2)*Register!$R$7:$R$26))) &amp; IF(SUMPRODUCT((Register!$F$7:$F$26=2)*(Register!$G$7:$G$26=3)*(Register!$S$7:$S$26=3)*Register!$R$7:$R$26)=0,"","  "&amp;INDEX(Register!$B$7:$B$26,SUMPRODUCT((Register!$F$7:$F$26=2)*(Register!$G$7:$G$26=3)*(Register!$S$7:$S$26=3)*Register!$R$7:$R$26))) &amp; IF(SUMPRODUCT((Register!$F$7:$F$26=2)*(Register!$G$7:$G$26=3)*(Register!$S$7:$S$26=4)*Register!$R$7:$R$26)=0,"","  "&amp;INDEX(Register!$B$7:$B$26,SUMPRODUCT((Register!$F$7:$F$26=2)*(Register!$G$7:$G$26=3)*(Register!$S$7:$S$26=4)*Register!$R$7:$R$26)))&amp;IF(SUMPRODUCT((Register!$F$7:$F$26=2)*(Register!$G$7:$G$26=3))&gt;4,"  +"&amp;(SUMPRODUCT((Register!$F$7:$F$26=2)*(Register!$G$7:$G$26=3))-4),""))</f>
        <v/>
      </c>
      <c r="F15" s="38" t="str">
        <f aca="false">IF(SUMPRODUCT((Register!$F$7:$F$26=2)*(Register!$G$7:$G$26=4))=0,"",SUMPRODUCT((Register!$F$7:$F$26=2)*(Register!$G$7:$G$26=4))&amp;CHAR(10)&amp;IF(SUMPRODUCT((Register!$F$7:$F$26=2)*(Register!$G$7:$G$26=4)*(Register!$S$7:$S$26=1)*Register!$R$7:$R$26)=0,"",INDEX(Register!$B$7:$B$26,SUMPRODUCT((Register!$F$7:$F$26=2)*(Register!$G$7:$G$26=4)*(Register!$S$7:$S$26=1)*Register!$R$7:$R$26))) &amp; IF(SUMPRODUCT((Register!$F$7:$F$26=2)*(Register!$G$7:$G$26=4)*(Register!$S$7:$S$26=2)*Register!$R$7:$R$26)=0,"","  "&amp;INDEX(Register!$B$7:$B$26,SUMPRODUCT((Register!$F$7:$F$26=2)*(Register!$G$7:$G$26=4)*(Register!$S$7:$S$26=2)*Register!$R$7:$R$26))) &amp; IF(SUMPRODUCT((Register!$F$7:$F$26=2)*(Register!$G$7:$G$26=4)*(Register!$S$7:$S$26=3)*Register!$R$7:$R$26)=0,"","  "&amp;INDEX(Register!$B$7:$B$26,SUMPRODUCT((Register!$F$7:$F$26=2)*(Register!$G$7:$G$26=4)*(Register!$S$7:$S$26=3)*Register!$R$7:$R$26))) &amp; IF(SUMPRODUCT((Register!$F$7:$F$26=2)*(Register!$G$7:$G$26=4)*(Register!$S$7:$S$26=4)*Register!$R$7:$R$26)=0,"","  "&amp;INDEX(Register!$B$7:$B$26,SUMPRODUCT((Register!$F$7:$F$26=2)*(Register!$G$7:$G$26=4)*(Register!$S$7:$S$26=4)*Register!$R$7:$R$26)))&amp;IF(SUMPRODUCT((Register!$F$7:$F$26=2)*(Register!$G$7:$G$26=4))&gt;4,"  +"&amp;(SUMPRODUCT((Register!$F$7:$F$26=2)*(Register!$G$7:$G$26=4))-4),""))</f>
        <v>2
S11  S12</v>
      </c>
      <c r="G15" s="38" t="str">
        <f aca="false">IF(SUMPRODUCT((Register!$F$7:$F$26=2)*(Register!$G$7:$G$26=5))=0,"",SUMPRODUCT((Register!$F$7:$F$26=2)*(Register!$G$7:$G$26=5))&amp;CHAR(10)&amp;IF(SUMPRODUCT((Register!$F$7:$F$26=2)*(Register!$G$7:$G$26=5)*(Register!$S$7:$S$26=1)*Register!$R$7:$R$26)=0,"",INDEX(Register!$B$7:$B$26,SUMPRODUCT((Register!$F$7:$F$26=2)*(Register!$G$7:$G$26=5)*(Register!$S$7:$S$26=1)*Register!$R$7:$R$26))) &amp; IF(SUMPRODUCT((Register!$F$7:$F$26=2)*(Register!$G$7:$G$26=5)*(Register!$S$7:$S$26=2)*Register!$R$7:$R$26)=0,"","  "&amp;INDEX(Register!$B$7:$B$26,SUMPRODUCT((Register!$F$7:$F$26=2)*(Register!$G$7:$G$26=5)*(Register!$S$7:$S$26=2)*Register!$R$7:$R$26))) &amp; IF(SUMPRODUCT((Register!$F$7:$F$26=2)*(Register!$G$7:$G$26=5)*(Register!$S$7:$S$26=3)*Register!$R$7:$R$26)=0,"","  "&amp;INDEX(Register!$B$7:$B$26,SUMPRODUCT((Register!$F$7:$F$26=2)*(Register!$G$7:$G$26=5)*(Register!$S$7:$S$26=3)*Register!$R$7:$R$26))) &amp; IF(SUMPRODUCT((Register!$F$7:$F$26=2)*(Register!$G$7:$G$26=5)*(Register!$S$7:$S$26=4)*Register!$R$7:$R$26)=0,"","  "&amp;INDEX(Register!$B$7:$B$26,SUMPRODUCT((Register!$F$7:$F$26=2)*(Register!$G$7:$G$26=5)*(Register!$S$7:$S$26=4)*Register!$R$7:$R$26)))&amp;IF(SUMPRODUCT((Register!$F$7:$F$26=2)*(Register!$G$7:$G$26=5))&gt;4,"  +"&amp;(SUMPRODUCT((Register!$F$7:$F$26=2)*(Register!$G$7:$G$26=5))-4),""))</f>
        <v>2
S09  S10</v>
      </c>
    </row>
    <row r="16" customFormat="false" ht="39.75" hidden="false" customHeight="true" outlineLevel="0" collapsed="false">
      <c r="B16" s="37" t="s">
        <v>170</v>
      </c>
      <c r="C16" s="38" t="str">
        <f aca="false">IF(SUMPRODUCT((Register!$F$7:$F$26=1)*(Register!$G$7:$G$26=1))=0,"",SUMPRODUCT((Register!$F$7:$F$26=1)*(Register!$G$7:$G$26=1))&amp;CHAR(10)&amp;IF(SUMPRODUCT((Register!$F$7:$F$26=1)*(Register!$G$7:$G$26=1)*(Register!$S$7:$S$26=1)*Register!$R$7:$R$26)=0,"",INDEX(Register!$B$7:$B$26,SUMPRODUCT((Register!$F$7:$F$26=1)*(Register!$G$7:$G$26=1)*(Register!$S$7:$S$26=1)*Register!$R$7:$R$26))) &amp; IF(SUMPRODUCT((Register!$F$7:$F$26=1)*(Register!$G$7:$G$26=1)*(Register!$S$7:$S$26=2)*Register!$R$7:$R$26)=0,"","  "&amp;INDEX(Register!$B$7:$B$26,SUMPRODUCT((Register!$F$7:$F$26=1)*(Register!$G$7:$G$26=1)*(Register!$S$7:$S$26=2)*Register!$R$7:$R$26))) &amp; IF(SUMPRODUCT((Register!$F$7:$F$26=1)*(Register!$G$7:$G$26=1)*(Register!$S$7:$S$26=3)*Register!$R$7:$R$26)=0,"","  "&amp;INDEX(Register!$B$7:$B$26,SUMPRODUCT((Register!$F$7:$F$26=1)*(Register!$G$7:$G$26=1)*(Register!$S$7:$S$26=3)*Register!$R$7:$R$26))) &amp; IF(SUMPRODUCT((Register!$F$7:$F$26=1)*(Register!$G$7:$G$26=1)*(Register!$S$7:$S$26=4)*Register!$R$7:$R$26)=0,"","  "&amp;INDEX(Register!$B$7:$B$26,SUMPRODUCT((Register!$F$7:$F$26=1)*(Register!$G$7:$G$26=1)*(Register!$S$7:$S$26=4)*Register!$R$7:$R$26)))&amp;IF(SUMPRODUCT((Register!$F$7:$F$26=1)*(Register!$G$7:$G$26=1))&gt;4,"  +"&amp;(SUMPRODUCT((Register!$F$7:$F$26=1)*(Register!$G$7:$G$26=1))-4),""))</f>
        <v/>
      </c>
      <c r="D16" s="38" t="str">
        <f aca="false">IF(SUMPRODUCT((Register!$F$7:$F$26=1)*(Register!$G$7:$G$26=2))=0,"",SUMPRODUCT((Register!$F$7:$F$26=1)*(Register!$G$7:$G$26=2))&amp;CHAR(10)&amp;IF(SUMPRODUCT((Register!$F$7:$F$26=1)*(Register!$G$7:$G$26=2)*(Register!$S$7:$S$26=1)*Register!$R$7:$R$26)=0,"",INDEX(Register!$B$7:$B$26,SUMPRODUCT((Register!$F$7:$F$26=1)*(Register!$G$7:$G$26=2)*(Register!$S$7:$S$26=1)*Register!$R$7:$R$26))) &amp; IF(SUMPRODUCT((Register!$F$7:$F$26=1)*(Register!$G$7:$G$26=2)*(Register!$S$7:$S$26=2)*Register!$R$7:$R$26)=0,"","  "&amp;INDEX(Register!$B$7:$B$26,SUMPRODUCT((Register!$F$7:$F$26=1)*(Register!$G$7:$G$26=2)*(Register!$S$7:$S$26=2)*Register!$R$7:$R$26))) &amp; IF(SUMPRODUCT((Register!$F$7:$F$26=1)*(Register!$G$7:$G$26=2)*(Register!$S$7:$S$26=3)*Register!$R$7:$R$26)=0,"","  "&amp;INDEX(Register!$B$7:$B$26,SUMPRODUCT((Register!$F$7:$F$26=1)*(Register!$G$7:$G$26=2)*(Register!$S$7:$S$26=3)*Register!$R$7:$R$26))) &amp; IF(SUMPRODUCT((Register!$F$7:$F$26=1)*(Register!$G$7:$G$26=2)*(Register!$S$7:$S$26=4)*Register!$R$7:$R$26)=0,"","  "&amp;INDEX(Register!$B$7:$B$26,SUMPRODUCT((Register!$F$7:$F$26=1)*(Register!$G$7:$G$26=2)*(Register!$S$7:$S$26=4)*Register!$R$7:$R$26)))&amp;IF(SUMPRODUCT((Register!$F$7:$F$26=1)*(Register!$G$7:$G$26=2))&gt;4,"  +"&amp;(SUMPRODUCT((Register!$F$7:$F$26=1)*(Register!$G$7:$G$26=2))-4),""))</f>
        <v/>
      </c>
      <c r="E16" s="38" t="str">
        <f aca="false">IF(SUMPRODUCT((Register!$F$7:$F$26=1)*(Register!$G$7:$G$26=3))=0,"",SUMPRODUCT((Register!$F$7:$F$26=1)*(Register!$G$7:$G$26=3))&amp;CHAR(10)&amp;IF(SUMPRODUCT((Register!$F$7:$F$26=1)*(Register!$G$7:$G$26=3)*(Register!$S$7:$S$26=1)*Register!$R$7:$R$26)=0,"",INDEX(Register!$B$7:$B$26,SUMPRODUCT((Register!$F$7:$F$26=1)*(Register!$G$7:$G$26=3)*(Register!$S$7:$S$26=1)*Register!$R$7:$R$26))) &amp; IF(SUMPRODUCT((Register!$F$7:$F$26=1)*(Register!$G$7:$G$26=3)*(Register!$S$7:$S$26=2)*Register!$R$7:$R$26)=0,"","  "&amp;INDEX(Register!$B$7:$B$26,SUMPRODUCT((Register!$F$7:$F$26=1)*(Register!$G$7:$G$26=3)*(Register!$S$7:$S$26=2)*Register!$R$7:$R$26))) &amp; IF(SUMPRODUCT((Register!$F$7:$F$26=1)*(Register!$G$7:$G$26=3)*(Register!$S$7:$S$26=3)*Register!$R$7:$R$26)=0,"","  "&amp;INDEX(Register!$B$7:$B$26,SUMPRODUCT((Register!$F$7:$F$26=1)*(Register!$G$7:$G$26=3)*(Register!$S$7:$S$26=3)*Register!$R$7:$R$26))) &amp; IF(SUMPRODUCT((Register!$F$7:$F$26=1)*(Register!$G$7:$G$26=3)*(Register!$S$7:$S$26=4)*Register!$R$7:$R$26)=0,"","  "&amp;INDEX(Register!$B$7:$B$26,SUMPRODUCT((Register!$F$7:$F$26=1)*(Register!$G$7:$G$26=3)*(Register!$S$7:$S$26=4)*Register!$R$7:$R$26)))&amp;IF(SUMPRODUCT((Register!$F$7:$F$26=1)*(Register!$G$7:$G$26=3))&gt;4,"  +"&amp;(SUMPRODUCT((Register!$F$7:$F$26=1)*(Register!$G$7:$G$26=3))-4),""))</f>
        <v/>
      </c>
      <c r="F16" s="38" t="str">
        <f aca="false">IF(SUMPRODUCT((Register!$F$7:$F$26=1)*(Register!$G$7:$G$26=4))=0,"",SUMPRODUCT((Register!$F$7:$F$26=1)*(Register!$G$7:$G$26=4))&amp;CHAR(10)&amp;IF(SUMPRODUCT((Register!$F$7:$F$26=1)*(Register!$G$7:$G$26=4)*(Register!$S$7:$S$26=1)*Register!$R$7:$R$26)=0,"",INDEX(Register!$B$7:$B$26,SUMPRODUCT((Register!$F$7:$F$26=1)*(Register!$G$7:$G$26=4)*(Register!$S$7:$S$26=1)*Register!$R$7:$R$26))) &amp; IF(SUMPRODUCT((Register!$F$7:$F$26=1)*(Register!$G$7:$G$26=4)*(Register!$S$7:$S$26=2)*Register!$R$7:$R$26)=0,"","  "&amp;INDEX(Register!$B$7:$B$26,SUMPRODUCT((Register!$F$7:$F$26=1)*(Register!$G$7:$G$26=4)*(Register!$S$7:$S$26=2)*Register!$R$7:$R$26))) &amp; IF(SUMPRODUCT((Register!$F$7:$F$26=1)*(Register!$G$7:$G$26=4)*(Register!$S$7:$S$26=3)*Register!$R$7:$R$26)=0,"","  "&amp;INDEX(Register!$B$7:$B$26,SUMPRODUCT((Register!$F$7:$F$26=1)*(Register!$G$7:$G$26=4)*(Register!$S$7:$S$26=3)*Register!$R$7:$R$26))) &amp; IF(SUMPRODUCT((Register!$F$7:$F$26=1)*(Register!$G$7:$G$26=4)*(Register!$S$7:$S$26=4)*Register!$R$7:$R$26)=0,"","  "&amp;INDEX(Register!$B$7:$B$26,SUMPRODUCT((Register!$F$7:$F$26=1)*(Register!$G$7:$G$26=4)*(Register!$S$7:$S$26=4)*Register!$R$7:$R$26)))&amp;IF(SUMPRODUCT((Register!$F$7:$F$26=1)*(Register!$G$7:$G$26=4))&gt;4,"  +"&amp;(SUMPRODUCT((Register!$F$7:$F$26=1)*(Register!$G$7:$G$26=4))-4),""))</f>
        <v/>
      </c>
      <c r="G16" s="38" t="str">
        <f aca="false">IF(SUMPRODUCT((Register!$F$7:$F$26=1)*(Register!$G$7:$G$26=5))=0,"",SUMPRODUCT((Register!$F$7:$F$26=1)*(Register!$G$7:$G$26=5))&amp;CHAR(10)&amp;IF(SUMPRODUCT((Register!$F$7:$F$26=1)*(Register!$G$7:$G$26=5)*(Register!$S$7:$S$26=1)*Register!$R$7:$R$26)=0,"",INDEX(Register!$B$7:$B$26,SUMPRODUCT((Register!$F$7:$F$26=1)*(Register!$G$7:$G$26=5)*(Register!$S$7:$S$26=1)*Register!$R$7:$R$26))) &amp; IF(SUMPRODUCT((Register!$F$7:$F$26=1)*(Register!$G$7:$G$26=5)*(Register!$S$7:$S$26=2)*Register!$R$7:$R$26)=0,"","  "&amp;INDEX(Register!$B$7:$B$26,SUMPRODUCT((Register!$F$7:$F$26=1)*(Register!$G$7:$G$26=5)*(Register!$S$7:$S$26=2)*Register!$R$7:$R$26))) &amp; IF(SUMPRODUCT((Register!$F$7:$F$26=1)*(Register!$G$7:$G$26=5)*(Register!$S$7:$S$26=3)*Register!$R$7:$R$26)=0,"","  "&amp;INDEX(Register!$B$7:$B$26,SUMPRODUCT((Register!$F$7:$F$26=1)*(Register!$G$7:$G$26=5)*(Register!$S$7:$S$26=3)*Register!$R$7:$R$26))) &amp; IF(SUMPRODUCT((Register!$F$7:$F$26=1)*(Register!$G$7:$G$26=5)*(Register!$S$7:$S$26=4)*Register!$R$7:$R$26)=0,"","  "&amp;INDEX(Register!$B$7:$B$26,SUMPRODUCT((Register!$F$7:$F$26=1)*(Register!$G$7:$G$26=5)*(Register!$S$7:$S$26=4)*Register!$R$7:$R$26)))&amp;IF(SUMPRODUCT((Register!$F$7:$F$26=1)*(Register!$G$7:$G$26=5))&gt;4,"  +"&amp;(SUMPRODUCT((Register!$F$7:$F$26=1)*(Register!$G$7:$G$26=5))-4),""))</f>
        <v/>
      </c>
    </row>
    <row r="17" customFormat="false" ht="12.75" hidden="false" customHeight="true" outlineLevel="0" collapsed="false">
      <c r="B17" s="15" t="s">
        <v>171</v>
      </c>
      <c r="C17" s="15"/>
      <c r="D17" s="15"/>
      <c r="E17" s="15"/>
      <c r="F17" s="15"/>
      <c r="G17" s="15"/>
    </row>
    <row r="18" customFormat="false" ht="12.75" hidden="false" customHeight="true" outlineLevel="0" collapsed="false">
      <c r="B18" s="15"/>
      <c r="C18" s="15"/>
      <c r="D18" s="15"/>
      <c r="E18" s="15"/>
      <c r="F18" s="15"/>
      <c r="G18" s="15"/>
    </row>
    <row r="20" customFormat="false" ht="21.75" hidden="false" customHeight="true" outlineLevel="0" collapsed="false">
      <c r="B20" s="6" t="str">
        <f aca="false">"WORK WITH THEM          high influence, high interest          "&amp;COUNTIF(Register!$H$7:$H$26,"Work with them")&amp;" of them"&amp;IF(COUNTIF(Register!$H$7:$H$26,"Work with them")&gt;6," - "&amp;(COUNTIF(Register!$H$7:$H$26,"Work with them")-6)&amp;" more than fit below, insert rows","")</f>
        <v>WORK WITH THEM          high influence, high interest          3 of them</v>
      </c>
      <c r="C20" s="6"/>
      <c r="D20" s="6"/>
      <c r="E20" s="6"/>
      <c r="F20" s="6"/>
      <c r="G20" s="6"/>
    </row>
    <row r="21" customFormat="false" ht="15.75" hidden="false" customHeight="true" outlineLevel="0" collapsed="false">
      <c r="B21" s="39" t="str">
        <f aca="false">IF(SUMPRODUCT((Register!$H$7:$H$26="Work with them")*(Register!$T$7:$T$26=1)*Register!$R$7:$R$26)=0,"",INDEX(Register!$B$7:$B$26,SUMPRODUCT((Register!$H$7:$H$26="Work with them")*(Register!$T$7:$T$26=1)*Register!$R$7:$R$26)))</f>
        <v>S01</v>
      </c>
      <c r="C21" s="40" t="str">
        <f aca="false">IF($B21="","",VLOOKUP($B21,Register!$B$7:$C$26,2,FALSE()))</f>
        <v>Brayford City Council - development assessment</v>
      </c>
      <c r="D21" s="40"/>
      <c r="E21" s="40"/>
      <c r="F21" s="40" t="str">
        <f aca="false">IF($B21="","",VLOOKUP($B21,Register!$B$7:$I$26,8,FALSE())&amp;IF(VLOOKUP($B21,Register!$B$7:$K$26,10,FALSE())&gt;0," - needs to be "&amp;VLOOKUP($B21,Register!$B$7:$J$26,9,FALSE()),""))</f>
        <v>Neutral - needs to be Supportive</v>
      </c>
      <c r="G21" s="40"/>
    </row>
    <row r="22" customFormat="false" ht="15.75" hidden="false" customHeight="true" outlineLevel="0" collapsed="false">
      <c r="B22" s="39" t="str">
        <f aca="false">IF(SUMPRODUCT((Register!$H$7:$H$26="Work with them")*(Register!$T$7:$T$26=2)*Register!$R$7:$R$26)=0,"",INDEX(Register!$B$7:$B$26,SUMPRODUCT((Register!$H$7:$H$26="Work with them")*(Register!$T$7:$T$26=2)*Register!$R$7:$R$26)))</f>
        <v>S02</v>
      </c>
      <c r="C22" s="40" t="str">
        <f aca="false">IF($B22="","",VLOOKUP($B22,Register!$B$7:$C$26,2,FALSE()))</f>
        <v>State roads authority</v>
      </c>
      <c r="D22" s="40"/>
      <c r="E22" s="40"/>
      <c r="F22" s="40" t="str">
        <f aca="false">IF($B22="","",VLOOKUP($B22,Register!$B$7:$I$26,8,FALSE())&amp;IF(VLOOKUP($B22,Register!$B$7:$K$26,10,FALSE())&gt;0," - needs to be "&amp;VLOOKUP($B22,Register!$B$7:$J$26,9,FALSE()),""))</f>
        <v>Supportive</v>
      </c>
      <c r="G22" s="40"/>
    </row>
    <row r="23" customFormat="false" ht="15.75" hidden="false" customHeight="true" outlineLevel="0" collapsed="false">
      <c r="B23" s="39" t="str">
        <f aca="false">IF(SUMPRODUCT((Register!$H$7:$H$26="Work with them")*(Register!$T$7:$T$26=3)*Register!$R$7:$R$26)=0,"",INDEX(Register!$B$7:$B$26,SUMPRODUCT((Register!$H$7:$H$26="Work with them")*(Register!$T$7:$T$26=3)*Register!$R$7:$R$26)))</f>
        <v>S16</v>
      </c>
      <c r="C23" s="40" t="str">
        <f aca="false">IF($B23="","",VLOOKUP($B23,Register!$B$7:$C$26,2,FALSE()))</f>
        <v>Principal contractor</v>
      </c>
      <c r="D23" s="40"/>
      <c r="E23" s="40"/>
      <c r="F23" s="40" t="str">
        <f aca="false">IF($B23="","",VLOOKUP($B23,Register!$B$7:$I$26,8,FALSE())&amp;IF(VLOOKUP($B23,Register!$B$7:$K$26,10,FALSE())&gt;0," - needs to be "&amp;VLOOKUP($B23,Register!$B$7:$J$26,9,FALSE()),""))</f>
        <v>Supportive - needs to be Leading</v>
      </c>
      <c r="G23" s="40"/>
    </row>
    <row r="24" customFormat="false" ht="15.75" hidden="false" customHeight="true" outlineLevel="0" collapsed="false">
      <c r="B24" s="39" t="str">
        <f aca="false">IF(SUMPRODUCT((Register!$H$7:$H$26="Work with them")*(Register!$T$7:$T$26=4)*Register!$R$7:$R$26)=0,"",INDEX(Register!$B$7:$B$26,SUMPRODUCT((Register!$H$7:$H$26="Work with them")*(Register!$T$7:$T$26=4)*Register!$R$7:$R$26)))</f>
        <v/>
      </c>
      <c r="C24" s="40" t="str">
        <f aca="false">IF($B24="","",VLOOKUP($B24,Register!$B$7:$C$26,2,FALSE()))</f>
        <v/>
      </c>
      <c r="D24" s="40"/>
      <c r="E24" s="40"/>
      <c r="F24" s="40" t="str">
        <f aca="false">IF($B24="","",VLOOKUP($B24,Register!$B$7:$I$26,8,FALSE())&amp;IF(VLOOKUP($B24,Register!$B$7:$K$26,10,FALSE())&gt;0," - needs to be "&amp;VLOOKUP($B24,Register!$B$7:$J$26,9,FALSE()),""))</f>
        <v/>
      </c>
      <c r="G24" s="40"/>
    </row>
    <row r="25" customFormat="false" ht="15.75" hidden="false" customHeight="true" outlineLevel="0" collapsed="false">
      <c r="B25" s="39" t="str">
        <f aca="false">IF(SUMPRODUCT((Register!$H$7:$H$26="Work with them")*(Register!$T$7:$T$26=5)*Register!$R$7:$R$26)=0,"",INDEX(Register!$B$7:$B$26,SUMPRODUCT((Register!$H$7:$H$26="Work with them")*(Register!$T$7:$T$26=5)*Register!$R$7:$R$26)))</f>
        <v/>
      </c>
      <c r="C25" s="40" t="str">
        <f aca="false">IF($B25="","",VLOOKUP($B25,Register!$B$7:$C$26,2,FALSE()))</f>
        <v/>
      </c>
      <c r="D25" s="40"/>
      <c r="E25" s="40"/>
      <c r="F25" s="40" t="str">
        <f aca="false">IF($B25="","",VLOOKUP($B25,Register!$B$7:$I$26,8,FALSE())&amp;IF(VLOOKUP($B25,Register!$B$7:$K$26,10,FALSE())&gt;0," - needs to be "&amp;VLOOKUP($B25,Register!$B$7:$J$26,9,FALSE()),""))</f>
        <v/>
      </c>
      <c r="G25" s="40"/>
    </row>
    <row r="26" customFormat="false" ht="15.75" hidden="false" customHeight="true" outlineLevel="0" collapsed="false">
      <c r="B26" s="39" t="str">
        <f aca="false">IF(SUMPRODUCT((Register!$H$7:$H$26="Work with them")*(Register!$T$7:$T$26=6)*Register!$R$7:$R$26)=0,"",INDEX(Register!$B$7:$B$26,SUMPRODUCT((Register!$H$7:$H$26="Work with them")*(Register!$T$7:$T$26=6)*Register!$R$7:$R$26)))</f>
        <v/>
      </c>
      <c r="C26" s="40" t="str">
        <f aca="false">IF($B26="","",VLOOKUP($B26,Register!$B$7:$C$26,2,FALSE()))</f>
        <v/>
      </c>
      <c r="D26" s="40"/>
      <c r="E26" s="40"/>
      <c r="F26" s="40" t="str">
        <f aca="false">IF($B26="","",VLOOKUP($B26,Register!$B$7:$I$26,8,FALSE())&amp;IF(VLOOKUP($B26,Register!$B$7:$K$26,10,FALSE())&gt;0," - needs to be "&amp;VLOOKUP($B26,Register!$B$7:$J$26,9,FALSE()),""))</f>
        <v/>
      </c>
      <c r="G26" s="40"/>
    </row>
    <row r="27" customFormat="false" ht="7.5" hidden="false" customHeight="true" outlineLevel="0" collapsed="false"/>
    <row r="28" customFormat="false" ht="21.75" hidden="false" customHeight="true" outlineLevel="0" collapsed="false">
      <c r="B28" s="6" t="str">
        <f aca="false">"KEEP ON SIDE          high influence, lower interest          "&amp;COUNTIF(Register!$H$7:$H$26,"Keep on side")&amp;" of them"&amp;IF(COUNTIF(Register!$H$7:$H$26,"Keep on side")&gt;6," - "&amp;(COUNTIF(Register!$H$7:$H$26,"Keep on side")-6)&amp;" more than fit below, insert rows","")</f>
        <v>KEEP ON SIDE          high influence, lower interest          4 of them</v>
      </c>
      <c r="C28" s="6"/>
      <c r="D28" s="6"/>
      <c r="E28" s="6"/>
      <c r="F28" s="6"/>
      <c r="G28" s="6"/>
    </row>
    <row r="29" customFormat="false" ht="15.75" hidden="false" customHeight="true" outlineLevel="0" collapsed="false">
      <c r="B29" s="39" t="str">
        <f aca="false">IF(SUMPRODUCT((Register!$H$7:$H$26="Keep on side")*(Register!$T$7:$T$26=1)*Register!$R$7:$R$26)=0,"",INDEX(Register!$B$7:$B$26,SUMPRODUCT((Register!$H$7:$H$26="Keep on side")*(Register!$T$7:$T$26=1)*Register!$R$7:$R$26)))</f>
        <v>S03</v>
      </c>
      <c r="C29" s="40" t="str">
        <f aca="false">IF($B29="","",VLOOKUP($B29,Register!$B$7:$C$26,2,FALSE()))</f>
        <v>Rail operator - Brayford line</v>
      </c>
      <c r="D29" s="40"/>
      <c r="E29" s="40"/>
      <c r="F29" s="40" t="str">
        <f aca="false">IF($B29="","",VLOOKUP($B29,Register!$B$7:$I$26,8,FALSE())&amp;IF(VLOOKUP($B29,Register!$B$7:$K$26,10,FALSE())&gt;0," - needs to be "&amp;VLOOKUP($B29,Register!$B$7:$J$26,9,FALSE()),""))</f>
        <v>Neutral - needs to be Supportive</v>
      </c>
      <c r="G29" s="40"/>
    </row>
    <row r="30" customFormat="false" ht="15.75" hidden="false" customHeight="true" outlineLevel="0" collapsed="false">
      <c r="B30" s="39" t="str">
        <f aca="false">IF(SUMPRODUCT((Register!$H$7:$H$26="Keep on side")*(Register!$T$7:$T$26=2)*Register!$R$7:$R$26)=0,"",INDEX(Register!$B$7:$B$26,SUMPRODUCT((Register!$H$7:$H$26="Keep on side")*(Register!$T$7:$T$26=2)*Register!$R$7:$R$26)))</f>
        <v>S04</v>
      </c>
      <c r="C30" s="40" t="str">
        <f aca="false">IF($B30="","",VLOOKUP($B30,Register!$B$7:$C$26,2,FALSE()))</f>
        <v>Electricity network operator</v>
      </c>
      <c r="D30" s="40"/>
      <c r="E30" s="40"/>
      <c r="F30" s="40" t="str">
        <f aca="false">IF($B30="","",VLOOKUP($B30,Register!$B$7:$I$26,8,FALSE())&amp;IF(VLOOKUP($B30,Register!$B$7:$K$26,10,FALSE())&gt;0," - needs to be "&amp;VLOOKUP($B30,Register!$B$7:$J$26,9,FALSE()),""))</f>
        <v>Neutral - needs to be Supportive</v>
      </c>
      <c r="G30" s="40"/>
    </row>
    <row r="31" customFormat="false" ht="15.75" hidden="false" customHeight="true" outlineLevel="0" collapsed="false">
      <c r="B31" s="39" t="str">
        <f aca="false">IF(SUMPRODUCT((Register!$H$7:$H$26="Keep on side")*(Register!$T$7:$T$26=3)*Register!$R$7:$R$26)=0,"",INDEX(Register!$B$7:$B$26,SUMPRODUCT((Register!$H$7:$H$26="Keep on side")*(Register!$T$7:$T$26=3)*Register!$R$7:$R$26)))</f>
        <v>S06</v>
      </c>
      <c r="C31" s="40" t="str">
        <f aca="false">IF($B31="","",VLOOKUP($B31,Register!$B$7:$C$26,2,FALSE()))</f>
        <v>Environment regulator</v>
      </c>
      <c r="D31" s="40"/>
      <c r="E31" s="40"/>
      <c r="F31" s="40" t="str">
        <f aca="false">IF($B31="","",VLOOKUP($B31,Register!$B$7:$I$26,8,FALSE())&amp;IF(VLOOKUP($B31,Register!$B$7:$K$26,10,FALSE())&gt;0," - needs to be "&amp;VLOOKUP($B31,Register!$B$7:$J$26,9,FALSE()),""))</f>
        <v>Neutral - needs to be Supportive</v>
      </c>
      <c r="G31" s="40"/>
    </row>
    <row r="32" customFormat="false" ht="15.75" hidden="false" customHeight="true" outlineLevel="0" collapsed="false">
      <c r="B32" s="39" t="str">
        <f aca="false">IF(SUMPRODUCT((Register!$H$7:$H$26="Keep on side")*(Register!$T$7:$T$26=4)*Register!$R$7:$R$26)=0,"",INDEX(Register!$B$7:$B$26,SUMPRODUCT((Register!$H$7:$H$26="Keep on side")*(Register!$T$7:$T$26=4)*Register!$R$7:$R$26)))</f>
        <v>S14</v>
      </c>
      <c r="C32" s="40" t="str">
        <f aca="false">IF($B32="","",VLOOKUP($B32,Register!$B$7:$C$26,2,FALSE()))</f>
        <v>Member for Brayford</v>
      </c>
      <c r="D32" s="40"/>
      <c r="E32" s="40"/>
      <c r="F32" s="40" t="str">
        <f aca="false">IF($B32="","",VLOOKUP($B32,Register!$B$7:$I$26,8,FALSE())&amp;IF(VLOOKUP($B32,Register!$B$7:$K$26,10,FALSE())&gt;0," - needs to be "&amp;VLOOKUP($B32,Register!$B$7:$J$26,9,FALSE()),""))</f>
        <v>Neutral - needs to be Supportive</v>
      </c>
      <c r="G32" s="40"/>
    </row>
    <row r="33" customFormat="false" ht="15.75" hidden="false" customHeight="true" outlineLevel="0" collapsed="false">
      <c r="B33" s="39" t="str">
        <f aca="false">IF(SUMPRODUCT((Register!$H$7:$H$26="Keep on side")*(Register!$T$7:$T$26=5)*Register!$R$7:$R$26)=0,"",INDEX(Register!$B$7:$B$26,SUMPRODUCT((Register!$H$7:$H$26="Keep on side")*(Register!$T$7:$T$26=5)*Register!$R$7:$R$26)))</f>
        <v/>
      </c>
      <c r="C33" s="40" t="str">
        <f aca="false">IF($B33="","",VLOOKUP($B33,Register!$B$7:$C$26,2,FALSE()))</f>
        <v/>
      </c>
      <c r="D33" s="40"/>
      <c r="E33" s="40"/>
      <c r="F33" s="40" t="str">
        <f aca="false">IF($B33="","",VLOOKUP($B33,Register!$B$7:$I$26,8,FALSE())&amp;IF(VLOOKUP($B33,Register!$B$7:$K$26,10,FALSE())&gt;0," - needs to be "&amp;VLOOKUP($B33,Register!$B$7:$J$26,9,FALSE()),""))</f>
        <v/>
      </c>
      <c r="G33" s="40"/>
    </row>
    <row r="34" customFormat="false" ht="15.75" hidden="false" customHeight="true" outlineLevel="0" collapsed="false">
      <c r="B34" s="39" t="str">
        <f aca="false">IF(SUMPRODUCT((Register!$H$7:$H$26="Keep on side")*(Register!$T$7:$T$26=6)*Register!$R$7:$R$26)=0,"",INDEX(Register!$B$7:$B$26,SUMPRODUCT((Register!$H$7:$H$26="Keep on side")*(Register!$T$7:$T$26=6)*Register!$R$7:$R$26)))</f>
        <v/>
      </c>
      <c r="C34" s="40" t="str">
        <f aca="false">IF($B34="","",VLOOKUP($B34,Register!$B$7:$C$26,2,FALSE()))</f>
        <v/>
      </c>
      <c r="D34" s="40"/>
      <c r="E34" s="40"/>
      <c r="F34" s="40" t="str">
        <f aca="false">IF($B34="","",VLOOKUP($B34,Register!$B$7:$I$26,8,FALSE())&amp;IF(VLOOKUP($B34,Register!$B$7:$K$26,10,FALSE())&gt;0," - needs to be "&amp;VLOOKUP($B34,Register!$B$7:$J$26,9,FALSE()),""))</f>
        <v/>
      </c>
      <c r="G34" s="40"/>
    </row>
    <row r="35" customFormat="false" ht="7.5" hidden="false" customHeight="true" outlineLevel="0" collapsed="false"/>
    <row r="36" customFormat="false" ht="21.75" hidden="false" customHeight="true" outlineLevel="0" collapsed="false">
      <c r="B36" s="6" t="str">
        <f aca="false">"KEEP IN THE LOOP          lower influence, high interest          "&amp;COUNTIF(Register!$H$7:$H$26,"Keep in the loop")&amp;" of them"&amp;IF(COUNTIF(Register!$H$7:$H$26,"Keep in the loop")&gt;6," - "&amp;(COUNTIF(Register!$H$7:$H$26,"Keep in the loop")-6)&amp;" more than fit below, insert rows","")</f>
        <v>KEEP IN THE LOOP          lower influence, high interest          6 of them</v>
      </c>
      <c r="C36" s="6"/>
      <c r="D36" s="6"/>
      <c r="E36" s="6"/>
      <c r="F36" s="6"/>
      <c r="G36" s="6"/>
    </row>
    <row r="37" customFormat="false" ht="15.75" hidden="false" customHeight="true" outlineLevel="0" collapsed="false">
      <c r="B37" s="39" t="str">
        <f aca="false">IF(SUMPRODUCT((Register!$H$7:$H$26="Keep in the loop")*(Register!$T$7:$T$26=1)*Register!$R$7:$R$26)=0,"",INDEX(Register!$B$7:$B$26,SUMPRODUCT((Register!$H$7:$H$26="Keep in the loop")*(Register!$T$7:$T$26=1)*Register!$R$7:$R$26)))</f>
        <v>S07</v>
      </c>
      <c r="C37" s="40" t="str">
        <f aca="false">IF($B37="","",VLOOKUP($B37,Register!$B$7:$C$26,2,FALSE()))</f>
        <v>Adjoining landowners - Halloway Road frontage</v>
      </c>
      <c r="D37" s="40"/>
      <c r="E37" s="40"/>
      <c r="F37" s="40" t="str">
        <f aca="false">IF($B37="","",VLOOKUP($B37,Register!$B$7:$I$26,8,FALSE())&amp;IF(VLOOKUP($B37,Register!$B$7:$K$26,10,FALSE())&gt;0," - needs to be "&amp;VLOOKUP($B37,Register!$B$7:$J$26,9,FALSE()),""))</f>
        <v>Resistant - needs to be Neutral</v>
      </c>
      <c r="G37" s="40"/>
    </row>
    <row r="38" customFormat="false" ht="15.75" hidden="false" customHeight="true" outlineLevel="0" collapsed="false">
      <c r="B38" s="39" t="str">
        <f aca="false">IF(SUMPRODUCT((Register!$H$7:$H$26="Keep in the loop")*(Register!$T$7:$T$26=2)*Register!$R$7:$R$26)=0,"",INDEX(Register!$B$7:$B$26,SUMPRODUCT((Register!$H$7:$H$26="Keep in the loop")*(Register!$T$7:$T$26=2)*Register!$R$7:$R$26)))</f>
        <v>S08</v>
      </c>
      <c r="C38" s="40" t="str">
        <f aca="false">IF($B38="","",VLOOKUP($B38,Register!$B$7:$C$26,2,FALSE()))</f>
        <v>Brayford Chamber of Commerce</v>
      </c>
      <c r="D38" s="40"/>
      <c r="E38" s="40"/>
      <c r="F38" s="40" t="str">
        <f aca="false">IF($B38="","",VLOOKUP($B38,Register!$B$7:$I$26,8,FALSE())&amp;IF(VLOOKUP($B38,Register!$B$7:$K$26,10,FALSE())&gt;0," - needs to be "&amp;VLOOKUP($B38,Register!$B$7:$J$26,9,FALSE()),""))</f>
        <v>Resistant - needs to be Neutral</v>
      </c>
      <c r="G38" s="40"/>
    </row>
    <row r="39" customFormat="false" ht="15.75" hidden="false" customHeight="true" outlineLevel="0" collapsed="false">
      <c r="B39" s="39" t="str">
        <f aca="false">IF(SUMPRODUCT((Register!$H$7:$H$26="Keep in the loop")*(Register!$T$7:$T$26=3)*Register!$R$7:$R$26)=0,"",INDEX(Register!$B$7:$B$26,SUMPRODUCT((Register!$H$7:$H$26="Keep in the loop")*(Register!$T$7:$T$26=3)*Register!$R$7:$R$26)))</f>
        <v>S09</v>
      </c>
      <c r="C39" s="40" t="str">
        <f aca="false">IF($B39="","",VLOOKUP($B39,Register!$B$7:$C$26,2,FALSE()))</f>
        <v>Halloway Road traders</v>
      </c>
      <c r="D39" s="40"/>
      <c r="E39" s="40"/>
      <c r="F39" s="40" t="str">
        <f aca="false">IF($B39="","",VLOOKUP($B39,Register!$B$7:$I$26,8,FALSE())&amp;IF(VLOOKUP($B39,Register!$B$7:$K$26,10,FALSE())&gt;0," - needs to be "&amp;VLOOKUP($B39,Register!$B$7:$J$26,9,FALSE()),""))</f>
        <v>Resistant - needs to be Neutral</v>
      </c>
      <c r="G39" s="40"/>
    </row>
    <row r="40" customFormat="false" ht="15.75" hidden="false" customHeight="true" outlineLevel="0" collapsed="false">
      <c r="B40" s="39" t="str">
        <f aca="false">IF(SUMPRODUCT((Register!$H$7:$H$26="Keep in the loop")*(Register!$T$7:$T$26=4)*Register!$R$7:$R$26)=0,"",INDEX(Register!$B$7:$B$26,SUMPRODUCT((Register!$H$7:$H$26="Keep in the loop")*(Register!$T$7:$T$26=4)*Register!$R$7:$R$26)))</f>
        <v>S10</v>
      </c>
      <c r="C40" s="40" t="str">
        <f aca="false">IF($B40="","",VLOOKUP($B40,Register!$B$7:$C$26,2,FALSE()))</f>
        <v>Brayford Residents Association</v>
      </c>
      <c r="D40" s="40"/>
      <c r="E40" s="40"/>
      <c r="F40" s="40" t="str">
        <f aca="false">IF($B40="","",VLOOKUP($B40,Register!$B$7:$I$26,8,FALSE())&amp;IF(VLOOKUP($B40,Register!$B$7:$K$26,10,FALSE())&gt;0," - needs to be "&amp;VLOOKUP($B40,Register!$B$7:$J$26,9,FALSE()),""))</f>
        <v>Neutral - needs to be Supportive</v>
      </c>
      <c r="G40" s="40"/>
    </row>
    <row r="41" customFormat="false" ht="15.75" hidden="false" customHeight="true" outlineLevel="0" collapsed="false">
      <c r="B41" s="39" t="str">
        <f aca="false">IF(SUMPRODUCT((Register!$H$7:$H$26="Keep in the loop")*(Register!$T$7:$T$26=5)*Register!$R$7:$R$26)=0,"",INDEX(Register!$B$7:$B$26,SUMPRODUCT((Register!$H$7:$H$26="Keep in the loop")*(Register!$T$7:$T$26=5)*Register!$R$7:$R$26)))</f>
        <v>S11</v>
      </c>
      <c r="C41" s="40" t="str">
        <f aca="false">IF($B41="","",VLOOKUP($B41,Register!$B$7:$C$26,2,FALSE()))</f>
        <v>Cycling advocacy group</v>
      </c>
      <c r="D41" s="40"/>
      <c r="E41" s="40"/>
      <c r="F41" s="40" t="str">
        <f aca="false">IF($B41="","",VLOOKUP($B41,Register!$B$7:$I$26,8,FALSE())&amp;IF(VLOOKUP($B41,Register!$B$7:$K$26,10,FALSE())&gt;0," - needs to be "&amp;VLOOKUP($B41,Register!$B$7:$J$26,9,FALSE()),""))</f>
        <v>Resistant - needs to be Neutral</v>
      </c>
      <c r="G41" s="40"/>
    </row>
    <row r="42" customFormat="false" ht="15.75" hidden="false" customHeight="true" outlineLevel="0" collapsed="false">
      <c r="B42" s="39" t="str">
        <f aca="false">IF(SUMPRODUCT((Register!$H$7:$H$26="Keep in the loop")*(Register!$T$7:$T$26=6)*Register!$R$7:$R$26)=0,"",INDEX(Register!$B$7:$B$26,SUMPRODUCT((Register!$H$7:$H$26="Keep in the loop")*(Register!$T$7:$T$26=6)*Register!$R$7:$R$26)))</f>
        <v>S12</v>
      </c>
      <c r="C42" s="40" t="str">
        <f aca="false">IF($B42="","",VLOOKUP($B42,Register!$B$7:$C$26,2,FALSE()))</f>
        <v>Brayford Primary School</v>
      </c>
      <c r="D42" s="40"/>
      <c r="E42" s="40"/>
      <c r="F42" s="40" t="str">
        <f aca="false">IF($B42="","",VLOOKUP($B42,Register!$B$7:$I$26,8,FALSE())&amp;IF(VLOOKUP($B42,Register!$B$7:$K$26,10,FALSE())&gt;0," - needs to be "&amp;VLOOKUP($B42,Register!$B$7:$J$26,9,FALSE()),""))</f>
        <v>Neutral - needs to be Supportive</v>
      </c>
      <c r="G42" s="40"/>
    </row>
    <row r="43" customFormat="false" ht="7.5" hidden="false" customHeight="true" outlineLevel="0" collapsed="false"/>
    <row r="44" customFormat="false" ht="21.75" hidden="false" customHeight="true" outlineLevel="0" collapsed="false">
      <c r="B44" s="6" t="str">
        <f aca="false">"WATCH          lower influence, lower interest          "&amp;COUNTIF(Register!$H$7:$H$26,"Watch")&amp;" of them"&amp;IF(COUNTIF(Register!$H$7:$H$26,"Watch")&gt;6," - "&amp;(COUNTIF(Register!$H$7:$H$26,"Watch")-6)&amp;" more than fit below, insert rows","")</f>
        <v>WATCH          lower influence, lower interest          4 of them</v>
      </c>
      <c r="C44" s="6"/>
      <c r="D44" s="6"/>
      <c r="E44" s="6"/>
      <c r="F44" s="6"/>
      <c r="G44" s="6"/>
    </row>
    <row r="45" customFormat="false" ht="15.75" hidden="false" customHeight="true" outlineLevel="0" collapsed="false">
      <c r="B45" s="39" t="str">
        <f aca="false">IF(SUMPRODUCT((Register!$H$7:$H$26="Watch")*(Register!$T$7:$T$26=1)*Register!$R$7:$R$26)=0,"",INDEX(Register!$B$7:$B$26,SUMPRODUCT((Register!$H$7:$H$26="Watch")*(Register!$T$7:$T$26=1)*Register!$R$7:$R$26)))</f>
        <v>S05</v>
      </c>
      <c r="C45" s="40" t="str">
        <f aca="false">IF($B45="","",VLOOKUP($B45,Register!$B$7:$C$26,2,FALSE()))</f>
        <v>Water authority</v>
      </c>
      <c r="D45" s="40"/>
      <c r="E45" s="40"/>
      <c r="F45" s="40" t="str">
        <f aca="false">IF($B45="","",VLOOKUP($B45,Register!$B$7:$I$26,8,FALSE())&amp;IF(VLOOKUP($B45,Register!$B$7:$K$26,10,FALSE())&gt;0," - needs to be "&amp;VLOOKUP($B45,Register!$B$7:$J$26,9,FALSE()),""))</f>
        <v>Neutral</v>
      </c>
      <c r="G45" s="40"/>
    </row>
    <row r="46" customFormat="false" ht="15.75" hidden="false" customHeight="true" outlineLevel="0" collapsed="false">
      <c r="B46" s="39" t="str">
        <f aca="false">IF(SUMPRODUCT((Register!$H$7:$H$26="Watch")*(Register!$T$7:$T$26=2)*Register!$R$7:$R$26)=0,"",INDEX(Register!$B$7:$B$26,SUMPRODUCT((Register!$H$7:$H$26="Watch")*(Register!$T$7:$T$26=2)*Register!$R$7:$R$26)))</f>
        <v>S13</v>
      </c>
      <c r="C46" s="40" t="str">
        <f aca="false">IF($B46="","",VLOOKUP($B46,Register!$B$7:$C$26,2,FALSE()))</f>
        <v>Bus operator</v>
      </c>
      <c r="D46" s="40"/>
      <c r="E46" s="40"/>
      <c r="F46" s="40" t="str">
        <f aca="false">IF($B46="","",VLOOKUP($B46,Register!$B$7:$I$26,8,FALSE())&amp;IF(VLOOKUP($B46,Register!$B$7:$K$26,10,FALSE())&gt;0," - needs to be "&amp;VLOOKUP($B46,Register!$B$7:$J$26,9,FALSE()),""))</f>
        <v>Neutral - needs to be Supportive</v>
      </c>
      <c r="G46" s="40"/>
    </row>
    <row r="47" customFormat="false" ht="15.75" hidden="false" customHeight="true" outlineLevel="0" collapsed="false">
      <c r="B47" s="39" t="str">
        <f aca="false">IF(SUMPRODUCT((Register!$H$7:$H$26="Watch")*(Register!$T$7:$T$26=3)*Register!$R$7:$R$26)=0,"",INDEX(Register!$B$7:$B$26,SUMPRODUCT((Register!$H$7:$H$26="Watch")*(Register!$T$7:$T$26=3)*Register!$R$7:$R$26)))</f>
        <v>S15</v>
      </c>
      <c r="C47" s="40" t="str">
        <f aca="false">IF($B47="","",VLOOKUP($B47,Register!$B$7:$C$26,2,FALSE()))</f>
        <v>Emergency services</v>
      </c>
      <c r="D47" s="40"/>
      <c r="E47" s="40"/>
      <c r="F47" s="40" t="str">
        <f aca="false">IF($B47="","",VLOOKUP($B47,Register!$B$7:$I$26,8,FALSE())&amp;IF(VLOOKUP($B47,Register!$B$7:$K$26,10,FALSE())&gt;0," - needs to be "&amp;VLOOKUP($B47,Register!$B$7:$J$26,9,FALSE()),""))</f>
        <v>Neutral - needs to be Supportive</v>
      </c>
      <c r="G47" s="40"/>
    </row>
    <row r="48" customFormat="false" ht="15.75" hidden="false" customHeight="true" outlineLevel="0" collapsed="false">
      <c r="B48" s="39" t="str">
        <f aca="false">IF(SUMPRODUCT((Register!$H$7:$H$26="Watch")*(Register!$T$7:$T$26=4)*Register!$R$7:$R$26)=0,"",INDEX(Register!$B$7:$B$26,SUMPRODUCT((Register!$H$7:$H$26="Watch")*(Register!$T$7:$T$26=4)*Register!$R$7:$R$26)))</f>
        <v>S17</v>
      </c>
      <c r="C48" s="40" t="str">
        <f aca="false">IF($B48="","",VLOOKUP($B48,Register!$B$7:$C$26,2,FALSE()))</f>
        <v>Local newspaper</v>
      </c>
      <c r="D48" s="40"/>
      <c r="E48" s="40"/>
      <c r="F48" s="40" t="str">
        <f aca="false">IF($B48="","",VLOOKUP($B48,Register!$B$7:$I$26,8,FALSE())&amp;IF(VLOOKUP($B48,Register!$B$7:$K$26,10,FALSE())&gt;0," - needs to be "&amp;VLOOKUP($B48,Register!$B$7:$J$26,9,FALSE()),""))</f>
        <v>Neutral</v>
      </c>
      <c r="G48" s="40"/>
    </row>
    <row r="49" customFormat="false" ht="15.75" hidden="false" customHeight="true" outlineLevel="0" collapsed="false">
      <c r="B49" s="39" t="str">
        <f aca="false">IF(SUMPRODUCT((Register!$H$7:$H$26="Watch")*(Register!$T$7:$T$26=5)*Register!$R$7:$R$26)=0,"",INDEX(Register!$B$7:$B$26,SUMPRODUCT((Register!$H$7:$H$26="Watch")*(Register!$T$7:$T$26=5)*Register!$R$7:$R$26)))</f>
        <v/>
      </c>
      <c r="C49" s="40" t="str">
        <f aca="false">IF($B49="","",VLOOKUP($B49,Register!$B$7:$C$26,2,FALSE()))</f>
        <v/>
      </c>
      <c r="D49" s="40"/>
      <c r="E49" s="40"/>
      <c r="F49" s="40" t="str">
        <f aca="false">IF($B49="","",VLOOKUP($B49,Register!$B$7:$I$26,8,FALSE())&amp;IF(VLOOKUP($B49,Register!$B$7:$K$26,10,FALSE())&gt;0," - needs to be "&amp;VLOOKUP($B49,Register!$B$7:$J$26,9,FALSE()),""))</f>
        <v/>
      </c>
      <c r="G49" s="40"/>
    </row>
    <row r="50" customFormat="false" ht="15.75" hidden="false" customHeight="true" outlineLevel="0" collapsed="false">
      <c r="B50" s="39" t="str">
        <f aca="false">IF(SUMPRODUCT((Register!$H$7:$H$26="Watch")*(Register!$T$7:$T$26=6)*Register!$R$7:$R$26)=0,"",INDEX(Register!$B$7:$B$26,SUMPRODUCT((Register!$H$7:$H$26="Watch")*(Register!$T$7:$T$26=6)*Register!$R$7:$R$26)))</f>
        <v/>
      </c>
      <c r="C50" s="40" t="str">
        <f aca="false">IF($B50="","",VLOOKUP($B50,Register!$B$7:$C$26,2,FALSE()))</f>
        <v/>
      </c>
      <c r="D50" s="40"/>
      <c r="E50" s="40"/>
      <c r="F50" s="40" t="str">
        <f aca="false">IF($B50="","",VLOOKUP($B50,Register!$B$7:$I$26,8,FALSE())&amp;IF(VLOOKUP($B50,Register!$B$7:$K$26,10,FALSE())&gt;0," - needs to be "&amp;VLOOKUP($B50,Register!$B$7:$J$26,9,FALSE()),""))</f>
        <v/>
      </c>
      <c r="G50" s="40"/>
    </row>
    <row r="51" customFormat="false" ht="7.5" hidden="false" customHeight="true" outlineLevel="0" collapsed="false"/>
    <row r="52" customFormat="false" ht="18" hidden="false" customHeight="true" outlineLevel="0" collapsed="false">
      <c r="B52" s="20" t="s">
        <v>58</v>
      </c>
      <c r="C52" s="20"/>
      <c r="D52" s="20"/>
      <c r="E52" s="20"/>
      <c r="F52" s="20"/>
      <c r="G52" s="20"/>
    </row>
  </sheetData>
  <mergeCells count="60">
    <mergeCell ref="B1:G1"/>
    <mergeCell ref="B2:G2"/>
    <mergeCell ref="B3:G3"/>
    <mergeCell ref="B4:G4"/>
    <mergeCell ref="B6:G6"/>
    <mergeCell ref="B10:G10"/>
    <mergeCell ref="B17:G18"/>
    <mergeCell ref="B20:G20"/>
    <mergeCell ref="C21:E21"/>
    <mergeCell ref="F21:G21"/>
    <mergeCell ref="C22:E22"/>
    <mergeCell ref="F22:G22"/>
    <mergeCell ref="C23:E23"/>
    <mergeCell ref="F23:G23"/>
    <mergeCell ref="C24:E24"/>
    <mergeCell ref="F24:G24"/>
    <mergeCell ref="C25:E25"/>
    <mergeCell ref="F25:G25"/>
    <mergeCell ref="C26:E26"/>
    <mergeCell ref="F26:G26"/>
    <mergeCell ref="B28:G28"/>
    <mergeCell ref="C29:E29"/>
    <mergeCell ref="F29:G29"/>
    <mergeCell ref="C30:E30"/>
    <mergeCell ref="F30:G30"/>
    <mergeCell ref="C31:E31"/>
    <mergeCell ref="F31:G31"/>
    <mergeCell ref="C32:E32"/>
    <mergeCell ref="F32:G32"/>
    <mergeCell ref="C33:E33"/>
    <mergeCell ref="F33:G33"/>
    <mergeCell ref="C34:E34"/>
    <mergeCell ref="F34:G34"/>
    <mergeCell ref="B36:G36"/>
    <mergeCell ref="C37:E37"/>
    <mergeCell ref="F37:G37"/>
    <mergeCell ref="C38:E38"/>
    <mergeCell ref="F38:G38"/>
    <mergeCell ref="C39:E39"/>
    <mergeCell ref="F39:G39"/>
    <mergeCell ref="C40:E40"/>
    <mergeCell ref="F40:G40"/>
    <mergeCell ref="C41:E41"/>
    <mergeCell ref="F41:G41"/>
    <mergeCell ref="C42:E42"/>
    <mergeCell ref="F42:G42"/>
    <mergeCell ref="B44:G44"/>
    <mergeCell ref="C45:E45"/>
    <mergeCell ref="F45:G45"/>
    <mergeCell ref="C46:E46"/>
    <mergeCell ref="F46:G46"/>
    <mergeCell ref="C47:E47"/>
    <mergeCell ref="F47:G47"/>
    <mergeCell ref="C48:E48"/>
    <mergeCell ref="F48:G48"/>
    <mergeCell ref="C49:E49"/>
    <mergeCell ref="F49:G49"/>
    <mergeCell ref="C50:E50"/>
    <mergeCell ref="F50:G50"/>
    <mergeCell ref="B52:G52"/>
  </mergeCells>
  <conditionalFormatting sqref="B3:G3">
    <cfRule type="expression" priority="2" aboveAverage="0" equalAverage="0" bottom="0" percent="0" rank="0" text="" dxfId="7">
      <formula>LEN($B$3)&gt;0</formula>
    </cfRule>
  </conditionalFormatting>
  <conditionalFormatting sqref="C12:G16">
    <cfRule type="expression" priority="3" aboveAverage="0" equalAverage="0" bottom="0" percent="0" rank="0" text="" dxfId="10">
      <formula>AND((12+5-ROW())&gt;=Setup!$D$14,(COLUMN()-2)&gt;=Setup!$D$15)</formula>
    </cfRule>
    <cfRule type="expression" priority="4" aboveAverage="0" equalAverage="0" bottom="0" percent="0" rank="0" text="" dxfId="11">
      <formula>AND(OR((12+5-ROW())&gt;=Setup!$D$14,(COLUMN()-2)&gt;=Setup!$D$15),NOT(AND((12+5-ROW())&gt;=Setup!$D$14,(COLUMN()-2)&gt;=Setup!$D$15)))</formula>
    </cfRule>
  </conditionalFormatting>
  <hyperlinks>
    <hyperlink ref="B52" r:id="rId1" display="Visit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19" man="true" max="16383" min="0"/>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O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51"/>
    <col collapsed="false" customWidth="true" hidden="false" outlineLevel="0" max="3" min="3" style="0" width="28"/>
    <col collapsed="false" customWidth="true" hidden="false" outlineLevel="0" max="4" min="4" style="0" width="14"/>
    <col collapsed="false" customWidth="true" hidden="false" outlineLevel="0" max="5" min="5" style="0" width="15"/>
    <col collapsed="false" customWidth="true" hidden="false" outlineLevel="0" max="6" min="6" style="0" width="13"/>
    <col collapsed="false" customWidth="true" hidden="false" outlineLevel="0" max="7" min="7" style="0" width="17"/>
    <col collapsed="false" customWidth="true" hidden="false" outlineLevel="0" max="8" min="8" style="0" width="9"/>
    <col collapsed="false" customWidth="true" hidden="false" outlineLevel="0" max="12" min="9" style="0" width="13"/>
    <col collapsed="false" customWidth="true" hidden="false" outlineLevel="0" max="13" min="13" style="0" width="26"/>
    <col collapsed="false" customWidth="true" hidden="false" outlineLevel="0" max="14" min="14" style="0" width="2.2"/>
    <col collapsed="false" customWidth="true" hidden="true" outlineLevel="0" max="15" min="15" style="0" width="9"/>
  </cols>
  <sheetData>
    <row r="1" customFormat="false" ht="33.75" hidden="false" customHeight="true" outlineLevel="0" collapsed="false">
      <c r="B1" s="13" t="s">
        <v>172</v>
      </c>
      <c r="C1" s="13"/>
      <c r="D1" s="13"/>
      <c r="E1" s="13"/>
      <c r="F1" s="13"/>
      <c r="G1" s="13"/>
      <c r="H1" s="13"/>
      <c r="I1" s="13"/>
      <c r="J1" s="13"/>
      <c r="K1" s="13"/>
      <c r="L1" s="13"/>
      <c r="M1" s="13"/>
    </row>
    <row r="2" customFormat="false" ht="4.5" hidden="false" customHeight="true" outlineLevel="0" collapsed="false">
      <c r="B2" s="41"/>
      <c r="C2" s="41"/>
      <c r="D2" s="41"/>
      <c r="E2" s="41"/>
      <c r="F2" s="41"/>
      <c r="G2" s="41"/>
      <c r="H2" s="41"/>
      <c r="I2" s="41"/>
      <c r="J2" s="41"/>
      <c r="K2" s="41"/>
      <c r="L2" s="41"/>
      <c r="M2" s="41"/>
    </row>
    <row r="3" customFormat="false" ht="16.5" hidden="false" customHeight="true" outlineLevel="0" collapsed="false">
      <c r="B3" s="21" t="str">
        <f aca="false">IF(LEFT(Setup!$D$7,7)&lt;&gt;"EXAMPLE","","EXAMPLE DATA - type your own project name on Setup to clear this.")</f>
        <v>EXAMPLE DATA - type your own project name on Setup to clear this.</v>
      </c>
      <c r="C3" s="21"/>
      <c r="D3" s="21"/>
      <c r="E3" s="21"/>
      <c r="F3" s="21"/>
      <c r="G3" s="21"/>
      <c r="H3" s="21"/>
      <c r="I3" s="21"/>
      <c r="J3" s="21"/>
      <c r="K3" s="21"/>
      <c r="L3" s="21"/>
      <c r="M3" s="21"/>
    </row>
    <row r="4" customFormat="false" ht="25.5" hidden="false" customHeight="true" outlineLevel="0" collapsed="false">
      <c r="B4" s="15" t="s">
        <v>173</v>
      </c>
      <c r="C4" s="15"/>
      <c r="D4" s="15"/>
      <c r="E4" s="15"/>
      <c r="F4" s="15"/>
      <c r="G4" s="15"/>
      <c r="H4" s="15"/>
      <c r="I4" s="15"/>
      <c r="J4" s="15"/>
      <c r="K4" s="15"/>
      <c r="L4" s="15"/>
      <c r="M4" s="15"/>
    </row>
    <row r="6" customFormat="false" ht="47.25" hidden="false" customHeight="true" outlineLevel="0" collapsed="false">
      <c r="B6" s="22" t="s">
        <v>61</v>
      </c>
      <c r="C6" s="22" t="s">
        <v>62</v>
      </c>
      <c r="D6" s="22" t="s">
        <v>67</v>
      </c>
      <c r="E6" s="22" t="s">
        <v>174</v>
      </c>
      <c r="F6" s="22" t="s">
        <v>175</v>
      </c>
      <c r="G6" s="22" t="s">
        <v>176</v>
      </c>
      <c r="H6" s="22" t="s">
        <v>177</v>
      </c>
      <c r="I6" s="22" t="s">
        <v>74</v>
      </c>
      <c r="J6" s="22" t="s">
        <v>178</v>
      </c>
      <c r="K6" s="22" t="s">
        <v>179</v>
      </c>
      <c r="L6" s="22" t="s">
        <v>180</v>
      </c>
      <c r="M6" s="22" t="s">
        <v>75</v>
      </c>
    </row>
    <row r="7" customFormat="false" ht="25.5" hidden="false" customHeight="true" outlineLevel="0" collapsed="false">
      <c r="B7" s="23" t="s">
        <v>76</v>
      </c>
      <c r="C7" s="26" t="str">
        <f aca="false">IF($B7="","",IF(COUNTIF(Register!$B$7:$B$26,$B7)=0,"not on the Register",VLOOKUP($B7,Register!$B$7:$C$26,2,FALSE())))</f>
        <v>Brayford City Council - development assessment</v>
      </c>
      <c r="D7" s="26" t="str">
        <f aca="false">IF($B7="","",IF(COUNTIF(Register!$B$7:$B$26,$B7)=0,"",VLOOKUP($B7,Register!$B$7:$H$26,7,FALSE())))</f>
        <v>Work with them</v>
      </c>
      <c r="E7" s="24" t="s">
        <v>181</v>
      </c>
      <c r="F7" s="24" t="s">
        <v>182</v>
      </c>
      <c r="G7" s="24" t="s">
        <v>82</v>
      </c>
      <c r="H7" s="42" t="n">
        <v>2</v>
      </c>
      <c r="I7" s="28" t="n">
        <f aca="false">IF($B7="","",IF(COUNTIF(Register!$B$7:$B$26,$B7)=0,"",IF(VLOOKUP($B7,Register!$B$7:$O$26,14,FALSE())="","",VLOOKUP($B7,Register!$B$7:$O$26,14,FALSE()))))</f>
        <v>46237</v>
      </c>
      <c r="J7" s="28" t="n">
        <f aca="false">IF(OR($I7="",$H7="",$H7=0),"",$I7+$H7*7)</f>
        <v>46251</v>
      </c>
      <c r="K7" s="43"/>
      <c r="L7" s="26" t="str">
        <f aca="false">IF($B7="","",IF(AND($K7="",$J7=""),"Not set",IF(IF($K7&lt;&gt;"",$K7,$J7)&lt;Setup!$D$11,"Overdue",IF(IF($K7&lt;&gt;"",$K7,$J7)&lt;=Setup!$D$11+Setup!$D$18,"Due soon","In hand"))))</f>
        <v>Overdue</v>
      </c>
      <c r="M7" s="26" t="str">
        <f aca="false">IF($B7="","",IF(COUNTIF(Register!$B$7:$B$26,$B7)=0,$B7&amp;" is not on the Register",IF(COUNTIF($B$7:$B$26,$B7)&gt;1,"this stakeholder is on the plan twice",IF($E7="","say what you are promising them",IF($G7="","name who leads it",IF(OR($H7="",$H7=0),"set how often you will contact them",IF($I7="","no contact recorded on the Log",IF(IF($K7&lt;&gt;"",$K7,$J7)&lt;Setup!$D$11,"overdue by "&amp;(Setup!$D$11-IF($K7&lt;&gt;"",$K7,$J7))&amp;" days",IF(IF($K7&lt;&gt;"",$K7,$J7)&lt;=Setup!$D$11+Setup!$D$18,"","")))))))))</f>
        <v>overdue by 2 days</v>
      </c>
      <c r="O7" s="0" t="str">
        <f aca="false">IF($B7="","grey",IF(COUNTIF(Register!$B$7:$B$26,$B7)=0,"amber",IF(COUNTIF($B$7:$B$26,$B7)&gt;1,"amber",IF($E7="","amber",IF($G7="","amber",IF(OR($H7="",$H7=0),"amber",IF($I7="","orange",IF(IF($K7&lt;&gt;"",$K7,$J7)&lt;Setup!$D$11,"red",IF(IF($K7&lt;&gt;"",$K7,$J7)&lt;=Setup!$D$11+Setup!$D$18,"orange","")))))))))</f>
        <v>red</v>
      </c>
    </row>
    <row r="8" customFormat="false" ht="25.5" hidden="false" customHeight="true" outlineLevel="0" collapsed="false">
      <c r="B8" s="30" t="s">
        <v>85</v>
      </c>
      <c r="C8" s="26" t="str">
        <f aca="false">IF($B8="","",IF(COUNTIF(Register!$B$7:$B$26,$B8)=0,"not on the Register",VLOOKUP($B8,Register!$B$7:$C$26,2,FALSE())))</f>
        <v>State roads authority</v>
      </c>
      <c r="D8" s="26" t="str">
        <f aca="false">IF($B8="","",IF(COUNTIF(Register!$B$7:$B$26,$B8)=0,"",VLOOKUP($B8,Register!$B$7:$H$26,7,FALSE())))</f>
        <v>Work with them</v>
      </c>
      <c r="E8" s="31" t="s">
        <v>181</v>
      </c>
      <c r="F8" s="31" t="s">
        <v>182</v>
      </c>
      <c r="G8" s="31" t="s">
        <v>82</v>
      </c>
      <c r="H8" s="44" t="n">
        <v>4</v>
      </c>
      <c r="I8" s="28" t="n">
        <f aca="false">IF($B8="","",IF(COUNTIF(Register!$B$7:$B$26,$B8)=0,"",IF(VLOOKUP($B8,Register!$B$7:$O$26,14,FALSE())="","",VLOOKUP($B8,Register!$B$7:$O$26,14,FALSE()))))</f>
        <v>46241</v>
      </c>
      <c r="J8" s="28" t="n">
        <f aca="false">IF(OR($I8="",$H8="",$H8=0),"",$I8+$H8*7)</f>
        <v>46269</v>
      </c>
      <c r="K8" s="45"/>
      <c r="L8" s="26" t="str">
        <f aca="false">IF($B8="","",IF(AND($K8="",$J8=""),"Not set",IF(IF($K8&lt;&gt;"",$K8,$J8)&lt;Setup!$D$11,"Overdue",IF(IF($K8&lt;&gt;"",$K8,$J8)&lt;=Setup!$D$11+Setup!$D$18,"Due soon","In hand"))))</f>
        <v>In hand</v>
      </c>
      <c r="M8" s="26" t="str">
        <f aca="false">IF($B8="","",IF(COUNTIF(Register!$B$7:$B$26,$B8)=0,$B8&amp;" is not on the Register",IF(COUNTIF($B$7:$B$26,$B8)&gt;1,"this stakeholder is on the plan twice",IF($E8="","say what you are promising them",IF($G8="","name who leads it",IF(OR($H8="",$H8=0),"set how often you will contact them",IF($I8="","no contact recorded on the Log",IF(IF($K8&lt;&gt;"",$K8,$J8)&lt;Setup!$D$11,"overdue by "&amp;(Setup!$D$11-IF($K8&lt;&gt;"",$K8,$J8))&amp;" days",IF(IF($K8&lt;&gt;"",$K8,$J8)&lt;=Setup!$D$11+Setup!$D$18,"","")))))))))</f>
        <v/>
      </c>
      <c r="O8" s="0" t="str">
        <f aca="false">IF($B8="","grey",IF(COUNTIF(Register!$B$7:$B$26,$B8)=0,"amber",IF(COUNTIF($B$7:$B$26,$B8)&gt;1,"amber",IF($E8="","amber",IF($G8="","amber",IF(OR($H8="",$H8=0),"amber",IF($I8="","orange",IF(IF($K8&lt;&gt;"",$K8,$J8)&lt;Setup!$D$11,"red",IF(IF($K8&lt;&gt;"",$K8,$J8)&lt;=Setup!$D$11+Setup!$D$18,"orange","")))))))))</f>
        <v/>
      </c>
    </row>
    <row r="9" customFormat="false" ht="25.5" hidden="false" customHeight="true" outlineLevel="0" collapsed="false">
      <c r="B9" s="23" t="s">
        <v>87</v>
      </c>
      <c r="C9" s="26" t="str">
        <f aca="false">IF($B9="","",IF(COUNTIF(Register!$B$7:$B$26,$B9)=0,"not on the Register",VLOOKUP($B9,Register!$B$7:$C$26,2,FALSE())))</f>
        <v>Rail operator - Brayford line</v>
      </c>
      <c r="D9" s="26" t="str">
        <f aca="false">IF($B9="","",IF(COUNTIF(Register!$B$7:$B$26,$B9)=0,"",VLOOKUP($B9,Register!$B$7:$H$26,7,FALSE())))</f>
        <v>Keep on side</v>
      </c>
      <c r="E9" s="24" t="s">
        <v>181</v>
      </c>
      <c r="F9" s="24" t="s">
        <v>182</v>
      </c>
      <c r="G9" s="24" t="s">
        <v>91</v>
      </c>
      <c r="H9" s="42" t="n">
        <v>2</v>
      </c>
      <c r="I9" s="28" t="n">
        <f aca="false">IF($B9="","",IF(COUNTIF(Register!$B$7:$B$26,$B9)=0,"",IF(VLOOKUP($B9,Register!$B$7:$O$26,14,FALSE())="","",VLOOKUP($B9,Register!$B$7:$O$26,14,FALSE()))))</f>
        <v>46218</v>
      </c>
      <c r="J9" s="28" t="n">
        <f aca="false">IF(OR($I9="",$H9="",$H9=0),"",$I9+$H9*7)</f>
        <v>46232</v>
      </c>
      <c r="K9" s="43"/>
      <c r="L9" s="26" t="str">
        <f aca="false">IF($B9="","",IF(AND($K9="",$J9=""),"Not set",IF(IF($K9&lt;&gt;"",$K9,$J9)&lt;Setup!$D$11,"Overdue",IF(IF($K9&lt;&gt;"",$K9,$J9)&lt;=Setup!$D$11+Setup!$D$18,"Due soon","In hand"))))</f>
        <v>Overdue</v>
      </c>
      <c r="M9" s="26" t="str">
        <f aca="false">IF($B9="","",IF(COUNTIF(Register!$B$7:$B$26,$B9)=0,$B9&amp;" is not on the Register",IF(COUNTIF($B$7:$B$26,$B9)&gt;1,"this stakeholder is on the plan twice",IF($E9="","say what you are promising them",IF($G9="","name who leads it",IF(OR($H9="",$H9=0),"set how often you will contact them",IF($I9="","no contact recorded on the Log",IF(IF($K9&lt;&gt;"",$K9,$J9)&lt;Setup!$D$11,"overdue by "&amp;(Setup!$D$11-IF($K9&lt;&gt;"",$K9,$J9))&amp;" days",IF(IF($K9&lt;&gt;"",$K9,$J9)&lt;=Setup!$D$11+Setup!$D$18,"","")))))))))</f>
        <v>overdue by 21 days</v>
      </c>
      <c r="O9" s="0" t="str">
        <f aca="false">IF($B9="","grey",IF(COUNTIF(Register!$B$7:$B$26,$B9)=0,"amber",IF(COUNTIF($B$7:$B$26,$B9)&gt;1,"amber",IF($E9="","amber",IF($G9="","amber",IF(OR($H9="",$H9=0),"amber",IF($I9="","orange",IF(IF($K9&lt;&gt;"",$K9,$J9)&lt;Setup!$D$11,"red",IF(IF($K9&lt;&gt;"",$K9,$J9)&lt;=Setup!$D$11+Setup!$D$18,"orange","")))))))))</f>
        <v>red</v>
      </c>
    </row>
    <row r="10" customFormat="false" ht="25.5" hidden="false" customHeight="true" outlineLevel="0" collapsed="false">
      <c r="B10" s="30" t="s">
        <v>93</v>
      </c>
      <c r="C10" s="26" t="str">
        <f aca="false">IF($B10="","",IF(COUNTIF(Register!$B$7:$B$26,$B10)=0,"not on the Register",VLOOKUP($B10,Register!$B$7:$C$26,2,FALSE())))</f>
        <v>Electricity network operator</v>
      </c>
      <c r="D10" s="26" t="str">
        <f aca="false">IF($B10="","",IF(COUNTIF(Register!$B$7:$B$26,$B10)=0,"",VLOOKUP($B10,Register!$B$7:$H$26,7,FALSE())))</f>
        <v>Keep on side</v>
      </c>
      <c r="E10" s="31" t="s">
        <v>183</v>
      </c>
      <c r="F10" s="31" t="s">
        <v>184</v>
      </c>
      <c r="G10" s="31" t="s">
        <v>95</v>
      </c>
      <c r="H10" s="44" t="n">
        <v>4</v>
      </c>
      <c r="I10" s="28" t="n">
        <f aca="false">IF($B10="","",IF(COUNTIF(Register!$B$7:$B$26,$B10)=0,"",IF(VLOOKUP($B10,Register!$B$7:$O$26,14,FALSE())="","",VLOOKUP($B10,Register!$B$7:$O$26,14,FALSE()))))</f>
        <v>46235</v>
      </c>
      <c r="J10" s="28" t="n">
        <f aca="false">IF(OR($I10="",$H10="",$H10=0),"",$I10+$H10*7)</f>
        <v>46263</v>
      </c>
      <c r="K10" s="45"/>
      <c r="L10" s="26" t="str">
        <f aca="false">IF($B10="","",IF(AND($K10="",$J10=""),"Not set",IF(IF($K10&lt;&gt;"",$K10,$J10)&lt;Setup!$D$11,"Overdue",IF(IF($K10&lt;&gt;"",$K10,$J10)&lt;=Setup!$D$11+Setup!$D$18,"Due soon","In hand"))))</f>
        <v>Due soon</v>
      </c>
      <c r="M10" s="26" t="str">
        <f aca="false">IF($B10="","",IF(COUNTIF(Register!$B$7:$B$26,$B10)=0,$B10&amp;" is not on the Register",IF(COUNTIF($B$7:$B$26,$B10)&gt;1,"this stakeholder is on the plan twice",IF($E10="","say what you are promising them",IF($G10="","name who leads it",IF(OR($H10="",$H10=0),"set how often you will contact them",IF($I10="","no contact recorded on the Log",IF(IF($K10&lt;&gt;"",$K10,$J10)&lt;Setup!$D$11,"overdue by "&amp;(Setup!$D$11-IF($K10&lt;&gt;"",$K10,$J10))&amp;" days",IF(IF($K10&lt;&gt;"",$K10,$J10)&lt;=Setup!$D$11+Setup!$D$18,"","")))))))))</f>
        <v/>
      </c>
      <c r="O10" s="0" t="str">
        <f aca="false">IF($B10="","grey",IF(COUNTIF(Register!$B$7:$B$26,$B10)=0,"amber",IF(COUNTIF($B$7:$B$26,$B10)&gt;1,"amber",IF($E10="","amber",IF($G10="","amber",IF(OR($H10="",$H10=0),"amber",IF($I10="","orange",IF(IF($K10&lt;&gt;"",$K10,$J10)&lt;Setup!$D$11,"red",IF(IF($K10&lt;&gt;"",$K10,$J10)&lt;=Setup!$D$11+Setup!$D$18,"orange","")))))))))</f>
        <v>orange</v>
      </c>
    </row>
    <row r="11" customFormat="false" ht="25.5" hidden="false" customHeight="true" outlineLevel="0" collapsed="false">
      <c r="B11" s="23" t="s">
        <v>97</v>
      </c>
      <c r="C11" s="26" t="str">
        <f aca="false">IF($B11="","",IF(COUNTIF(Register!$B$7:$B$26,$B11)=0,"not on the Register",VLOOKUP($B11,Register!$B$7:$C$26,2,FALSE())))</f>
        <v>Water authority</v>
      </c>
      <c r="D11" s="26" t="str">
        <f aca="false">IF($B11="","",IF(COUNTIF(Register!$B$7:$B$26,$B11)=0,"",VLOOKUP($B11,Register!$B$7:$H$26,7,FALSE())))</f>
        <v>Watch</v>
      </c>
      <c r="E11" s="24" t="s">
        <v>185</v>
      </c>
      <c r="F11" s="24" t="s">
        <v>184</v>
      </c>
      <c r="G11" s="24" t="s">
        <v>95</v>
      </c>
      <c r="H11" s="42" t="n">
        <v>8</v>
      </c>
      <c r="I11" s="28" t="n">
        <f aca="false">IF($B11="","",IF(COUNTIF(Register!$B$7:$B$26,$B11)=0,"",IF(VLOOKUP($B11,Register!$B$7:$O$26,14,FALSE())="","",VLOOKUP($B11,Register!$B$7:$O$26,14,FALSE()))))</f>
        <v>46213</v>
      </c>
      <c r="J11" s="28" t="n">
        <f aca="false">IF(OR($I11="",$H11="",$H11=0),"",$I11+$H11*7)</f>
        <v>46269</v>
      </c>
      <c r="K11" s="43"/>
      <c r="L11" s="26" t="str">
        <f aca="false">IF($B11="","",IF(AND($K11="",$J11=""),"Not set",IF(IF($K11&lt;&gt;"",$K11,$J11)&lt;Setup!$D$11,"Overdue",IF(IF($K11&lt;&gt;"",$K11,$J11)&lt;=Setup!$D$11+Setup!$D$18,"Due soon","In hand"))))</f>
        <v>In hand</v>
      </c>
      <c r="M11" s="26" t="str">
        <f aca="false">IF($B11="","",IF(COUNTIF(Register!$B$7:$B$26,$B11)=0,$B11&amp;" is not on the Register",IF(COUNTIF($B$7:$B$26,$B11)&gt;1,"this stakeholder is on the plan twice",IF($E11="","say what you are promising them",IF($G11="","name who leads it",IF(OR($H11="",$H11=0),"set how often you will contact them",IF($I11="","no contact recorded on the Log",IF(IF($K11&lt;&gt;"",$K11,$J11)&lt;Setup!$D$11,"overdue by "&amp;(Setup!$D$11-IF($K11&lt;&gt;"",$K11,$J11))&amp;" days",IF(IF($K11&lt;&gt;"",$K11,$J11)&lt;=Setup!$D$11+Setup!$D$18,"","")))))))))</f>
        <v/>
      </c>
      <c r="O11" s="0" t="str">
        <f aca="false">IF($B11="","grey",IF(COUNTIF(Register!$B$7:$B$26,$B11)=0,"amber",IF(COUNTIF($B$7:$B$26,$B11)&gt;1,"amber",IF($E11="","amber",IF($G11="","amber",IF(OR($H11="",$H11=0),"amber",IF($I11="","orange",IF(IF($K11&lt;&gt;"",$K11,$J11)&lt;Setup!$D$11,"red",IF(IF($K11&lt;&gt;"",$K11,$J11)&lt;=Setup!$D$11+Setup!$D$18,"orange","")))))))))</f>
        <v/>
      </c>
    </row>
    <row r="12" customFormat="false" ht="25.5" hidden="false" customHeight="true" outlineLevel="0" collapsed="false">
      <c r="B12" s="30" t="s">
        <v>100</v>
      </c>
      <c r="C12" s="26" t="str">
        <f aca="false">IF($B12="","",IF(COUNTIF(Register!$B$7:$B$26,$B12)=0,"not on the Register",VLOOKUP($B12,Register!$B$7:$C$26,2,FALSE())))</f>
        <v>Environment regulator</v>
      </c>
      <c r="D12" s="26" t="str">
        <f aca="false">IF($B12="","",IF(COUNTIF(Register!$B$7:$B$26,$B12)=0,"",VLOOKUP($B12,Register!$B$7:$H$26,7,FALSE())))</f>
        <v>Keep on side</v>
      </c>
      <c r="E12" s="31" t="s">
        <v>183</v>
      </c>
      <c r="F12" s="31" t="s">
        <v>182</v>
      </c>
      <c r="G12" s="31" t="s">
        <v>103</v>
      </c>
      <c r="H12" s="44" t="n">
        <v>4</v>
      </c>
      <c r="I12" s="28" t="n">
        <f aca="false">IF($B12="","",IF(COUNTIF(Register!$B$7:$B$26,$B12)=0,"",IF(VLOOKUP($B12,Register!$B$7:$O$26,14,FALSE())="","",VLOOKUP($B12,Register!$B$7:$O$26,14,FALSE()))))</f>
        <v>46229</v>
      </c>
      <c r="J12" s="28" t="n">
        <f aca="false">IF(OR($I12="",$H12="",$H12=0),"",$I12+$H12*7)</f>
        <v>46257</v>
      </c>
      <c r="K12" s="45"/>
      <c r="L12" s="26" t="str">
        <f aca="false">IF($B12="","",IF(AND($K12="",$J12=""),"Not set",IF(IF($K12&lt;&gt;"",$K12,$J12)&lt;Setup!$D$11,"Overdue",IF(IF($K12&lt;&gt;"",$K12,$J12)&lt;=Setup!$D$11+Setup!$D$18,"Due soon","In hand"))))</f>
        <v>Due soon</v>
      </c>
      <c r="M12" s="26" t="str">
        <f aca="false">IF($B12="","",IF(COUNTIF(Register!$B$7:$B$26,$B12)=0,$B12&amp;" is not on the Register",IF(COUNTIF($B$7:$B$26,$B12)&gt;1,"this stakeholder is on the plan twice",IF($E12="","say what you are promising them",IF($G12="","name who leads it",IF(OR($H12="",$H12=0),"set how often you will contact them",IF($I12="","no contact recorded on the Log",IF(IF($K12&lt;&gt;"",$K12,$J12)&lt;Setup!$D$11,"overdue by "&amp;(Setup!$D$11-IF($K12&lt;&gt;"",$K12,$J12))&amp;" days",IF(IF($K12&lt;&gt;"",$K12,$J12)&lt;=Setup!$D$11+Setup!$D$18,"","")))))))))</f>
        <v/>
      </c>
      <c r="O12" s="0" t="str">
        <f aca="false">IF($B12="","grey",IF(COUNTIF(Register!$B$7:$B$26,$B12)=0,"amber",IF(COUNTIF($B$7:$B$26,$B12)&gt;1,"amber",IF($E12="","amber",IF($G12="","amber",IF(OR($H12="",$H12=0),"amber",IF($I12="","orange",IF(IF($K12&lt;&gt;"",$K12,$J12)&lt;Setup!$D$11,"red",IF(IF($K12&lt;&gt;"",$K12,$J12)&lt;=Setup!$D$11+Setup!$D$18,"orange","")))))))))</f>
        <v>orange</v>
      </c>
    </row>
    <row r="13" customFormat="false" ht="25.5" hidden="false" customHeight="true" outlineLevel="0" collapsed="false">
      <c r="B13" s="23" t="s">
        <v>104</v>
      </c>
      <c r="C13" s="26" t="str">
        <f aca="false">IF($B13="","",IF(COUNTIF(Register!$B$7:$B$26,$B13)=0,"not on the Register",VLOOKUP($B13,Register!$B$7:$C$26,2,FALSE())))</f>
        <v>Adjoining landowners - Halloway Road frontage</v>
      </c>
      <c r="D13" s="26" t="str">
        <f aca="false">IF($B13="","",IF(COUNTIF(Register!$B$7:$B$26,$B13)=0,"",VLOOKUP($B13,Register!$B$7:$H$26,7,FALSE())))</f>
        <v>Keep in the loop</v>
      </c>
      <c r="E13" s="24" t="s">
        <v>186</v>
      </c>
      <c r="F13" s="24" t="s">
        <v>182</v>
      </c>
      <c r="G13" s="24" t="s">
        <v>109</v>
      </c>
      <c r="H13" s="42" t="n">
        <v>2</v>
      </c>
      <c r="I13" s="28" t="n">
        <f aca="false">IF($B13="","",IF(COUNTIF(Register!$B$7:$B$26,$B13)=0,"",IF(VLOOKUP($B13,Register!$B$7:$O$26,14,FALSE())="","",VLOOKUP($B13,Register!$B$7:$O$26,14,FALSE()))))</f>
        <v>46244</v>
      </c>
      <c r="J13" s="28" t="n">
        <f aca="false">IF(OR($I13="",$H13="",$H13=0),"",$I13+$H13*7)</f>
        <v>46258</v>
      </c>
      <c r="K13" s="43" t="n">
        <f aca="false">Setup!$D$11+5</f>
        <v>46258</v>
      </c>
      <c r="L13" s="26" t="str">
        <f aca="false">IF($B13="","",IF(AND($K13="",$J13=""),"Not set",IF(IF($K13&lt;&gt;"",$K13,$J13)&lt;Setup!$D$11,"Overdue",IF(IF($K13&lt;&gt;"",$K13,$J13)&lt;=Setup!$D$11+Setup!$D$18,"Due soon","In hand"))))</f>
        <v>Due soon</v>
      </c>
      <c r="M13" s="26" t="str">
        <f aca="false">IF($B13="","",IF(COUNTIF(Register!$B$7:$B$26,$B13)=0,$B13&amp;" is not on the Register",IF(COUNTIF($B$7:$B$26,$B13)&gt;1,"this stakeholder is on the plan twice",IF($E13="","say what you are promising them",IF($G13="","name who leads it",IF(OR($H13="",$H13=0),"set how often you will contact them",IF($I13="","no contact recorded on the Log",IF(IF($K13&lt;&gt;"",$K13,$J13)&lt;Setup!$D$11,"overdue by "&amp;(Setup!$D$11-IF($K13&lt;&gt;"",$K13,$J13))&amp;" days",IF(IF($K13&lt;&gt;"",$K13,$J13)&lt;=Setup!$D$11+Setup!$D$18,"","")))))))))</f>
        <v/>
      </c>
      <c r="O13" s="0" t="str">
        <f aca="false">IF($B13="","grey",IF(COUNTIF(Register!$B$7:$B$26,$B13)=0,"amber",IF(COUNTIF($B$7:$B$26,$B13)&gt;1,"amber",IF($E13="","amber",IF($G13="","amber",IF(OR($H13="",$H13=0),"amber",IF($I13="","orange",IF(IF($K13&lt;&gt;"",$K13,$J13)&lt;Setup!$D$11,"red",IF(IF($K13&lt;&gt;"",$K13,$J13)&lt;=Setup!$D$11+Setup!$D$18,"orange","")))))))))</f>
        <v>orange</v>
      </c>
    </row>
    <row r="14" customFormat="false" ht="25.5" hidden="false" customHeight="true" outlineLevel="0" collapsed="false">
      <c r="B14" s="30" t="s">
        <v>112</v>
      </c>
      <c r="C14" s="26" t="str">
        <f aca="false">IF($B14="","",IF(COUNTIF(Register!$B$7:$B$26,$B14)=0,"not on the Register",VLOOKUP($B14,Register!$B$7:$C$26,2,FALSE())))</f>
        <v>Brayford Chamber of Commerce</v>
      </c>
      <c r="D14" s="26" t="str">
        <f aca="false">IF($B14="","",IF(COUNTIF(Register!$B$7:$B$26,$B14)=0,"",VLOOKUP($B14,Register!$B$7:$H$26,7,FALSE())))</f>
        <v>Keep in the loop</v>
      </c>
      <c r="E14" s="31" t="s">
        <v>183</v>
      </c>
      <c r="F14" s="31" t="s">
        <v>182</v>
      </c>
      <c r="G14" s="31" t="s">
        <v>109</v>
      </c>
      <c r="H14" s="44" t="n">
        <v>4</v>
      </c>
      <c r="I14" s="28" t="n">
        <f aca="false">IF($B14="","",IF(COUNTIF(Register!$B$7:$B$26,$B14)=0,"",IF(VLOOKUP($B14,Register!$B$7:$O$26,14,FALSE())="","",VLOOKUP($B14,Register!$B$7:$O$26,14,FALSE()))))</f>
        <v>46223</v>
      </c>
      <c r="J14" s="28" t="n">
        <f aca="false">IF(OR($I14="",$H14="",$H14=0),"",$I14+$H14*7)</f>
        <v>46251</v>
      </c>
      <c r="K14" s="45"/>
      <c r="L14" s="26" t="str">
        <f aca="false">IF($B14="","",IF(AND($K14="",$J14=""),"Not set",IF(IF($K14&lt;&gt;"",$K14,$J14)&lt;Setup!$D$11,"Overdue",IF(IF($K14&lt;&gt;"",$K14,$J14)&lt;=Setup!$D$11+Setup!$D$18,"Due soon","In hand"))))</f>
        <v>Overdue</v>
      </c>
      <c r="M14" s="26" t="str">
        <f aca="false">IF($B14="","",IF(COUNTIF(Register!$B$7:$B$26,$B14)=0,$B14&amp;" is not on the Register",IF(COUNTIF($B$7:$B$26,$B14)&gt;1,"this stakeholder is on the plan twice",IF($E14="","say what you are promising them",IF($G14="","name who leads it",IF(OR($H14="",$H14=0),"set how often you will contact them",IF($I14="","no contact recorded on the Log",IF(IF($K14&lt;&gt;"",$K14,$J14)&lt;Setup!$D$11,"overdue by "&amp;(Setup!$D$11-IF($K14&lt;&gt;"",$K14,$J14))&amp;" days",IF(IF($K14&lt;&gt;"",$K14,$J14)&lt;=Setup!$D$11+Setup!$D$18,"","")))))))))</f>
        <v>overdue by 2 days</v>
      </c>
      <c r="O14" s="0" t="str">
        <f aca="false">IF($B14="","grey",IF(COUNTIF(Register!$B$7:$B$26,$B14)=0,"amber",IF(COUNTIF($B$7:$B$26,$B14)&gt;1,"amber",IF($E14="","amber",IF($G14="","amber",IF(OR($H14="",$H14=0),"amber",IF($I14="","orange",IF(IF($K14&lt;&gt;"",$K14,$J14)&lt;Setup!$D$11,"red",IF(IF($K14&lt;&gt;"",$K14,$J14)&lt;=Setup!$D$11+Setup!$D$18,"orange","")))))))))</f>
        <v>red</v>
      </c>
    </row>
    <row r="15" customFormat="false" ht="25.5" hidden="false" customHeight="true" outlineLevel="0" collapsed="false">
      <c r="B15" s="23" t="s">
        <v>118</v>
      </c>
      <c r="C15" s="26" t="str">
        <f aca="false">IF($B15="","",IF(COUNTIF(Register!$B$7:$B$26,$B15)=0,"not on the Register",VLOOKUP($B15,Register!$B$7:$C$26,2,FALSE())))</f>
        <v>Halloway Road traders</v>
      </c>
      <c r="D15" s="26" t="str">
        <f aca="false">IF($B15="","",IF(COUNTIF(Register!$B$7:$B$26,$B15)=0,"",VLOOKUP($B15,Register!$B$7:$H$26,7,FALSE())))</f>
        <v>Keep in the loop</v>
      </c>
      <c r="E15" s="24" t="s">
        <v>186</v>
      </c>
      <c r="F15" s="24" t="s">
        <v>187</v>
      </c>
      <c r="G15" s="24" t="s">
        <v>109</v>
      </c>
      <c r="H15" s="42" t="n">
        <v>2</v>
      </c>
      <c r="I15" s="28" t="n">
        <f aca="false">IF($B15="","",IF(COUNTIF(Register!$B$7:$B$26,$B15)=0,"",IF(VLOOKUP($B15,Register!$B$7:$O$26,14,FALSE())="","",VLOOKUP($B15,Register!$B$7:$O$26,14,FALSE()))))</f>
        <v>46248</v>
      </c>
      <c r="J15" s="28" t="n">
        <f aca="false">IF(OR($I15="",$H15="",$H15=0),"",$I15+$H15*7)</f>
        <v>46262</v>
      </c>
      <c r="K15" s="43" t="n">
        <f aca="false">Setup!$D$11+3</f>
        <v>46256</v>
      </c>
      <c r="L15" s="26" t="str">
        <f aca="false">IF($B15="","",IF(AND($K15="",$J15=""),"Not set",IF(IF($K15&lt;&gt;"",$K15,$J15)&lt;Setup!$D$11,"Overdue",IF(IF($K15&lt;&gt;"",$K15,$J15)&lt;=Setup!$D$11+Setup!$D$18,"Due soon","In hand"))))</f>
        <v>Due soon</v>
      </c>
      <c r="M15" s="26" t="str">
        <f aca="false">IF($B15="","",IF(COUNTIF(Register!$B$7:$B$26,$B15)=0,$B15&amp;" is not on the Register",IF(COUNTIF($B$7:$B$26,$B15)&gt;1,"this stakeholder is on the plan twice",IF($E15="","say what you are promising them",IF($G15="","name who leads it",IF(OR($H15="",$H15=0),"set how often you will contact them",IF($I15="","no contact recorded on the Log",IF(IF($K15&lt;&gt;"",$K15,$J15)&lt;Setup!$D$11,"overdue by "&amp;(Setup!$D$11-IF($K15&lt;&gt;"",$K15,$J15))&amp;" days",IF(IF($K15&lt;&gt;"",$K15,$J15)&lt;=Setup!$D$11+Setup!$D$18,"","")))))))))</f>
        <v/>
      </c>
      <c r="O15" s="0" t="str">
        <f aca="false">IF($B15="","grey",IF(COUNTIF(Register!$B$7:$B$26,$B15)=0,"amber",IF(COUNTIF($B$7:$B$26,$B15)&gt;1,"amber",IF($E15="","amber",IF($G15="","amber",IF(OR($H15="",$H15=0),"amber",IF($I15="","orange",IF(IF($K15&lt;&gt;"",$K15,$J15)&lt;Setup!$D$11,"red",IF(IF($K15&lt;&gt;"",$K15,$J15)&lt;=Setup!$D$11+Setup!$D$18,"orange","")))))))))</f>
        <v>orange</v>
      </c>
    </row>
    <row r="16" customFormat="false" ht="25.5" hidden="false" customHeight="true" outlineLevel="0" collapsed="false">
      <c r="B16" s="30" t="s">
        <v>120</v>
      </c>
      <c r="C16" s="26" t="str">
        <f aca="false">IF($B16="","",IF(COUNTIF(Register!$B$7:$B$26,$B16)=0,"not on the Register",VLOOKUP($B16,Register!$B$7:$C$26,2,FALSE())))</f>
        <v>Brayford Residents Association</v>
      </c>
      <c r="D16" s="26" t="str">
        <f aca="false">IF($B16="","",IF(COUNTIF(Register!$B$7:$B$26,$B16)=0,"",VLOOKUP($B16,Register!$B$7:$H$26,7,FALSE())))</f>
        <v>Keep in the loop</v>
      </c>
      <c r="E16" s="31" t="s">
        <v>183</v>
      </c>
      <c r="F16" s="31" t="s">
        <v>188</v>
      </c>
      <c r="G16" s="31" t="s">
        <v>109</v>
      </c>
      <c r="H16" s="44" t="n">
        <v>6</v>
      </c>
      <c r="I16" s="28" t="n">
        <f aca="false">IF($B16="","",IF(COUNTIF(Register!$B$7:$B$26,$B16)=0,"",IF(VLOOKUP($B16,Register!$B$7:$O$26,14,FALSE())="","",VLOOKUP($B16,Register!$B$7:$O$26,14,FALSE()))))</f>
        <v>46232</v>
      </c>
      <c r="J16" s="28" t="n">
        <f aca="false">IF(OR($I16="",$H16="",$H16=0),"",$I16+$H16*7)</f>
        <v>46274</v>
      </c>
      <c r="K16" s="45" t="n">
        <f aca="false">Setup!$D$11+17</f>
        <v>46270</v>
      </c>
      <c r="L16" s="26" t="str">
        <f aca="false">IF($B16="","",IF(AND($K16="",$J16=""),"Not set",IF(IF($K16&lt;&gt;"",$K16,$J16)&lt;Setup!$D$11,"Overdue",IF(IF($K16&lt;&gt;"",$K16,$J16)&lt;=Setup!$D$11+Setup!$D$18,"Due soon","In hand"))))</f>
        <v>In hand</v>
      </c>
      <c r="M16" s="26" t="str">
        <f aca="false">IF($B16="","",IF(COUNTIF(Register!$B$7:$B$26,$B16)=0,$B16&amp;" is not on the Register",IF(COUNTIF($B$7:$B$26,$B16)&gt;1,"this stakeholder is on the plan twice",IF($E16="","say what you are promising them",IF($G16="","name who leads it",IF(OR($H16="",$H16=0),"set how often you will contact them",IF($I16="","no contact recorded on the Log",IF(IF($K16&lt;&gt;"",$K16,$J16)&lt;Setup!$D$11,"overdue by "&amp;(Setup!$D$11-IF($K16&lt;&gt;"",$K16,$J16))&amp;" days",IF(IF($K16&lt;&gt;"",$K16,$J16)&lt;=Setup!$D$11+Setup!$D$18,"","")))))))))</f>
        <v/>
      </c>
      <c r="O16" s="0" t="str">
        <f aca="false">IF($B16="","grey",IF(COUNTIF(Register!$B$7:$B$26,$B16)=0,"amber",IF(COUNTIF($B$7:$B$26,$B16)&gt;1,"amber",IF($E16="","amber",IF($G16="","amber",IF(OR($H16="",$H16=0),"amber",IF($I16="","orange",IF(IF($K16&lt;&gt;"",$K16,$J16)&lt;Setup!$D$11,"red",IF(IF($K16&lt;&gt;"",$K16,$J16)&lt;=Setup!$D$11+Setup!$D$18,"orange","")))))))))</f>
        <v/>
      </c>
    </row>
    <row r="17" customFormat="false" ht="25.5" hidden="false" customHeight="true" outlineLevel="0" collapsed="false">
      <c r="B17" s="23" t="s">
        <v>123</v>
      </c>
      <c r="C17" s="26" t="str">
        <f aca="false">IF($B17="","",IF(COUNTIF(Register!$B$7:$B$26,$B17)=0,"not on the Register",VLOOKUP($B17,Register!$B$7:$C$26,2,FALSE())))</f>
        <v>Cycling advocacy group</v>
      </c>
      <c r="D17" s="26" t="str">
        <f aca="false">IF($B17="","",IF(COUNTIF(Register!$B$7:$B$26,$B17)=0,"",VLOOKUP($B17,Register!$B$7:$H$26,7,FALSE())))</f>
        <v>Keep in the loop</v>
      </c>
      <c r="E17" s="24" t="s">
        <v>183</v>
      </c>
      <c r="F17" s="24" t="s">
        <v>182</v>
      </c>
      <c r="G17" s="24" t="s">
        <v>126</v>
      </c>
      <c r="H17" s="42" t="n">
        <v>8</v>
      </c>
      <c r="I17" s="28" t="n">
        <f aca="false">IF($B17="","",IF(COUNTIF(Register!$B$7:$B$26,$B17)=0,"",IF(VLOOKUP($B17,Register!$B$7:$O$26,14,FALSE())="","",VLOOKUP($B17,Register!$B$7:$O$26,14,FALSE()))))</f>
        <v>46239</v>
      </c>
      <c r="J17" s="28" t="n">
        <f aca="false">IF(OR($I17="",$H17="",$H17=0),"",$I17+$H17*7)</f>
        <v>46295</v>
      </c>
      <c r="K17" s="43"/>
      <c r="L17" s="26" t="str">
        <f aca="false">IF($B17="","",IF(AND($K17="",$J17=""),"Not set",IF(IF($K17&lt;&gt;"",$K17,$J17)&lt;Setup!$D$11,"Overdue",IF(IF($K17&lt;&gt;"",$K17,$J17)&lt;=Setup!$D$11+Setup!$D$18,"Due soon","In hand"))))</f>
        <v>In hand</v>
      </c>
      <c r="M17" s="26" t="str">
        <f aca="false">IF($B17="","",IF(COUNTIF(Register!$B$7:$B$26,$B17)=0,$B17&amp;" is not on the Register",IF(COUNTIF($B$7:$B$26,$B17)&gt;1,"this stakeholder is on the plan twice",IF($E17="","say what you are promising them",IF($G17="","name who leads it",IF(OR($H17="",$H17=0),"set how often you will contact them",IF($I17="","no contact recorded on the Log",IF(IF($K17&lt;&gt;"",$K17,$J17)&lt;Setup!$D$11,"overdue by "&amp;(Setup!$D$11-IF($K17&lt;&gt;"",$K17,$J17))&amp;" days",IF(IF($K17&lt;&gt;"",$K17,$J17)&lt;=Setup!$D$11+Setup!$D$18,"","")))))))))</f>
        <v/>
      </c>
      <c r="O17" s="0" t="str">
        <f aca="false">IF($B17="","grey",IF(COUNTIF(Register!$B$7:$B$26,$B17)=0,"amber",IF(COUNTIF($B$7:$B$26,$B17)&gt;1,"amber",IF($E17="","amber",IF($G17="","amber",IF(OR($H17="",$H17=0),"amber",IF($I17="","orange",IF(IF($K17&lt;&gt;"",$K17,$J17)&lt;Setup!$D$11,"red",IF(IF($K17&lt;&gt;"",$K17,$J17)&lt;=Setup!$D$11+Setup!$D$18,"orange","")))))))))</f>
        <v/>
      </c>
    </row>
    <row r="18" customFormat="false" ht="25.5" hidden="false" customHeight="true" outlineLevel="0" collapsed="false">
      <c r="B18" s="30" t="s">
        <v>127</v>
      </c>
      <c r="C18" s="26" t="str">
        <f aca="false">IF($B18="","",IF(COUNTIF(Register!$B$7:$B$26,$B18)=0,"not on the Register",VLOOKUP($B18,Register!$B$7:$C$26,2,FALSE())))</f>
        <v>Brayford Primary School</v>
      </c>
      <c r="D18" s="26" t="str">
        <f aca="false">IF($B18="","",IF(COUNTIF(Register!$B$7:$B$26,$B18)=0,"",VLOOKUP($B18,Register!$B$7:$H$26,7,FALSE())))</f>
        <v>Keep in the loop</v>
      </c>
      <c r="E18" s="31" t="s">
        <v>185</v>
      </c>
      <c r="F18" s="31" t="s">
        <v>189</v>
      </c>
      <c r="G18" s="31" t="s">
        <v>109</v>
      </c>
      <c r="H18" s="44" t="n">
        <v>8</v>
      </c>
      <c r="I18" s="28" t="n">
        <f aca="false">IF($B18="","",IF(COUNTIF(Register!$B$7:$B$26,$B18)=0,"",IF(VLOOKUP($B18,Register!$B$7:$O$26,14,FALSE())="","",VLOOKUP($B18,Register!$B$7:$O$26,14,FALSE()))))</f>
        <v>46220</v>
      </c>
      <c r="J18" s="28" t="n">
        <f aca="false">IF(OR($I18="",$H18="",$H18=0),"",$I18+$H18*7)</f>
        <v>46276</v>
      </c>
      <c r="K18" s="45"/>
      <c r="L18" s="26" t="str">
        <f aca="false">IF($B18="","",IF(AND($K18="",$J18=""),"Not set",IF(IF($K18&lt;&gt;"",$K18,$J18)&lt;Setup!$D$11,"Overdue",IF(IF($K18&lt;&gt;"",$K18,$J18)&lt;=Setup!$D$11+Setup!$D$18,"Due soon","In hand"))))</f>
        <v>In hand</v>
      </c>
      <c r="M18" s="26" t="str">
        <f aca="false">IF($B18="","",IF(COUNTIF(Register!$B$7:$B$26,$B18)=0,$B18&amp;" is not on the Register",IF(COUNTIF($B$7:$B$26,$B18)&gt;1,"this stakeholder is on the plan twice",IF($E18="","say what you are promising them",IF($G18="","name who leads it",IF(OR($H18="",$H18=0),"set how often you will contact them",IF($I18="","no contact recorded on the Log",IF(IF($K18&lt;&gt;"",$K18,$J18)&lt;Setup!$D$11,"overdue by "&amp;(Setup!$D$11-IF($K18&lt;&gt;"",$K18,$J18))&amp;" days",IF(IF($K18&lt;&gt;"",$K18,$J18)&lt;=Setup!$D$11+Setup!$D$18,"","")))))))))</f>
        <v/>
      </c>
      <c r="O18" s="0" t="str">
        <f aca="false">IF($B18="","grey",IF(COUNTIF(Register!$B$7:$B$26,$B18)=0,"amber",IF(COUNTIF($B$7:$B$26,$B18)&gt;1,"amber",IF($E18="","amber",IF($G18="","amber",IF(OR($H18="",$H18=0),"amber",IF($I18="","orange",IF(IF($K18&lt;&gt;"",$K18,$J18)&lt;Setup!$D$11,"red",IF(IF($K18&lt;&gt;"",$K18,$J18)&lt;=Setup!$D$11+Setup!$D$18,"orange","")))))))))</f>
        <v/>
      </c>
    </row>
    <row r="19" customFormat="false" ht="25.5" hidden="false" customHeight="true" outlineLevel="0" collapsed="false">
      <c r="B19" s="23" t="s">
        <v>130</v>
      </c>
      <c r="C19" s="26" t="str">
        <f aca="false">IF($B19="","",IF(COUNTIF(Register!$B$7:$B$26,$B19)=0,"not on the Register",VLOOKUP($B19,Register!$B$7:$C$26,2,FALSE())))</f>
        <v>Bus operator</v>
      </c>
      <c r="D19" s="26" t="str">
        <f aca="false">IF($B19="","",IF(COUNTIF(Register!$B$7:$B$26,$B19)=0,"",VLOOKUP($B19,Register!$B$7:$H$26,7,FALSE())))</f>
        <v>Watch</v>
      </c>
      <c r="E19" s="24" t="s">
        <v>183</v>
      </c>
      <c r="F19" s="24" t="s">
        <v>182</v>
      </c>
      <c r="G19" s="24" t="s">
        <v>91</v>
      </c>
      <c r="H19" s="42" t="n">
        <v>4</v>
      </c>
      <c r="I19" s="28" t="n">
        <f aca="false">IF($B19="","",IF(COUNTIF(Register!$B$7:$B$26,$B19)=0,"",IF(VLOOKUP($B19,Register!$B$7:$O$26,14,FALSE())="","",VLOOKUP($B19,Register!$B$7:$O$26,14,FALSE()))))</f>
        <v>46227</v>
      </c>
      <c r="J19" s="28" t="n">
        <f aca="false">IF(OR($I19="",$H19="",$H19=0),"",$I19+$H19*7)</f>
        <v>46255</v>
      </c>
      <c r="K19" s="43"/>
      <c r="L19" s="26" t="str">
        <f aca="false">IF($B19="","",IF(AND($K19="",$J19=""),"Not set",IF(IF($K19&lt;&gt;"",$K19,$J19)&lt;Setup!$D$11,"Overdue",IF(IF($K19&lt;&gt;"",$K19,$J19)&lt;=Setup!$D$11+Setup!$D$18,"Due soon","In hand"))))</f>
        <v>Due soon</v>
      </c>
      <c r="M19" s="26" t="str">
        <f aca="false">IF($B19="","",IF(COUNTIF(Register!$B$7:$B$26,$B19)=0,$B19&amp;" is not on the Register",IF(COUNTIF($B$7:$B$26,$B19)&gt;1,"this stakeholder is on the plan twice",IF($E19="","say what you are promising them",IF($G19="","name who leads it",IF(OR($H19="",$H19=0),"set how often you will contact them",IF($I19="","no contact recorded on the Log",IF(IF($K19&lt;&gt;"",$K19,$J19)&lt;Setup!$D$11,"overdue by "&amp;(Setup!$D$11-IF($K19&lt;&gt;"",$K19,$J19))&amp;" days",IF(IF($K19&lt;&gt;"",$K19,$J19)&lt;=Setup!$D$11+Setup!$D$18,"","")))))))))</f>
        <v/>
      </c>
      <c r="O19" s="0" t="str">
        <f aca="false">IF($B19="","grey",IF(COUNTIF(Register!$B$7:$B$26,$B19)=0,"amber",IF(COUNTIF($B$7:$B$26,$B19)&gt;1,"amber",IF($E19="","amber",IF($G19="","amber",IF(OR($H19="",$H19=0),"amber",IF($I19="","orange",IF(IF($K19&lt;&gt;"",$K19,$J19)&lt;Setup!$D$11,"red",IF(IF($K19&lt;&gt;"",$K19,$J19)&lt;=Setup!$D$11+Setup!$D$18,"orange","")))))))))</f>
        <v>orange</v>
      </c>
    </row>
    <row r="20" customFormat="false" ht="25.5" hidden="false" customHeight="true" outlineLevel="0" collapsed="false">
      <c r="B20" s="30" t="s">
        <v>132</v>
      </c>
      <c r="C20" s="26" t="str">
        <f aca="false">IF($B20="","",IF(COUNTIF(Register!$B$7:$B$26,$B20)=0,"not on the Register",VLOOKUP($B20,Register!$B$7:$C$26,2,FALSE())))</f>
        <v>Member for Brayford</v>
      </c>
      <c r="D20" s="26" t="str">
        <f aca="false">IF($B20="","",IF(COUNTIF(Register!$B$7:$B$26,$B20)=0,"",VLOOKUP($B20,Register!$B$7:$H$26,7,FALSE())))</f>
        <v>Keep on side</v>
      </c>
      <c r="E20" s="31" t="s">
        <v>185</v>
      </c>
      <c r="F20" s="31" t="s">
        <v>182</v>
      </c>
      <c r="G20" s="31" t="s">
        <v>135</v>
      </c>
      <c r="H20" s="44" t="n">
        <v>12</v>
      </c>
      <c r="I20" s="28" t="n">
        <f aca="false">IF($B20="","",IF(COUNTIF(Register!$B$7:$B$26,$B20)=0,"",IF(VLOOKUP($B20,Register!$B$7:$O$26,14,FALSE())="","",VLOOKUP($B20,Register!$B$7:$O$26,14,FALSE()))))</f>
        <v>46209</v>
      </c>
      <c r="J20" s="28" t="n">
        <f aca="false">IF(OR($I20="",$H20="",$H20=0),"",$I20+$H20*7)</f>
        <v>46293</v>
      </c>
      <c r="K20" s="45"/>
      <c r="L20" s="26" t="str">
        <f aca="false">IF($B20="","",IF(AND($K20="",$J20=""),"Not set",IF(IF($K20&lt;&gt;"",$K20,$J20)&lt;Setup!$D$11,"Overdue",IF(IF($K20&lt;&gt;"",$K20,$J20)&lt;=Setup!$D$11+Setup!$D$18,"Due soon","In hand"))))</f>
        <v>In hand</v>
      </c>
      <c r="M20" s="26" t="str">
        <f aca="false">IF($B20="","",IF(COUNTIF(Register!$B$7:$B$26,$B20)=0,$B20&amp;" is not on the Register",IF(COUNTIF($B$7:$B$26,$B20)&gt;1,"this stakeholder is on the plan twice",IF($E20="","say what you are promising them",IF($G20="","name who leads it",IF(OR($H20="",$H20=0),"set how often you will contact them",IF($I20="","no contact recorded on the Log",IF(IF($K20&lt;&gt;"",$K20,$J20)&lt;Setup!$D$11,"overdue by "&amp;(Setup!$D$11-IF($K20&lt;&gt;"",$K20,$J20))&amp;" days",IF(IF($K20&lt;&gt;"",$K20,$J20)&lt;=Setup!$D$11+Setup!$D$18,"","")))))))))</f>
        <v/>
      </c>
      <c r="O20" s="0" t="str">
        <f aca="false">IF($B20="","grey",IF(COUNTIF(Register!$B$7:$B$26,$B20)=0,"amber",IF(COUNTIF($B$7:$B$26,$B20)&gt;1,"amber",IF($E20="","amber",IF($G20="","amber",IF(OR($H20="",$H20=0),"amber",IF($I20="","orange",IF(IF($K20&lt;&gt;"",$K20,$J20)&lt;Setup!$D$11,"red",IF(IF($K20&lt;&gt;"",$K20,$J20)&lt;=Setup!$D$11+Setup!$D$18,"orange","")))))))))</f>
        <v/>
      </c>
    </row>
    <row r="21" customFormat="false" ht="25.5" hidden="false" customHeight="true" outlineLevel="0" collapsed="false">
      <c r="B21" s="23" t="s">
        <v>137</v>
      </c>
      <c r="C21" s="26" t="str">
        <f aca="false">IF($B21="","",IF(COUNTIF(Register!$B$7:$B$26,$B21)=0,"not on the Register",VLOOKUP($B21,Register!$B$7:$C$26,2,FALSE())))</f>
        <v>Emergency services</v>
      </c>
      <c r="D21" s="26" t="str">
        <f aca="false">IF($B21="","",IF(COUNTIF(Register!$B$7:$B$26,$B21)=0,"",VLOOKUP($B21,Register!$B$7:$H$26,7,FALSE())))</f>
        <v>Watch</v>
      </c>
      <c r="E21" s="24" t="s">
        <v>183</v>
      </c>
      <c r="F21" s="24" t="s">
        <v>182</v>
      </c>
      <c r="G21" s="24" t="s">
        <v>91</v>
      </c>
      <c r="H21" s="42" t="n">
        <v>8</v>
      </c>
      <c r="I21" s="28" t="n">
        <f aca="false">IF($B21="","",IF(COUNTIF(Register!$B$7:$B$26,$B21)=0,"",IF(VLOOKUP($B21,Register!$B$7:$O$26,14,FALSE())="","",VLOOKUP($B21,Register!$B$7:$O$26,14,FALSE()))))</f>
        <v>46202</v>
      </c>
      <c r="J21" s="28" t="n">
        <f aca="false">IF(OR($I21="",$H21="",$H21=0),"",$I21+$H21*7)</f>
        <v>46258</v>
      </c>
      <c r="K21" s="43"/>
      <c r="L21" s="26" t="str">
        <f aca="false">IF($B21="","",IF(AND($K21="",$J21=""),"Not set",IF(IF($K21&lt;&gt;"",$K21,$J21)&lt;Setup!$D$11,"Overdue",IF(IF($K21&lt;&gt;"",$K21,$J21)&lt;=Setup!$D$11+Setup!$D$18,"Due soon","In hand"))))</f>
        <v>Due soon</v>
      </c>
      <c r="M21" s="26" t="str">
        <f aca="false">IF($B21="","",IF(COUNTIF(Register!$B$7:$B$26,$B21)=0,$B21&amp;" is not on the Register",IF(COUNTIF($B$7:$B$26,$B21)&gt;1,"this stakeholder is on the plan twice",IF($E21="","say what you are promising them",IF($G21="","name who leads it",IF(OR($H21="",$H21=0),"set how often you will contact them",IF($I21="","no contact recorded on the Log",IF(IF($K21&lt;&gt;"",$K21,$J21)&lt;Setup!$D$11,"overdue by "&amp;(Setup!$D$11-IF($K21&lt;&gt;"",$K21,$J21))&amp;" days",IF(IF($K21&lt;&gt;"",$K21,$J21)&lt;=Setup!$D$11+Setup!$D$18,"","")))))))))</f>
        <v/>
      </c>
      <c r="O21" s="0" t="str">
        <f aca="false">IF($B21="","grey",IF(COUNTIF(Register!$B$7:$B$26,$B21)=0,"amber",IF(COUNTIF($B$7:$B$26,$B21)&gt;1,"amber",IF($E21="","amber",IF($G21="","amber",IF(OR($H21="",$H21=0),"amber",IF($I21="","orange",IF(IF($K21&lt;&gt;"",$K21,$J21)&lt;Setup!$D$11,"red",IF(IF($K21&lt;&gt;"",$K21,$J21)&lt;=Setup!$D$11+Setup!$D$18,"orange","")))))))))</f>
        <v>orange</v>
      </c>
    </row>
    <row r="22" customFormat="false" ht="25.5" hidden="false" customHeight="true" outlineLevel="0" collapsed="false">
      <c r="B22" s="30" t="s">
        <v>140</v>
      </c>
      <c r="C22" s="26" t="str">
        <f aca="false">IF($B22="","",IF(COUNTIF(Register!$B$7:$B$26,$B22)=0,"not on the Register",VLOOKUP($B22,Register!$B$7:$C$26,2,FALSE())))</f>
        <v>Principal contractor</v>
      </c>
      <c r="D22" s="26" t="str">
        <f aca="false">IF($B22="","",IF(COUNTIF(Register!$B$7:$B$26,$B22)=0,"",VLOOKUP($B22,Register!$B$7:$H$26,7,FALSE())))</f>
        <v>Work with them</v>
      </c>
      <c r="E22" s="31" t="s">
        <v>181</v>
      </c>
      <c r="F22" s="31" t="s">
        <v>182</v>
      </c>
      <c r="G22" s="31" t="s">
        <v>135</v>
      </c>
      <c r="H22" s="44" t="n">
        <v>1</v>
      </c>
      <c r="I22" s="28" t="n">
        <f aca="false">IF($B22="","",IF(COUNTIF(Register!$B$7:$B$26,$B22)=0,"",IF(VLOOKUP($B22,Register!$B$7:$O$26,14,FALSE())="","",VLOOKUP($B22,Register!$B$7:$O$26,14,FALSE()))))</f>
        <v>46251</v>
      </c>
      <c r="J22" s="28" t="n">
        <f aca="false">IF(OR($I22="",$H22="",$H22=0),"",$I22+$H22*7)</f>
        <v>46258</v>
      </c>
      <c r="K22" s="45" t="n">
        <f aca="false">Setup!$D$11+1</f>
        <v>46254</v>
      </c>
      <c r="L22" s="26" t="str">
        <f aca="false">IF($B22="","",IF(AND($K22="",$J22=""),"Not set",IF(IF($K22&lt;&gt;"",$K22,$J22)&lt;Setup!$D$11,"Overdue",IF(IF($K22&lt;&gt;"",$K22,$J22)&lt;=Setup!$D$11+Setup!$D$18,"Due soon","In hand"))))</f>
        <v>Due soon</v>
      </c>
      <c r="M22" s="26" t="str">
        <f aca="false">IF($B22="","",IF(COUNTIF(Register!$B$7:$B$26,$B22)=0,$B22&amp;" is not on the Register",IF(COUNTIF($B$7:$B$26,$B22)&gt;1,"this stakeholder is on the plan twice",IF($E22="","say what you are promising them",IF($G22="","name who leads it",IF(OR($H22="",$H22=0),"set how often you will contact them",IF($I22="","no contact recorded on the Log",IF(IF($K22&lt;&gt;"",$K22,$J22)&lt;Setup!$D$11,"overdue by "&amp;(Setup!$D$11-IF($K22&lt;&gt;"",$K22,$J22))&amp;" days",IF(IF($K22&lt;&gt;"",$K22,$J22)&lt;=Setup!$D$11+Setup!$D$18,"","")))))))))</f>
        <v/>
      </c>
      <c r="O22" s="0" t="str">
        <f aca="false">IF($B22="","grey",IF(COUNTIF(Register!$B$7:$B$26,$B22)=0,"amber",IF(COUNTIF($B$7:$B$26,$B22)&gt;1,"amber",IF($E22="","amber",IF($G22="","amber",IF(OR($H22="",$H22=0),"amber",IF($I22="","orange",IF(IF($K22&lt;&gt;"",$K22,$J22)&lt;Setup!$D$11,"red",IF(IF($K22&lt;&gt;"",$K22,$J22)&lt;=Setup!$D$11+Setup!$D$18,"orange","")))))))))</f>
        <v>orange</v>
      </c>
    </row>
    <row r="23" customFormat="false" ht="25.5" hidden="false" customHeight="true" outlineLevel="0" collapsed="false">
      <c r="B23" s="23" t="s">
        <v>145</v>
      </c>
      <c r="C23" s="26" t="str">
        <f aca="false">IF($B23="","",IF(COUNTIF(Register!$B$7:$B$26,$B23)=0,"not on the Register",VLOOKUP($B23,Register!$B$7:$C$26,2,FALSE())))</f>
        <v>Local newspaper</v>
      </c>
      <c r="D23" s="26" t="str">
        <f aca="false">IF($B23="","",IF(COUNTIF(Register!$B$7:$B$26,$B23)=0,"",VLOOKUP($B23,Register!$B$7:$H$26,7,FALSE())))</f>
        <v>Watch</v>
      </c>
      <c r="E23" s="24" t="s">
        <v>185</v>
      </c>
      <c r="F23" s="24" t="s">
        <v>184</v>
      </c>
      <c r="G23" s="24" t="s">
        <v>148</v>
      </c>
      <c r="H23" s="42" t="n">
        <v>12</v>
      </c>
      <c r="I23" s="28" t="n">
        <f aca="false">IF($B23="","",IF(COUNTIF(Register!$B$7:$B$26,$B23)=0,"",IF(VLOOKUP($B23,Register!$B$7:$O$26,14,FALSE())="","",VLOOKUP($B23,Register!$B$7:$O$26,14,FALSE()))))</f>
        <v>46193</v>
      </c>
      <c r="J23" s="28" t="n">
        <f aca="false">IF(OR($I23="",$H23="",$H23=0),"",$I23+$H23*7)</f>
        <v>46277</v>
      </c>
      <c r="K23" s="43"/>
      <c r="L23" s="26" t="str">
        <f aca="false">IF($B23="","",IF(AND($K23="",$J23=""),"Not set",IF(IF($K23&lt;&gt;"",$K23,$J23)&lt;Setup!$D$11,"Overdue",IF(IF($K23&lt;&gt;"",$K23,$J23)&lt;=Setup!$D$11+Setup!$D$18,"Due soon","In hand"))))</f>
        <v>In hand</v>
      </c>
      <c r="M23" s="26" t="str">
        <f aca="false">IF($B23="","",IF(COUNTIF(Register!$B$7:$B$26,$B23)=0,$B23&amp;" is not on the Register",IF(COUNTIF($B$7:$B$26,$B23)&gt;1,"this stakeholder is on the plan twice",IF($E23="","say what you are promising them",IF($G23="","name who leads it",IF(OR($H23="",$H23=0),"set how often you will contact them",IF($I23="","no contact recorded on the Log",IF(IF($K23&lt;&gt;"",$K23,$J23)&lt;Setup!$D$11,"overdue by "&amp;(Setup!$D$11-IF($K23&lt;&gt;"",$K23,$J23))&amp;" days",IF(IF($K23&lt;&gt;"",$K23,$J23)&lt;=Setup!$D$11+Setup!$D$18,"","")))))))))</f>
        <v/>
      </c>
      <c r="O23" s="0" t="str">
        <f aca="false">IF($B23="","grey",IF(COUNTIF(Register!$B$7:$B$26,$B23)=0,"amber",IF(COUNTIF($B$7:$B$26,$B23)&gt;1,"amber",IF($E23="","amber",IF($G23="","amber",IF(OR($H23="",$H23=0),"amber",IF($I23="","orange",IF(IF($K23&lt;&gt;"",$K23,$J23)&lt;Setup!$D$11,"red",IF(IF($K23&lt;&gt;"",$K23,$J23)&lt;=Setup!$D$11+Setup!$D$18,"orange","")))))))))</f>
        <v/>
      </c>
    </row>
    <row r="24" customFormat="false" ht="25.5" hidden="false" customHeight="true" outlineLevel="0" collapsed="false">
      <c r="B24" s="30"/>
      <c r="C24" s="26" t="str">
        <f aca="false">IF($B24="","",IF(COUNTIF(Register!$B$7:$B$26,$B24)=0,"not on the Register",VLOOKUP($B24,Register!$B$7:$C$26,2,FALSE())))</f>
        <v/>
      </c>
      <c r="D24" s="26" t="str">
        <f aca="false">IF($B24="","",IF(COUNTIF(Register!$B$7:$B$26,$B24)=0,"",VLOOKUP($B24,Register!$B$7:$H$26,7,FALSE())))</f>
        <v/>
      </c>
      <c r="E24" s="31"/>
      <c r="F24" s="31"/>
      <c r="G24" s="31"/>
      <c r="H24" s="44"/>
      <c r="I24" s="28" t="str">
        <f aca="false">IF($B24="","",IF(COUNTIF(Register!$B$7:$B$26,$B24)=0,"",IF(VLOOKUP($B24,Register!$B$7:$O$26,14,FALSE())="","",VLOOKUP($B24,Register!$B$7:$O$26,14,FALSE()))))</f>
        <v/>
      </c>
      <c r="J24" s="28" t="str">
        <f aca="false">IF(OR($I24="",$H24="",$H24=0),"",$I24+$H24*7)</f>
        <v/>
      </c>
      <c r="K24" s="45"/>
      <c r="L24" s="26" t="str">
        <f aca="false">IF($B24="","",IF(AND($K24="",$J24=""),"Not set",IF(IF($K24&lt;&gt;"",$K24,$J24)&lt;Setup!$D$11,"Overdue",IF(IF($K24&lt;&gt;"",$K24,$J24)&lt;=Setup!$D$11+Setup!$D$18,"Due soon","In hand"))))</f>
        <v/>
      </c>
      <c r="M24" s="26" t="str">
        <f aca="false">IF($B24="","",IF(COUNTIF(Register!$B$7:$B$26,$B24)=0,$B24&amp;" is not on the Register",IF(COUNTIF($B$7:$B$26,$B24)&gt;1,"this stakeholder is on the plan twice",IF($E24="","say what you are promising them",IF($G24="","name who leads it",IF(OR($H24="",$H24=0),"set how often you will contact them",IF($I24="","no contact recorded on the Log",IF(IF($K24&lt;&gt;"",$K24,$J24)&lt;Setup!$D$11,"overdue by "&amp;(Setup!$D$11-IF($K24&lt;&gt;"",$K24,$J24))&amp;" days",IF(IF($K24&lt;&gt;"",$K24,$J24)&lt;=Setup!$D$11+Setup!$D$18,"","")))))))))</f>
        <v/>
      </c>
      <c r="O24" s="0" t="str">
        <f aca="false">IF($B24="","grey",IF(COUNTIF(Register!$B$7:$B$26,$B24)=0,"amber",IF(COUNTIF($B$7:$B$26,$B24)&gt;1,"amber",IF($E24="","amber",IF($G24="","amber",IF(OR($H24="",$H24=0),"amber",IF($I24="","orange",IF(IF($K24&lt;&gt;"",$K24,$J24)&lt;Setup!$D$11,"red",IF(IF($K24&lt;&gt;"",$K24,$J24)&lt;=Setup!$D$11+Setup!$D$18,"orange","")))))))))</f>
        <v>grey</v>
      </c>
    </row>
    <row r="25" customFormat="false" ht="25.5" hidden="false" customHeight="true" outlineLevel="0" collapsed="false">
      <c r="B25" s="23"/>
      <c r="C25" s="26" t="str">
        <f aca="false">IF($B25="","",IF(COUNTIF(Register!$B$7:$B$26,$B25)=0,"not on the Register",VLOOKUP($B25,Register!$B$7:$C$26,2,FALSE())))</f>
        <v/>
      </c>
      <c r="D25" s="26" t="str">
        <f aca="false">IF($B25="","",IF(COUNTIF(Register!$B$7:$B$26,$B25)=0,"",VLOOKUP($B25,Register!$B$7:$H$26,7,FALSE())))</f>
        <v/>
      </c>
      <c r="E25" s="24"/>
      <c r="F25" s="24"/>
      <c r="G25" s="24"/>
      <c r="H25" s="42"/>
      <c r="I25" s="28" t="str">
        <f aca="false">IF($B25="","",IF(COUNTIF(Register!$B$7:$B$26,$B25)=0,"",IF(VLOOKUP($B25,Register!$B$7:$O$26,14,FALSE())="","",VLOOKUP($B25,Register!$B$7:$O$26,14,FALSE()))))</f>
        <v/>
      </c>
      <c r="J25" s="28" t="str">
        <f aca="false">IF(OR($I25="",$H25="",$H25=0),"",$I25+$H25*7)</f>
        <v/>
      </c>
      <c r="K25" s="43"/>
      <c r="L25" s="26" t="str">
        <f aca="false">IF($B25="","",IF(AND($K25="",$J25=""),"Not set",IF(IF($K25&lt;&gt;"",$K25,$J25)&lt;Setup!$D$11,"Overdue",IF(IF($K25&lt;&gt;"",$K25,$J25)&lt;=Setup!$D$11+Setup!$D$18,"Due soon","In hand"))))</f>
        <v/>
      </c>
      <c r="M25" s="26" t="str">
        <f aca="false">IF($B25="","",IF(COUNTIF(Register!$B$7:$B$26,$B25)=0,$B25&amp;" is not on the Register",IF(COUNTIF($B$7:$B$26,$B25)&gt;1,"this stakeholder is on the plan twice",IF($E25="","say what you are promising them",IF($G25="","name who leads it",IF(OR($H25="",$H25=0),"set how often you will contact them",IF($I25="","no contact recorded on the Log",IF(IF($K25&lt;&gt;"",$K25,$J25)&lt;Setup!$D$11,"overdue by "&amp;(Setup!$D$11-IF($K25&lt;&gt;"",$K25,$J25))&amp;" days",IF(IF($K25&lt;&gt;"",$K25,$J25)&lt;=Setup!$D$11+Setup!$D$18,"","")))))))))</f>
        <v/>
      </c>
      <c r="O25" s="0" t="str">
        <f aca="false">IF($B25="","grey",IF(COUNTIF(Register!$B$7:$B$26,$B25)=0,"amber",IF(COUNTIF($B$7:$B$26,$B25)&gt;1,"amber",IF($E25="","amber",IF($G25="","amber",IF(OR($H25="",$H25=0),"amber",IF($I25="","orange",IF(IF($K25&lt;&gt;"",$K25,$J25)&lt;Setup!$D$11,"red",IF(IF($K25&lt;&gt;"",$K25,$J25)&lt;=Setup!$D$11+Setup!$D$18,"orange","")))))))))</f>
        <v>grey</v>
      </c>
    </row>
    <row r="26" customFormat="false" ht="25.5" hidden="false" customHeight="true" outlineLevel="0" collapsed="false">
      <c r="B26" s="30"/>
      <c r="C26" s="26" t="str">
        <f aca="false">IF($B26="","",IF(COUNTIF(Register!$B$7:$B$26,$B26)=0,"not on the Register",VLOOKUP($B26,Register!$B$7:$C$26,2,FALSE())))</f>
        <v/>
      </c>
      <c r="D26" s="26" t="str">
        <f aca="false">IF($B26="","",IF(COUNTIF(Register!$B$7:$B$26,$B26)=0,"",VLOOKUP($B26,Register!$B$7:$H$26,7,FALSE())))</f>
        <v/>
      </c>
      <c r="E26" s="31"/>
      <c r="F26" s="31"/>
      <c r="G26" s="31"/>
      <c r="H26" s="44"/>
      <c r="I26" s="28" t="str">
        <f aca="false">IF($B26="","",IF(COUNTIF(Register!$B$7:$B$26,$B26)=0,"",IF(VLOOKUP($B26,Register!$B$7:$O$26,14,FALSE())="","",VLOOKUP($B26,Register!$B$7:$O$26,14,FALSE()))))</f>
        <v/>
      </c>
      <c r="J26" s="28" t="str">
        <f aca="false">IF(OR($I26="",$H26="",$H26=0),"",$I26+$H26*7)</f>
        <v/>
      </c>
      <c r="K26" s="45"/>
      <c r="L26" s="26" t="str">
        <f aca="false">IF($B26="","",IF(AND($K26="",$J26=""),"Not set",IF(IF($K26&lt;&gt;"",$K26,$J26)&lt;Setup!$D$11,"Overdue",IF(IF($K26&lt;&gt;"",$K26,$J26)&lt;=Setup!$D$11+Setup!$D$18,"Due soon","In hand"))))</f>
        <v/>
      </c>
      <c r="M26" s="26" t="str">
        <f aca="false">IF($B26="","",IF(COUNTIF(Register!$B$7:$B$26,$B26)=0,$B26&amp;" is not on the Register",IF(COUNTIF($B$7:$B$26,$B26)&gt;1,"this stakeholder is on the plan twice",IF($E26="","say what you are promising them",IF($G26="","name who leads it",IF(OR($H26="",$H26=0),"set how often you will contact them",IF($I26="","no contact recorded on the Log",IF(IF($K26&lt;&gt;"",$K26,$J26)&lt;Setup!$D$11,"overdue by "&amp;(Setup!$D$11-IF($K26&lt;&gt;"",$K26,$J26))&amp;" days",IF(IF($K26&lt;&gt;"",$K26,$J26)&lt;=Setup!$D$11+Setup!$D$18,"","")))))))))</f>
        <v/>
      </c>
      <c r="O26" s="0" t="str">
        <f aca="false">IF($B26="","grey",IF(COUNTIF(Register!$B$7:$B$26,$B26)=0,"amber",IF(COUNTIF($B$7:$B$26,$B26)&gt;1,"amber",IF($E26="","amber",IF($G26="","amber",IF(OR($H26="",$H26=0),"amber",IF($I26="","orange",IF(IF($K26&lt;&gt;"",$K26,$J26)&lt;Setup!$D$11,"red",IF(IF($K26&lt;&gt;"",$K26,$J26)&lt;=Setup!$D$11+Setup!$D$18,"orange","")))))))))</f>
        <v>grey</v>
      </c>
    </row>
    <row r="28" customFormat="false" ht="18" hidden="false" customHeight="true" outlineLevel="0" collapsed="false">
      <c r="B28" s="20" t="s">
        <v>58</v>
      </c>
      <c r="C28" s="20"/>
      <c r="D28" s="20"/>
      <c r="E28" s="20"/>
      <c r="F28" s="20"/>
      <c r="G28" s="20"/>
      <c r="H28" s="20"/>
      <c r="I28" s="20"/>
      <c r="J28" s="20"/>
      <c r="K28" s="20"/>
      <c r="L28" s="20"/>
      <c r="M28" s="20"/>
    </row>
  </sheetData>
  <autoFilter ref="B6:M26"/>
  <mergeCells count="5">
    <mergeCell ref="B1:M1"/>
    <mergeCell ref="B2:M2"/>
    <mergeCell ref="B3:M3"/>
    <mergeCell ref="B4:M4"/>
    <mergeCell ref="B28:M28"/>
  </mergeCells>
  <conditionalFormatting sqref="B3:M3">
    <cfRule type="expression" priority="2" aboveAverage="0" equalAverage="0" bottom="0" percent="0" rank="0" text="" dxfId="7">
      <formula>LEN($B$3)&gt;0</formula>
    </cfRule>
  </conditionalFormatting>
  <conditionalFormatting sqref="B7:M26">
    <cfRule type="expression" priority="3" aboveAverage="0" equalAverage="0" bottom="0" percent="0" rank="0" text="" dxfId="8">
      <formula>$O7="red"</formula>
    </cfRule>
    <cfRule type="expression" priority="4" aboveAverage="0" equalAverage="0" bottom="0" percent="0" rank="0" text="" dxfId="9">
      <formula>$O7="orange"</formula>
    </cfRule>
    <cfRule type="expression" priority="5" aboveAverage="0" equalAverage="0" bottom="0" percent="0" rank="0" text="" dxfId="7">
      <formula>$O7="amber"</formula>
    </cfRule>
  </conditionalFormatting>
  <dataValidations count="60">
    <dataValidation allowBlank="true" errorStyle="stop" operator="between" showDropDown="false" showErrorMessage="false" showInputMessage="false" sqref="B7" type="list">
      <formula1>Register!$B$7:$B$26</formula1>
      <formula2>0</formula2>
    </dataValidation>
    <dataValidation allowBlank="true" errorStyle="stop" operator="between" showDropDown="false" showErrorMessage="false" showInputMessage="false" sqref="E7" type="list">
      <formula1>Reference!$G$32:$G$36</formula1>
      <formula2>0</formula2>
    </dataValidation>
    <dataValidation allowBlank="true" errorStyle="stop" operator="between" showDropDown="false" showErrorMessage="false" showInputMessage="false" sqref="F7" type="list">
      <formula1>Reference!$E$32:$E$40</formula1>
      <formula2>0</formula2>
    </dataValidation>
    <dataValidation allowBlank="true" errorStyle="stop" operator="between" showDropDown="false" showErrorMessage="false" showInputMessage="false" sqref="B8" type="list">
      <formula1>Register!$B$7:$B$26</formula1>
      <formula2>0</formula2>
    </dataValidation>
    <dataValidation allowBlank="true" errorStyle="stop" operator="between" showDropDown="false" showErrorMessage="false" showInputMessage="false" sqref="E8" type="list">
      <formula1>Reference!$G$32:$G$36</formula1>
      <formula2>0</formula2>
    </dataValidation>
    <dataValidation allowBlank="true" errorStyle="stop" operator="between" showDropDown="false" showErrorMessage="false" showInputMessage="false" sqref="F8" type="list">
      <formula1>Reference!$E$32:$E$40</formula1>
      <formula2>0</formula2>
    </dataValidation>
    <dataValidation allowBlank="true" errorStyle="stop" operator="between" showDropDown="false" showErrorMessage="false" showInputMessage="false" sqref="B9" type="list">
      <formula1>Register!$B$7:$B$26</formula1>
      <formula2>0</formula2>
    </dataValidation>
    <dataValidation allowBlank="true" errorStyle="stop" operator="between" showDropDown="false" showErrorMessage="false" showInputMessage="false" sqref="E9" type="list">
      <formula1>Reference!$G$32:$G$36</formula1>
      <formula2>0</formula2>
    </dataValidation>
    <dataValidation allowBlank="true" errorStyle="stop" operator="between" showDropDown="false" showErrorMessage="false" showInputMessage="false" sqref="F9" type="list">
      <formula1>Reference!$E$32:$E$40</formula1>
      <formula2>0</formula2>
    </dataValidation>
    <dataValidation allowBlank="true" errorStyle="stop" operator="between" showDropDown="false" showErrorMessage="false" showInputMessage="false" sqref="B10" type="list">
      <formula1>Register!$B$7:$B$26</formula1>
      <formula2>0</formula2>
    </dataValidation>
    <dataValidation allowBlank="true" errorStyle="stop" operator="between" showDropDown="false" showErrorMessage="false" showInputMessage="false" sqref="E10" type="list">
      <formula1>Reference!$G$32:$G$36</formula1>
      <formula2>0</formula2>
    </dataValidation>
    <dataValidation allowBlank="true" errorStyle="stop" operator="between" showDropDown="false" showErrorMessage="false" showInputMessage="false" sqref="F10" type="list">
      <formula1>Reference!$E$32:$E$40</formula1>
      <formula2>0</formula2>
    </dataValidation>
    <dataValidation allowBlank="true" errorStyle="stop" operator="between" showDropDown="false" showErrorMessage="false" showInputMessage="false" sqref="B11" type="list">
      <formula1>Register!$B$7:$B$26</formula1>
      <formula2>0</formula2>
    </dataValidation>
    <dataValidation allowBlank="true" errorStyle="stop" operator="between" showDropDown="false" showErrorMessage="false" showInputMessage="false" sqref="E11" type="list">
      <formula1>Reference!$G$32:$G$36</formula1>
      <formula2>0</formula2>
    </dataValidation>
    <dataValidation allowBlank="true" errorStyle="stop" operator="between" showDropDown="false" showErrorMessage="false" showInputMessage="false" sqref="F11" type="list">
      <formula1>Reference!$E$32:$E$40</formula1>
      <formula2>0</formula2>
    </dataValidation>
    <dataValidation allowBlank="true" errorStyle="stop" operator="between" showDropDown="false" showErrorMessage="false" showInputMessage="false" sqref="B12" type="list">
      <formula1>Register!$B$7:$B$26</formula1>
      <formula2>0</formula2>
    </dataValidation>
    <dataValidation allowBlank="true" errorStyle="stop" operator="between" showDropDown="false" showErrorMessage="false" showInputMessage="false" sqref="E12" type="list">
      <formula1>Reference!$G$32:$G$36</formula1>
      <formula2>0</formula2>
    </dataValidation>
    <dataValidation allowBlank="true" errorStyle="stop" operator="between" showDropDown="false" showErrorMessage="false" showInputMessage="false" sqref="F12" type="list">
      <formula1>Reference!$E$32:$E$40</formula1>
      <formula2>0</formula2>
    </dataValidation>
    <dataValidation allowBlank="true" errorStyle="stop" operator="between" showDropDown="false" showErrorMessage="false" showInputMessage="false" sqref="B13" type="list">
      <formula1>Register!$B$7:$B$26</formula1>
      <formula2>0</formula2>
    </dataValidation>
    <dataValidation allowBlank="true" errorStyle="stop" operator="between" showDropDown="false" showErrorMessage="false" showInputMessage="false" sqref="E13" type="list">
      <formula1>Reference!$G$32:$G$36</formula1>
      <formula2>0</formula2>
    </dataValidation>
    <dataValidation allowBlank="true" errorStyle="stop" operator="between" showDropDown="false" showErrorMessage="false" showInputMessage="false" sqref="F13" type="list">
      <formula1>Reference!$E$32:$E$40</formula1>
      <formula2>0</formula2>
    </dataValidation>
    <dataValidation allowBlank="true" errorStyle="stop" operator="between" showDropDown="false" showErrorMessage="false" showInputMessage="false" sqref="B14" type="list">
      <formula1>Register!$B$7:$B$26</formula1>
      <formula2>0</formula2>
    </dataValidation>
    <dataValidation allowBlank="true" errorStyle="stop" operator="between" showDropDown="false" showErrorMessage="false" showInputMessage="false" sqref="E14" type="list">
      <formula1>Reference!$G$32:$G$36</formula1>
      <formula2>0</formula2>
    </dataValidation>
    <dataValidation allowBlank="true" errorStyle="stop" operator="between" showDropDown="false" showErrorMessage="false" showInputMessage="false" sqref="F14" type="list">
      <formula1>Reference!$E$32:$E$40</formula1>
      <formula2>0</formula2>
    </dataValidation>
    <dataValidation allowBlank="true" errorStyle="stop" operator="between" showDropDown="false" showErrorMessage="false" showInputMessage="false" sqref="B15" type="list">
      <formula1>Register!$B$7:$B$26</formula1>
      <formula2>0</formula2>
    </dataValidation>
    <dataValidation allowBlank="true" errorStyle="stop" operator="between" showDropDown="false" showErrorMessage="false" showInputMessage="false" sqref="E15" type="list">
      <formula1>Reference!$G$32:$G$36</formula1>
      <formula2>0</formula2>
    </dataValidation>
    <dataValidation allowBlank="true" errorStyle="stop" operator="between" showDropDown="false" showErrorMessage="false" showInputMessage="false" sqref="F15" type="list">
      <formula1>Reference!$E$32:$E$40</formula1>
      <formula2>0</formula2>
    </dataValidation>
    <dataValidation allowBlank="true" errorStyle="stop" operator="between" showDropDown="false" showErrorMessage="false" showInputMessage="false" sqref="B16" type="list">
      <formula1>Register!$B$7:$B$26</formula1>
      <formula2>0</formula2>
    </dataValidation>
    <dataValidation allowBlank="true" errorStyle="stop" operator="between" showDropDown="false" showErrorMessage="false" showInputMessage="false" sqref="E16" type="list">
      <formula1>Reference!$G$32:$G$36</formula1>
      <formula2>0</formula2>
    </dataValidation>
    <dataValidation allowBlank="true" errorStyle="stop" operator="between" showDropDown="false" showErrorMessage="false" showInputMessage="false" sqref="F16" type="list">
      <formula1>Reference!$E$32:$E$40</formula1>
      <formula2>0</formula2>
    </dataValidation>
    <dataValidation allowBlank="true" errorStyle="stop" operator="between" showDropDown="false" showErrorMessage="false" showInputMessage="false" sqref="B17" type="list">
      <formula1>Register!$B$7:$B$26</formula1>
      <formula2>0</formula2>
    </dataValidation>
    <dataValidation allowBlank="true" errorStyle="stop" operator="between" showDropDown="false" showErrorMessage="false" showInputMessage="false" sqref="E17" type="list">
      <formula1>Reference!$G$32:$G$36</formula1>
      <formula2>0</formula2>
    </dataValidation>
    <dataValidation allowBlank="true" errorStyle="stop" operator="between" showDropDown="false" showErrorMessage="false" showInputMessage="false" sqref="F17" type="list">
      <formula1>Reference!$E$32:$E$40</formula1>
      <formula2>0</formula2>
    </dataValidation>
    <dataValidation allowBlank="true" errorStyle="stop" operator="between" showDropDown="false" showErrorMessage="false" showInputMessage="false" sqref="B18" type="list">
      <formula1>Register!$B$7:$B$26</formula1>
      <formula2>0</formula2>
    </dataValidation>
    <dataValidation allowBlank="true" errorStyle="stop" operator="between" showDropDown="false" showErrorMessage="false" showInputMessage="false" sqref="E18" type="list">
      <formula1>Reference!$G$32:$G$36</formula1>
      <formula2>0</formula2>
    </dataValidation>
    <dataValidation allowBlank="true" errorStyle="stop" operator="between" showDropDown="false" showErrorMessage="false" showInputMessage="false" sqref="F18" type="list">
      <formula1>Reference!$E$32:$E$40</formula1>
      <formula2>0</formula2>
    </dataValidation>
    <dataValidation allowBlank="true" errorStyle="stop" operator="between" showDropDown="false" showErrorMessage="false" showInputMessage="false" sqref="B19" type="list">
      <formula1>Register!$B$7:$B$26</formula1>
      <formula2>0</formula2>
    </dataValidation>
    <dataValidation allowBlank="true" errorStyle="stop" operator="between" showDropDown="false" showErrorMessage="false" showInputMessage="false" sqref="E19" type="list">
      <formula1>Reference!$G$32:$G$36</formula1>
      <formula2>0</formula2>
    </dataValidation>
    <dataValidation allowBlank="true" errorStyle="stop" operator="between" showDropDown="false" showErrorMessage="false" showInputMessage="false" sqref="F19" type="list">
      <formula1>Reference!$E$32:$E$40</formula1>
      <formula2>0</formula2>
    </dataValidation>
    <dataValidation allowBlank="true" errorStyle="stop" operator="between" showDropDown="false" showErrorMessage="false" showInputMessage="false" sqref="B20" type="list">
      <formula1>Register!$B$7:$B$26</formula1>
      <formula2>0</formula2>
    </dataValidation>
    <dataValidation allowBlank="true" errorStyle="stop" operator="between" showDropDown="false" showErrorMessage="false" showInputMessage="false" sqref="E20" type="list">
      <formula1>Reference!$G$32:$G$36</formula1>
      <formula2>0</formula2>
    </dataValidation>
    <dataValidation allowBlank="true" errorStyle="stop" operator="between" showDropDown="false" showErrorMessage="false" showInputMessage="false" sqref="F20" type="list">
      <formula1>Reference!$E$32:$E$40</formula1>
      <formula2>0</formula2>
    </dataValidation>
    <dataValidation allowBlank="true" errorStyle="stop" operator="between" showDropDown="false" showErrorMessage="false" showInputMessage="false" sqref="B21" type="list">
      <formula1>Register!$B$7:$B$26</formula1>
      <formula2>0</formula2>
    </dataValidation>
    <dataValidation allowBlank="true" errorStyle="stop" operator="between" showDropDown="false" showErrorMessage="false" showInputMessage="false" sqref="E21" type="list">
      <formula1>Reference!$G$32:$G$36</formula1>
      <formula2>0</formula2>
    </dataValidation>
    <dataValidation allowBlank="true" errorStyle="stop" operator="between" showDropDown="false" showErrorMessage="false" showInputMessage="false" sqref="F21" type="list">
      <formula1>Reference!$E$32:$E$40</formula1>
      <formula2>0</formula2>
    </dataValidation>
    <dataValidation allowBlank="true" errorStyle="stop" operator="between" showDropDown="false" showErrorMessage="false" showInputMessage="false" sqref="B22" type="list">
      <formula1>Register!$B$7:$B$26</formula1>
      <formula2>0</formula2>
    </dataValidation>
    <dataValidation allowBlank="true" errorStyle="stop" operator="between" showDropDown="false" showErrorMessage="false" showInputMessage="false" sqref="E22" type="list">
      <formula1>Reference!$G$32:$G$36</formula1>
      <formula2>0</formula2>
    </dataValidation>
    <dataValidation allowBlank="true" errorStyle="stop" operator="between" showDropDown="false" showErrorMessage="false" showInputMessage="false" sqref="F22" type="list">
      <formula1>Reference!$E$32:$E$40</formula1>
      <formula2>0</formula2>
    </dataValidation>
    <dataValidation allowBlank="true" errorStyle="stop" operator="between" showDropDown="false" showErrorMessage="false" showInputMessage="false" sqref="B23" type="list">
      <formula1>Register!$B$7:$B$26</formula1>
      <formula2>0</formula2>
    </dataValidation>
    <dataValidation allowBlank="true" errorStyle="stop" operator="between" showDropDown="false" showErrorMessage="false" showInputMessage="false" sqref="E23" type="list">
      <formula1>Reference!$G$32:$G$36</formula1>
      <formula2>0</formula2>
    </dataValidation>
    <dataValidation allowBlank="true" errorStyle="stop" operator="between" showDropDown="false" showErrorMessage="false" showInputMessage="false" sqref="F23" type="list">
      <formula1>Reference!$E$32:$E$40</formula1>
      <formula2>0</formula2>
    </dataValidation>
    <dataValidation allowBlank="true" errorStyle="stop" operator="between" showDropDown="false" showErrorMessage="false" showInputMessage="false" sqref="B24" type="list">
      <formula1>Register!$B$7:$B$26</formula1>
      <formula2>0</formula2>
    </dataValidation>
    <dataValidation allowBlank="true" errorStyle="stop" operator="between" showDropDown="false" showErrorMessage="false" showInputMessage="false" sqref="E24" type="list">
      <formula1>Reference!$G$32:$G$36</formula1>
      <formula2>0</formula2>
    </dataValidation>
    <dataValidation allowBlank="true" errorStyle="stop" operator="between" showDropDown="false" showErrorMessage="false" showInputMessage="false" sqref="F24" type="list">
      <formula1>Reference!$E$32:$E$40</formula1>
      <formula2>0</formula2>
    </dataValidation>
    <dataValidation allowBlank="true" errorStyle="stop" operator="between" showDropDown="false" showErrorMessage="false" showInputMessage="false" sqref="B25" type="list">
      <formula1>Register!$B$7:$B$26</formula1>
      <formula2>0</formula2>
    </dataValidation>
    <dataValidation allowBlank="true" errorStyle="stop" operator="between" showDropDown="false" showErrorMessage="false" showInputMessage="false" sqref="E25" type="list">
      <formula1>Reference!$G$32:$G$36</formula1>
      <formula2>0</formula2>
    </dataValidation>
    <dataValidation allowBlank="true" errorStyle="stop" operator="between" showDropDown="false" showErrorMessage="false" showInputMessage="false" sqref="F25" type="list">
      <formula1>Reference!$E$32:$E$40</formula1>
      <formula2>0</formula2>
    </dataValidation>
    <dataValidation allowBlank="true" errorStyle="stop" operator="between" showDropDown="false" showErrorMessage="false" showInputMessage="false" sqref="B26" type="list">
      <formula1>Register!$B$7:$B$26</formula1>
      <formula2>0</formula2>
    </dataValidation>
    <dataValidation allowBlank="true" errorStyle="stop" operator="between" showDropDown="false" showErrorMessage="false" showInputMessage="false" sqref="E26" type="list">
      <formula1>Reference!$G$32:$G$36</formula1>
      <formula2>0</formula2>
    </dataValidation>
    <dataValidation allowBlank="true" errorStyle="stop" operator="between" showDropDown="false" showErrorMessage="false" showInputMessage="false" sqref="F26" type="list">
      <formula1>Reference!$E$32:$E$40</formula1>
      <formula2>0</formula2>
    </dataValidation>
  </dataValidations>
  <hyperlinks>
    <hyperlink ref="B28"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C6917"/>
    <pageSetUpPr fitToPage="true"/>
  </sheetPr>
  <dimension ref="B1:O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33"/>
    <col collapsed="false" customWidth="true" hidden="false" outlineLevel="0" max="4" min="4" style="0" width="7"/>
    <col collapsed="false" customWidth="true" hidden="false" outlineLevel="0" max="5" min="5" style="0" width="24"/>
    <col collapsed="false" customWidth="true" hidden="false" outlineLevel="0" max="6" min="6" style="0" width="16"/>
    <col collapsed="false" customWidth="true" hidden="false" outlineLevel="0" max="7" min="7" style="0" width="22"/>
    <col collapsed="false" customWidth="true" hidden="false" outlineLevel="0" max="8" min="8" style="0" width="15"/>
    <col collapsed="false" customWidth="true" hidden="false" outlineLevel="0" max="9" min="9" style="0" width="17"/>
    <col collapsed="false" customWidth="true" hidden="false" outlineLevel="0" max="10" min="10" style="0" width="13"/>
    <col collapsed="false" customWidth="true" hidden="false" outlineLevel="0" max="11" min="11" style="0" width="24"/>
    <col collapsed="false" customWidth="true" hidden="false" outlineLevel="0" max="12" min="12" style="0" width="13"/>
    <col collapsed="false" customWidth="true" hidden="false" outlineLevel="0" max="13" min="13" style="0" width="22"/>
    <col collapsed="false" customWidth="true" hidden="false" outlineLevel="0" max="14" min="14" style="0" width="2.2"/>
    <col collapsed="false" customWidth="true" hidden="true" outlineLevel="0" max="15" min="15" style="0" width="9"/>
  </cols>
  <sheetData>
    <row r="1" customFormat="false" ht="33.75" hidden="false" customHeight="true" outlineLevel="0" collapsed="false">
      <c r="B1" s="13" t="s">
        <v>190</v>
      </c>
      <c r="C1" s="13"/>
      <c r="D1" s="13"/>
      <c r="E1" s="13"/>
      <c r="F1" s="13"/>
      <c r="G1" s="13"/>
      <c r="H1" s="13"/>
      <c r="I1" s="13"/>
      <c r="J1" s="13"/>
      <c r="K1" s="13"/>
      <c r="L1" s="13"/>
      <c r="M1" s="13"/>
    </row>
    <row r="2" customFormat="false" ht="4.5" hidden="false" customHeight="true" outlineLevel="0" collapsed="false">
      <c r="B2" s="46"/>
      <c r="C2" s="46"/>
      <c r="D2" s="46"/>
      <c r="E2" s="46"/>
      <c r="F2" s="46"/>
      <c r="G2" s="46"/>
      <c r="H2" s="46"/>
      <c r="I2" s="46"/>
      <c r="J2" s="46"/>
      <c r="K2" s="46"/>
      <c r="L2" s="46"/>
      <c r="M2" s="46"/>
    </row>
    <row r="3" customFormat="false" ht="16.5" hidden="false" customHeight="true" outlineLevel="0" collapsed="false">
      <c r="B3" s="21" t="str">
        <f aca="false">IF(LEFT(Setup!$D$7,7)&lt;&gt;"EXAMPLE","","EXAMPLE DATA - type your own project name on Setup to clear this.")</f>
        <v>EXAMPLE DATA - type your own project name on Setup to clear this.</v>
      </c>
      <c r="C3" s="21"/>
      <c r="D3" s="21"/>
      <c r="E3" s="21"/>
      <c r="F3" s="21"/>
      <c r="G3" s="21"/>
      <c r="H3" s="21"/>
      <c r="I3" s="21"/>
      <c r="J3" s="21"/>
      <c r="K3" s="21"/>
      <c r="L3" s="21"/>
      <c r="M3" s="21"/>
    </row>
    <row r="4" customFormat="false" ht="25.5" hidden="false" customHeight="true" outlineLevel="0" collapsed="false">
      <c r="B4" s="15" t="s">
        <v>191</v>
      </c>
      <c r="C4" s="15"/>
      <c r="D4" s="15"/>
      <c r="E4" s="15"/>
      <c r="F4" s="15"/>
      <c r="G4" s="15"/>
      <c r="H4" s="15"/>
      <c r="I4" s="15"/>
      <c r="J4" s="15"/>
      <c r="K4" s="15"/>
      <c r="L4" s="15"/>
      <c r="M4" s="15"/>
    </row>
    <row r="6" customFormat="false" ht="34.5" hidden="false" customHeight="true" outlineLevel="0" collapsed="false">
      <c r="B6" s="22" t="s">
        <v>192</v>
      </c>
      <c r="C6" s="22" t="s">
        <v>193</v>
      </c>
      <c r="D6" s="22" t="s">
        <v>194</v>
      </c>
      <c r="E6" s="22" t="s">
        <v>62</v>
      </c>
      <c r="F6" s="22" t="s">
        <v>195</v>
      </c>
      <c r="G6" s="22" t="s">
        <v>196</v>
      </c>
      <c r="H6" s="22" t="s">
        <v>197</v>
      </c>
      <c r="I6" s="22" t="s">
        <v>198</v>
      </c>
      <c r="J6" s="22" t="s">
        <v>199</v>
      </c>
      <c r="K6" s="22" t="s">
        <v>200</v>
      </c>
      <c r="L6" s="22" t="s">
        <v>180</v>
      </c>
      <c r="M6" s="22" t="s">
        <v>75</v>
      </c>
    </row>
    <row r="7" customFormat="false" ht="46.5" hidden="false" customHeight="true" outlineLevel="0" collapsed="false">
      <c r="B7" s="23" t="s">
        <v>201</v>
      </c>
      <c r="C7" s="24" t="s">
        <v>202</v>
      </c>
      <c r="D7" s="47" t="s">
        <v>127</v>
      </c>
      <c r="E7" s="26" t="str">
        <f aca="false">IF($D7="","",IF(COUNTIF(Register!$B$7:$B$26,$D7)=0,"not on the Register",VLOOKUP($D7,Register!$B$7:$C$26,2,FALSE())))</f>
        <v>Brayford Primary School</v>
      </c>
      <c r="F7" s="24" t="s">
        <v>203</v>
      </c>
      <c r="G7" s="24" t="s">
        <v>204</v>
      </c>
      <c r="H7" s="24" t="s">
        <v>205</v>
      </c>
      <c r="I7" s="24" t="s">
        <v>206</v>
      </c>
      <c r="J7" s="43" t="n">
        <f aca="false">Setup!$D$11+12</f>
        <v>46265</v>
      </c>
      <c r="K7" s="24"/>
      <c r="L7" s="26" t="str">
        <f aca="false">IF(OR($B7="",$C7=""),"",IF($K7&lt;&gt;"","Discharged",IF($J7="","No due date",IF($J7&lt;Setup!$D$11,"Overdue",IF($J7&lt;=Setup!$D$11+Setup!$D$18,"Due soon","In hand")))))</f>
        <v>Due soon</v>
      </c>
      <c r="M7" s="26" t="str">
        <f aca="false">IF(OR($B7="",$C7=""),"",IF(COUNTIF($B$7:$B$17,$B7)&gt;1,"this reference is used twice",IF($D7="","say who it was made to",IF(COUNTIF(Register!$B$7:$B$26,$D7)=0,$D7&amp;" is not on the Register",IF($I7="","name an owner",IF(AND($F7="Condition of approval",$G7=""),"it comes from a condition of approval, but the condition is not named",IF(AND($J7&lt;&gt;"",$J7&lt;Setup!$D$11,$K7=""),"overdue by "&amp;(Setup!$D$11-$J7)&amp;" days, and no evidence recorded",IF($J7="","set a due date",IF(AND($J7&lt;=Setup!$D$11+Setup!$D$18,$K7=""),"","")))))))))</f>
        <v/>
      </c>
      <c r="O7" s="0" t="str">
        <f aca="false">IF(OR($B7="",$C7=""),"grey",IF(COUNTIF($B$7:$B$17,$B7)&gt;1,"amber",IF($D7="","amber",IF(COUNTIF(Register!$B$7:$B$26,$D7)=0,"amber",IF($I7="","amber",IF(AND($F7="Condition of approval",$G7=""),"amber",IF(AND($J7&lt;&gt;"",$J7&lt;Setup!$D$11,$K7=""),"red",IF($J7="","amber",IF(AND($J7&lt;=Setup!$D$11+Setup!$D$18,$K7=""),"orange","")))))))))</f>
        <v>orange</v>
      </c>
    </row>
    <row r="8" customFormat="false" ht="46.5" hidden="false" customHeight="true" outlineLevel="0" collapsed="false">
      <c r="B8" s="30" t="s">
        <v>207</v>
      </c>
      <c r="C8" s="31" t="s">
        <v>208</v>
      </c>
      <c r="D8" s="48" t="s">
        <v>118</v>
      </c>
      <c r="E8" s="26" t="str">
        <f aca="false">IF($D8="","",IF(COUNTIF(Register!$B$7:$B$26,$D8)=0,"not on the Register",VLOOKUP($D8,Register!$B$7:$C$26,2,FALSE())))</f>
        <v>Halloway Road traders</v>
      </c>
      <c r="F8" s="31" t="s">
        <v>209</v>
      </c>
      <c r="G8" s="31" t="s">
        <v>210</v>
      </c>
      <c r="H8" s="31" t="s">
        <v>205</v>
      </c>
      <c r="I8" s="31" t="s">
        <v>206</v>
      </c>
      <c r="J8" s="45" t="n">
        <f aca="false">Setup!$D$11+-6</f>
        <v>46247</v>
      </c>
      <c r="K8" s="31"/>
      <c r="L8" s="26" t="str">
        <f aca="false">IF(OR($B8="",$C8=""),"",IF($K8&lt;&gt;"","Discharged",IF($J8="","No due date",IF($J8&lt;Setup!$D$11,"Overdue",IF($J8&lt;=Setup!$D$11+Setup!$D$18,"Due soon","In hand")))))</f>
        <v>Overdue</v>
      </c>
      <c r="M8" s="26" t="str">
        <f aca="false">IF(OR($B8="",$C8=""),"",IF(COUNTIF($B$7:$B$17,$B8)&gt;1,"this reference is used twice",IF($D8="","say who it was made to",IF(COUNTIF(Register!$B$7:$B$26,$D8)=0,$D8&amp;" is not on the Register",IF($I8="","name an owner",IF(AND($F8="Condition of approval",$G8=""),"it comes from a condition of approval, but the condition is not named",IF(AND($J8&lt;&gt;"",$J8&lt;Setup!$D$11,$K8=""),"overdue by "&amp;(Setup!$D$11-$J8)&amp;" days, and no evidence recorded",IF($J8="","set a due date",IF(AND($J8&lt;=Setup!$D$11+Setup!$D$18,$K8=""),"","")))))))))</f>
        <v>overdue by 6 days, and no evidence recorded</v>
      </c>
      <c r="O8" s="0" t="str">
        <f aca="false">IF(OR($B8="",$C8=""),"grey",IF(COUNTIF($B$7:$B$17,$B8)&gt;1,"amber",IF($D8="","amber",IF(COUNTIF(Register!$B$7:$B$26,$D8)=0,"amber",IF($I8="","amber",IF(AND($F8="Condition of approval",$G8=""),"amber",IF(AND($J8&lt;&gt;"",$J8&lt;Setup!$D$11,$K8=""),"red",IF($J8="","amber",IF(AND($J8&lt;=Setup!$D$11+Setup!$D$18,$K8=""),"orange","")))))))))</f>
        <v>red</v>
      </c>
    </row>
    <row r="9" customFormat="false" ht="46.5" hidden="false" customHeight="true" outlineLevel="0" collapsed="false">
      <c r="B9" s="23" t="s">
        <v>211</v>
      </c>
      <c r="C9" s="24" t="s">
        <v>212</v>
      </c>
      <c r="D9" s="47" t="s">
        <v>123</v>
      </c>
      <c r="E9" s="26" t="str">
        <f aca="false">IF($D9="","",IF(COUNTIF(Register!$B$7:$B$26,$D9)=0,"not on the Register",VLOOKUP($D9,Register!$B$7:$C$26,2,FALSE())))</f>
        <v>Cycling advocacy group</v>
      </c>
      <c r="F9" s="24" t="s">
        <v>213</v>
      </c>
      <c r="G9" s="24" t="s">
        <v>214</v>
      </c>
      <c r="H9" s="24" t="s">
        <v>99</v>
      </c>
      <c r="I9" s="24" t="s">
        <v>126</v>
      </c>
      <c r="J9" s="43" t="n">
        <f aca="false">Setup!$D$11+27</f>
        <v>46280</v>
      </c>
      <c r="K9" s="24" t="s">
        <v>215</v>
      </c>
      <c r="L9" s="26" t="str">
        <f aca="false">IF(OR($B9="",$C9=""),"",IF($K9&lt;&gt;"","Discharged",IF($J9="","No due date",IF($J9&lt;Setup!$D$11,"Overdue",IF($J9&lt;=Setup!$D$11+Setup!$D$18,"Due soon","In hand")))))</f>
        <v>Discharged</v>
      </c>
      <c r="M9" s="26" t="str">
        <f aca="false">IF(OR($B9="",$C9=""),"",IF(COUNTIF($B$7:$B$17,$B9)&gt;1,"this reference is used twice",IF($D9="","say who it was made to",IF(COUNTIF(Register!$B$7:$B$26,$D9)=0,$D9&amp;" is not on the Register",IF($I9="","name an owner",IF(AND($F9="Condition of approval",$G9=""),"it comes from a condition of approval, but the condition is not named",IF(AND($J9&lt;&gt;"",$J9&lt;Setup!$D$11,$K9=""),"overdue by "&amp;(Setup!$D$11-$J9)&amp;" days, and no evidence recorded",IF($J9="","set a due date",IF(AND($J9&lt;=Setup!$D$11+Setup!$D$18,$K9=""),"","")))))))))</f>
        <v/>
      </c>
      <c r="O9" s="0" t="str">
        <f aca="false">IF(OR($B9="",$C9=""),"grey",IF(COUNTIF($B$7:$B$17,$B9)&gt;1,"amber",IF($D9="","amber",IF(COUNTIF(Register!$B$7:$B$26,$D9)=0,"amber",IF($I9="","amber",IF(AND($F9="Condition of approval",$G9=""),"amber",IF(AND($J9&lt;&gt;"",$J9&lt;Setup!$D$11,$K9=""),"red",IF($J9="","amber",IF(AND($J9&lt;=Setup!$D$11+Setup!$D$18,$K9=""),"orange","")))))))))</f>
        <v/>
      </c>
    </row>
    <row r="10" customFormat="false" ht="46.5" hidden="false" customHeight="true" outlineLevel="0" collapsed="false">
      <c r="B10" s="30" t="s">
        <v>216</v>
      </c>
      <c r="C10" s="31" t="s">
        <v>217</v>
      </c>
      <c r="D10" s="48" t="s">
        <v>104</v>
      </c>
      <c r="E10" s="26" t="str">
        <f aca="false">IF($D10="","",IF(COUNTIF(Register!$B$7:$B$26,$D10)=0,"not on the Register",VLOOKUP($D10,Register!$B$7:$C$26,2,FALSE())))</f>
        <v>Adjoining landowners - Halloway Road frontage</v>
      </c>
      <c r="F10" s="31" t="s">
        <v>218</v>
      </c>
      <c r="G10" s="31" t="s">
        <v>219</v>
      </c>
      <c r="H10" s="31" t="s">
        <v>99</v>
      </c>
      <c r="I10" s="31" t="s">
        <v>220</v>
      </c>
      <c r="J10" s="45" t="n">
        <f aca="false">Setup!$D$11+-19</f>
        <v>46234</v>
      </c>
      <c r="K10" s="31"/>
      <c r="L10" s="26" t="str">
        <f aca="false">IF(OR($B10="",$C10=""),"",IF($K10&lt;&gt;"","Discharged",IF($J10="","No due date",IF($J10&lt;Setup!$D$11,"Overdue",IF($J10&lt;=Setup!$D$11+Setup!$D$18,"Due soon","In hand")))))</f>
        <v>Overdue</v>
      </c>
      <c r="M10" s="26" t="str">
        <f aca="false">IF(OR($B10="",$C10=""),"",IF(COUNTIF($B$7:$B$17,$B10)&gt;1,"this reference is used twice",IF($D10="","say who it was made to",IF(COUNTIF(Register!$B$7:$B$26,$D10)=0,$D10&amp;" is not on the Register",IF($I10="","name an owner",IF(AND($F10="Condition of approval",$G10=""),"it comes from a condition of approval, but the condition is not named",IF(AND($J10&lt;&gt;"",$J10&lt;Setup!$D$11,$K10=""),"overdue by "&amp;(Setup!$D$11-$J10)&amp;" days, and no evidence recorded",IF($J10="","set a due date",IF(AND($J10&lt;=Setup!$D$11+Setup!$D$18,$K10=""),"","")))))))))</f>
        <v>overdue by 19 days, and no evidence recorded</v>
      </c>
      <c r="O10" s="0" t="str">
        <f aca="false">IF(OR($B10="",$C10=""),"grey",IF(COUNTIF($B$7:$B$17,$B10)&gt;1,"amber",IF($D10="","amber",IF(COUNTIF(Register!$B$7:$B$26,$D10)=0,"amber",IF($I10="","amber",IF(AND($F10="Condition of approval",$G10=""),"amber",IF(AND($J10&lt;&gt;"",$J10&lt;Setup!$D$11,$K10=""),"red",IF($J10="","amber",IF(AND($J10&lt;=Setup!$D$11+Setup!$D$18,$K10=""),"orange","")))))))))</f>
        <v>red</v>
      </c>
    </row>
    <row r="11" customFormat="false" ht="46.5" hidden="false" customHeight="true" outlineLevel="0" collapsed="false">
      <c r="B11" s="23" t="s">
        <v>221</v>
      </c>
      <c r="C11" s="24" t="s">
        <v>222</v>
      </c>
      <c r="D11" s="47" t="s">
        <v>120</v>
      </c>
      <c r="E11" s="26" t="str">
        <f aca="false">IF($D11="","",IF(COUNTIF(Register!$B$7:$B$26,$D11)=0,"not on the Register",VLOOKUP($D11,Register!$B$7:$C$26,2,FALSE())))</f>
        <v>Brayford Residents Association</v>
      </c>
      <c r="F11" s="24" t="s">
        <v>223</v>
      </c>
      <c r="G11" s="24" t="s">
        <v>224</v>
      </c>
      <c r="H11" s="24" t="s">
        <v>205</v>
      </c>
      <c r="I11" s="24" t="s">
        <v>148</v>
      </c>
      <c r="J11" s="43" t="n">
        <f aca="false">Setup!$D$11+4</f>
        <v>46257</v>
      </c>
      <c r="K11" s="24" t="s">
        <v>225</v>
      </c>
      <c r="L11" s="26" t="str">
        <f aca="false">IF(OR($B11="",$C11=""),"",IF($K11&lt;&gt;"","Discharged",IF($J11="","No due date",IF($J11&lt;Setup!$D$11,"Overdue",IF($J11&lt;=Setup!$D$11+Setup!$D$18,"Due soon","In hand")))))</f>
        <v>Discharged</v>
      </c>
      <c r="M11" s="26" t="str">
        <f aca="false">IF(OR($B11="",$C11=""),"",IF(COUNTIF($B$7:$B$17,$B11)&gt;1,"this reference is used twice",IF($D11="","say who it was made to",IF(COUNTIF(Register!$B$7:$B$26,$D11)=0,$D11&amp;" is not on the Register",IF($I11="","name an owner",IF(AND($F11="Condition of approval",$G11=""),"it comes from a condition of approval, but the condition is not named",IF(AND($J11&lt;&gt;"",$J11&lt;Setup!$D$11,$K11=""),"overdue by "&amp;(Setup!$D$11-$J11)&amp;" days, and no evidence recorded",IF($J11="","set a due date",IF(AND($J11&lt;=Setup!$D$11+Setup!$D$18,$K11=""),"","")))))))))</f>
        <v/>
      </c>
      <c r="O11" s="0" t="str">
        <f aca="false">IF(OR($B11="",$C11=""),"grey",IF(COUNTIF($B$7:$B$17,$B11)&gt;1,"amber",IF($D11="","amber",IF(COUNTIF(Register!$B$7:$B$26,$D11)=0,"amber",IF($I11="","amber",IF(AND($F11="Condition of approval",$G11=""),"amber",IF(AND($J11&lt;&gt;"",$J11&lt;Setup!$D$11,$K11=""),"red",IF($J11="","amber",IF(AND($J11&lt;=Setup!$D$11+Setup!$D$18,$K11=""),"orange","")))))))))</f>
        <v/>
      </c>
    </row>
    <row r="12" customFormat="false" ht="46.5" hidden="false" customHeight="true" outlineLevel="0" collapsed="false">
      <c r="B12" s="30" t="s">
        <v>226</v>
      </c>
      <c r="C12" s="31" t="s">
        <v>227</v>
      </c>
      <c r="D12" s="48" t="s">
        <v>87</v>
      </c>
      <c r="E12" s="26" t="str">
        <f aca="false">IF($D12="","",IF(COUNTIF(Register!$B$7:$B$26,$D12)=0,"not on the Register",VLOOKUP($D12,Register!$B$7:$C$26,2,FALSE())))</f>
        <v>Rail operator - Brayford line</v>
      </c>
      <c r="F12" s="31" t="s">
        <v>218</v>
      </c>
      <c r="G12" s="31" t="s">
        <v>228</v>
      </c>
      <c r="H12" s="31" t="s">
        <v>205</v>
      </c>
      <c r="I12" s="31" t="s">
        <v>91</v>
      </c>
      <c r="J12" s="45" t="n">
        <f aca="false">Setup!$D$11+40</f>
        <v>46293</v>
      </c>
      <c r="K12" s="31"/>
      <c r="L12" s="26" t="str">
        <f aca="false">IF(OR($B12="",$C12=""),"",IF($K12&lt;&gt;"","Discharged",IF($J12="","No due date",IF($J12&lt;Setup!$D$11,"Overdue",IF($J12&lt;=Setup!$D$11+Setup!$D$18,"Due soon","In hand")))))</f>
        <v>In hand</v>
      </c>
      <c r="M12" s="26" t="str">
        <f aca="false">IF(OR($B12="",$C12=""),"",IF(COUNTIF($B$7:$B$17,$B12)&gt;1,"this reference is used twice",IF($D12="","say who it was made to",IF(COUNTIF(Register!$B$7:$B$26,$D12)=0,$D12&amp;" is not on the Register",IF($I12="","name an owner",IF(AND($F12="Condition of approval",$G12=""),"it comes from a condition of approval, but the condition is not named",IF(AND($J12&lt;&gt;"",$J12&lt;Setup!$D$11,$K12=""),"overdue by "&amp;(Setup!$D$11-$J12)&amp;" days, and no evidence recorded",IF($J12="","set a due date",IF(AND($J12&lt;=Setup!$D$11+Setup!$D$18,$K12=""),"","")))))))))</f>
        <v/>
      </c>
      <c r="O12" s="0" t="str">
        <f aca="false">IF(OR($B12="",$C12=""),"grey",IF(COUNTIF($B$7:$B$17,$B12)&gt;1,"amber",IF($D12="","amber",IF(COUNTIF(Register!$B$7:$B$26,$D12)=0,"amber",IF($I12="","amber",IF(AND($F12="Condition of approval",$G12=""),"amber",IF(AND($J12&lt;&gt;"",$J12&lt;Setup!$D$11,$K12=""),"red",IF($J12="","amber",IF(AND($J12&lt;=Setup!$D$11+Setup!$D$18,$K12=""),"orange","")))))))))</f>
        <v/>
      </c>
    </row>
    <row r="13" customFormat="false" ht="46.5" hidden="false" customHeight="true" outlineLevel="0" collapsed="false">
      <c r="B13" s="23" t="s">
        <v>229</v>
      </c>
      <c r="C13" s="24" t="s">
        <v>230</v>
      </c>
      <c r="D13" s="47" t="s">
        <v>112</v>
      </c>
      <c r="E13" s="26" t="str">
        <f aca="false">IF($D13="","",IF(COUNTIF(Register!$B$7:$B$26,$D13)=0,"not on the Register",VLOOKUP($D13,Register!$B$7:$C$26,2,FALSE())))</f>
        <v>Brayford Chamber of Commerce</v>
      </c>
      <c r="F13" s="24" t="s">
        <v>209</v>
      </c>
      <c r="G13" s="24" t="s">
        <v>231</v>
      </c>
      <c r="H13" s="24" t="s">
        <v>205</v>
      </c>
      <c r="I13" s="24" t="s">
        <v>109</v>
      </c>
      <c r="J13" s="43" t="n">
        <f aca="false">Setup!$D$11+9</f>
        <v>46262</v>
      </c>
      <c r="K13" s="24"/>
      <c r="L13" s="26" t="str">
        <f aca="false">IF(OR($B13="",$C13=""),"",IF($K13&lt;&gt;"","Discharged",IF($J13="","No due date",IF($J13&lt;Setup!$D$11,"Overdue",IF($J13&lt;=Setup!$D$11+Setup!$D$18,"Due soon","In hand")))))</f>
        <v>Due soon</v>
      </c>
      <c r="M13" s="26" t="str">
        <f aca="false">IF(OR($B13="",$C13=""),"",IF(COUNTIF($B$7:$B$17,$B13)&gt;1,"this reference is used twice",IF($D13="","say who it was made to",IF(COUNTIF(Register!$B$7:$B$26,$D13)=0,$D13&amp;" is not on the Register",IF($I13="","name an owner",IF(AND($F13="Condition of approval",$G13=""),"it comes from a condition of approval, but the condition is not named",IF(AND($J13&lt;&gt;"",$J13&lt;Setup!$D$11,$K13=""),"overdue by "&amp;(Setup!$D$11-$J13)&amp;" days, and no evidence recorded",IF($J13="","set a due date",IF(AND($J13&lt;=Setup!$D$11+Setup!$D$18,$K13=""),"","")))))))))</f>
        <v/>
      </c>
      <c r="O13" s="0" t="str">
        <f aca="false">IF(OR($B13="",$C13=""),"grey",IF(COUNTIF($B$7:$B$17,$B13)&gt;1,"amber",IF($D13="","amber",IF(COUNTIF(Register!$B$7:$B$26,$D13)=0,"amber",IF($I13="","amber",IF(AND($F13="Condition of approval",$G13=""),"amber",IF(AND($J13&lt;&gt;"",$J13&lt;Setup!$D$11,$K13=""),"red",IF($J13="","amber",IF(AND($J13&lt;=Setup!$D$11+Setup!$D$18,$K13=""),"orange","")))))))))</f>
        <v>orange</v>
      </c>
    </row>
    <row r="14" customFormat="false" ht="46.5" hidden="false" customHeight="true" outlineLevel="0" collapsed="false">
      <c r="B14" s="30" t="s">
        <v>232</v>
      </c>
      <c r="C14" s="31" t="s">
        <v>233</v>
      </c>
      <c r="D14" s="48" t="s">
        <v>130</v>
      </c>
      <c r="E14" s="26" t="str">
        <f aca="false">IF($D14="","",IF(COUNTIF(Register!$B$7:$B$26,$D14)=0,"not on the Register",VLOOKUP($D14,Register!$B$7:$C$26,2,FALSE())))</f>
        <v>Bus operator</v>
      </c>
      <c r="F14" s="31" t="s">
        <v>209</v>
      </c>
      <c r="G14" s="31" t="s">
        <v>234</v>
      </c>
      <c r="H14" s="31" t="s">
        <v>99</v>
      </c>
      <c r="I14" s="31" t="s">
        <v>126</v>
      </c>
      <c r="J14" s="45" t="n">
        <f aca="false">Setup!$D$11+33</f>
        <v>46286</v>
      </c>
      <c r="K14" s="31" t="s">
        <v>235</v>
      </c>
      <c r="L14" s="26" t="str">
        <f aca="false">IF(OR($B14="",$C14=""),"",IF($K14&lt;&gt;"","Discharged",IF($J14="","No due date",IF($J14&lt;Setup!$D$11,"Overdue",IF($J14&lt;=Setup!$D$11+Setup!$D$18,"Due soon","In hand")))))</f>
        <v>Discharged</v>
      </c>
      <c r="M14" s="26" t="str">
        <f aca="false">IF(OR($B14="",$C14=""),"",IF(COUNTIF($B$7:$B$17,$B14)&gt;1,"this reference is used twice",IF($D14="","say who it was made to",IF(COUNTIF(Register!$B$7:$B$26,$D14)=0,$D14&amp;" is not on the Register",IF($I14="","name an owner",IF(AND($F14="Condition of approval",$G14=""),"it comes from a condition of approval, but the condition is not named",IF(AND($J14&lt;&gt;"",$J14&lt;Setup!$D$11,$K14=""),"overdue by "&amp;(Setup!$D$11-$J14)&amp;" days, and no evidence recorded",IF($J14="","set a due date",IF(AND($J14&lt;=Setup!$D$11+Setup!$D$18,$K14=""),"","")))))))))</f>
        <v/>
      </c>
      <c r="O14" s="0" t="str">
        <f aca="false">IF(OR($B14="",$C14=""),"grey",IF(COUNTIF($B$7:$B$17,$B14)&gt;1,"amber",IF($D14="","amber",IF(COUNTIF(Register!$B$7:$B$26,$D14)=0,"amber",IF($I14="","amber",IF(AND($F14="Condition of approval",$G14=""),"amber",IF(AND($J14&lt;&gt;"",$J14&lt;Setup!$D$11,$K14=""),"red",IF($J14="","amber",IF(AND($J14&lt;=Setup!$D$11+Setup!$D$18,$K14=""),"orange","")))))))))</f>
        <v/>
      </c>
    </row>
    <row r="15" customFormat="false" ht="46.5" hidden="false" customHeight="true" outlineLevel="0" collapsed="false">
      <c r="B15" s="23"/>
      <c r="C15" s="24"/>
      <c r="D15" s="47"/>
      <c r="E15" s="26" t="str">
        <f aca="false">IF($D15="","",IF(COUNTIF(Register!$B$7:$B$26,$D15)=0,"not on the Register",VLOOKUP($D15,Register!$B$7:$C$26,2,FALSE())))</f>
        <v/>
      </c>
      <c r="F15" s="24"/>
      <c r="G15" s="24"/>
      <c r="H15" s="24"/>
      <c r="I15" s="24"/>
      <c r="J15" s="43"/>
      <c r="K15" s="24"/>
      <c r="L15" s="26" t="str">
        <f aca="false">IF(OR($B15="",$C15=""),"",IF($K15&lt;&gt;"","Discharged",IF($J15="","No due date",IF($J15&lt;Setup!$D$11,"Overdue",IF($J15&lt;=Setup!$D$11+Setup!$D$18,"Due soon","In hand")))))</f>
        <v/>
      </c>
      <c r="M15" s="26" t="str">
        <f aca="false">IF(OR($B15="",$C15=""),"",IF(COUNTIF($B$7:$B$17,$B15)&gt;1,"this reference is used twice",IF($D15="","say who it was made to",IF(COUNTIF(Register!$B$7:$B$26,$D15)=0,$D15&amp;" is not on the Register",IF($I15="","name an owner",IF(AND($F15="Condition of approval",$G15=""),"it comes from a condition of approval, but the condition is not named",IF(AND($J15&lt;&gt;"",$J15&lt;Setup!$D$11,$K15=""),"overdue by "&amp;(Setup!$D$11-$J15)&amp;" days, and no evidence recorded",IF($J15="","set a due date",IF(AND($J15&lt;=Setup!$D$11+Setup!$D$18,$K15=""),"","")))))))))</f>
        <v/>
      </c>
      <c r="O15" s="0" t="str">
        <f aca="false">IF(OR($B15="",$C15=""),"grey",IF(COUNTIF($B$7:$B$17,$B15)&gt;1,"amber",IF($D15="","amber",IF(COUNTIF(Register!$B$7:$B$26,$D15)=0,"amber",IF($I15="","amber",IF(AND($F15="Condition of approval",$G15=""),"amber",IF(AND($J15&lt;&gt;"",$J15&lt;Setup!$D$11,$K15=""),"red",IF($J15="","amber",IF(AND($J15&lt;=Setup!$D$11+Setup!$D$18,$K15=""),"orange","")))))))))</f>
        <v>grey</v>
      </c>
    </row>
    <row r="16" customFormat="false" ht="46.5" hidden="false" customHeight="true" outlineLevel="0" collapsed="false">
      <c r="B16" s="30"/>
      <c r="C16" s="31"/>
      <c r="D16" s="48"/>
      <c r="E16" s="26" t="str">
        <f aca="false">IF($D16="","",IF(COUNTIF(Register!$B$7:$B$26,$D16)=0,"not on the Register",VLOOKUP($D16,Register!$B$7:$C$26,2,FALSE())))</f>
        <v/>
      </c>
      <c r="F16" s="31"/>
      <c r="G16" s="31"/>
      <c r="H16" s="31"/>
      <c r="I16" s="31"/>
      <c r="J16" s="45"/>
      <c r="K16" s="31"/>
      <c r="L16" s="26" t="str">
        <f aca="false">IF(OR($B16="",$C16=""),"",IF($K16&lt;&gt;"","Discharged",IF($J16="","No due date",IF($J16&lt;Setup!$D$11,"Overdue",IF($J16&lt;=Setup!$D$11+Setup!$D$18,"Due soon","In hand")))))</f>
        <v/>
      </c>
      <c r="M16" s="26" t="str">
        <f aca="false">IF(OR($B16="",$C16=""),"",IF(COUNTIF($B$7:$B$17,$B16)&gt;1,"this reference is used twice",IF($D16="","say who it was made to",IF(COUNTIF(Register!$B$7:$B$26,$D16)=0,$D16&amp;" is not on the Register",IF($I16="","name an owner",IF(AND($F16="Condition of approval",$G16=""),"it comes from a condition of approval, but the condition is not named",IF(AND($J16&lt;&gt;"",$J16&lt;Setup!$D$11,$K16=""),"overdue by "&amp;(Setup!$D$11-$J16)&amp;" days, and no evidence recorded",IF($J16="","set a due date",IF(AND($J16&lt;=Setup!$D$11+Setup!$D$18,$K16=""),"","")))))))))</f>
        <v/>
      </c>
      <c r="O16" s="0" t="str">
        <f aca="false">IF(OR($B16="",$C16=""),"grey",IF(COUNTIF($B$7:$B$17,$B16)&gt;1,"amber",IF($D16="","amber",IF(COUNTIF(Register!$B$7:$B$26,$D16)=0,"amber",IF($I16="","amber",IF(AND($F16="Condition of approval",$G16=""),"amber",IF(AND($J16&lt;&gt;"",$J16&lt;Setup!$D$11,$K16=""),"red",IF($J16="","amber",IF(AND($J16&lt;=Setup!$D$11+Setup!$D$18,$K16=""),"orange","")))))))))</f>
        <v>grey</v>
      </c>
    </row>
    <row r="17" customFormat="false" ht="46.5" hidden="false" customHeight="true" outlineLevel="0" collapsed="false">
      <c r="B17" s="23"/>
      <c r="C17" s="24"/>
      <c r="D17" s="47"/>
      <c r="E17" s="26" t="str">
        <f aca="false">IF($D17="","",IF(COUNTIF(Register!$B$7:$B$26,$D17)=0,"not on the Register",VLOOKUP($D17,Register!$B$7:$C$26,2,FALSE())))</f>
        <v/>
      </c>
      <c r="F17" s="24"/>
      <c r="G17" s="24"/>
      <c r="H17" s="24"/>
      <c r="I17" s="24"/>
      <c r="J17" s="43"/>
      <c r="K17" s="24"/>
      <c r="L17" s="26" t="str">
        <f aca="false">IF(OR($B17="",$C17=""),"",IF($K17&lt;&gt;"","Discharged",IF($J17="","No due date",IF($J17&lt;Setup!$D$11,"Overdue",IF($J17&lt;=Setup!$D$11+Setup!$D$18,"Due soon","In hand")))))</f>
        <v/>
      </c>
      <c r="M17" s="26" t="str">
        <f aca="false">IF(OR($B17="",$C17=""),"",IF(COUNTIF($B$7:$B$17,$B17)&gt;1,"this reference is used twice",IF($D17="","say who it was made to",IF(COUNTIF(Register!$B$7:$B$26,$D17)=0,$D17&amp;" is not on the Register",IF($I17="","name an owner",IF(AND($F17="Condition of approval",$G17=""),"it comes from a condition of approval, but the condition is not named",IF(AND($J17&lt;&gt;"",$J17&lt;Setup!$D$11,$K17=""),"overdue by "&amp;(Setup!$D$11-$J17)&amp;" days, and no evidence recorded",IF($J17="","set a due date",IF(AND($J17&lt;=Setup!$D$11+Setup!$D$18,$K17=""),"","")))))))))</f>
        <v/>
      </c>
      <c r="O17" s="0" t="str">
        <f aca="false">IF(OR($B17="",$C17=""),"grey",IF(COUNTIF($B$7:$B$17,$B17)&gt;1,"amber",IF($D17="","amber",IF(COUNTIF(Register!$B$7:$B$26,$D17)=0,"amber",IF($I17="","amber",IF(AND($F17="Condition of approval",$G17=""),"amber",IF(AND($J17&lt;&gt;"",$J17&lt;Setup!$D$11,$K17=""),"red",IF($J17="","amber",IF(AND($J17&lt;=Setup!$D$11+Setup!$D$18,$K17=""),"orange","")))))))))</f>
        <v>grey</v>
      </c>
    </row>
    <row r="18" customFormat="false" ht="15.75" hidden="false" customHeight="true" outlineLevel="0" collapsed="false">
      <c r="B18" s="15" t="s">
        <v>236</v>
      </c>
      <c r="C18" s="15"/>
      <c r="D18" s="15"/>
      <c r="E18" s="15"/>
      <c r="F18" s="15"/>
      <c r="G18" s="15"/>
      <c r="H18" s="15"/>
      <c r="I18" s="15"/>
      <c r="J18" s="15"/>
      <c r="K18" s="15"/>
      <c r="L18" s="15"/>
      <c r="M18" s="15"/>
    </row>
    <row r="19" customFormat="false" ht="18" hidden="false" customHeight="true" outlineLevel="0" collapsed="false">
      <c r="B19" s="20" t="s">
        <v>58</v>
      </c>
      <c r="C19" s="20"/>
      <c r="D19" s="20"/>
      <c r="E19" s="20"/>
      <c r="F19" s="20"/>
      <c r="G19" s="20"/>
      <c r="H19" s="20"/>
      <c r="I19" s="20"/>
      <c r="J19" s="20"/>
      <c r="K19" s="20"/>
      <c r="L19" s="20"/>
      <c r="M19" s="20"/>
    </row>
  </sheetData>
  <autoFilter ref="B6:M17"/>
  <mergeCells count="6">
    <mergeCell ref="B1:M1"/>
    <mergeCell ref="B2:M2"/>
    <mergeCell ref="B3:M3"/>
    <mergeCell ref="B4:M4"/>
    <mergeCell ref="B18:M18"/>
    <mergeCell ref="B19:M19"/>
  </mergeCells>
  <conditionalFormatting sqref="B3:M3">
    <cfRule type="expression" priority="2" aboveAverage="0" equalAverage="0" bottom="0" percent="0" rank="0" text="" dxfId="7">
      <formula>LEN($B$3)&gt;0</formula>
    </cfRule>
  </conditionalFormatting>
  <conditionalFormatting sqref="B7:M17">
    <cfRule type="expression" priority="3" aboveAverage="0" equalAverage="0" bottom="0" percent="0" rank="0" text="" dxfId="8">
      <formula>$O7="red"</formula>
    </cfRule>
    <cfRule type="expression" priority="4" aboveAverage="0" equalAverage="0" bottom="0" percent="0" rank="0" text="" dxfId="9">
      <formula>$O7="orange"</formula>
    </cfRule>
    <cfRule type="expression" priority="5" aboveAverage="0" equalAverage="0" bottom="0" percent="0" rank="0" text="" dxfId="7">
      <formula>$O7="amber"</formula>
    </cfRule>
  </conditionalFormatting>
  <conditionalFormatting sqref="L7:L17">
    <cfRule type="expression" priority="6" aboveAverage="0" equalAverage="0" bottom="0" percent="0" rank="0" text="" dxfId="15">
      <formula>$L7="Discharged"</formula>
    </cfRule>
  </conditionalFormatting>
  <dataValidations count="33">
    <dataValidation allowBlank="true" errorStyle="stop" operator="between" showDropDown="false" showErrorMessage="false" showInputMessage="false" sqref="D7" type="list">
      <formula1>Register!$B$7:$B$26</formula1>
      <formula2>0</formula2>
    </dataValidation>
    <dataValidation allowBlank="true" errorStyle="stop" operator="between" showDropDown="false" showErrorMessage="false" showInputMessage="false" sqref="F7" type="list">
      <formula1>Reference!$C$32:$C$37</formula1>
      <formula2>0</formula2>
    </dataValidation>
    <dataValidation allowBlank="true" errorStyle="stop" operator="between" showDropDown="false" showErrorMessage="false" showInputMessage="false" sqref="H7" type="list">
      <formula1>Reference!$F$32:$F$38</formula1>
      <formula2>0</formula2>
    </dataValidation>
    <dataValidation allowBlank="true" errorStyle="stop" operator="between" showDropDown="false" showErrorMessage="false" showInputMessage="false" sqref="D8" type="list">
      <formula1>Register!$B$7:$B$26</formula1>
      <formula2>0</formula2>
    </dataValidation>
    <dataValidation allowBlank="true" errorStyle="stop" operator="between" showDropDown="false" showErrorMessage="false" showInputMessage="false" sqref="F8" type="list">
      <formula1>Reference!$C$32:$C$37</formula1>
      <formula2>0</formula2>
    </dataValidation>
    <dataValidation allowBlank="true" errorStyle="stop" operator="between" showDropDown="false" showErrorMessage="false" showInputMessage="false" sqref="H8" type="list">
      <formula1>Reference!$F$32:$F$38</formula1>
      <formula2>0</formula2>
    </dataValidation>
    <dataValidation allowBlank="true" errorStyle="stop" operator="between" showDropDown="false" showErrorMessage="false" showInputMessage="false" sqref="D9" type="list">
      <formula1>Register!$B$7:$B$26</formula1>
      <formula2>0</formula2>
    </dataValidation>
    <dataValidation allowBlank="true" errorStyle="stop" operator="between" showDropDown="false" showErrorMessage="false" showInputMessage="false" sqref="F9" type="list">
      <formula1>Reference!$C$32:$C$37</formula1>
      <formula2>0</formula2>
    </dataValidation>
    <dataValidation allowBlank="true" errorStyle="stop" operator="between" showDropDown="false" showErrorMessage="false" showInputMessage="false" sqref="H9" type="list">
      <formula1>Reference!$F$32:$F$38</formula1>
      <formula2>0</formula2>
    </dataValidation>
    <dataValidation allowBlank="true" errorStyle="stop" operator="between" showDropDown="false" showErrorMessage="false" showInputMessage="false" sqref="D10" type="list">
      <formula1>Register!$B$7:$B$26</formula1>
      <formula2>0</formula2>
    </dataValidation>
    <dataValidation allowBlank="true" errorStyle="stop" operator="between" showDropDown="false" showErrorMessage="false" showInputMessage="false" sqref="F10" type="list">
      <formula1>Reference!$C$32:$C$37</formula1>
      <formula2>0</formula2>
    </dataValidation>
    <dataValidation allowBlank="true" errorStyle="stop" operator="between" showDropDown="false" showErrorMessage="false" showInputMessage="false" sqref="H10" type="list">
      <formula1>Reference!$F$32:$F$38</formula1>
      <formula2>0</formula2>
    </dataValidation>
    <dataValidation allowBlank="true" errorStyle="stop" operator="between" showDropDown="false" showErrorMessage="false" showInputMessage="false" sqref="D11" type="list">
      <formula1>Register!$B$7:$B$26</formula1>
      <formula2>0</formula2>
    </dataValidation>
    <dataValidation allowBlank="true" errorStyle="stop" operator="between" showDropDown="false" showErrorMessage="false" showInputMessage="false" sqref="F11" type="list">
      <formula1>Reference!$C$32:$C$37</formula1>
      <formula2>0</formula2>
    </dataValidation>
    <dataValidation allowBlank="true" errorStyle="stop" operator="between" showDropDown="false" showErrorMessage="false" showInputMessage="false" sqref="H11" type="list">
      <formula1>Reference!$F$32:$F$38</formula1>
      <formula2>0</formula2>
    </dataValidation>
    <dataValidation allowBlank="true" errorStyle="stop" operator="between" showDropDown="false" showErrorMessage="false" showInputMessage="false" sqref="D12" type="list">
      <formula1>Register!$B$7:$B$26</formula1>
      <formula2>0</formula2>
    </dataValidation>
    <dataValidation allowBlank="true" errorStyle="stop" operator="between" showDropDown="false" showErrorMessage="false" showInputMessage="false" sqref="F12" type="list">
      <formula1>Reference!$C$32:$C$37</formula1>
      <formula2>0</formula2>
    </dataValidation>
    <dataValidation allowBlank="true" errorStyle="stop" operator="between" showDropDown="false" showErrorMessage="false" showInputMessage="false" sqref="H12" type="list">
      <formula1>Reference!$F$32:$F$38</formula1>
      <formula2>0</formula2>
    </dataValidation>
    <dataValidation allowBlank="true" errorStyle="stop" operator="between" showDropDown="false" showErrorMessage="false" showInputMessage="false" sqref="D13" type="list">
      <formula1>Register!$B$7:$B$26</formula1>
      <formula2>0</formula2>
    </dataValidation>
    <dataValidation allowBlank="true" errorStyle="stop" operator="between" showDropDown="false" showErrorMessage="false" showInputMessage="false" sqref="F13" type="list">
      <formula1>Reference!$C$32:$C$37</formula1>
      <formula2>0</formula2>
    </dataValidation>
    <dataValidation allowBlank="true" errorStyle="stop" operator="between" showDropDown="false" showErrorMessage="false" showInputMessage="false" sqref="H13" type="list">
      <formula1>Reference!$F$32:$F$38</formula1>
      <formula2>0</formula2>
    </dataValidation>
    <dataValidation allowBlank="true" errorStyle="stop" operator="between" showDropDown="false" showErrorMessage="false" showInputMessage="false" sqref="D14" type="list">
      <formula1>Register!$B$7:$B$26</formula1>
      <formula2>0</formula2>
    </dataValidation>
    <dataValidation allowBlank="true" errorStyle="stop" operator="between" showDropDown="false" showErrorMessage="false" showInputMessage="false" sqref="F14" type="list">
      <formula1>Reference!$C$32:$C$37</formula1>
      <formula2>0</formula2>
    </dataValidation>
    <dataValidation allowBlank="true" errorStyle="stop" operator="between" showDropDown="false" showErrorMessage="false" showInputMessage="false" sqref="H14" type="list">
      <formula1>Reference!$F$32:$F$38</formula1>
      <formula2>0</formula2>
    </dataValidation>
    <dataValidation allowBlank="true" errorStyle="stop" operator="between" showDropDown="false" showErrorMessage="false" showInputMessage="false" sqref="D15" type="list">
      <formula1>Register!$B$7:$B$26</formula1>
      <formula2>0</formula2>
    </dataValidation>
    <dataValidation allowBlank="true" errorStyle="stop" operator="between" showDropDown="false" showErrorMessage="false" showInputMessage="false" sqref="F15" type="list">
      <formula1>Reference!$C$32:$C$37</formula1>
      <formula2>0</formula2>
    </dataValidation>
    <dataValidation allowBlank="true" errorStyle="stop" operator="between" showDropDown="false" showErrorMessage="false" showInputMessage="false" sqref="H15" type="list">
      <formula1>Reference!$F$32:$F$38</formula1>
      <formula2>0</formula2>
    </dataValidation>
    <dataValidation allowBlank="true" errorStyle="stop" operator="between" showDropDown="false" showErrorMessage="false" showInputMessage="false" sqref="D16" type="list">
      <formula1>Register!$B$7:$B$26</formula1>
      <formula2>0</formula2>
    </dataValidation>
    <dataValidation allowBlank="true" errorStyle="stop" operator="between" showDropDown="false" showErrorMessage="false" showInputMessage="false" sqref="F16" type="list">
      <formula1>Reference!$C$32:$C$37</formula1>
      <formula2>0</formula2>
    </dataValidation>
    <dataValidation allowBlank="true" errorStyle="stop" operator="between" showDropDown="false" showErrorMessage="false" showInputMessage="false" sqref="H16" type="list">
      <formula1>Reference!$F$32:$F$38</formula1>
      <formula2>0</formula2>
    </dataValidation>
    <dataValidation allowBlank="true" errorStyle="stop" operator="between" showDropDown="false" showErrorMessage="false" showInputMessage="false" sqref="D17" type="list">
      <formula1>Register!$B$7:$B$26</formula1>
      <formula2>0</formula2>
    </dataValidation>
    <dataValidation allowBlank="true" errorStyle="stop" operator="between" showDropDown="false" showErrorMessage="false" showInputMessage="false" sqref="F17" type="list">
      <formula1>Reference!$C$32:$C$37</formula1>
      <formula2>0</formula2>
    </dataValidation>
    <dataValidation allowBlank="true" errorStyle="stop" operator="between" showDropDown="false" showErrorMessage="false" showInputMessage="false" sqref="H17" type="list">
      <formula1>Reference!$F$32:$F$38</formula1>
      <formula2>0</formula2>
    </dataValidation>
  </dataValidations>
  <hyperlinks>
    <hyperlink ref="B19"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M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3"/>
    <col collapsed="false" customWidth="true" hidden="false" outlineLevel="0" max="3" min="3" style="0" width="7"/>
    <col collapsed="false" customWidth="true" hidden="false" outlineLevel="0" max="4" min="4" style="0" width="24"/>
    <col collapsed="false" customWidth="true" hidden="false" outlineLevel="0" max="5" min="5" style="0" width="13"/>
    <col collapsed="false" customWidth="true" hidden="false" outlineLevel="0" max="6" min="6" style="0" width="15"/>
    <col collapsed="false" customWidth="true" hidden="false" outlineLevel="0" max="7" min="7" style="0" width="40"/>
    <col collapsed="false" customWidth="true" hidden="false" outlineLevel="0" max="8" min="8" style="0" width="50"/>
    <col collapsed="false" customWidth="true" hidden="false" outlineLevel="0" max="9" min="9" style="0" width="9"/>
    <col collapsed="false" customWidth="true" hidden="false" outlineLevel="0" max="10" min="10" style="0" width="13"/>
    <col collapsed="false" customWidth="true" hidden="false" outlineLevel="0" max="11" min="11" style="0" width="20"/>
    <col collapsed="false" customWidth="true" hidden="false" outlineLevel="0" max="12" min="12" style="0" width="2.2"/>
    <col collapsed="false" customWidth="true" hidden="true" outlineLevel="0" max="13" min="13" style="0" width="9"/>
  </cols>
  <sheetData>
    <row r="1" customFormat="false" ht="33.75" hidden="false" customHeight="true" outlineLevel="0" collapsed="false">
      <c r="B1" s="13" t="s">
        <v>237</v>
      </c>
      <c r="C1" s="13"/>
      <c r="D1" s="13"/>
      <c r="E1" s="13"/>
      <c r="F1" s="13"/>
      <c r="G1" s="13"/>
      <c r="H1" s="13"/>
      <c r="I1" s="13"/>
      <c r="J1" s="13"/>
      <c r="K1" s="13"/>
    </row>
    <row r="2" customFormat="false" ht="4.5" hidden="false" customHeight="true" outlineLevel="0" collapsed="false">
      <c r="B2" s="49"/>
      <c r="C2" s="49"/>
      <c r="D2" s="49"/>
      <c r="E2" s="49"/>
      <c r="F2" s="49"/>
      <c r="G2" s="49"/>
      <c r="H2" s="49"/>
      <c r="I2" s="49"/>
      <c r="J2" s="49"/>
      <c r="K2" s="49"/>
    </row>
    <row r="3" customFormat="false" ht="16.5" hidden="false" customHeight="true" outlineLevel="0" collapsed="false">
      <c r="B3" s="21" t="str">
        <f aca="false">IF(LEFT(Setup!$D$7,7)&lt;&gt;"EXAMPLE","","EXAMPLE DATA - type your own project name on Setup to clear this.")</f>
        <v>EXAMPLE DATA - type your own project name on Setup to clear this.</v>
      </c>
      <c r="C3" s="21"/>
      <c r="D3" s="21"/>
      <c r="E3" s="21"/>
      <c r="F3" s="21"/>
      <c r="G3" s="21"/>
      <c r="H3" s="21"/>
      <c r="I3" s="21"/>
      <c r="J3" s="21"/>
      <c r="K3" s="21"/>
    </row>
    <row r="4" customFormat="false" ht="25.5" hidden="false" customHeight="true" outlineLevel="0" collapsed="false">
      <c r="B4" s="15" t="s">
        <v>238</v>
      </c>
      <c r="C4" s="15"/>
      <c r="D4" s="15"/>
      <c r="E4" s="15"/>
      <c r="F4" s="15"/>
      <c r="G4" s="15"/>
      <c r="H4" s="15"/>
      <c r="I4" s="15"/>
      <c r="J4" s="15"/>
      <c r="K4" s="15"/>
    </row>
    <row r="6" customFormat="false" ht="60" hidden="false" customHeight="true" outlineLevel="0" collapsed="false">
      <c r="B6" s="22" t="s">
        <v>239</v>
      </c>
      <c r="C6" s="22" t="s">
        <v>240</v>
      </c>
      <c r="D6" s="22" t="s">
        <v>62</v>
      </c>
      <c r="E6" s="22" t="s">
        <v>175</v>
      </c>
      <c r="F6" s="22" t="s">
        <v>241</v>
      </c>
      <c r="G6" s="22" t="s">
        <v>242</v>
      </c>
      <c r="H6" s="22" t="s">
        <v>243</v>
      </c>
      <c r="I6" s="22" t="s">
        <v>244</v>
      </c>
      <c r="J6" s="22" t="s">
        <v>245</v>
      </c>
      <c r="K6" s="22" t="s">
        <v>75</v>
      </c>
    </row>
    <row r="7" customFormat="false" ht="59.25" hidden="false" customHeight="true" outlineLevel="0" collapsed="false">
      <c r="B7" s="50" t="n">
        <f aca="false">Setup!$D$11-2</f>
        <v>46251</v>
      </c>
      <c r="C7" s="51" t="s">
        <v>140</v>
      </c>
      <c r="D7" s="26" t="str">
        <f aca="false">IF($C7="","",IF(COUNTIF(Register!$B$7:$B$26,$C7)=0,"not on the Register",VLOOKUP($C7,Register!$B$7:$C$26,2,FALSE())))</f>
        <v>Principal contractor</v>
      </c>
      <c r="E7" s="24" t="s">
        <v>182</v>
      </c>
      <c r="F7" s="24" t="s">
        <v>135</v>
      </c>
      <c r="G7" s="24" t="s">
        <v>246</v>
      </c>
      <c r="H7" s="24" t="s">
        <v>247</v>
      </c>
      <c r="I7" s="52" t="s">
        <v>248</v>
      </c>
      <c r="J7" s="51"/>
      <c r="K7" s="26" t="str">
        <f aca="false">IF(AND($B7="",$C7="",$G7=""),"",IF($B7="","put the date on it",IF($C7="","say who it was with",IF(COUNTIF(Register!$B$7:$B$26,$C7)=0,$C7&amp;" is not on the Register",IF($G7="","record what was raised",IF($H7="","nothing recorded about what was done with it",IF(AND($J7&lt;&gt;"",COUNTIF(Commitments!$B$7:$B$17,$J7)=0),$J7&amp;" is not on the Commitments sheet","")))))))</f>
        <v/>
      </c>
      <c r="M7" s="0" t="str">
        <f aca="false">IF(AND($B7="",$C7="",$G7=""),"grey",IF($B7="","amber",IF($C7="","amber",IF(COUNTIF(Register!$B$7:$B$26,$C7)=0,"amber",IF($G7="","amber",IF($H7="","red",IF(AND($J7&lt;&gt;"",COUNTIF(Commitments!$B$7:$B$17,$J7)=0),"amber","")))))))</f>
        <v/>
      </c>
    </row>
    <row r="8" customFormat="false" ht="59.25" hidden="false" customHeight="true" outlineLevel="0" collapsed="false">
      <c r="B8" s="53" t="n">
        <f aca="false">Setup!$D$11-5</f>
        <v>46248</v>
      </c>
      <c r="C8" s="54" t="s">
        <v>118</v>
      </c>
      <c r="D8" s="26" t="str">
        <f aca="false">IF($C8="","",IF(COUNTIF(Register!$B$7:$B$26,$C8)=0,"not on the Register",VLOOKUP($C8,Register!$B$7:$C$26,2,FALSE())))</f>
        <v>Halloway Road traders</v>
      </c>
      <c r="E8" s="31" t="s">
        <v>187</v>
      </c>
      <c r="F8" s="31" t="s">
        <v>109</v>
      </c>
      <c r="G8" s="31" t="s">
        <v>249</v>
      </c>
      <c r="H8" s="31" t="s">
        <v>250</v>
      </c>
      <c r="I8" s="55" t="s">
        <v>248</v>
      </c>
      <c r="J8" s="54" t="s">
        <v>207</v>
      </c>
      <c r="K8" s="26" t="str">
        <f aca="false">IF(AND($B8="",$C8="",$G8=""),"",IF($B8="","put the date on it",IF($C8="","say who it was with",IF(COUNTIF(Register!$B$7:$B$26,$C8)=0,$C8&amp;" is not on the Register",IF($G8="","record what was raised",IF($H8="","nothing recorded about what was done with it",IF(AND($J8&lt;&gt;"",COUNTIF(Commitments!$B$7:$B$17,$J8)=0),$J8&amp;" is not on the Commitments sheet","")))))))</f>
        <v/>
      </c>
      <c r="M8" s="0" t="str">
        <f aca="false">IF(AND($B8="",$C8="",$G8=""),"grey",IF($B8="","amber",IF($C8="","amber",IF(COUNTIF(Register!$B$7:$B$26,$C8)=0,"amber",IF($G8="","amber",IF($H8="","red",IF(AND($J8&lt;&gt;"",COUNTIF(Commitments!$B$7:$B$17,$J8)=0),"amber","")))))))</f>
        <v/>
      </c>
    </row>
    <row r="9" customFormat="false" ht="59.25" hidden="false" customHeight="true" outlineLevel="0" collapsed="false">
      <c r="B9" s="50" t="n">
        <f aca="false">Setup!$D$11-9</f>
        <v>46244</v>
      </c>
      <c r="C9" s="51" t="s">
        <v>104</v>
      </c>
      <c r="D9" s="26" t="str">
        <f aca="false">IF($C9="","",IF(COUNTIF(Register!$B$7:$B$26,$C9)=0,"not on the Register",VLOOKUP($C9,Register!$B$7:$C$26,2,FALSE())))</f>
        <v>Adjoining landowners - Halloway Road frontage</v>
      </c>
      <c r="E9" s="24" t="s">
        <v>182</v>
      </c>
      <c r="F9" s="24" t="s">
        <v>109</v>
      </c>
      <c r="G9" s="24" t="s">
        <v>251</v>
      </c>
      <c r="H9" s="24" t="s">
        <v>252</v>
      </c>
      <c r="I9" s="52" t="s">
        <v>248</v>
      </c>
      <c r="J9" s="51" t="s">
        <v>216</v>
      </c>
      <c r="K9" s="26" t="str">
        <f aca="false">IF(AND($B9="",$C9="",$G9=""),"",IF($B9="","put the date on it",IF($C9="","say who it was with",IF(COUNTIF(Register!$B$7:$B$26,$C9)=0,$C9&amp;" is not on the Register",IF($G9="","record what was raised",IF($H9="","nothing recorded about what was done with it",IF(AND($J9&lt;&gt;"",COUNTIF(Commitments!$B$7:$B$17,$J9)=0),$J9&amp;" is not on the Commitments sheet","")))))))</f>
        <v/>
      </c>
      <c r="M9" s="0" t="str">
        <f aca="false">IF(AND($B9="",$C9="",$G9=""),"grey",IF($B9="","amber",IF($C9="","amber",IF(COUNTIF(Register!$B$7:$B$26,$C9)=0,"amber",IF($G9="","amber",IF($H9="","red",IF(AND($J9&lt;&gt;"",COUNTIF(Commitments!$B$7:$B$17,$J9)=0),"amber","")))))))</f>
        <v/>
      </c>
    </row>
    <row r="10" customFormat="false" ht="59.25" hidden="false" customHeight="true" outlineLevel="0" collapsed="false">
      <c r="B10" s="53" t="n">
        <f aca="false">Setup!$D$11-12</f>
        <v>46241</v>
      </c>
      <c r="C10" s="54" t="s">
        <v>85</v>
      </c>
      <c r="D10" s="26" t="str">
        <f aca="false">IF($C10="","",IF(COUNTIF(Register!$B$7:$B$26,$C10)=0,"not on the Register",VLOOKUP($C10,Register!$B$7:$C$26,2,FALSE())))</f>
        <v>State roads authority</v>
      </c>
      <c r="E10" s="31" t="s">
        <v>182</v>
      </c>
      <c r="F10" s="31" t="s">
        <v>82</v>
      </c>
      <c r="G10" s="31" t="s">
        <v>253</v>
      </c>
      <c r="H10" s="31" t="s">
        <v>254</v>
      </c>
      <c r="I10" s="55" t="s">
        <v>248</v>
      </c>
      <c r="J10" s="54"/>
      <c r="K10" s="26" t="str">
        <f aca="false">IF(AND($B10="",$C10="",$G10=""),"",IF($B10="","put the date on it",IF($C10="","say who it was with",IF(COUNTIF(Register!$B$7:$B$26,$C10)=0,$C10&amp;" is not on the Register",IF($G10="","record what was raised",IF($H10="","nothing recorded about what was done with it",IF(AND($J10&lt;&gt;"",COUNTIF(Commitments!$B$7:$B$17,$J10)=0),$J10&amp;" is not on the Commitments sheet","")))))))</f>
        <v/>
      </c>
      <c r="M10" s="0" t="str">
        <f aca="false">IF(AND($B10="",$C10="",$G10=""),"grey",IF($B10="","amber",IF($C10="","amber",IF(COUNTIF(Register!$B$7:$B$26,$C10)=0,"amber",IF($G10="","amber",IF($H10="","red",IF(AND($J10&lt;&gt;"",COUNTIF(Commitments!$B$7:$B$17,$J10)=0),"amber","")))))))</f>
        <v/>
      </c>
    </row>
    <row r="11" customFormat="false" ht="59.25" hidden="false" customHeight="true" outlineLevel="0" collapsed="false">
      <c r="B11" s="50" t="n">
        <f aca="false">Setup!$D$11-14</f>
        <v>46239</v>
      </c>
      <c r="C11" s="51" t="s">
        <v>123</v>
      </c>
      <c r="D11" s="26" t="str">
        <f aca="false">IF($C11="","",IF(COUNTIF(Register!$B$7:$B$26,$C11)=0,"not on the Register",VLOOKUP($C11,Register!$B$7:$C$26,2,FALSE())))</f>
        <v>Cycling advocacy group</v>
      </c>
      <c r="E11" s="24" t="s">
        <v>182</v>
      </c>
      <c r="F11" s="24" t="s">
        <v>126</v>
      </c>
      <c r="G11" s="24" t="s">
        <v>255</v>
      </c>
      <c r="H11" s="24" t="s">
        <v>256</v>
      </c>
      <c r="I11" s="52" t="s">
        <v>257</v>
      </c>
      <c r="J11" s="51" t="s">
        <v>211</v>
      </c>
      <c r="K11" s="26" t="str">
        <f aca="false">IF(AND($B11="",$C11="",$G11=""),"",IF($B11="","put the date on it",IF($C11="","say who it was with",IF(COUNTIF(Register!$B$7:$B$26,$C11)=0,$C11&amp;" is not on the Register",IF($G11="","record what was raised",IF($H11="","nothing recorded about what was done with it",IF(AND($J11&lt;&gt;"",COUNTIF(Commitments!$B$7:$B$17,$J11)=0),$J11&amp;" is not on the Commitments sheet","")))))))</f>
        <v/>
      </c>
      <c r="M11" s="0" t="str">
        <f aca="false">IF(AND($B11="",$C11="",$G11=""),"grey",IF($B11="","amber",IF($C11="","amber",IF(COUNTIF(Register!$B$7:$B$26,$C11)=0,"amber",IF($G11="","amber",IF($H11="","red",IF(AND($J11&lt;&gt;"",COUNTIF(Commitments!$B$7:$B$17,$J11)=0),"amber","")))))))</f>
        <v/>
      </c>
    </row>
    <row r="12" customFormat="false" ht="59.25" hidden="false" customHeight="true" outlineLevel="0" collapsed="false">
      <c r="B12" s="53" t="n">
        <f aca="false">Setup!$D$11-16</f>
        <v>46237</v>
      </c>
      <c r="C12" s="54" t="s">
        <v>76</v>
      </c>
      <c r="D12" s="26" t="str">
        <f aca="false">IF($C12="","",IF(COUNTIF(Register!$B$7:$B$26,$C12)=0,"not on the Register",VLOOKUP($C12,Register!$B$7:$C$26,2,FALSE())))</f>
        <v>Brayford City Council - development assessment</v>
      </c>
      <c r="E12" s="31" t="s">
        <v>182</v>
      </c>
      <c r="F12" s="31" t="s">
        <v>82</v>
      </c>
      <c r="G12" s="31" t="s">
        <v>258</v>
      </c>
      <c r="H12" s="31" t="s">
        <v>259</v>
      </c>
      <c r="I12" s="55" t="s">
        <v>248</v>
      </c>
      <c r="J12" s="54"/>
      <c r="K12" s="26" t="str">
        <f aca="false">IF(AND($B12="",$C12="",$G12=""),"",IF($B12="","put the date on it",IF($C12="","say who it was with",IF(COUNTIF(Register!$B$7:$B$26,$C12)=0,$C12&amp;" is not on the Register",IF($G12="","record what was raised",IF($H12="","nothing recorded about what was done with it",IF(AND($J12&lt;&gt;"",COUNTIF(Commitments!$B$7:$B$17,$J12)=0),$J12&amp;" is not on the Commitments sheet","")))))))</f>
        <v/>
      </c>
      <c r="M12" s="0" t="str">
        <f aca="false">IF(AND($B12="",$C12="",$G12=""),"grey",IF($B12="","amber",IF($C12="","amber",IF(COUNTIF(Register!$B$7:$B$26,$C12)=0,"amber",IF($G12="","amber",IF($H12="","red",IF(AND($J12&lt;&gt;"",COUNTIF(Commitments!$B$7:$B$17,$J12)=0),"amber","")))))))</f>
        <v/>
      </c>
    </row>
    <row r="13" customFormat="false" ht="59.25" hidden="false" customHeight="true" outlineLevel="0" collapsed="false">
      <c r="B13" s="50" t="n">
        <f aca="false">Setup!$D$11-18</f>
        <v>46235</v>
      </c>
      <c r="C13" s="51" t="s">
        <v>93</v>
      </c>
      <c r="D13" s="26" t="str">
        <f aca="false">IF($C13="","",IF(COUNTIF(Register!$B$7:$B$26,$C13)=0,"not on the Register",VLOOKUP($C13,Register!$B$7:$C$26,2,FALSE())))</f>
        <v>Electricity network operator</v>
      </c>
      <c r="E13" s="24" t="s">
        <v>184</v>
      </c>
      <c r="F13" s="24" t="s">
        <v>95</v>
      </c>
      <c r="G13" s="24" t="s">
        <v>260</v>
      </c>
      <c r="H13" s="24" t="s">
        <v>261</v>
      </c>
      <c r="I13" s="52" t="s">
        <v>248</v>
      </c>
      <c r="J13" s="51"/>
      <c r="K13" s="26" t="str">
        <f aca="false">IF(AND($B13="",$C13="",$G13=""),"",IF($B13="","put the date on it",IF($C13="","say who it was with",IF(COUNTIF(Register!$B$7:$B$26,$C13)=0,$C13&amp;" is not on the Register",IF($G13="","record what was raised",IF($H13="","nothing recorded about what was done with it",IF(AND($J13&lt;&gt;"",COUNTIF(Commitments!$B$7:$B$17,$J13)=0),$J13&amp;" is not on the Commitments sheet","")))))))</f>
        <v/>
      </c>
      <c r="M13" s="0" t="str">
        <f aca="false">IF(AND($B13="",$C13="",$G13=""),"grey",IF($B13="","amber",IF($C13="","amber",IF(COUNTIF(Register!$B$7:$B$26,$C13)=0,"amber",IF($G13="","amber",IF($H13="","red",IF(AND($J13&lt;&gt;"",COUNTIF(Commitments!$B$7:$B$17,$J13)=0),"amber","")))))))</f>
        <v/>
      </c>
    </row>
    <row r="14" customFormat="false" ht="59.25" hidden="false" customHeight="true" outlineLevel="0" collapsed="false">
      <c r="B14" s="53" t="n">
        <f aca="false">Setup!$D$11-21</f>
        <v>46232</v>
      </c>
      <c r="C14" s="54" t="s">
        <v>120</v>
      </c>
      <c r="D14" s="26" t="str">
        <f aca="false">IF($C14="","",IF(COUNTIF(Register!$B$7:$B$26,$C14)=0,"not on the Register",VLOOKUP($C14,Register!$B$7:$C$26,2,FALSE())))</f>
        <v>Brayford Residents Association</v>
      </c>
      <c r="E14" s="31" t="s">
        <v>188</v>
      </c>
      <c r="F14" s="31" t="s">
        <v>109</v>
      </c>
      <c r="G14" s="31" t="s">
        <v>262</v>
      </c>
      <c r="H14" s="31" t="s">
        <v>263</v>
      </c>
      <c r="I14" s="55" t="s">
        <v>248</v>
      </c>
      <c r="J14" s="54" t="s">
        <v>221</v>
      </c>
      <c r="K14" s="26" t="str">
        <f aca="false">IF(AND($B14="",$C14="",$G14=""),"",IF($B14="","put the date on it",IF($C14="","say who it was with",IF(COUNTIF(Register!$B$7:$B$26,$C14)=0,$C14&amp;" is not on the Register",IF($G14="","record what was raised",IF($H14="","nothing recorded about what was done with it",IF(AND($J14&lt;&gt;"",COUNTIF(Commitments!$B$7:$B$17,$J14)=0),$J14&amp;" is not on the Commitments sheet","")))))))</f>
        <v/>
      </c>
      <c r="M14" s="0" t="str">
        <f aca="false">IF(AND($B14="",$C14="",$G14=""),"grey",IF($B14="","amber",IF($C14="","amber",IF(COUNTIF(Register!$B$7:$B$26,$C14)=0,"amber",IF($G14="","amber",IF($H14="","red",IF(AND($J14&lt;&gt;"",COUNTIF(Commitments!$B$7:$B$17,$J14)=0),"amber","")))))))</f>
        <v/>
      </c>
    </row>
    <row r="15" customFormat="false" ht="59.25" hidden="false" customHeight="true" outlineLevel="0" collapsed="false">
      <c r="B15" s="50" t="n">
        <f aca="false">Setup!$D$11-24</f>
        <v>46229</v>
      </c>
      <c r="C15" s="51" t="s">
        <v>100</v>
      </c>
      <c r="D15" s="26" t="str">
        <f aca="false">IF($C15="","",IF(COUNTIF(Register!$B$7:$B$26,$C15)=0,"not on the Register",VLOOKUP($C15,Register!$B$7:$C$26,2,FALSE())))</f>
        <v>Environment regulator</v>
      </c>
      <c r="E15" s="24" t="s">
        <v>182</v>
      </c>
      <c r="F15" s="24" t="s">
        <v>103</v>
      </c>
      <c r="G15" s="24" t="s">
        <v>264</v>
      </c>
      <c r="H15" s="24" t="s">
        <v>265</v>
      </c>
      <c r="I15" s="52" t="s">
        <v>248</v>
      </c>
      <c r="J15" s="51"/>
      <c r="K15" s="26" t="str">
        <f aca="false">IF(AND($B15="",$C15="",$G15=""),"",IF($B15="","put the date on it",IF($C15="","say who it was with",IF(COUNTIF(Register!$B$7:$B$26,$C15)=0,$C15&amp;" is not on the Register",IF($G15="","record what was raised",IF($H15="","nothing recorded about what was done with it",IF(AND($J15&lt;&gt;"",COUNTIF(Commitments!$B$7:$B$17,$J15)=0),$J15&amp;" is not on the Commitments sheet","")))))))</f>
        <v/>
      </c>
      <c r="M15" s="0" t="str">
        <f aca="false">IF(AND($B15="",$C15="",$G15=""),"grey",IF($B15="","amber",IF($C15="","amber",IF(COUNTIF(Register!$B$7:$B$26,$C15)=0,"amber",IF($G15="","amber",IF($H15="","red",IF(AND($J15&lt;&gt;"",COUNTIF(Commitments!$B$7:$B$17,$J15)=0),"amber","")))))))</f>
        <v/>
      </c>
    </row>
    <row r="16" customFormat="false" ht="59.25" hidden="false" customHeight="true" outlineLevel="0" collapsed="false">
      <c r="B16" s="53" t="n">
        <f aca="false">Setup!$D$11-26</f>
        <v>46227</v>
      </c>
      <c r="C16" s="54" t="s">
        <v>130</v>
      </c>
      <c r="D16" s="26" t="str">
        <f aca="false">IF($C16="","",IF(COUNTIF(Register!$B$7:$B$26,$C16)=0,"not on the Register",VLOOKUP($C16,Register!$B$7:$C$26,2,FALSE())))</f>
        <v>Bus operator</v>
      </c>
      <c r="E16" s="31" t="s">
        <v>182</v>
      </c>
      <c r="F16" s="31" t="s">
        <v>91</v>
      </c>
      <c r="G16" s="31" t="s">
        <v>266</v>
      </c>
      <c r="H16" s="31" t="s">
        <v>267</v>
      </c>
      <c r="I16" s="55" t="s">
        <v>248</v>
      </c>
      <c r="J16" s="54" t="s">
        <v>232</v>
      </c>
      <c r="K16" s="26" t="str">
        <f aca="false">IF(AND($B16="",$C16="",$G16=""),"",IF($B16="","put the date on it",IF($C16="","say who it was with",IF(COUNTIF(Register!$B$7:$B$26,$C16)=0,$C16&amp;" is not on the Register",IF($G16="","record what was raised",IF($H16="","nothing recorded about what was done with it",IF(AND($J16&lt;&gt;"",COUNTIF(Commitments!$B$7:$B$17,$J16)=0),$J16&amp;" is not on the Commitments sheet","")))))))</f>
        <v/>
      </c>
      <c r="M16" s="0" t="str">
        <f aca="false">IF(AND($B16="",$C16="",$G16=""),"grey",IF($B16="","amber",IF($C16="","amber",IF(COUNTIF(Register!$B$7:$B$26,$C16)=0,"amber",IF($G16="","amber",IF($H16="","red",IF(AND($J16&lt;&gt;"",COUNTIF(Commitments!$B$7:$B$17,$J16)=0),"amber","")))))))</f>
        <v/>
      </c>
    </row>
    <row r="17" customFormat="false" ht="59.25" hidden="false" customHeight="true" outlineLevel="0" collapsed="false">
      <c r="B17" s="50" t="n">
        <f aca="false">Setup!$D$11-30</f>
        <v>46223</v>
      </c>
      <c r="C17" s="51" t="s">
        <v>112</v>
      </c>
      <c r="D17" s="26" t="str">
        <f aca="false">IF($C17="","",IF(COUNTIF(Register!$B$7:$B$26,$C17)=0,"not on the Register",VLOOKUP($C17,Register!$B$7:$C$26,2,FALSE())))</f>
        <v>Brayford Chamber of Commerce</v>
      </c>
      <c r="E17" s="24" t="s">
        <v>182</v>
      </c>
      <c r="F17" s="24" t="s">
        <v>109</v>
      </c>
      <c r="G17" s="24" t="s">
        <v>268</v>
      </c>
      <c r="H17" s="24" t="s">
        <v>269</v>
      </c>
      <c r="I17" s="52" t="s">
        <v>248</v>
      </c>
      <c r="J17" s="51" t="s">
        <v>229</v>
      </c>
      <c r="K17" s="26" t="str">
        <f aca="false">IF(AND($B17="",$C17="",$G17=""),"",IF($B17="","put the date on it",IF($C17="","say who it was with",IF(COUNTIF(Register!$B$7:$B$26,$C17)=0,$C17&amp;" is not on the Register",IF($G17="","record what was raised",IF($H17="","nothing recorded about what was done with it",IF(AND($J17&lt;&gt;"",COUNTIF(Commitments!$B$7:$B$17,$J17)=0),$J17&amp;" is not on the Commitments sheet","")))))))</f>
        <v/>
      </c>
      <c r="M17" s="0" t="str">
        <f aca="false">IF(AND($B17="",$C17="",$G17=""),"grey",IF($B17="","amber",IF($C17="","amber",IF(COUNTIF(Register!$B$7:$B$26,$C17)=0,"amber",IF($G17="","amber",IF($H17="","red",IF(AND($J17&lt;&gt;"",COUNTIF(Commitments!$B$7:$B$17,$J17)=0),"amber","")))))))</f>
        <v/>
      </c>
    </row>
    <row r="18" customFormat="false" ht="59.25" hidden="false" customHeight="true" outlineLevel="0" collapsed="false">
      <c r="B18" s="53" t="n">
        <f aca="false">Setup!$D$11-33</f>
        <v>46220</v>
      </c>
      <c r="C18" s="54" t="s">
        <v>127</v>
      </c>
      <c r="D18" s="26" t="str">
        <f aca="false">IF($C18="","",IF(COUNTIF(Register!$B$7:$B$26,$C18)=0,"not on the Register",VLOOKUP($C18,Register!$B$7:$C$26,2,FALSE())))</f>
        <v>Brayford Primary School</v>
      </c>
      <c r="E18" s="31" t="s">
        <v>189</v>
      </c>
      <c r="F18" s="31" t="s">
        <v>109</v>
      </c>
      <c r="G18" s="31" t="s">
        <v>270</v>
      </c>
      <c r="H18" s="31" t="s">
        <v>271</v>
      </c>
      <c r="I18" s="55" t="s">
        <v>248</v>
      </c>
      <c r="J18" s="54" t="s">
        <v>201</v>
      </c>
      <c r="K18" s="26" t="str">
        <f aca="false">IF(AND($B18="",$C18="",$G18=""),"",IF($B18="","put the date on it",IF($C18="","say who it was with",IF(COUNTIF(Register!$B$7:$B$26,$C18)=0,$C18&amp;" is not on the Register",IF($G18="","record what was raised",IF($H18="","nothing recorded about what was done with it",IF(AND($J18&lt;&gt;"",COUNTIF(Commitments!$B$7:$B$17,$J18)=0),$J18&amp;" is not on the Commitments sheet","")))))))</f>
        <v/>
      </c>
      <c r="M18" s="0" t="str">
        <f aca="false">IF(AND($B18="",$C18="",$G18=""),"grey",IF($B18="","amber",IF($C18="","amber",IF(COUNTIF(Register!$B$7:$B$26,$C18)=0,"amber",IF($G18="","amber",IF($H18="","red",IF(AND($J18&lt;&gt;"",COUNTIF(Commitments!$B$7:$B$17,$J18)=0),"amber","")))))))</f>
        <v/>
      </c>
    </row>
    <row r="19" customFormat="false" ht="59.25" hidden="false" customHeight="true" outlineLevel="0" collapsed="false">
      <c r="B19" s="50" t="n">
        <f aca="false">Setup!$D$11-35</f>
        <v>46218</v>
      </c>
      <c r="C19" s="51" t="s">
        <v>87</v>
      </c>
      <c r="D19" s="26" t="str">
        <f aca="false">IF($C19="","",IF(COUNTIF(Register!$B$7:$B$26,$C19)=0,"not on the Register",VLOOKUP($C19,Register!$B$7:$C$26,2,FALSE())))</f>
        <v>Rail operator - Brayford line</v>
      </c>
      <c r="E19" s="24" t="s">
        <v>182</v>
      </c>
      <c r="F19" s="24" t="s">
        <v>91</v>
      </c>
      <c r="G19" s="24" t="s">
        <v>272</v>
      </c>
      <c r="H19" s="24" t="s">
        <v>273</v>
      </c>
      <c r="I19" s="52" t="s">
        <v>248</v>
      </c>
      <c r="J19" s="51" t="s">
        <v>226</v>
      </c>
      <c r="K19" s="26" t="str">
        <f aca="false">IF(AND($B19="",$C19="",$G19=""),"",IF($B19="","put the date on it",IF($C19="","say who it was with",IF(COUNTIF(Register!$B$7:$B$26,$C19)=0,$C19&amp;" is not on the Register",IF($G19="","record what was raised",IF($H19="","nothing recorded about what was done with it",IF(AND($J19&lt;&gt;"",COUNTIF(Commitments!$B$7:$B$17,$J19)=0),$J19&amp;" is not on the Commitments sheet","")))))))</f>
        <v/>
      </c>
      <c r="M19" s="0" t="str">
        <f aca="false">IF(AND($B19="",$C19="",$G19=""),"grey",IF($B19="","amber",IF($C19="","amber",IF(COUNTIF(Register!$B$7:$B$26,$C19)=0,"amber",IF($G19="","amber",IF($H19="","red",IF(AND($J19&lt;&gt;"",COUNTIF(Commitments!$B$7:$B$17,$J19)=0),"amber","")))))))</f>
        <v/>
      </c>
    </row>
    <row r="20" customFormat="false" ht="59.25" hidden="false" customHeight="true" outlineLevel="0" collapsed="false">
      <c r="B20" s="53" t="n">
        <f aca="false">Setup!$D$11-40</f>
        <v>46213</v>
      </c>
      <c r="C20" s="54" t="s">
        <v>97</v>
      </c>
      <c r="D20" s="26" t="str">
        <f aca="false">IF($C20="","",IF(COUNTIF(Register!$B$7:$B$26,$C20)=0,"not on the Register",VLOOKUP($C20,Register!$B$7:$C$26,2,FALSE())))</f>
        <v>Water authority</v>
      </c>
      <c r="E20" s="31" t="s">
        <v>184</v>
      </c>
      <c r="F20" s="31" t="s">
        <v>95</v>
      </c>
      <c r="G20" s="31" t="s">
        <v>274</v>
      </c>
      <c r="H20" s="31" t="s">
        <v>275</v>
      </c>
      <c r="I20" s="55" t="s">
        <v>257</v>
      </c>
      <c r="J20" s="54"/>
      <c r="K20" s="26" t="str">
        <f aca="false">IF(AND($B20="",$C20="",$G20=""),"",IF($B20="","put the date on it",IF($C20="","say who it was with",IF(COUNTIF(Register!$B$7:$B$26,$C20)=0,$C20&amp;" is not on the Register",IF($G20="","record what was raised",IF($H20="","nothing recorded about what was done with it",IF(AND($J20&lt;&gt;"",COUNTIF(Commitments!$B$7:$B$17,$J20)=0),$J20&amp;" is not on the Commitments sheet","")))))))</f>
        <v/>
      </c>
      <c r="M20" s="0" t="str">
        <f aca="false">IF(AND($B20="",$C20="",$G20=""),"grey",IF($B20="","amber",IF($C20="","amber",IF(COUNTIF(Register!$B$7:$B$26,$C20)=0,"amber",IF($G20="","amber",IF($H20="","red",IF(AND($J20&lt;&gt;"",COUNTIF(Commitments!$B$7:$B$17,$J20)=0),"amber","")))))))</f>
        <v/>
      </c>
    </row>
    <row r="21" customFormat="false" ht="59.25" hidden="false" customHeight="true" outlineLevel="0" collapsed="false">
      <c r="B21" s="50" t="n">
        <f aca="false">Setup!$D$11-44</f>
        <v>46209</v>
      </c>
      <c r="C21" s="51" t="s">
        <v>132</v>
      </c>
      <c r="D21" s="26" t="str">
        <f aca="false">IF($C21="","",IF(COUNTIF(Register!$B$7:$B$26,$C21)=0,"not on the Register",VLOOKUP($C21,Register!$B$7:$C$26,2,FALSE())))</f>
        <v>Member for Brayford</v>
      </c>
      <c r="E21" s="24" t="s">
        <v>182</v>
      </c>
      <c r="F21" s="24" t="s">
        <v>135</v>
      </c>
      <c r="G21" s="24" t="s">
        <v>276</v>
      </c>
      <c r="H21" s="24" t="s">
        <v>277</v>
      </c>
      <c r="I21" s="52" t="s">
        <v>257</v>
      </c>
      <c r="J21" s="51"/>
      <c r="K21" s="26" t="str">
        <f aca="false">IF(AND($B21="",$C21="",$G21=""),"",IF($B21="","put the date on it",IF($C21="","say who it was with",IF(COUNTIF(Register!$B$7:$B$26,$C21)=0,$C21&amp;" is not on the Register",IF($G21="","record what was raised",IF($H21="","nothing recorded about what was done with it",IF(AND($J21&lt;&gt;"",COUNTIF(Commitments!$B$7:$B$17,$J21)=0),$J21&amp;" is not on the Commitments sheet","")))))))</f>
        <v/>
      </c>
      <c r="M21" s="0" t="str">
        <f aca="false">IF(AND($B21="",$C21="",$G21=""),"grey",IF($B21="","amber",IF($C21="","amber",IF(COUNTIF(Register!$B$7:$B$26,$C21)=0,"amber",IF($G21="","amber",IF($H21="","red",IF(AND($J21&lt;&gt;"",COUNTIF(Commitments!$B$7:$B$17,$J21)=0),"amber","")))))))</f>
        <v/>
      </c>
    </row>
    <row r="22" customFormat="false" ht="59.25" hidden="false" customHeight="true" outlineLevel="0" collapsed="false">
      <c r="B22" s="53" t="n">
        <f aca="false">Setup!$D$11-51</f>
        <v>46202</v>
      </c>
      <c r="C22" s="54" t="s">
        <v>137</v>
      </c>
      <c r="D22" s="26" t="str">
        <f aca="false">IF($C22="","",IF(COUNTIF(Register!$B$7:$B$26,$C22)=0,"not on the Register",VLOOKUP($C22,Register!$B$7:$C$26,2,FALSE())))</f>
        <v>Emergency services</v>
      </c>
      <c r="E22" s="31" t="s">
        <v>182</v>
      </c>
      <c r="F22" s="31" t="s">
        <v>91</v>
      </c>
      <c r="G22" s="31" t="s">
        <v>278</v>
      </c>
      <c r="H22" s="31" t="s">
        <v>279</v>
      </c>
      <c r="I22" s="55" t="s">
        <v>248</v>
      </c>
      <c r="J22" s="54"/>
      <c r="K22" s="26" t="str">
        <f aca="false">IF(AND($B22="",$C22="",$G22=""),"",IF($B22="","put the date on it",IF($C22="","say who it was with",IF(COUNTIF(Register!$B$7:$B$26,$C22)=0,$C22&amp;" is not on the Register",IF($G22="","record what was raised",IF($H22="","nothing recorded about what was done with it",IF(AND($J22&lt;&gt;"",COUNTIF(Commitments!$B$7:$B$17,$J22)=0),$J22&amp;" is not on the Commitments sheet","")))))))</f>
        <v/>
      </c>
      <c r="M22" s="0" t="str">
        <f aca="false">IF(AND($B22="",$C22="",$G22=""),"grey",IF($B22="","amber",IF($C22="","amber",IF(COUNTIF(Register!$B$7:$B$26,$C22)=0,"amber",IF($G22="","amber",IF($H22="","red",IF(AND($J22&lt;&gt;"",COUNTIF(Commitments!$B$7:$B$17,$J22)=0),"amber","")))))))</f>
        <v/>
      </c>
    </row>
    <row r="23" customFormat="false" ht="59.25" hidden="false" customHeight="true" outlineLevel="0" collapsed="false">
      <c r="B23" s="50" t="n">
        <f aca="false">Setup!$D$11-60</f>
        <v>46193</v>
      </c>
      <c r="C23" s="51" t="s">
        <v>145</v>
      </c>
      <c r="D23" s="26" t="str">
        <f aca="false">IF($C23="","",IF(COUNTIF(Register!$B$7:$B$26,$C23)=0,"not on the Register",VLOOKUP($C23,Register!$B$7:$C$26,2,FALSE())))</f>
        <v>Local newspaper</v>
      </c>
      <c r="E23" s="24" t="s">
        <v>184</v>
      </c>
      <c r="F23" s="24" t="s">
        <v>148</v>
      </c>
      <c r="G23" s="24" t="s">
        <v>280</v>
      </c>
      <c r="H23" s="24" t="s">
        <v>281</v>
      </c>
      <c r="I23" s="52" t="s">
        <v>257</v>
      </c>
      <c r="J23" s="51"/>
      <c r="K23" s="26" t="str">
        <f aca="false">IF(AND($B23="",$C23="",$G23=""),"",IF($B23="","put the date on it",IF($C23="","say who it was with",IF(COUNTIF(Register!$B$7:$B$26,$C23)=0,$C23&amp;" is not on the Register",IF($G23="","record what was raised",IF($H23="","nothing recorded about what was done with it",IF(AND($J23&lt;&gt;"",COUNTIF(Commitments!$B$7:$B$17,$J23)=0),$J23&amp;" is not on the Commitments sheet","")))))))</f>
        <v/>
      </c>
      <c r="M23" s="0" t="str">
        <f aca="false">IF(AND($B23="",$C23="",$G23=""),"grey",IF($B23="","amber",IF($C23="","amber",IF(COUNTIF(Register!$B$7:$B$26,$C23)=0,"amber",IF($G23="","amber",IF($H23="","red",IF(AND($J23&lt;&gt;"",COUNTIF(Commitments!$B$7:$B$17,$J23)=0),"amber","")))))))</f>
        <v/>
      </c>
    </row>
    <row r="24" customFormat="false" ht="59.25" hidden="false" customHeight="true" outlineLevel="0" collapsed="false">
      <c r="B24" s="53"/>
      <c r="C24" s="54"/>
      <c r="D24" s="26" t="str">
        <f aca="false">IF($C24="","",IF(COUNTIF(Register!$B$7:$B$26,$C24)=0,"not on the Register",VLOOKUP($C24,Register!$B$7:$C$26,2,FALSE())))</f>
        <v/>
      </c>
      <c r="E24" s="31"/>
      <c r="F24" s="31"/>
      <c r="G24" s="31"/>
      <c r="H24" s="31"/>
      <c r="I24" s="55"/>
      <c r="J24" s="54"/>
      <c r="K24" s="26" t="str">
        <f aca="false">IF(AND($B24="",$C24="",$G24=""),"",IF($B24="","put the date on it",IF($C24="","say who it was with",IF(COUNTIF(Register!$B$7:$B$26,$C24)=0,$C24&amp;" is not on the Register",IF($G24="","record what was raised",IF($H24="","nothing recorded about what was done with it",IF(AND($J24&lt;&gt;"",COUNTIF(Commitments!$B$7:$B$17,$J24)=0),$J24&amp;" is not on the Commitments sheet","")))))))</f>
        <v/>
      </c>
      <c r="M24" s="0" t="str">
        <f aca="false">IF(AND($B24="",$C24="",$G24=""),"grey",IF($B24="","amber",IF($C24="","amber",IF(COUNTIF(Register!$B$7:$B$26,$C24)=0,"amber",IF($G24="","amber",IF($H24="","red",IF(AND($J24&lt;&gt;"",COUNTIF(Commitments!$B$7:$B$17,$J24)=0),"amber","")))))))</f>
        <v>grey</v>
      </c>
    </row>
    <row r="25" customFormat="false" ht="59.25" hidden="false" customHeight="true" outlineLevel="0" collapsed="false">
      <c r="B25" s="50"/>
      <c r="C25" s="51"/>
      <c r="D25" s="26" t="str">
        <f aca="false">IF($C25="","",IF(COUNTIF(Register!$B$7:$B$26,$C25)=0,"not on the Register",VLOOKUP($C25,Register!$B$7:$C$26,2,FALSE())))</f>
        <v/>
      </c>
      <c r="E25" s="24"/>
      <c r="F25" s="24"/>
      <c r="G25" s="24"/>
      <c r="H25" s="24"/>
      <c r="I25" s="52"/>
      <c r="J25" s="51"/>
      <c r="K25" s="26" t="str">
        <f aca="false">IF(AND($B25="",$C25="",$G25=""),"",IF($B25="","put the date on it",IF($C25="","say who it was with",IF(COUNTIF(Register!$B$7:$B$26,$C25)=0,$C25&amp;" is not on the Register",IF($G25="","record what was raised",IF($H25="","nothing recorded about what was done with it",IF(AND($J25&lt;&gt;"",COUNTIF(Commitments!$B$7:$B$17,$J25)=0),$J25&amp;" is not on the Commitments sheet","")))))))</f>
        <v/>
      </c>
      <c r="M25" s="0" t="str">
        <f aca="false">IF(AND($B25="",$C25="",$G25=""),"grey",IF($B25="","amber",IF($C25="","amber",IF(COUNTIF(Register!$B$7:$B$26,$C25)=0,"amber",IF($G25="","amber",IF($H25="","red",IF(AND($J25&lt;&gt;"",COUNTIF(Commitments!$B$7:$B$17,$J25)=0),"amber","")))))))</f>
        <v>grey</v>
      </c>
    </row>
    <row r="26" customFormat="false" ht="59.25" hidden="false" customHeight="true" outlineLevel="0" collapsed="false">
      <c r="B26" s="53"/>
      <c r="C26" s="54"/>
      <c r="D26" s="26" t="str">
        <f aca="false">IF($C26="","",IF(COUNTIF(Register!$B$7:$B$26,$C26)=0,"not on the Register",VLOOKUP($C26,Register!$B$7:$C$26,2,FALSE())))</f>
        <v/>
      </c>
      <c r="E26" s="31"/>
      <c r="F26" s="31"/>
      <c r="G26" s="31"/>
      <c r="H26" s="31"/>
      <c r="I26" s="55"/>
      <c r="J26" s="54"/>
      <c r="K26" s="26" t="str">
        <f aca="false">IF(AND($B26="",$C26="",$G26=""),"",IF($B26="","put the date on it",IF($C26="","say who it was with",IF(COUNTIF(Register!$B$7:$B$26,$C26)=0,$C26&amp;" is not on the Register",IF($G26="","record what was raised",IF($H26="","nothing recorded about what was done with it",IF(AND($J26&lt;&gt;"",COUNTIF(Commitments!$B$7:$B$17,$J26)=0),$J26&amp;" is not on the Commitments sheet","")))))))</f>
        <v/>
      </c>
      <c r="M26" s="0" t="str">
        <f aca="false">IF(AND($B26="",$C26="",$G26=""),"grey",IF($B26="","amber",IF($C26="","amber",IF(COUNTIF(Register!$B$7:$B$26,$C26)=0,"amber",IF($G26="","amber",IF($H26="","red",IF(AND($J26&lt;&gt;"",COUNTIF(Commitments!$B$7:$B$17,$J26)=0),"amber","")))))))</f>
        <v>grey</v>
      </c>
    </row>
    <row r="28" customFormat="false" ht="18" hidden="false" customHeight="true" outlineLevel="0" collapsed="false">
      <c r="B28" s="20" t="s">
        <v>58</v>
      </c>
      <c r="C28" s="20"/>
      <c r="D28" s="20"/>
      <c r="E28" s="20"/>
      <c r="F28" s="20"/>
      <c r="G28" s="20"/>
      <c r="H28" s="20"/>
      <c r="I28" s="20"/>
      <c r="J28" s="20"/>
      <c r="K28" s="20"/>
    </row>
  </sheetData>
  <autoFilter ref="B6:K26"/>
  <mergeCells count="5">
    <mergeCell ref="B1:K1"/>
    <mergeCell ref="B2:K2"/>
    <mergeCell ref="B3:K3"/>
    <mergeCell ref="B4:K4"/>
    <mergeCell ref="B28:K28"/>
  </mergeCells>
  <conditionalFormatting sqref="B3:K3">
    <cfRule type="expression" priority="2" aboveAverage="0" equalAverage="0" bottom="0" percent="0" rank="0" text="" dxfId="7">
      <formula>LEN($B$3)&gt;0</formula>
    </cfRule>
  </conditionalFormatting>
  <conditionalFormatting sqref="B7:K26">
    <cfRule type="expression" priority="3" aboveAverage="0" equalAverage="0" bottom="0" percent="0" rank="0" text="" dxfId="8">
      <formula>$M7="red"</formula>
    </cfRule>
    <cfRule type="expression" priority="4" aboveAverage="0" equalAverage="0" bottom="0" percent="0" rank="0" text="" dxfId="9">
      <formula>$M7="orange"</formula>
    </cfRule>
    <cfRule type="expression" priority="5" aboveAverage="0" equalAverage="0" bottom="0" percent="0" rank="0" text="" dxfId="7">
      <formula>$M7="amber"</formula>
    </cfRule>
  </conditionalFormatting>
  <dataValidations count="80">
    <dataValidation allowBlank="true" errorStyle="stop" operator="between" showDropDown="false" showErrorMessage="false" showInputMessage="false" sqref="C7" type="list">
      <formula1>Register!$B$7:$B$26</formula1>
      <formula2>0</formula2>
    </dataValidation>
    <dataValidation allowBlank="true" errorStyle="stop" operator="between" showDropDown="false" showErrorMessage="false" showInputMessage="false" sqref="E7" type="list">
      <formula1>Reference!$E$32:$E$40</formula1>
      <formula2>0</formula2>
    </dataValidation>
    <dataValidation allowBlank="true" errorStyle="stop" operator="between" showDropDown="false" showErrorMessage="false" showInputMessage="false" sqref="I7" type="list">
      <formula1>Reference!$J$32:$J$33</formula1>
      <formula2>0</formula2>
    </dataValidation>
    <dataValidation allowBlank="true" errorStyle="stop" operator="between" showDropDown="false" showErrorMessage="false" showInputMessage="false" sqref="J7" type="list">
      <formula1>Commitments!$B$7:$B$17</formula1>
      <formula2>0</formula2>
    </dataValidation>
    <dataValidation allowBlank="true" errorStyle="stop" operator="between" showDropDown="false" showErrorMessage="false" showInputMessage="false" sqref="C8" type="list">
      <formula1>Register!$B$7:$B$26</formula1>
      <formula2>0</formula2>
    </dataValidation>
    <dataValidation allowBlank="true" errorStyle="stop" operator="between" showDropDown="false" showErrorMessage="false" showInputMessage="false" sqref="E8" type="list">
      <formula1>Reference!$E$32:$E$40</formula1>
      <formula2>0</formula2>
    </dataValidation>
    <dataValidation allowBlank="true" errorStyle="stop" operator="between" showDropDown="false" showErrorMessage="false" showInputMessage="false" sqref="I8" type="list">
      <formula1>Reference!$J$32:$J$33</formula1>
      <formula2>0</formula2>
    </dataValidation>
    <dataValidation allowBlank="true" errorStyle="stop" operator="between" showDropDown="false" showErrorMessage="false" showInputMessage="false" sqref="J8" type="list">
      <formula1>Commitments!$B$7:$B$17</formula1>
      <formula2>0</formula2>
    </dataValidation>
    <dataValidation allowBlank="true" errorStyle="stop" operator="between" showDropDown="false" showErrorMessage="false" showInputMessage="false" sqref="C9" type="list">
      <formula1>Register!$B$7:$B$26</formula1>
      <formula2>0</formula2>
    </dataValidation>
    <dataValidation allowBlank="true" errorStyle="stop" operator="between" showDropDown="false" showErrorMessage="false" showInputMessage="false" sqref="E9" type="list">
      <formula1>Reference!$E$32:$E$40</formula1>
      <formula2>0</formula2>
    </dataValidation>
    <dataValidation allowBlank="true" errorStyle="stop" operator="between" showDropDown="false" showErrorMessage="false" showInputMessage="false" sqref="I9" type="list">
      <formula1>Reference!$J$32:$J$33</formula1>
      <formula2>0</formula2>
    </dataValidation>
    <dataValidation allowBlank="true" errorStyle="stop" operator="between" showDropDown="false" showErrorMessage="false" showInputMessage="false" sqref="J9" type="list">
      <formula1>Commitments!$B$7:$B$17</formula1>
      <formula2>0</formula2>
    </dataValidation>
    <dataValidation allowBlank="true" errorStyle="stop" operator="between" showDropDown="false" showErrorMessage="false" showInputMessage="false" sqref="C10" type="list">
      <formula1>Register!$B$7:$B$26</formula1>
      <formula2>0</formula2>
    </dataValidation>
    <dataValidation allowBlank="true" errorStyle="stop" operator="between" showDropDown="false" showErrorMessage="false" showInputMessage="false" sqref="E10" type="list">
      <formula1>Reference!$E$32:$E$40</formula1>
      <formula2>0</formula2>
    </dataValidation>
    <dataValidation allowBlank="true" errorStyle="stop" operator="between" showDropDown="false" showErrorMessage="false" showInputMessage="false" sqref="I10" type="list">
      <formula1>Reference!$J$32:$J$33</formula1>
      <formula2>0</formula2>
    </dataValidation>
    <dataValidation allowBlank="true" errorStyle="stop" operator="between" showDropDown="false" showErrorMessage="false" showInputMessage="false" sqref="J10" type="list">
      <formula1>Commitments!$B$7:$B$17</formula1>
      <formula2>0</formula2>
    </dataValidation>
    <dataValidation allowBlank="true" errorStyle="stop" operator="between" showDropDown="false" showErrorMessage="false" showInputMessage="false" sqref="C11" type="list">
      <formula1>Register!$B$7:$B$26</formula1>
      <formula2>0</formula2>
    </dataValidation>
    <dataValidation allowBlank="true" errorStyle="stop" operator="between" showDropDown="false" showErrorMessage="false" showInputMessage="false" sqref="E11" type="list">
      <formula1>Reference!$E$32:$E$40</formula1>
      <formula2>0</formula2>
    </dataValidation>
    <dataValidation allowBlank="true" errorStyle="stop" operator="between" showDropDown="false" showErrorMessage="false" showInputMessage="false" sqref="I11" type="list">
      <formula1>Reference!$J$32:$J$33</formula1>
      <formula2>0</formula2>
    </dataValidation>
    <dataValidation allowBlank="true" errorStyle="stop" operator="between" showDropDown="false" showErrorMessage="false" showInputMessage="false" sqref="J11" type="list">
      <formula1>Commitments!$B$7:$B$17</formula1>
      <formula2>0</formula2>
    </dataValidation>
    <dataValidation allowBlank="true" errorStyle="stop" operator="between" showDropDown="false" showErrorMessage="false" showInputMessage="false" sqref="C12" type="list">
      <formula1>Register!$B$7:$B$26</formula1>
      <formula2>0</formula2>
    </dataValidation>
    <dataValidation allowBlank="true" errorStyle="stop" operator="between" showDropDown="false" showErrorMessage="false" showInputMessage="false" sqref="E12" type="list">
      <formula1>Reference!$E$32:$E$40</formula1>
      <formula2>0</formula2>
    </dataValidation>
    <dataValidation allowBlank="true" errorStyle="stop" operator="between" showDropDown="false" showErrorMessage="false" showInputMessage="false" sqref="I12" type="list">
      <formula1>Reference!$J$32:$J$33</formula1>
      <formula2>0</formula2>
    </dataValidation>
    <dataValidation allowBlank="true" errorStyle="stop" operator="between" showDropDown="false" showErrorMessage="false" showInputMessage="false" sqref="J12" type="list">
      <formula1>Commitments!$B$7:$B$17</formula1>
      <formula2>0</formula2>
    </dataValidation>
    <dataValidation allowBlank="true" errorStyle="stop" operator="between" showDropDown="false" showErrorMessage="false" showInputMessage="false" sqref="C13" type="list">
      <formula1>Register!$B$7:$B$26</formula1>
      <formula2>0</formula2>
    </dataValidation>
    <dataValidation allowBlank="true" errorStyle="stop" operator="between" showDropDown="false" showErrorMessage="false" showInputMessage="false" sqref="E13" type="list">
      <formula1>Reference!$E$32:$E$40</formula1>
      <formula2>0</formula2>
    </dataValidation>
    <dataValidation allowBlank="true" errorStyle="stop" operator="between" showDropDown="false" showErrorMessage="false" showInputMessage="false" sqref="I13" type="list">
      <formula1>Reference!$J$32:$J$33</formula1>
      <formula2>0</formula2>
    </dataValidation>
    <dataValidation allowBlank="true" errorStyle="stop" operator="between" showDropDown="false" showErrorMessage="false" showInputMessage="false" sqref="J13" type="list">
      <formula1>Commitments!$B$7:$B$17</formula1>
      <formula2>0</formula2>
    </dataValidation>
    <dataValidation allowBlank="true" errorStyle="stop" operator="between" showDropDown="false" showErrorMessage="false" showInputMessage="false" sqref="C14" type="list">
      <formula1>Register!$B$7:$B$26</formula1>
      <formula2>0</formula2>
    </dataValidation>
    <dataValidation allowBlank="true" errorStyle="stop" operator="between" showDropDown="false" showErrorMessage="false" showInputMessage="false" sqref="E14" type="list">
      <formula1>Reference!$E$32:$E$40</formula1>
      <formula2>0</formula2>
    </dataValidation>
    <dataValidation allowBlank="true" errorStyle="stop" operator="between" showDropDown="false" showErrorMessage="false" showInputMessage="false" sqref="I14" type="list">
      <formula1>Reference!$J$32:$J$33</formula1>
      <formula2>0</formula2>
    </dataValidation>
    <dataValidation allowBlank="true" errorStyle="stop" operator="between" showDropDown="false" showErrorMessage="false" showInputMessage="false" sqref="J14" type="list">
      <formula1>Commitments!$B$7:$B$17</formula1>
      <formula2>0</formula2>
    </dataValidation>
    <dataValidation allowBlank="true" errorStyle="stop" operator="between" showDropDown="false" showErrorMessage="false" showInputMessage="false" sqref="C15" type="list">
      <formula1>Register!$B$7:$B$26</formula1>
      <formula2>0</formula2>
    </dataValidation>
    <dataValidation allowBlank="true" errorStyle="stop" operator="between" showDropDown="false" showErrorMessage="false" showInputMessage="false" sqref="E15" type="list">
      <formula1>Reference!$E$32:$E$40</formula1>
      <formula2>0</formula2>
    </dataValidation>
    <dataValidation allowBlank="true" errorStyle="stop" operator="between" showDropDown="false" showErrorMessage="false" showInputMessage="false" sqref="I15" type="list">
      <formula1>Reference!$J$32:$J$33</formula1>
      <formula2>0</formula2>
    </dataValidation>
    <dataValidation allowBlank="true" errorStyle="stop" operator="between" showDropDown="false" showErrorMessage="false" showInputMessage="false" sqref="J15" type="list">
      <formula1>Commitments!$B$7:$B$17</formula1>
      <formula2>0</formula2>
    </dataValidation>
    <dataValidation allowBlank="true" errorStyle="stop" operator="between" showDropDown="false" showErrorMessage="false" showInputMessage="false" sqref="C16" type="list">
      <formula1>Register!$B$7:$B$26</formula1>
      <formula2>0</formula2>
    </dataValidation>
    <dataValidation allowBlank="true" errorStyle="stop" operator="between" showDropDown="false" showErrorMessage="false" showInputMessage="false" sqref="E16" type="list">
      <formula1>Reference!$E$32:$E$40</formula1>
      <formula2>0</formula2>
    </dataValidation>
    <dataValidation allowBlank="true" errorStyle="stop" operator="between" showDropDown="false" showErrorMessage="false" showInputMessage="false" sqref="I16" type="list">
      <formula1>Reference!$J$32:$J$33</formula1>
      <formula2>0</formula2>
    </dataValidation>
    <dataValidation allowBlank="true" errorStyle="stop" operator="between" showDropDown="false" showErrorMessage="false" showInputMessage="false" sqref="J16" type="list">
      <formula1>Commitments!$B$7:$B$17</formula1>
      <formula2>0</formula2>
    </dataValidation>
    <dataValidation allowBlank="true" errorStyle="stop" operator="between" showDropDown="false" showErrorMessage="false" showInputMessage="false" sqref="C17" type="list">
      <formula1>Register!$B$7:$B$26</formula1>
      <formula2>0</formula2>
    </dataValidation>
    <dataValidation allowBlank="true" errorStyle="stop" operator="between" showDropDown="false" showErrorMessage="false" showInputMessage="false" sqref="E17" type="list">
      <formula1>Reference!$E$32:$E$40</formula1>
      <formula2>0</formula2>
    </dataValidation>
    <dataValidation allowBlank="true" errorStyle="stop" operator="between" showDropDown="false" showErrorMessage="false" showInputMessage="false" sqref="I17" type="list">
      <formula1>Reference!$J$32:$J$33</formula1>
      <formula2>0</formula2>
    </dataValidation>
    <dataValidation allowBlank="true" errorStyle="stop" operator="between" showDropDown="false" showErrorMessage="false" showInputMessage="false" sqref="J17" type="list">
      <formula1>Commitments!$B$7:$B$17</formula1>
      <formula2>0</formula2>
    </dataValidation>
    <dataValidation allowBlank="true" errorStyle="stop" operator="between" showDropDown="false" showErrorMessage="false" showInputMessage="false" sqref="C18" type="list">
      <formula1>Register!$B$7:$B$26</formula1>
      <formula2>0</formula2>
    </dataValidation>
    <dataValidation allowBlank="true" errorStyle="stop" operator="between" showDropDown="false" showErrorMessage="false" showInputMessage="false" sqref="E18" type="list">
      <formula1>Reference!$E$32:$E$40</formula1>
      <formula2>0</formula2>
    </dataValidation>
    <dataValidation allowBlank="true" errorStyle="stop" operator="between" showDropDown="false" showErrorMessage="false" showInputMessage="false" sqref="I18" type="list">
      <formula1>Reference!$J$32:$J$33</formula1>
      <formula2>0</formula2>
    </dataValidation>
    <dataValidation allowBlank="true" errorStyle="stop" operator="between" showDropDown="false" showErrorMessage="false" showInputMessage="false" sqref="J18" type="list">
      <formula1>Commitments!$B$7:$B$17</formula1>
      <formula2>0</formula2>
    </dataValidation>
    <dataValidation allowBlank="true" errorStyle="stop" operator="between" showDropDown="false" showErrorMessage="false" showInputMessage="false" sqref="C19" type="list">
      <formula1>Register!$B$7:$B$26</formula1>
      <formula2>0</formula2>
    </dataValidation>
    <dataValidation allowBlank="true" errorStyle="stop" operator="between" showDropDown="false" showErrorMessage="false" showInputMessage="false" sqref="E19" type="list">
      <formula1>Reference!$E$32:$E$40</formula1>
      <formula2>0</formula2>
    </dataValidation>
    <dataValidation allowBlank="true" errorStyle="stop" operator="between" showDropDown="false" showErrorMessage="false" showInputMessage="false" sqref="I19" type="list">
      <formula1>Reference!$J$32:$J$33</formula1>
      <formula2>0</formula2>
    </dataValidation>
    <dataValidation allowBlank="true" errorStyle="stop" operator="between" showDropDown="false" showErrorMessage="false" showInputMessage="false" sqref="J19" type="list">
      <formula1>Commitments!$B$7:$B$17</formula1>
      <formula2>0</formula2>
    </dataValidation>
    <dataValidation allowBlank="true" errorStyle="stop" operator="between" showDropDown="false" showErrorMessage="false" showInputMessage="false" sqref="C20" type="list">
      <formula1>Register!$B$7:$B$26</formula1>
      <formula2>0</formula2>
    </dataValidation>
    <dataValidation allowBlank="true" errorStyle="stop" operator="between" showDropDown="false" showErrorMessage="false" showInputMessage="false" sqref="E20" type="list">
      <formula1>Reference!$E$32:$E$40</formula1>
      <formula2>0</formula2>
    </dataValidation>
    <dataValidation allowBlank="true" errorStyle="stop" operator="between" showDropDown="false" showErrorMessage="false" showInputMessage="false" sqref="I20" type="list">
      <formula1>Reference!$J$32:$J$33</formula1>
      <formula2>0</formula2>
    </dataValidation>
    <dataValidation allowBlank="true" errorStyle="stop" operator="between" showDropDown="false" showErrorMessage="false" showInputMessage="false" sqref="J20" type="list">
      <formula1>Commitments!$B$7:$B$17</formula1>
      <formula2>0</formula2>
    </dataValidation>
    <dataValidation allowBlank="true" errorStyle="stop" operator="between" showDropDown="false" showErrorMessage="false" showInputMessage="false" sqref="C21" type="list">
      <formula1>Register!$B$7:$B$26</formula1>
      <formula2>0</formula2>
    </dataValidation>
    <dataValidation allowBlank="true" errorStyle="stop" operator="between" showDropDown="false" showErrorMessage="false" showInputMessage="false" sqref="E21" type="list">
      <formula1>Reference!$E$32:$E$40</formula1>
      <formula2>0</formula2>
    </dataValidation>
    <dataValidation allowBlank="true" errorStyle="stop" operator="between" showDropDown="false" showErrorMessage="false" showInputMessage="false" sqref="I21" type="list">
      <formula1>Reference!$J$32:$J$33</formula1>
      <formula2>0</formula2>
    </dataValidation>
    <dataValidation allowBlank="true" errorStyle="stop" operator="between" showDropDown="false" showErrorMessage="false" showInputMessage="false" sqref="J21" type="list">
      <formula1>Commitments!$B$7:$B$17</formula1>
      <formula2>0</formula2>
    </dataValidation>
    <dataValidation allowBlank="true" errorStyle="stop" operator="between" showDropDown="false" showErrorMessage="false" showInputMessage="false" sqref="C22" type="list">
      <formula1>Register!$B$7:$B$26</formula1>
      <formula2>0</formula2>
    </dataValidation>
    <dataValidation allowBlank="true" errorStyle="stop" operator="between" showDropDown="false" showErrorMessage="false" showInputMessage="false" sqref="E22" type="list">
      <formula1>Reference!$E$32:$E$40</formula1>
      <formula2>0</formula2>
    </dataValidation>
    <dataValidation allowBlank="true" errorStyle="stop" operator="between" showDropDown="false" showErrorMessage="false" showInputMessage="false" sqref="I22" type="list">
      <formula1>Reference!$J$32:$J$33</formula1>
      <formula2>0</formula2>
    </dataValidation>
    <dataValidation allowBlank="true" errorStyle="stop" operator="between" showDropDown="false" showErrorMessage="false" showInputMessage="false" sqref="J22" type="list">
      <formula1>Commitments!$B$7:$B$17</formula1>
      <formula2>0</formula2>
    </dataValidation>
    <dataValidation allowBlank="true" errorStyle="stop" operator="between" showDropDown="false" showErrorMessage="false" showInputMessage="false" sqref="C23" type="list">
      <formula1>Register!$B$7:$B$26</formula1>
      <formula2>0</formula2>
    </dataValidation>
    <dataValidation allowBlank="true" errorStyle="stop" operator="between" showDropDown="false" showErrorMessage="false" showInputMessage="false" sqref="E23" type="list">
      <formula1>Reference!$E$32:$E$40</formula1>
      <formula2>0</formula2>
    </dataValidation>
    <dataValidation allowBlank="true" errorStyle="stop" operator="between" showDropDown="false" showErrorMessage="false" showInputMessage="false" sqref="I23" type="list">
      <formula1>Reference!$J$32:$J$33</formula1>
      <formula2>0</formula2>
    </dataValidation>
    <dataValidation allowBlank="true" errorStyle="stop" operator="between" showDropDown="false" showErrorMessage="false" showInputMessage="false" sqref="J23" type="list">
      <formula1>Commitments!$B$7:$B$17</formula1>
      <formula2>0</formula2>
    </dataValidation>
    <dataValidation allowBlank="true" errorStyle="stop" operator="between" showDropDown="false" showErrorMessage="false" showInputMessage="false" sqref="C24" type="list">
      <formula1>Register!$B$7:$B$26</formula1>
      <formula2>0</formula2>
    </dataValidation>
    <dataValidation allowBlank="true" errorStyle="stop" operator="between" showDropDown="false" showErrorMessage="false" showInputMessage="false" sqref="E24" type="list">
      <formula1>Reference!$E$32:$E$40</formula1>
      <formula2>0</formula2>
    </dataValidation>
    <dataValidation allowBlank="true" errorStyle="stop" operator="between" showDropDown="false" showErrorMessage="false" showInputMessage="false" sqref="I24" type="list">
      <formula1>Reference!$J$32:$J$33</formula1>
      <formula2>0</formula2>
    </dataValidation>
    <dataValidation allowBlank="true" errorStyle="stop" operator="between" showDropDown="false" showErrorMessage="false" showInputMessage="false" sqref="J24" type="list">
      <formula1>Commitments!$B$7:$B$17</formula1>
      <formula2>0</formula2>
    </dataValidation>
    <dataValidation allowBlank="true" errorStyle="stop" operator="between" showDropDown="false" showErrorMessage="false" showInputMessage="false" sqref="C25" type="list">
      <formula1>Register!$B$7:$B$26</formula1>
      <formula2>0</formula2>
    </dataValidation>
    <dataValidation allowBlank="true" errorStyle="stop" operator="between" showDropDown="false" showErrorMessage="false" showInputMessage="false" sqref="E25" type="list">
      <formula1>Reference!$E$32:$E$40</formula1>
      <formula2>0</formula2>
    </dataValidation>
    <dataValidation allowBlank="true" errorStyle="stop" operator="between" showDropDown="false" showErrorMessage="false" showInputMessage="false" sqref="I25" type="list">
      <formula1>Reference!$J$32:$J$33</formula1>
      <formula2>0</formula2>
    </dataValidation>
    <dataValidation allowBlank="true" errorStyle="stop" operator="between" showDropDown="false" showErrorMessage="false" showInputMessage="false" sqref="J25" type="list">
      <formula1>Commitments!$B$7:$B$17</formula1>
      <formula2>0</formula2>
    </dataValidation>
    <dataValidation allowBlank="true" errorStyle="stop" operator="between" showDropDown="false" showErrorMessage="false" showInputMessage="false" sqref="C26" type="list">
      <formula1>Register!$B$7:$B$26</formula1>
      <formula2>0</formula2>
    </dataValidation>
    <dataValidation allowBlank="true" errorStyle="stop" operator="between" showDropDown="false" showErrorMessage="false" showInputMessage="false" sqref="E26" type="list">
      <formula1>Reference!$E$32:$E$40</formula1>
      <formula2>0</formula2>
    </dataValidation>
    <dataValidation allowBlank="true" errorStyle="stop" operator="between" showDropDown="false" showErrorMessage="false" showInputMessage="false" sqref="I26" type="list">
      <formula1>Reference!$J$32:$J$33</formula1>
      <formula2>0</formula2>
    </dataValidation>
    <dataValidation allowBlank="true" errorStyle="stop" operator="between" showDropDown="false" showErrorMessage="false" showInputMessage="false" sqref="J26" type="list">
      <formula1>Commitments!$B$7:$B$17</formula1>
      <formula2>0</formula2>
    </dataValidation>
  </dataValidations>
  <hyperlinks>
    <hyperlink ref="B28"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K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4"/>
    <col collapsed="false" customWidth="true" hidden="false" outlineLevel="0" max="3" min="3" style="0" width="22"/>
    <col collapsed="false" customWidth="true" hidden="false" outlineLevel="0" max="4" min="4" style="0" width="20"/>
    <col collapsed="false" customWidth="true" hidden="false" outlineLevel="0" max="6" min="5" style="0" width="18"/>
    <col collapsed="false" customWidth="true" hidden="false" outlineLevel="0" max="8" min="7" style="0" width="16"/>
    <col collapsed="false" customWidth="true" hidden="false" outlineLevel="0" max="9" min="9" style="0" width="14"/>
    <col collapsed="false" customWidth="true" hidden="false" outlineLevel="0" max="10" min="10" style="0" width="12"/>
    <col collapsed="false" customWidth="true" hidden="false" outlineLevel="0" max="11" min="11" style="0" width="40"/>
    <col collapsed="false" customWidth="true" hidden="false" outlineLevel="0" max="12" min="12" style="0" width="2.2"/>
  </cols>
  <sheetData>
    <row r="1" customFormat="false" ht="33.75" hidden="false" customHeight="true" outlineLevel="0" collapsed="false">
      <c r="B1" s="13" t="s">
        <v>282</v>
      </c>
      <c r="C1" s="13"/>
      <c r="D1" s="13"/>
      <c r="E1" s="13"/>
      <c r="F1" s="13"/>
      <c r="G1" s="13"/>
      <c r="H1" s="13"/>
      <c r="I1" s="13"/>
      <c r="J1" s="13"/>
      <c r="K1" s="13"/>
    </row>
    <row r="2" customFormat="false" ht="4.5" hidden="false" customHeight="true" outlineLevel="0" collapsed="false">
      <c r="B2" s="49"/>
      <c r="C2" s="49"/>
      <c r="D2" s="49"/>
      <c r="E2" s="49"/>
      <c r="F2" s="49"/>
      <c r="G2" s="49"/>
      <c r="H2" s="49"/>
      <c r="I2" s="49"/>
      <c r="J2" s="49"/>
      <c r="K2" s="49"/>
    </row>
    <row r="4" customFormat="false" ht="25.5" hidden="false" customHeight="true" outlineLevel="0" collapsed="false">
      <c r="B4" s="15" t="s">
        <v>283</v>
      </c>
      <c r="C4" s="15"/>
      <c r="D4" s="15"/>
      <c r="E4" s="15"/>
      <c r="F4" s="15"/>
      <c r="G4" s="15"/>
      <c r="H4" s="15"/>
      <c r="I4" s="15"/>
      <c r="J4" s="15"/>
      <c r="K4" s="15"/>
    </row>
    <row r="6" customFormat="false" ht="21.75" hidden="false" customHeight="true" outlineLevel="0" collapsed="false">
      <c r="B6" s="6" t="s">
        <v>284</v>
      </c>
      <c r="C6" s="6"/>
      <c r="D6" s="6"/>
      <c r="E6" s="6"/>
      <c r="F6" s="6"/>
      <c r="G6" s="6"/>
      <c r="H6" s="6"/>
      <c r="I6" s="6"/>
      <c r="J6" s="6"/>
      <c r="K6" s="6"/>
    </row>
    <row r="7" customFormat="false" ht="19.5" hidden="false" customHeight="true" outlineLevel="0" collapsed="false">
      <c r="B7" s="22" t="s">
        <v>285</v>
      </c>
      <c r="C7" s="22" t="s">
        <v>286</v>
      </c>
      <c r="D7" s="22"/>
      <c r="E7" s="22"/>
      <c r="F7" s="22"/>
      <c r="G7" s="22"/>
      <c r="H7" s="22" t="s">
        <v>287</v>
      </c>
      <c r="I7" s="22"/>
      <c r="J7" s="22"/>
      <c r="K7" s="22"/>
    </row>
    <row r="8" customFormat="false" ht="31.5" hidden="false" customHeight="true" outlineLevel="0" collapsed="false">
      <c r="B8" s="56" t="s">
        <v>288</v>
      </c>
      <c r="C8" s="57" t="s">
        <v>289</v>
      </c>
      <c r="D8" s="57"/>
      <c r="E8" s="57"/>
      <c r="F8" s="57"/>
      <c r="G8" s="57"/>
      <c r="H8" s="58" t="s">
        <v>290</v>
      </c>
      <c r="I8" s="58"/>
      <c r="J8" s="58"/>
      <c r="K8" s="58"/>
    </row>
    <row r="9" customFormat="false" ht="31.5" hidden="false" customHeight="true" outlineLevel="0" collapsed="false">
      <c r="B9" s="59" t="s">
        <v>291</v>
      </c>
      <c r="C9" s="60" t="s">
        <v>292</v>
      </c>
      <c r="D9" s="60"/>
      <c r="E9" s="60"/>
      <c r="F9" s="60"/>
      <c r="G9" s="60"/>
      <c r="H9" s="58" t="s">
        <v>293</v>
      </c>
      <c r="I9" s="58"/>
      <c r="J9" s="58"/>
      <c r="K9" s="58"/>
    </row>
    <row r="10" customFormat="false" ht="24" hidden="false" customHeight="true" outlineLevel="0" collapsed="false">
      <c r="B10" s="61" t="s">
        <v>294</v>
      </c>
      <c r="C10" s="62" t="s">
        <v>295</v>
      </c>
      <c r="D10" s="62"/>
      <c r="E10" s="62"/>
      <c r="F10" s="62"/>
      <c r="G10" s="62"/>
      <c r="H10" s="58" t="s">
        <v>296</v>
      </c>
      <c r="I10" s="58"/>
      <c r="J10" s="58"/>
      <c r="K10" s="58"/>
    </row>
    <row r="11" customFormat="false" ht="24" hidden="false" customHeight="true" outlineLevel="0" collapsed="false">
      <c r="B11" s="63" t="s">
        <v>297</v>
      </c>
      <c r="C11" s="64" t="s">
        <v>298</v>
      </c>
      <c r="D11" s="64"/>
      <c r="E11" s="64"/>
      <c r="F11" s="64"/>
      <c r="G11" s="64"/>
      <c r="H11" s="58" t="s">
        <v>299</v>
      </c>
      <c r="I11" s="58"/>
      <c r="J11" s="58"/>
      <c r="K11" s="58"/>
    </row>
    <row r="12" customFormat="false" ht="24" hidden="false" customHeight="true" outlineLevel="0" collapsed="false">
      <c r="B12" s="65" t="s">
        <v>300</v>
      </c>
      <c r="C12" s="66" t="s">
        <v>301</v>
      </c>
      <c r="D12" s="66"/>
      <c r="E12" s="66"/>
      <c r="F12" s="66"/>
      <c r="G12" s="66"/>
      <c r="H12" s="58" t="s">
        <v>302</v>
      </c>
      <c r="I12" s="58"/>
      <c r="J12" s="58"/>
      <c r="K12" s="58"/>
    </row>
    <row r="13" customFormat="false" ht="24" hidden="false" customHeight="true" outlineLevel="0" collapsed="false">
      <c r="B13" s="67" t="s">
        <v>303</v>
      </c>
      <c r="C13" s="68" t="s">
        <v>304</v>
      </c>
      <c r="D13" s="68"/>
      <c r="E13" s="68"/>
      <c r="F13" s="68"/>
      <c r="G13" s="68"/>
      <c r="H13" s="58" t="s">
        <v>305</v>
      </c>
      <c r="I13" s="58"/>
      <c r="J13" s="58"/>
      <c r="K13" s="58"/>
    </row>
    <row r="15" customFormat="false" ht="21.75" hidden="false" customHeight="true" outlineLevel="0" collapsed="false">
      <c r="B15" s="6" t="s">
        <v>306</v>
      </c>
      <c r="C15" s="6"/>
      <c r="D15" s="6"/>
      <c r="E15" s="6"/>
      <c r="F15" s="6"/>
      <c r="G15" s="6"/>
      <c r="H15" s="6"/>
      <c r="I15" s="6"/>
      <c r="J15" s="6"/>
      <c r="K15" s="6"/>
    </row>
    <row r="16" customFormat="false" ht="19.5" hidden="false" customHeight="true" outlineLevel="0" collapsed="false">
      <c r="B16" s="69" t="s">
        <v>307</v>
      </c>
      <c r="C16" s="58" t="s">
        <v>308</v>
      </c>
      <c r="D16" s="58"/>
      <c r="E16" s="58"/>
      <c r="F16" s="58"/>
      <c r="G16" s="58"/>
      <c r="H16" s="58"/>
      <c r="I16" s="58"/>
      <c r="J16" s="58"/>
      <c r="K16" s="58"/>
    </row>
    <row r="17" customFormat="false" ht="19.5" hidden="false" customHeight="true" outlineLevel="0" collapsed="false">
      <c r="B17" s="69" t="s">
        <v>309</v>
      </c>
      <c r="C17" s="58" t="s">
        <v>310</v>
      </c>
      <c r="D17" s="58"/>
      <c r="E17" s="58"/>
      <c r="F17" s="58"/>
      <c r="G17" s="58"/>
      <c r="H17" s="58"/>
      <c r="I17" s="58"/>
      <c r="J17" s="58"/>
      <c r="K17" s="58"/>
    </row>
    <row r="18" customFormat="false" ht="19.5" hidden="false" customHeight="true" outlineLevel="0" collapsed="false">
      <c r="B18" s="69" t="s">
        <v>311</v>
      </c>
      <c r="C18" s="58" t="s">
        <v>312</v>
      </c>
      <c r="D18" s="58"/>
      <c r="E18" s="58"/>
      <c r="F18" s="58"/>
      <c r="G18" s="58"/>
      <c r="H18" s="58"/>
      <c r="I18" s="58"/>
      <c r="J18" s="58"/>
      <c r="K18" s="58"/>
    </row>
    <row r="19" customFormat="false" ht="19.5" hidden="false" customHeight="true" outlineLevel="0" collapsed="false">
      <c r="B19" s="69" t="s">
        <v>313</v>
      </c>
      <c r="C19" s="58" t="s">
        <v>314</v>
      </c>
      <c r="D19" s="58"/>
      <c r="E19" s="58"/>
      <c r="F19" s="58"/>
      <c r="G19" s="58"/>
      <c r="H19" s="58"/>
      <c r="I19" s="58"/>
      <c r="J19" s="58"/>
      <c r="K19" s="58"/>
    </row>
    <row r="20" customFormat="false" ht="19.5" hidden="false" customHeight="true" outlineLevel="0" collapsed="false">
      <c r="B20" s="69" t="s">
        <v>315</v>
      </c>
      <c r="C20" s="58" t="s">
        <v>316</v>
      </c>
      <c r="D20" s="58"/>
      <c r="E20" s="58"/>
      <c r="F20" s="58"/>
      <c r="G20" s="58"/>
      <c r="H20" s="58"/>
      <c r="I20" s="58"/>
      <c r="J20" s="58"/>
      <c r="K20" s="58"/>
    </row>
    <row r="22" customFormat="false" ht="21.75" hidden="false" customHeight="true" outlineLevel="0" collapsed="false">
      <c r="B22" s="6" t="s">
        <v>317</v>
      </c>
      <c r="C22" s="6"/>
      <c r="D22" s="6"/>
      <c r="E22" s="6"/>
      <c r="F22" s="6"/>
      <c r="G22" s="6"/>
      <c r="H22" s="6"/>
      <c r="I22" s="6"/>
      <c r="J22" s="6"/>
      <c r="K22" s="6"/>
    </row>
    <row r="23" customFormat="false" ht="27.75" hidden="false" customHeight="true" outlineLevel="0" collapsed="false">
      <c r="B23" s="22" t="s">
        <v>318</v>
      </c>
      <c r="C23" s="22" t="s">
        <v>319</v>
      </c>
      <c r="D23" s="22"/>
      <c r="E23" s="22"/>
      <c r="F23" s="22"/>
      <c r="G23" s="22"/>
      <c r="H23" s="22" t="s">
        <v>320</v>
      </c>
      <c r="I23" s="22"/>
      <c r="J23" s="22"/>
      <c r="K23" s="22"/>
    </row>
    <row r="24" customFormat="false" ht="96" hidden="false" customHeight="true" outlineLevel="0" collapsed="false">
      <c r="B24" s="70" t="s">
        <v>321</v>
      </c>
      <c r="C24" s="71" t="s">
        <v>322</v>
      </c>
      <c r="D24" s="71"/>
      <c r="E24" s="71"/>
      <c r="F24" s="71"/>
      <c r="G24" s="71"/>
      <c r="H24" s="71" t="s">
        <v>323</v>
      </c>
      <c r="I24" s="71"/>
      <c r="J24" s="71"/>
      <c r="K24" s="71"/>
    </row>
    <row r="25" customFormat="false" ht="96" hidden="false" customHeight="true" outlineLevel="0" collapsed="false">
      <c r="B25" s="70" t="s">
        <v>324</v>
      </c>
      <c r="C25" s="71" t="s">
        <v>325</v>
      </c>
      <c r="D25" s="71"/>
      <c r="E25" s="71"/>
      <c r="F25" s="71"/>
      <c r="G25" s="71"/>
      <c r="H25" s="71" t="s">
        <v>326</v>
      </c>
      <c r="I25" s="71"/>
      <c r="J25" s="71"/>
      <c r="K25" s="71"/>
    </row>
    <row r="26" customFormat="false" ht="21.75" hidden="false" customHeight="true" outlineLevel="0" collapsed="false">
      <c r="B26" s="70" t="s">
        <v>327</v>
      </c>
      <c r="C26" s="71" t="s">
        <v>328</v>
      </c>
      <c r="D26" s="71"/>
      <c r="E26" s="71"/>
      <c r="F26" s="71"/>
      <c r="G26" s="71"/>
      <c r="H26" s="71" t="s">
        <v>329</v>
      </c>
      <c r="I26" s="71"/>
      <c r="J26" s="71"/>
      <c r="K26" s="71"/>
    </row>
    <row r="27" customFormat="false" ht="21.75" hidden="false" customHeight="true" outlineLevel="0" collapsed="false">
      <c r="B27" s="70" t="s">
        <v>330</v>
      </c>
      <c r="C27" s="71" t="s">
        <v>331</v>
      </c>
      <c r="D27" s="71"/>
      <c r="E27" s="71"/>
      <c r="F27" s="71"/>
      <c r="G27" s="71"/>
      <c r="H27" s="71" t="s">
        <v>332</v>
      </c>
      <c r="I27" s="71"/>
      <c r="J27" s="71"/>
      <c r="K27" s="71"/>
    </row>
    <row r="28" customFormat="false" ht="21.75" hidden="false" customHeight="true" outlineLevel="0" collapsed="false">
      <c r="B28" s="70" t="s">
        <v>333</v>
      </c>
      <c r="C28" s="71" t="s">
        <v>334</v>
      </c>
      <c r="D28" s="71"/>
      <c r="E28" s="71"/>
      <c r="F28" s="71"/>
      <c r="G28" s="71"/>
      <c r="H28" s="71" t="s">
        <v>335</v>
      </c>
      <c r="I28" s="71"/>
      <c r="J28" s="71"/>
      <c r="K28" s="71"/>
    </row>
    <row r="30" customFormat="false" ht="21.75" hidden="false" customHeight="true" outlineLevel="0" collapsed="false">
      <c r="B30" s="6" t="s">
        <v>336</v>
      </c>
      <c r="C30" s="6"/>
      <c r="D30" s="6"/>
      <c r="E30" s="6"/>
      <c r="F30" s="6"/>
      <c r="G30" s="6"/>
      <c r="H30" s="6"/>
      <c r="I30" s="6"/>
      <c r="J30" s="6"/>
      <c r="K30" s="6"/>
    </row>
    <row r="31" customFormat="false" ht="33" hidden="false" customHeight="true" outlineLevel="0" collapsed="false">
      <c r="B31" s="72" t="s">
        <v>63</v>
      </c>
      <c r="C31" s="72" t="s">
        <v>337</v>
      </c>
      <c r="D31" s="72" t="s">
        <v>64</v>
      </c>
      <c r="E31" s="72" t="s">
        <v>175</v>
      </c>
      <c r="F31" s="72" t="s">
        <v>197</v>
      </c>
      <c r="G31" s="72" t="s">
        <v>330</v>
      </c>
      <c r="H31" s="72" t="s">
        <v>338</v>
      </c>
      <c r="I31" s="72" t="s">
        <v>73</v>
      </c>
      <c r="J31" s="72" t="s">
        <v>339</v>
      </c>
    </row>
    <row r="32" customFormat="false" ht="33.75" hidden="false" customHeight="true" outlineLevel="0" collapsed="false">
      <c r="B32" s="73" t="s">
        <v>78</v>
      </c>
      <c r="C32" s="73" t="s">
        <v>209</v>
      </c>
      <c r="D32" s="73" t="s">
        <v>79</v>
      </c>
      <c r="E32" s="73" t="s">
        <v>182</v>
      </c>
      <c r="F32" s="73" t="s">
        <v>340</v>
      </c>
      <c r="G32" s="73" t="s">
        <v>185</v>
      </c>
      <c r="H32" s="73" t="s">
        <v>341</v>
      </c>
      <c r="I32" s="73" t="s">
        <v>117</v>
      </c>
      <c r="J32" s="73" t="s">
        <v>248</v>
      </c>
    </row>
    <row r="33" customFormat="false" ht="33.75" hidden="false" customHeight="true" outlineLevel="0" collapsed="false">
      <c r="B33" s="74" t="s">
        <v>102</v>
      </c>
      <c r="C33" s="74" t="s">
        <v>203</v>
      </c>
      <c r="D33" s="74" t="s">
        <v>107</v>
      </c>
      <c r="E33" s="74" t="s">
        <v>342</v>
      </c>
      <c r="F33" s="74" t="s">
        <v>99</v>
      </c>
      <c r="G33" s="74" t="s">
        <v>183</v>
      </c>
      <c r="H33" s="74" t="s">
        <v>108</v>
      </c>
      <c r="I33" s="74" t="s">
        <v>84</v>
      </c>
      <c r="J33" s="74" t="s">
        <v>257</v>
      </c>
    </row>
    <row r="34" customFormat="false" ht="33.75" hidden="false" customHeight="true" outlineLevel="0" collapsed="false">
      <c r="B34" s="73" t="s">
        <v>89</v>
      </c>
      <c r="C34" s="73" t="s">
        <v>218</v>
      </c>
      <c r="D34" s="73" t="s">
        <v>99</v>
      </c>
      <c r="E34" s="73" t="s">
        <v>184</v>
      </c>
      <c r="F34" s="73" t="s">
        <v>343</v>
      </c>
      <c r="G34" s="73" t="s">
        <v>186</v>
      </c>
      <c r="H34" s="73" t="s">
        <v>80</v>
      </c>
      <c r="I34" s="73" t="s">
        <v>111</v>
      </c>
    </row>
    <row r="35" customFormat="false" ht="33.75" hidden="false" customHeight="true" outlineLevel="0" collapsed="false">
      <c r="B35" s="74" t="s">
        <v>106</v>
      </c>
      <c r="C35" s="74" t="s">
        <v>213</v>
      </c>
      <c r="D35" s="74" t="s">
        <v>90</v>
      </c>
      <c r="E35" s="74" t="s">
        <v>189</v>
      </c>
      <c r="F35" s="74" t="s">
        <v>344</v>
      </c>
      <c r="G35" s="74" t="s">
        <v>181</v>
      </c>
      <c r="H35" s="74" t="s">
        <v>81</v>
      </c>
    </row>
    <row r="36" customFormat="false" ht="33.75" hidden="false" customHeight="true" outlineLevel="0" collapsed="false">
      <c r="B36" s="73" t="s">
        <v>114</v>
      </c>
      <c r="C36" s="73" t="s">
        <v>345</v>
      </c>
      <c r="D36" s="73" t="s">
        <v>346</v>
      </c>
      <c r="E36" s="73" t="s">
        <v>188</v>
      </c>
      <c r="F36" s="73" t="s">
        <v>205</v>
      </c>
      <c r="G36" s="73" t="s">
        <v>347</v>
      </c>
      <c r="H36" s="73" t="s">
        <v>143</v>
      </c>
    </row>
    <row r="37" customFormat="false" ht="33.75" hidden="false" customHeight="true" outlineLevel="0" collapsed="false">
      <c r="B37" s="74" t="s">
        <v>122</v>
      </c>
      <c r="C37" s="74" t="s">
        <v>223</v>
      </c>
      <c r="D37" s="74" t="s">
        <v>115</v>
      </c>
      <c r="E37" s="74" t="s">
        <v>187</v>
      </c>
      <c r="F37" s="74" t="s">
        <v>348</v>
      </c>
    </row>
    <row r="38" customFormat="false" ht="33.75" hidden="false" customHeight="true" outlineLevel="0" collapsed="false">
      <c r="B38" s="73" t="s">
        <v>125</v>
      </c>
      <c r="D38" s="73" t="s">
        <v>129</v>
      </c>
      <c r="E38" s="73" t="s">
        <v>349</v>
      </c>
      <c r="F38" s="73" t="s">
        <v>129</v>
      </c>
    </row>
    <row r="39" customFormat="false" ht="33.75" hidden="false" customHeight="true" outlineLevel="0" collapsed="false">
      <c r="B39" s="74" t="s">
        <v>142</v>
      </c>
      <c r="D39" s="74" t="s">
        <v>350</v>
      </c>
      <c r="E39" s="74" t="s">
        <v>351</v>
      </c>
    </row>
    <row r="40" customFormat="false" ht="33.75" hidden="false" customHeight="true" outlineLevel="0" collapsed="false">
      <c r="B40" s="73" t="s">
        <v>84</v>
      </c>
      <c r="E40" s="73" t="s">
        <v>352</v>
      </c>
    </row>
    <row r="41" customFormat="false" ht="33.75" hidden="false" customHeight="true" outlineLevel="0" collapsed="false">
      <c r="B41" s="74" t="s">
        <v>134</v>
      </c>
    </row>
    <row r="42" customFormat="false" ht="33.75" hidden="false" customHeight="true" outlineLevel="0" collapsed="false">
      <c r="B42" s="73" t="s">
        <v>147</v>
      </c>
    </row>
    <row r="44" customFormat="false" ht="18" hidden="false" customHeight="true" outlineLevel="0" collapsed="false">
      <c r="B44" s="20" t="s">
        <v>58</v>
      </c>
      <c r="C44" s="20"/>
      <c r="D44" s="20"/>
      <c r="E44" s="20"/>
      <c r="F44" s="20"/>
      <c r="G44" s="20"/>
      <c r="H44" s="20"/>
      <c r="I44" s="20"/>
      <c r="J44" s="20"/>
      <c r="K44" s="20"/>
    </row>
  </sheetData>
  <mergeCells count="39">
    <mergeCell ref="B1:K1"/>
    <mergeCell ref="B2:K2"/>
    <mergeCell ref="B4:K4"/>
    <mergeCell ref="B6:K6"/>
    <mergeCell ref="C7:G7"/>
    <mergeCell ref="H7:K7"/>
    <mergeCell ref="C8:G8"/>
    <mergeCell ref="H8:K8"/>
    <mergeCell ref="C9:G9"/>
    <mergeCell ref="H9:K9"/>
    <mergeCell ref="C10:G10"/>
    <mergeCell ref="H10:K10"/>
    <mergeCell ref="C11:G11"/>
    <mergeCell ref="H11:K11"/>
    <mergeCell ref="C12:G12"/>
    <mergeCell ref="H12:K12"/>
    <mergeCell ref="C13:G13"/>
    <mergeCell ref="H13:K13"/>
    <mergeCell ref="B15:K15"/>
    <mergeCell ref="C16:K16"/>
    <mergeCell ref="C17:K17"/>
    <mergeCell ref="C18:K18"/>
    <mergeCell ref="C19:K19"/>
    <mergeCell ref="C20:K20"/>
    <mergeCell ref="B22:K22"/>
    <mergeCell ref="C23:G23"/>
    <mergeCell ref="H23:K23"/>
    <mergeCell ref="C24:G24"/>
    <mergeCell ref="H24:K24"/>
    <mergeCell ref="C25:G25"/>
    <mergeCell ref="H25:K25"/>
    <mergeCell ref="C26:G26"/>
    <mergeCell ref="H26:K26"/>
    <mergeCell ref="C27:G27"/>
    <mergeCell ref="H27:K27"/>
    <mergeCell ref="C28:G28"/>
    <mergeCell ref="H28:K28"/>
    <mergeCell ref="B30:K30"/>
    <mergeCell ref="B44:K44"/>
  </mergeCells>
  <hyperlinks>
    <hyperlink ref="B44"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29" man="true" max="16383" min="0"/>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2026-08-19T23:28:52Z</dcterms:created>
  <dc:creator>openpyxl</dc:creator>
  <dc:description/>
  <dc:language>en-US</dc:language>
  <cp:lastModifiedBy/>
  <dcterms:modified xsi:type="dcterms:W3CDTF">2026-08-19T23:28:53Z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