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Inspection &amp; Test Plan" sheetId="2" state="visible" r:id="rId2"/>
    <sheet xmlns:r="http://schemas.openxmlformats.org/officeDocument/2006/relationships" name="Checklist by Element" sheetId="3" state="visible" r:id="rId3"/>
    <sheet xmlns:r="http://schemas.openxmlformats.org/officeDocument/2006/relationships" name="Lot Register" sheetId="4" state="visible" r:id="rId4"/>
    <sheet xmlns:r="http://schemas.openxmlformats.org/officeDocument/2006/relationships" name="Non-Conformance Register" sheetId="5" state="visible" r:id="rId5"/>
    <sheet xmlns:r="http://schemas.openxmlformats.org/officeDocument/2006/relationships" name="Test &amp; Certificate Register" sheetId="6" state="visible" r:id="rId6"/>
    <sheet xmlns:r="http://schemas.openxmlformats.org/officeDocument/2006/relationships" name="Quality Dashboard" sheetId="7" state="visible" r:id="rId7"/>
    <sheet xmlns:r="http://schemas.openxmlformats.org/officeDocument/2006/relationships" name="Lists" sheetId="8" state="visible" r:id="rId8"/>
    <sheet xmlns:r="http://schemas.openxmlformats.org/officeDocument/2006/relationships" name="Notes &amp; Assumptions" sheetId="9" state="visible" r:id="rId9"/>
  </sheets>
  <definedNames>
    <definedName name="Proj_Name">Cover!$C$9</definedName>
    <definedName name="Proj_Number">Cover!$C$10</definedName>
    <definedName name="Proj_Client">Cover!$C$11</definedName>
    <definedName name="Proj_Contractor">Cover!$C$12</definedName>
    <definedName name="Proj_Package">Cover!$C$13</definedName>
    <definedName name="Proj_Contract">Cover!$C$14</definedName>
    <definedName name="Proj_PreparedBy">Cover!$C$15</definedName>
    <definedName name="Proj_ChecklistNo">Cover!$F$9</definedName>
    <definedName name="Proj_Revision">Cover!$F$10</definedName>
    <definedName name="Proj_Date">Cover!$F$11</definedName>
    <definedName name="Proj_ApprovedBy">Cover!$F$12</definedName>
    <definedName name="Proj_Standard">Cover!$F$13</definedName>
    <definedName name="Proj_Currency">Cover!$F$14</definedName>
    <definedName name="Proj_QualityPlan">Cover!$C$16</definedName>
    <definedName name="QC_Overdue_Warn_Days">Lists!$C$9</definedName>
    <definedName name="Hold_Escalation_Days">Lists!$C$10</definedName>
    <definedName name="NCR_Target_Critical">Lists!$C$11</definedName>
    <definedName name="NCR_Target_Major">Lists!$C$12</definedName>
    <definedName name="NCR_Target_Minor">Lists!$C$13</definedName>
    <definedName name="NCR_Target_Observation">Lists!$C$14</definedName>
    <definedName name="FTP_Target">Lists!$C$15</definedName>
    <definedName name="Checklist_Target">Lists!$C$16</definedName>
    <definedName name="_xlnm.Print_Titles" localSheetId="1">'Inspection &amp; Test Plan'!$1:$8,'Inspection &amp; Test Plan'!$A:$B</definedName>
    <definedName name="_xlnm.Print_Titles" localSheetId="2">'Checklist by Element'!$1:$8,'Checklist by Element'!$A:$B</definedName>
    <definedName name="_xlnm.Print_Titles" localSheetId="3">'Lot Register'!$1:$8,'Lot Register'!$A:$B</definedName>
    <definedName name="_xlnm.Print_Titles" localSheetId="4">'Non-Conformance Register'!$1:$8,'Non-Conformance Register'!$A:$B</definedName>
    <definedName name="_xlnm.Print_Titles" localSheetId="5">'Test &amp; Certificate Register'!$1:$8,'Test &amp; Certificate Register'!$A:$B</definedName>
    <definedName name="_xlnm.Print_Titles" localSheetId="6">'Quality Dashboard'!$1:$9</definedName>
  </definedNames>
  <calcPr calcId="124519" fullCalcOnLoad="1"/>
</workbook>
</file>

<file path=xl/styles.xml><?xml version="1.0" encoding="utf-8"?>
<styleSheet xmlns="http://schemas.openxmlformats.org/spreadsheetml/2006/main">
  <numFmts count="3">
    <numFmt numFmtId="164" formatCode="dd mmm yyyy"/>
    <numFmt numFmtId="165" formatCode="0.0%"/>
    <numFmt numFmtId="166" formatCode="0.0"/>
  </numFmts>
  <fonts count="19">
    <font>
      <name val="Calibri"/>
      <family val="2"/>
      <color theme="1"/>
      <sz val="11"/>
      <scheme val="minor"/>
    </font>
    <font>
      <name val="Arial"/>
      <color rgb="001D3245"/>
      <sz val="1"/>
    </font>
    <font>
      <name val="Arial"/>
      <b val="1"/>
      <color rgb="00FFFFFF"/>
      <sz val="15"/>
    </font>
    <font>
      <name val="Arial"/>
      <color rgb="00D3DEE9"/>
      <sz val="8"/>
    </font>
    <font>
      <name val="Arial"/>
      <b val="1"/>
      <color rgb="000D3C61"/>
      <sz val="10.5"/>
    </font>
    <font>
      <name val="Arial"/>
      <b val="1"/>
      <color rgb="008E98A2"/>
      <sz val="8"/>
    </font>
    <font>
      <name val="Arial"/>
      <color rgb="008E98A2"/>
      <sz val="9"/>
    </font>
    <font>
      <name val="Arial"/>
      <color rgb="000C1628"/>
      <sz val="9"/>
    </font>
    <font>
      <name val="Arial"/>
      <i val="1"/>
      <color rgb="008E98A2"/>
      <sz val="8.5"/>
    </font>
    <font>
      <name val="Arial"/>
      <color rgb="008E98A2"/>
      <sz val="8.5"/>
    </font>
    <font>
      <name val="Arial"/>
      <b val="1"/>
      <color rgb="00FFFFFF"/>
      <sz val="9"/>
    </font>
    <font>
      <name val="Arial"/>
      <color rgb="008E98A2"/>
      <sz val="7.5"/>
    </font>
    <font>
      <name val="Arial"/>
      <b val="1"/>
      <color rgb="000C1628"/>
      <sz val="10.5"/>
    </font>
    <font>
      <name val="Arial"/>
      <b val="1"/>
      <color rgb="001D3245"/>
      <sz val="8.5"/>
    </font>
    <font>
      <name val="Arial"/>
      <color rgb="000C1628"/>
      <sz val="8.5"/>
    </font>
    <font>
      <name val="Arial"/>
      <b val="1"/>
      <color rgb="000C1628"/>
      <sz val="9"/>
    </font>
    <font>
      <name val="Arial"/>
      <b val="1"/>
      <color rgb="000D3C61"/>
      <sz val="10"/>
    </font>
    <font>
      <name val="Arial"/>
      <b val="1"/>
      <color rgb="000C1628"/>
      <sz val="10"/>
    </font>
    <font>
      <name val="Arial"/>
      <color rgb="000C1628"/>
      <sz val="10"/>
    </font>
  </fonts>
  <fills count="5">
    <fill>
      <patternFill/>
    </fill>
    <fill>
      <patternFill patternType="gray125"/>
    </fill>
    <fill>
      <patternFill patternType="solid">
        <fgColor rgb="001D3245"/>
      </patternFill>
    </fill>
    <fill>
      <patternFill patternType="solid">
        <fgColor rgb="00F6F9FC"/>
      </patternFill>
    </fill>
    <fill>
      <patternFill patternType="solid">
        <fgColor rgb="00E8EEF5"/>
      </patternFill>
    </fill>
  </fills>
  <borders count="12">
    <border>
      <left/>
      <right/>
      <top/>
      <bottom/>
      <diagonal/>
    </border>
    <border>
      <left style="thin">
        <color rgb="00D3DEE9"/>
      </left>
      <right style="thin">
        <color rgb="00D3DEE9"/>
      </right>
      <top style="thin">
        <color rgb="00D3DEE9"/>
      </top>
      <bottom style="thin">
        <color rgb="00D3DEE9"/>
      </bottom>
    </border>
    <border>
      <left/>
      <right/>
      <top style="thin">
        <color rgb="00D3DEE9"/>
      </top>
      <bottom/>
      <diagonal/>
    </border>
    <border>
      <left/>
      <right style="thin">
        <color rgb="00D3DEE9"/>
      </right>
      <top style="thin">
        <color rgb="00D3DEE9"/>
      </top>
      <bottom/>
      <diagonal/>
    </border>
    <border>
      <left/>
      <right style="thin">
        <color rgb="00D3DEE9"/>
      </right>
      <top style="thin">
        <color rgb="00D3DEE9"/>
      </top>
      <bottom style="thin">
        <color rgb="00D3DEE9"/>
      </bottom>
      <diagonal/>
    </border>
    <border>
      <left style="thin">
        <color rgb="001D3245"/>
      </left>
      <right style="thin">
        <color rgb="001D3245"/>
      </right>
      <top style="thin">
        <color rgb="001D3245"/>
      </top>
      <bottom style="medium">
        <color rgb="003480BC"/>
      </bottom>
    </border>
    <border>
      <left/>
      <right/>
      <top style="thin">
        <color rgb="001D3245"/>
      </top>
      <bottom/>
      <diagonal/>
    </border>
    <border>
      <left/>
      <right style="thin">
        <color rgb="001D3245"/>
      </right>
      <top style="thin">
        <color rgb="001D3245"/>
      </top>
      <bottom/>
      <diagonal/>
    </border>
    <border>
      <left/>
      <right style="thin">
        <color rgb="001D3245"/>
      </right>
      <top style="thin">
        <color rgb="001D3245"/>
      </top>
      <bottom style="medium">
        <color rgb="003480BC"/>
      </bottom>
      <diagonal/>
    </border>
    <border>
      <top style="thin">
        <color rgb="00D3DEE9"/>
      </top>
    </border>
    <border>
      <left/>
      <right/>
      <top style="thin">
        <color rgb="00D3DEE9"/>
      </top>
      <bottom style="thin">
        <color rgb="00D3DEE9"/>
      </bottom>
      <diagonal/>
    </border>
    <border>
      <right/>
      <top style="thin">
        <color rgb="00D3DEE9"/>
      </top>
      <bottom/>
    </border>
  </borders>
  <cellStyleXfs count="1">
    <xf numFmtId="0" fontId="0" fillId="0" borderId="0"/>
  </cellStyleXfs>
  <cellXfs count="67">
    <xf numFmtId="0" fontId="0" fillId="0" borderId="0" pivotButton="0" quotePrefix="0" xfId="0"/>
    <xf numFmtId="0" fontId="1" fillId="2" borderId="0" pivotButton="0" quotePrefix="0" xfId="0"/>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6" fillId="3" borderId="1" applyAlignment="1" pivotButton="0" quotePrefix="0" xfId="0">
      <alignment horizontal="left" vertical="center"/>
    </xf>
    <xf numFmtId="0" fontId="0" fillId="0" borderId="4" pivotButton="0" quotePrefix="0" xfId="0"/>
    <xf numFmtId="0" fontId="8" fillId="3" borderId="1" applyAlignment="1" pivotButton="0" quotePrefix="0" xfId="0">
      <alignment horizontal="left" vertical="center"/>
    </xf>
    <xf numFmtId="164" fontId="7" fillId="3" borderId="1" applyAlignment="1" pivotButton="0" quotePrefix="0" xfId="0">
      <alignment horizontal="left" vertical="center"/>
    </xf>
    <xf numFmtId="0" fontId="7" fillId="3" borderId="1" applyAlignment="1" pivotButton="0" quotePrefix="0" xfId="0">
      <alignment horizontal="left" vertical="center"/>
    </xf>
    <xf numFmtId="164" fontId="7" fillId="4" borderId="1" applyAlignment="1" pivotButton="0" quotePrefix="0" xfId="0">
      <alignment horizontal="left" vertical="center"/>
    </xf>
    <xf numFmtId="0" fontId="9" fillId="0" borderId="0" applyAlignment="1" pivotButton="0" quotePrefix="0" xfId="0">
      <alignment horizontal="left" vertical="center" wrapText="1"/>
    </xf>
    <xf numFmtId="0" fontId="7" fillId="0" borderId="0" applyAlignment="1" pivotButton="0" quotePrefix="0" xfId="0">
      <alignment horizontal="left" vertical="center" wrapText="1"/>
    </xf>
    <xf numFmtId="0" fontId="10" fillId="2" borderId="5" applyAlignment="1" pivotButton="0" quotePrefix="0" xfId="0">
      <alignment horizontal="left" vertical="center" wrapText="1"/>
    </xf>
    <xf numFmtId="0" fontId="0" fillId="0" borderId="8" pivotButton="0" quotePrefix="0" xfId="0"/>
    <xf numFmtId="0" fontId="7" fillId="3" borderId="1" applyAlignment="1" pivotButton="0" quotePrefix="0" xfId="0">
      <alignment horizontal="left" vertical="center" wrapText="1"/>
    </xf>
    <xf numFmtId="164" fontId="7" fillId="3" borderId="1" applyAlignment="1" pivotButton="0" quotePrefix="0" xfId="0">
      <alignment horizontal="left" vertical="center" wrapText="1"/>
    </xf>
    <xf numFmtId="0" fontId="11" fillId="0" borderId="9" applyAlignment="1" pivotButton="0" quotePrefix="0" xfId="0">
      <alignment horizontal="left" vertical="center"/>
    </xf>
    <xf numFmtId="0" fontId="12" fillId="0" borderId="0" applyAlignment="1" pivotButton="0" quotePrefix="0" xfId="0">
      <alignment horizontal="left" vertical="center" wrapText="1"/>
    </xf>
    <xf numFmtId="0" fontId="13" fillId="0" borderId="0" applyAlignment="1" pivotButton="0" quotePrefix="0" xfId="0">
      <alignment horizontal="left" vertical="center"/>
    </xf>
    <xf numFmtId="0" fontId="9" fillId="0" borderId="0" applyAlignment="1" pivotButton="0" quotePrefix="0" xfId="0">
      <alignment horizontal="right" vertical="center"/>
    </xf>
    <xf numFmtId="0" fontId="10" fillId="2" borderId="5" applyAlignment="1" pivotButton="0" quotePrefix="0" xfId="0">
      <alignment horizontal="center" vertical="center" wrapText="1"/>
    </xf>
    <xf numFmtId="0" fontId="8" fillId="3" borderId="1" applyAlignment="1" pivotButton="0" quotePrefix="0" xfId="0">
      <alignment horizontal="left" vertical="top" wrapText="1"/>
    </xf>
    <xf numFmtId="164" fontId="8" fillId="3" borderId="1" applyAlignment="1" pivotButton="0" quotePrefix="0" xfId="0">
      <alignment horizontal="center" vertical="center" wrapText="1"/>
    </xf>
    <xf numFmtId="0" fontId="15" fillId="4" borderId="1" applyAlignment="1" pivotButton="0" quotePrefix="0" xfId="0">
      <alignment horizontal="center" vertical="center" wrapText="1"/>
    </xf>
    <xf numFmtId="1" fontId="7" fillId="4" borderId="1" applyAlignment="1" pivotButton="0" quotePrefix="0" xfId="0">
      <alignment horizontal="center" vertical="center"/>
    </xf>
    <xf numFmtId="0" fontId="8" fillId="3" borderId="1" applyAlignment="1" pivotButton="0" quotePrefix="0" xfId="0">
      <alignment horizontal="center" vertical="center" wrapText="1"/>
    </xf>
    <xf numFmtId="0" fontId="14" fillId="3" borderId="1" applyAlignment="1" pivotButton="0" quotePrefix="0" xfId="0">
      <alignment horizontal="left" vertical="top" wrapText="1"/>
    </xf>
    <xf numFmtId="164" fontId="14" fillId="3" borderId="1" applyAlignment="1" pivotButton="0" quotePrefix="0" xfId="0">
      <alignment horizontal="center" vertical="center" wrapText="1"/>
    </xf>
    <xf numFmtId="0" fontId="14" fillId="3" borderId="1" applyAlignment="1" pivotButton="0" quotePrefix="0" xfId="0">
      <alignment horizontal="center" vertical="center" wrapText="1"/>
    </xf>
    <xf numFmtId="1" fontId="15" fillId="4" borderId="1" applyAlignment="1" pivotButton="0" quotePrefix="0" xfId="0">
      <alignment horizontal="center" vertical="center"/>
    </xf>
    <xf numFmtId="165" fontId="15" fillId="4" borderId="1" applyAlignment="1" pivotButton="0" quotePrefix="0" xfId="0">
      <alignment horizontal="center" vertical="center"/>
    </xf>
    <xf numFmtId="0" fontId="16" fillId="4" borderId="1" applyAlignment="1" pivotButton="0" quotePrefix="0" xfId="0">
      <alignment horizontal="left" vertical="center"/>
    </xf>
    <xf numFmtId="0" fontId="0" fillId="0" borderId="10" pivotButton="0" quotePrefix="0" xfId="0"/>
    <xf numFmtId="0" fontId="5" fillId="4" borderId="1" applyAlignment="1" pivotButton="0" quotePrefix="0" xfId="0">
      <alignment horizontal="right" vertical="center"/>
    </xf>
    <xf numFmtId="9" fontId="15" fillId="4" borderId="1" applyAlignment="1" pivotButton="0" quotePrefix="0" xfId="0">
      <alignment horizontal="center" vertical="center"/>
    </xf>
    <xf numFmtId="0" fontId="14" fillId="4" borderId="1" applyAlignment="1" pivotButton="0" quotePrefix="0" xfId="0">
      <alignment horizontal="left" vertical="center" wrapText="1"/>
    </xf>
    <xf numFmtId="1" fontId="14" fillId="3" borderId="1" applyAlignment="1" pivotButton="0" quotePrefix="0" xfId="0">
      <alignment horizontal="center" vertical="center"/>
    </xf>
    <xf numFmtId="2" fontId="14" fillId="3" borderId="1" applyAlignment="1" pivotButton="0" quotePrefix="0" xfId="0">
      <alignment horizontal="center" vertical="center" wrapText="1"/>
    </xf>
    <xf numFmtId="0" fontId="14" fillId="4" borderId="1" applyAlignment="1" pivotButton="0" quotePrefix="0" xfId="0">
      <alignment horizontal="center" vertical="center" wrapText="1"/>
    </xf>
    <xf numFmtId="2" fontId="8" fillId="3" borderId="1" applyAlignment="1" pivotButton="0" quotePrefix="0" xfId="0">
      <alignment horizontal="center" vertical="center" wrapText="1"/>
    </xf>
    <xf numFmtId="9" fontId="17" fillId="4" borderId="1" applyAlignment="1" pivotButton="0" quotePrefix="0" xfId="0">
      <alignment horizontal="center" vertical="center"/>
    </xf>
    <xf numFmtId="1" fontId="17" fillId="4" borderId="1" applyAlignment="1" pivotButton="0" quotePrefix="0" xfId="0">
      <alignment horizontal="center" vertical="center"/>
    </xf>
    <xf numFmtId="166" fontId="15" fillId="4" borderId="1" applyAlignment="1" pivotButton="0" quotePrefix="0" xfId="0">
      <alignment horizontal="center" vertical="center"/>
    </xf>
    <xf numFmtId="3" fontId="8" fillId="3" borderId="1" applyAlignment="1" pivotButton="0" quotePrefix="0" xfId="0">
      <alignment horizontal="center" vertical="center" wrapText="1"/>
    </xf>
    <xf numFmtId="164" fontId="7" fillId="4" borderId="1" applyAlignment="1" pivotButton="0" quotePrefix="0" xfId="0">
      <alignment horizontal="center" vertical="center"/>
    </xf>
    <xf numFmtId="0" fontId="15" fillId="4" borderId="1" applyAlignment="1" pivotButton="0" quotePrefix="0" xfId="0">
      <alignment horizontal="center" vertical="center"/>
    </xf>
    <xf numFmtId="3" fontId="14" fillId="3" borderId="1" applyAlignment="1" pivotButton="0" quotePrefix="0" xfId="0">
      <alignment horizontal="center" vertical="center" wrapText="1"/>
    </xf>
    <xf numFmtId="3" fontId="15" fillId="4" borderId="1" applyAlignment="1" pivotButton="0" quotePrefix="0" xfId="0">
      <alignment horizontal="center" vertical="center"/>
    </xf>
    <xf numFmtId="0" fontId="7" fillId="4" borderId="1" applyAlignment="1" pivotButton="0" quotePrefix="0" xfId="0">
      <alignment horizontal="center" vertical="center"/>
    </xf>
    <xf numFmtId="0" fontId="15" fillId="4" borderId="1" applyAlignment="1" pivotButton="0" quotePrefix="0" xfId="0">
      <alignment horizontal="left" vertical="center"/>
    </xf>
    <xf numFmtId="164" fontId="15" fillId="4" borderId="1" applyAlignment="1" pivotButton="0" quotePrefix="0" xfId="0">
      <alignment horizontal="center" vertical="center"/>
    </xf>
    <xf numFmtId="0" fontId="14" fillId="4" borderId="1" applyAlignment="1" pivotButton="0" quotePrefix="0" xfId="0">
      <alignment horizontal="center" vertical="center"/>
    </xf>
    <xf numFmtId="1" fontId="18" fillId="3" borderId="1" applyAlignment="1" pivotButton="0" quotePrefix="0" xfId="0">
      <alignment horizontal="center" vertical="center"/>
    </xf>
    <xf numFmtId="9" fontId="18" fillId="3" borderId="1" applyAlignment="1" pivotButton="0" quotePrefix="0" xfId="0">
      <alignment horizontal="center" vertical="center"/>
    </xf>
    <xf numFmtId="164" fontId="7" fillId="3" borderId="1" applyAlignment="1" pivotButton="0" quotePrefix="0" xfId="0">
      <alignment horizontal="left" vertical="center"/>
    </xf>
    <xf numFmtId="164" fontId="7" fillId="4" borderId="1" applyAlignment="1" pivotButton="0" quotePrefix="0" xfId="0">
      <alignment horizontal="left" vertical="center"/>
    </xf>
    <xf numFmtId="164" fontId="7" fillId="3" borderId="1" applyAlignment="1" pivotButton="0" quotePrefix="0" xfId="0">
      <alignment horizontal="left" vertical="center" wrapText="1"/>
    </xf>
    <xf numFmtId="0" fontId="0" fillId="0" borderId="2" pivotButton="0" quotePrefix="0" xfId="0"/>
    <xf numFmtId="164" fontId="8" fillId="3" borderId="1" applyAlignment="1" pivotButton="0" quotePrefix="0" xfId="0">
      <alignment horizontal="center" vertical="center" wrapText="1"/>
    </xf>
    <xf numFmtId="164" fontId="14" fillId="3" borderId="1" applyAlignment="1" pivotButton="0" quotePrefix="0" xfId="0">
      <alignment horizontal="center" vertical="center" wrapText="1"/>
    </xf>
    <xf numFmtId="165" fontId="15" fillId="4" borderId="1" applyAlignment="1" pivotButton="0" quotePrefix="0" xfId="0">
      <alignment horizontal="center" vertical="center"/>
    </xf>
    <xf numFmtId="166" fontId="15" fillId="4" borderId="1" applyAlignment="1" pivotButton="0" quotePrefix="0" xfId="0">
      <alignment horizontal="center" vertical="center"/>
    </xf>
    <xf numFmtId="164" fontId="7" fillId="4" borderId="1" applyAlignment="1" pivotButton="0" quotePrefix="0" xfId="0">
      <alignment horizontal="center" vertical="center"/>
    </xf>
    <xf numFmtId="164" fontId="15" fillId="4" borderId="1" applyAlignment="1" pivotButton="0" quotePrefix="0" xfId="0">
      <alignment horizontal="center" vertical="center"/>
    </xf>
    <xf numFmtId="0" fontId="11" fillId="0" borderId="11" applyAlignment="1" pivotButton="0" quotePrefix="0" xfId="0">
      <alignment horizontal="left" vertical="center"/>
    </xf>
  </cellXfs>
  <cellStyles count="1">
    <cellStyle name="Normal" xfId="0" builtinId="0" hidden="0"/>
  </cellStyles>
  <dxfs count="8">
    <dxf>
      <font>
        <name val="Arial"/>
        <b val="1"/>
        <color rgb="00B3341F"/>
      </font>
      <fill>
        <patternFill patternType="solid">
          <fgColor rgb="00FBE6E2"/>
        </patternFill>
      </fill>
    </dxf>
    <dxf>
      <font>
        <name val="Arial"/>
        <b val="1"/>
        <color rgb="002E7D5B"/>
      </font>
      <fill>
        <patternFill patternType="solid">
          <fgColor rgb="00E4F1EA"/>
        </patternFill>
      </fill>
    </dxf>
    <dxf>
      <font>
        <name val="Arial"/>
        <color rgb="002E7D5B"/>
      </font>
      <fill>
        <patternFill patternType="solid">
          <fgColor rgb="00E4F1EA"/>
        </patternFill>
      </fill>
    </dxf>
    <dxf>
      <font>
        <name val="Arial"/>
        <color rgb="00B3341F"/>
      </font>
      <fill>
        <patternFill patternType="solid">
          <fgColor rgb="00FBE6E2"/>
        </patternFill>
      </fill>
    </dxf>
    <dxf>
      <font>
        <name val="Arial"/>
        <color rgb="00C98A0E"/>
      </font>
      <fill>
        <patternFill patternType="solid">
          <fgColor rgb="00FDF3DC"/>
        </patternFill>
      </fill>
    </dxf>
    <dxf>
      <font>
        <name val="Arial"/>
        <color rgb="000D3C61"/>
      </font>
      <fill>
        <patternFill patternType="solid">
          <fgColor rgb="00E4EEF7"/>
        </patternFill>
      </fill>
    </dxf>
    <dxf>
      <font>
        <name val="Arial"/>
        <color rgb="008E98A2"/>
      </font>
      <fill>
        <patternFill patternType="solid">
          <fgColor rgb="00E8EEF5"/>
        </patternFill>
      </fill>
    </dxf>
    <dxf>
      <font>
        <name val="Arial"/>
        <b val="1"/>
        <color rgb="00C98A0E"/>
      </font>
      <fill>
        <patternFill patternType="solid">
          <fgColor rgb="00FDF3D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drawings/_rels/drawing1.xml.rels><Relationships xmlns="http://schemas.openxmlformats.org/package/2006/relationships"><Relationship Type="http://schemas.openxmlformats.org/officeDocument/2006/relationships/image" Target="/xl/media/image1.png" Id="rId1"/><Relationship Id="rId2" Type="http://schemas.openxmlformats.org/officeDocument/2006/relationships/hyperlink" Target="https://www.mastt.com/" TargetMode="External"/></Relationships>
</file>

<file path=xl/drawings/_rels/drawing2.xml.rels><Relationships xmlns="http://schemas.openxmlformats.org/package/2006/relationships"><Relationship Type="http://schemas.openxmlformats.org/officeDocument/2006/relationships/image" Target="/xl/media/image2.png" Id="rId1"/><Relationship Id="rId2" Type="http://schemas.openxmlformats.org/officeDocument/2006/relationships/hyperlink" Target="https://www.mastt.com/" TargetMode="External"/></Relationships>
</file>

<file path=xl/drawings/_rels/drawing3.xml.rels><Relationships xmlns="http://schemas.openxmlformats.org/package/2006/relationships"><Relationship Type="http://schemas.openxmlformats.org/officeDocument/2006/relationships/image" Target="/xl/media/image3.png" Id="rId1"/><Relationship Id="rId2" Type="http://schemas.openxmlformats.org/officeDocument/2006/relationships/hyperlink" Target="https://www.mastt.com/" TargetMode="External"/></Relationships>
</file>

<file path=xl/drawings/_rels/drawing4.xml.rels><Relationships xmlns="http://schemas.openxmlformats.org/package/2006/relationships"><Relationship Type="http://schemas.openxmlformats.org/officeDocument/2006/relationships/image" Target="/xl/media/image4.png" Id="rId1"/><Relationship Id="rId2" Type="http://schemas.openxmlformats.org/officeDocument/2006/relationships/hyperlink" Target="https://www.mastt.com/" TargetMode="External"/></Relationships>
</file>

<file path=xl/drawings/_rels/drawing5.xml.rels><Relationships xmlns="http://schemas.openxmlformats.org/package/2006/relationships"><Relationship Type="http://schemas.openxmlformats.org/officeDocument/2006/relationships/image" Target="/xl/media/image5.png" Id="rId1"/><Relationship Id="rId2" Type="http://schemas.openxmlformats.org/officeDocument/2006/relationships/hyperlink" Target="https://www.mastt.com/" TargetMode="External"/></Relationships>
</file>

<file path=xl/drawings/_rels/drawing6.xml.rels><Relationships xmlns="http://schemas.openxmlformats.org/package/2006/relationships"><Relationship Type="http://schemas.openxmlformats.org/officeDocument/2006/relationships/image" Target="/xl/media/image6.png" Id="rId1"/><Relationship Id="rId2" Type="http://schemas.openxmlformats.org/officeDocument/2006/relationships/hyperlink" Target="https://www.mastt.com/" TargetMode="External"/></Relationships>
</file>

<file path=xl/drawings/_rels/drawing7.xml.rels><Relationships xmlns="http://schemas.openxmlformats.org/package/2006/relationships"><Relationship Type="http://schemas.openxmlformats.org/officeDocument/2006/relationships/image" Target="/xl/media/image7.png" Id="rId1"/><Relationship Id="rId2" Type="http://schemas.openxmlformats.org/officeDocument/2006/relationships/hyperlink" Target="https://www.mastt.com/" TargetMode="External"/></Relationships>
</file>

<file path=xl/drawings/_rels/drawing8.xml.rels><Relationships xmlns="http://schemas.openxmlformats.org/package/2006/relationships"><Relationship Type="http://schemas.openxmlformats.org/officeDocument/2006/relationships/image" Target="/xl/media/image8.png" Id="rId1"/><Relationship Id="rId2" Type="http://schemas.openxmlformats.org/officeDocument/2006/relationships/hyperlink" Target="https://www.mastt.com/" TargetMode="External"/></Relationships>
</file>

<file path=xl/drawings/_rels/drawing9.xml.rels><Relationships xmlns="http://schemas.openxmlformats.org/package/2006/relationships"><Relationship Type="http://schemas.openxmlformats.org/officeDocument/2006/relationships/image" Target="/xl/media/image9.png" Id="rId1"/><Relationship Id="rId2" Type="http://schemas.openxmlformats.org/officeDocument/2006/relationships/hyperlink" Target="https://www.mastt.com/" TargetMode="External"/></Relationships>
</file>

<file path=xl/drawings/drawing1.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4.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5.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6.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7.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8.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9.xml><?xml version="1.0" encoding="utf-8"?>
<wsDr xmlns="http://schemas.openxmlformats.org/drawingml/2006/spreadsheetDrawing">
  <oneCellAnchor>
    <from>
      <col>0</col>
      <colOff>0</colOff>
      <row>1</row>
      <rowOff>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2.xml" Id="rId2"/></Relationships>
</file>

<file path=xl/worksheets/_rels/sheet3.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3.xml" Id="rId2"/></Relationships>
</file>

<file path=xl/worksheets/_rels/sheet4.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4.xml" Id="rId2"/></Relationships>
</file>

<file path=xl/worksheets/_rels/sheet5.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5.xml" Id="rId2"/></Relationships>
</file>

<file path=xl/worksheets/_rels/sheet6.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6.xml" Id="rId2"/></Relationships>
</file>

<file path=xl/worksheets/_rels/sheet7.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7.xml" Id="rId2"/></Relationships>
</file>

<file path=xl/worksheets/_rels/sheet8.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8.xml" Id="rId2"/></Relationships>
</file>

<file path=xl/worksheets/_rels/sheet9.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drawing" Target="/xl/drawings/drawing9.xml" Id="rId2"/></Relationships>
</file>

<file path=xl/worksheets/sheet1.xml><?xml version="1.0" encoding="utf-8"?>
<worksheet xmlns="http://schemas.openxmlformats.org/spreadsheetml/2006/main">
  <sheetPr>
    <outlinePr summaryBelow="1" summaryRight="1"/>
    <pageSetUpPr fitToPage="1"/>
  </sheetPr>
  <dimension ref="A2:H41"/>
  <sheetViews>
    <sheetView showGridLines="0" workbookViewId="0">
      <selection activeCell="A1" sqref="A1"/>
    </sheetView>
  </sheetViews>
  <sheetFormatPr baseColWidth="8" defaultRowHeight="15"/>
  <cols>
    <col width="2.5" customWidth="1" min="1" max="1"/>
    <col width="30" customWidth="1" min="2" max="2"/>
    <col width="26" customWidth="1" min="3" max="3"/>
    <col width="22" customWidth="1" min="4" max="4"/>
    <col width="32" customWidth="1" min="5" max="5"/>
    <col width="22" customWidth="1" min="6" max="6"/>
    <col width="20" customWidth="1" min="7" max="7"/>
    <col width="2.5" customWidth="1" min="8" max="8"/>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Global template  ·  jurisdiction-neutral  ·  ISO 9001:2015 aligned  ·  inspection, test and hold-point control</t>
        </is>
      </c>
    </row>
    <row r="4" ht="6" customHeight="1"/>
    <row r="7" ht="19.5" customHeight="1">
      <c r="B7" s="4" t="inlineStr">
        <is>
          <t>PROJECT AND PACKAGE DETAILS</t>
        </is>
      </c>
    </row>
    <row r="9" ht="16.5" customHeight="1">
      <c r="B9" s="5" t="inlineStr">
        <is>
          <t>PROJECT NAME</t>
        </is>
      </c>
      <c r="C9" s="6" t="inlineStr">
        <is>
          <t>e.g. Northbank Health Precinct — Stage 2</t>
        </is>
      </c>
      <c r="D9" s="7" t="n"/>
      <c r="E9" s="5" t="inlineStr">
        <is>
          <t>CHECKLIST / ITP NO.</t>
        </is>
      </c>
      <c r="F9" s="6" t="inlineStr">
        <is>
          <t>e.g. NB2-ITP-014</t>
        </is>
      </c>
      <c r="G9" s="7" t="n"/>
    </row>
    <row r="10" ht="16.5" customHeight="1">
      <c r="B10" s="5" t="inlineStr">
        <is>
          <t>PROJECT NUMBER</t>
        </is>
      </c>
      <c r="C10" s="6" t="inlineStr">
        <is>
          <t>e.g. NB2-2026-014</t>
        </is>
      </c>
      <c r="D10" s="7" t="n"/>
      <c r="E10" s="5" t="inlineStr">
        <is>
          <t>REVISION</t>
        </is>
      </c>
      <c r="F10" s="8" t="inlineStr">
        <is>
          <t>B</t>
        </is>
      </c>
      <c r="G10" s="7" t="n"/>
    </row>
    <row r="11" ht="16.5" customHeight="1">
      <c r="B11" s="5" t="inlineStr">
        <is>
          <t>CLIENT / PRINCIPAL</t>
        </is>
      </c>
      <c r="C11" s="6" t="inlineStr">
        <is>
          <t>e.g. Northbank Health Authority</t>
        </is>
      </c>
      <c r="D11" s="7" t="n"/>
      <c r="E11" s="5" t="inlineStr">
        <is>
          <t>DATE</t>
        </is>
      </c>
      <c r="F11" s="56" t="n">
        <v>46251</v>
      </c>
      <c r="G11" s="7" t="n"/>
    </row>
    <row r="12" ht="16.5" customHeight="1">
      <c r="B12" s="5" t="inlineStr">
        <is>
          <t>CONTRACTOR</t>
        </is>
      </c>
      <c r="C12" s="6" t="inlineStr">
        <is>
          <t>e.g. Harbourline Construction</t>
        </is>
      </c>
      <c r="D12" s="7" t="n"/>
      <c r="E12" s="5" t="inlineStr">
        <is>
          <t>APPROVED BY (NAME AND ROLE)</t>
        </is>
      </c>
      <c r="F12" s="6" t="inlineStr">
        <is>
          <t>e.g. H. Vasquez, Superintendent</t>
        </is>
      </c>
      <c r="G12" s="7" t="n"/>
    </row>
    <row r="13" ht="16.5" customHeight="1">
      <c r="B13" s="5" t="inlineStr">
        <is>
          <t>PACKAGE / WORK ELEMENT</t>
        </is>
      </c>
      <c r="C13" s="6" t="inlineStr">
        <is>
          <t>e.g. Substructure, frame and services rough-in</t>
        </is>
      </c>
      <c r="D13" s="7" t="n"/>
      <c r="E13" s="5" t="inlineStr">
        <is>
          <t>GOVERNING QUALITY STANDARD</t>
        </is>
      </c>
      <c r="F13" s="10" t="inlineStr">
        <is>
          <t>ISO 9001:2015</t>
        </is>
      </c>
      <c r="G13" s="7" t="n"/>
    </row>
    <row r="14" ht="16.5" customHeight="1">
      <c r="B14" s="5" t="inlineStr">
        <is>
          <t>CONTRACT / CONTRACT FORM</t>
        </is>
      </c>
      <c r="C14" s="6" t="inlineStr">
        <is>
          <t>e.g. NB2-MC-01 — design and construct</t>
        </is>
      </c>
      <c r="D14" s="7" t="n"/>
      <c r="E14" s="5" t="inlineStr">
        <is>
          <t>CURRENCY (CODE OR SYMBOL)</t>
        </is>
      </c>
      <c r="F14" s="8" t="inlineStr">
        <is>
          <t>AUD</t>
        </is>
      </c>
      <c r="G14" s="7" t="n"/>
    </row>
    <row r="15" ht="16.5" customHeight="1">
      <c r="B15" s="5" t="inlineStr">
        <is>
          <t>PREPARED BY (NAME AND ROLE)</t>
        </is>
      </c>
      <c r="C15" s="6" t="inlineStr">
        <is>
          <t>e.g. L. Marchetti, Quality Manager</t>
        </is>
      </c>
      <c r="D15" s="7" t="n"/>
      <c r="E15" s="5" t="inlineStr">
        <is>
          <t>ITP ACCEPTED BY THE CLIENT (DATE)</t>
        </is>
      </c>
      <c r="F15" s="56" t="n">
        <v>46142</v>
      </c>
      <c r="G15" s="7" t="n"/>
    </row>
    <row r="16" ht="16.5" customHeight="1">
      <c r="B16" s="5" t="inlineStr">
        <is>
          <t>QUALITY PLAN REFERENCE</t>
        </is>
      </c>
      <c r="C16" s="6" t="inlineStr">
        <is>
          <t>e.g. NB2-QP-01 Rev C</t>
        </is>
      </c>
      <c r="D16" s="7" t="n"/>
      <c r="E16" s="5" t="inlineStr">
        <is>
          <t>NEXT ITP REVIEW DATE</t>
        </is>
      </c>
      <c r="F16" s="57">
        <f>IF(Proj_Date="","",Proj_Date+90)</f>
        <v/>
      </c>
      <c r="G16" s="7" t="n"/>
    </row>
    <row r="17" ht="27" customHeight="1">
      <c r="B17" s="12" t="inlineStr">
        <is>
          <t>Fields shown in grey italic are examples. Overtype them. The currency code entered here is echoed in the heading of every money column in the workbook, and the project identity is echoed at the top of every sheet.</t>
        </is>
      </c>
    </row>
    <row r="19" ht="19.5" customHeight="1">
      <c r="B19" s="4" t="inlineStr">
        <is>
          <t>HOW TO USE THIS TEMPLATE</t>
        </is>
      </c>
    </row>
    <row r="20" ht="27" customHeight="1">
      <c r="B20" s="13" t="inlineStr">
        <is>
          <t>1.  Complete the Cover once per package. Every other sheet echoes the project name, number and client from here through named ranges, so nothing is typed twice. The currency code entered here is echoed in the heading of every money column in the workbook.</t>
        </is>
      </c>
    </row>
    <row r="21" ht="40" customHeight="1">
      <c r="B21" s="13" t="inlineStr">
        <is>
          <t>2.  Build the Inspection &amp; Test Plan first, before the work starts, and have it accepted by the Client or Superintendent. One row per inspection or test. The column that decides whether the plan is any good is Acceptance Criteria: it must state a measurable limit and the method of measuring it. 'To the satisfaction of the Superintendent' is not an acceptance criterion and cannot be audited.</t>
        </is>
      </c>
    </row>
    <row r="22" ht="40" customHeight="1">
      <c r="B22" s="13" t="inlineStr">
        <is>
          <t>3.  Mark every inspection as a Hold Point, Witness Point, Surveillance, Review of records or Test. THE HOLD-POINT RULE: work must not proceed past a hold point until the inspection has been carried out, the result recorded as Pass, and — where the row says client sign-off is required — that sign-off received. Covering up, loading or building on top of an unreleased hold point is a non-conformance in itself, and it is the one quality failure that cannot be fixed by re-inspection later.</t>
        </is>
      </c>
    </row>
    <row r="23" ht="27" customHeight="1">
      <c r="B23" s="13" t="inlineStr">
        <is>
          <t>4.  The banner at the top of the Inspection &amp; Test Plan counts the hold points that are not released and turns red while any remain. It is calculated, not typed. If it is red, work stops at those points — check it at the start of every shift and before you authorise any pour, any backfill, any close-up and any connection to a live service.</t>
        </is>
      </c>
    </row>
    <row r="24" ht="40" customHeight="1">
      <c r="B24" s="13" t="inlineStr">
        <is>
          <t>5.  Give the site crew the Checklist by Element sheet. It is the tablet sheet: one row per check, grouped by trade, with the acceptance criterion beside it. Record the measurement you actually took, not just a tick — the Within Tolerance column compares it against the minimum and maximum you enter. Each element block shows its own completion percentage.</t>
        </is>
      </c>
    </row>
    <row r="25" ht="40" customHeight="1">
      <c r="B25" s="13" t="inlineStr">
        <is>
          <t>6.  Open a lot on the Lot Register before the work starts and close it only when every applicable inspection is complete, every test has passed and no non-conformance is open. Put the lot number in the Work Element / Lot column of the Inspection &amp; Test Plan, of the Test &amp; Certificate Register and of the Non-Conformance Register — the Lot Register finds them by that text and does the counting for you.</t>
        </is>
      </c>
    </row>
    <row r="26" ht="40" customHeight="1">
      <c r="B26" s="13" t="inlineStr">
        <is>
          <t>7.  Raise a non-conformance the moment work does not meet its acceptance criteria. Record the root cause category honestly, decide the disposition, and get written concurrence from the designer before you use anything as is or regrade it. Close-out targets are calculated from the severity and the targets set on the Lists sheet; overdue non-conformances are flagged red.</t>
        </is>
      </c>
    </row>
    <row r="27" ht="40" customHeight="1">
      <c r="B27" s="13" t="inlineStr">
        <is>
          <t>8.  Record every test and every certificate on the Test &amp; Certificate Register. Enter the specified value, the units, the result and the comparison operator, and the Result column decides Pass or Fail for you — so nobody has to remember which way the limit runs. A test with no certificate received is tracked separately, because an uncertificated result is not evidence.</t>
        </is>
      </c>
    </row>
    <row r="28" ht="27" customHeight="1">
      <c r="B28" s="13" t="inlineStr">
        <is>
          <t>9.  Read the Quality Dashboard before every progress claim, every handover offer and every audit. Nothing on it is typed: every figure is calculated from the registers, and each metric names the sheet it comes from. If a number looks wrong, the register behind it is wrong — fix the register, not the dashboard.</t>
        </is>
      </c>
    </row>
    <row r="29" ht="27" customHeight="1">
      <c r="B29" s="13" t="inlineStr">
        <is>
          <t>10.  Delete every grey italic example row before you issue the workbook, then read Notes &amp; Assumptions once. It explains how the file implements ISO 9001:2015, what a hold point is, the difference between a checklist, an ITP and a lot, and what this workbook deliberately does not do.</t>
        </is>
      </c>
    </row>
    <row r="31" ht="19.5" customHeight="1">
      <c r="B31" s="4" t="inlineStr">
        <is>
          <t>REVISION HISTORY</t>
        </is>
      </c>
    </row>
    <row r="32" ht="27" customHeight="1">
      <c r="B32" s="12" t="inlineStr">
        <is>
          <t>An inspection and test plan is a controlled document. Every revision must be issued, accepted and distributed before the work it governs starts, and superseded revisions must be removed from the site so only the current revision is in use.</t>
        </is>
      </c>
    </row>
    <row r="33" ht="19.5" customHeight="1">
      <c r="B33" s="14" t="inlineStr">
        <is>
          <t>Rev</t>
        </is>
      </c>
      <c r="C33" s="14" t="inlineStr">
        <is>
          <t>Date</t>
        </is>
      </c>
      <c r="D33" s="14" t="inlineStr">
        <is>
          <t>Description of Change</t>
        </is>
      </c>
      <c r="E33" s="15" t="n"/>
      <c r="F33" s="14" t="inlineStr">
        <is>
          <t>Prepared By</t>
        </is>
      </c>
      <c r="G33" s="14" t="inlineStr">
        <is>
          <t>Approved By</t>
        </is>
      </c>
    </row>
    <row r="34" ht="16.5" customHeight="1">
      <c r="B34" s="16" t="inlineStr">
        <is>
          <t>A</t>
        </is>
      </c>
      <c r="C34" s="58" t="n">
        <v>46139</v>
      </c>
      <c r="D34" s="16" t="inlineStr">
        <is>
          <t>Initial issue for Client acceptance</t>
        </is>
      </c>
      <c r="E34" s="7" t="n"/>
      <c r="F34" s="16" t="n"/>
      <c r="G34" s="16" t="n"/>
    </row>
    <row r="35" ht="16.5" customHeight="1">
      <c r="B35" s="16" t="inlineStr">
        <is>
          <t>B</t>
        </is>
      </c>
      <c r="C35" s="58" t="n">
        <v>46251</v>
      </c>
      <c r="D35" s="16" t="inlineStr">
        <is>
          <t>Medical gas and live-hospital interface hold points added</t>
        </is>
      </c>
      <c r="E35" s="7" t="n"/>
      <c r="F35" s="16" t="n"/>
      <c r="G35" s="16" t="n"/>
    </row>
    <row r="36" ht="16.5" customHeight="1">
      <c r="B36" s="16" t="n"/>
      <c r="C36" s="16" t="n"/>
      <c r="D36" s="16" t="n"/>
      <c r="E36" s="7" t="n"/>
      <c r="F36" s="16" t="n"/>
      <c r="G36" s="16" t="n"/>
    </row>
    <row r="37" ht="16.5" customHeight="1">
      <c r="B37" s="16" t="n"/>
      <c r="C37" s="16" t="n"/>
      <c r="D37" s="16" t="n"/>
      <c r="E37" s="7" t="n"/>
      <c r="F37" s="16" t="n"/>
      <c r="G37" s="16" t="n"/>
    </row>
    <row r="38" ht="16.5" customHeight="1">
      <c r="B38" s="16" t="n"/>
      <c r="C38" s="16" t="n"/>
      <c r="D38" s="16" t="n"/>
      <c r="E38" s="7" t="n"/>
      <c r="F38" s="16" t="n"/>
      <c r="G38" s="16" t="n"/>
    </row>
    <row r="40" ht="27" customHeight="1">
      <c r="A40" s="12" t="inlineStr">
        <is>
          <t>This template is a framework only. It is not legal, contractual, safety or engineering advice — read the Notes &amp; Assumptions sheet before you issue it.</t>
        </is>
      </c>
    </row>
    <row r="41" ht="16.5" customHeight="1">
      <c r="A41" s="66" t="inlineStr">
        <is>
          <t>Mastt template  ·  mastt.com  ·  © 2026 Mastt</t>
        </is>
      </c>
      <c r="B41" s="59" t="n"/>
      <c r="C41" s="59" t="n"/>
      <c r="D41" s="59" t="n"/>
      <c r="E41" s="59" t="n"/>
      <c r="F41" s="59" t="n"/>
      <c r="G41" s="59" t="n"/>
      <c r="H41" s="59" t="n"/>
    </row>
  </sheetData>
  <mergeCells count="38">
    <mergeCell ref="F11:G11"/>
    <mergeCell ref="C15:D15"/>
    <mergeCell ref="F10:G10"/>
    <mergeCell ref="D34:E34"/>
    <mergeCell ref="F16:G16"/>
    <mergeCell ref="B17:G17"/>
    <mergeCell ref="B23:G23"/>
    <mergeCell ref="C14:D14"/>
    <mergeCell ref="D36:E36"/>
    <mergeCell ref="B29:G29"/>
    <mergeCell ref="C2:H2"/>
    <mergeCell ref="F12:G12"/>
    <mergeCell ref="C10:D10"/>
    <mergeCell ref="C16:D16"/>
    <mergeCell ref="F15:G15"/>
    <mergeCell ref="B28:G28"/>
    <mergeCell ref="A41:H41"/>
    <mergeCell ref="C9:D9"/>
    <mergeCell ref="B24:G24"/>
    <mergeCell ref="C12:D12"/>
    <mergeCell ref="B20:G20"/>
    <mergeCell ref="C11:D11"/>
    <mergeCell ref="D37:E37"/>
    <mergeCell ref="B32:G32"/>
    <mergeCell ref="B26:G26"/>
    <mergeCell ref="C3:H3"/>
    <mergeCell ref="F13:G13"/>
    <mergeCell ref="F9:G9"/>
    <mergeCell ref="B25:G25"/>
    <mergeCell ref="B22:G22"/>
    <mergeCell ref="D33:E33"/>
    <mergeCell ref="B27:G27"/>
    <mergeCell ref="D38:E38"/>
    <mergeCell ref="C13:D13"/>
    <mergeCell ref="F14:G14"/>
    <mergeCell ref="B21:G21"/>
    <mergeCell ref="D35:E35"/>
    <mergeCell ref="A40:H40"/>
  </mergeCells>
  <hyperlinks>
    <hyperlink xmlns:r="http://schemas.openxmlformats.org/officeDocument/2006/relationships" ref="A41" r:id="rId1"/>
  </hyperlinks>
  <printOptions horizontalCentered="0"/>
  <pageMargins left="0.3" right="0.3" top="0.5" bottom="0.5" header="0.2" footer="0.3"/>
  <pageSetup orientation="landscape" paperSize="9" fitToHeight="0" fitToWidth="1"/>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X72"/>
  <sheetViews>
    <sheetView showGridLines="0" workbookViewId="0">
      <pane xSplit="2" ySplit="8" topLeftCell="C9"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30" customWidth="1" min="2" max="2"/>
    <col width="40" customWidth="1" min="3" max="3"/>
    <col width="22" customWidth="1" min="4" max="4"/>
    <col width="16" customWidth="1" min="5" max="5"/>
    <col width="16" customWidth="1" min="6" max="6"/>
    <col width="56" customWidth="1" min="7" max="7"/>
    <col width="15" customWidth="1" min="8" max="8"/>
    <col width="19" customWidth="1" min="9" max="9"/>
    <col width="18" customWidth="1" min="10" max="10"/>
    <col width="28" customWidth="1" min="11" max="11"/>
    <col width="28" customWidth="1" min="12" max="12"/>
    <col width="12" customWidth="1" min="13" max="13"/>
    <col width="12" customWidth="1" min="14" max="14"/>
    <col width="15" customWidth="1" min="15" max="15"/>
    <col width="15" customWidth="1" min="16" max="16"/>
    <col width="10" customWidth="1" min="17" max="17"/>
    <col width="10" customWidth="1" min="18" max="18"/>
    <col width="13" customWidth="1" min="19" max="19"/>
    <col width="20" customWidth="1" min="20" max="20"/>
    <col width="12" customWidth="1" min="21" max="21"/>
    <col width="13" customWidth="1" min="22" max="22"/>
    <col width="14" customWidth="1" min="23" max="23"/>
    <col width="38" customWidth="1" min="24" max="24"/>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Inspection &amp; Test Plan  ·  one row per inspection or test  ·  the hold-point regime that proves the works conform</t>
        </is>
      </c>
    </row>
    <row r="4" ht="6" customHeight="1"/>
    <row r="6" ht="21" customHeight="1">
      <c r="A6" s="19">
        <f>IF(SUMPRODUCT(--($C$9:$C$48&lt;&gt;""),--($H$9:$H$48="Hold Point"),--($P$9:$P$48&lt;&gt;"Closed"))=0,"HOLD POINTS — none outstanding. Every hold point recorded below has been inspected, passed and signed off, so work may proceed past each of them.","HOLD POINT NOT RELEASED  —  "&amp;SUMPRODUCT(--($C$9:$C$48&lt;&gt;""),--($H$9:$H$48="Hold Point"),--($P$9:$P$48&lt;&gt;"Closed"))&amp;" hold point(s) below are not signed off.  WORK MUST NOT PROCEED PAST THEM. Do not pour, backfill, close up, load or connect until each one is released and recorded.")</f>
        <v/>
      </c>
    </row>
    <row r="7">
      <c r="A7" s="20">
        <f>IF(Proj_Name="","Project: —  |  complete the Cover sheet","Project:  "&amp;Proj_Name&amp;IF(Proj_Number="",""," |  No. "&amp;Proj_Number)&amp;IF(Proj_Client=""," "," |  "&amp;Proj_Client))</f>
        <v/>
      </c>
      <c r="S7" s="21" t="inlineStr">
        <is>
          <t>Shaded = your input.   Tinted = auto-calculated — do not overtype.   Grey italic = example.</t>
        </is>
      </c>
    </row>
    <row r="8" ht="62" customHeight="1">
      <c r="A8" s="22" t="inlineStr">
        <is>
          <t>ITP Ref</t>
        </is>
      </c>
      <c r="B8" s="22" t="inlineStr">
        <is>
          <t>Work Element / Lot</t>
        </is>
      </c>
      <c r="C8" s="22" t="inlineStr">
        <is>
          <t>Activity to be Inspected</t>
        </is>
      </c>
      <c r="D8" s="22" t="inlineStr">
        <is>
          <t>WBS / Location Reference</t>
        </is>
      </c>
      <c r="E8" s="22" t="inlineStr">
        <is>
          <t>Specification Clause</t>
        </is>
      </c>
      <c r="F8" s="22" t="inlineStr">
        <is>
          <t>Drawing Reference</t>
        </is>
      </c>
      <c r="G8" s="22" t="inlineStr">
        <is>
          <t>Acceptance Criteria  (the measurable test — this column matters most)</t>
        </is>
      </c>
      <c r="H8" s="22" t="inlineStr">
        <is>
          <t>Inspection Type</t>
        </is>
      </c>
      <c r="I8" s="22" t="inlineStr">
        <is>
          <t>Frequency</t>
        </is>
      </c>
      <c r="J8" s="22" t="inlineStr">
        <is>
          <t>Responsible Party</t>
        </is>
      </c>
      <c r="K8" s="22" t="inlineStr">
        <is>
          <t>Verifying Document / Record Required</t>
        </is>
      </c>
      <c r="L8" s="22">
        <f>"Test Method / Standard"&amp;IF(Proj_Standard="",""," ("&amp;Proj_Standard&amp;" cl. 8.6)")</f>
        <v/>
      </c>
      <c r="M8" s="22" t="inlineStr">
        <is>
          <t>Planned Date</t>
        </is>
      </c>
      <c r="N8" s="22" t="inlineStr">
        <is>
          <t>Actual Date</t>
        </is>
      </c>
      <c r="O8" s="22" t="inlineStr">
        <is>
          <t>Result</t>
        </is>
      </c>
      <c r="P8" s="22" t="inlineStr">
        <is>
          <t>Status  (calculated)</t>
        </is>
      </c>
      <c r="Q8" s="22" t="inlineStr">
        <is>
          <t>Days Overdue  (calculated)</t>
        </is>
      </c>
      <c r="R8" s="22" t="inlineStr">
        <is>
          <t>NCR Raised</t>
        </is>
      </c>
      <c r="S8" s="22" t="inlineStr">
        <is>
          <t>NCR Reference</t>
        </is>
      </c>
      <c r="T8" s="22" t="inlineStr">
        <is>
          <t>Inspected By</t>
        </is>
      </c>
      <c r="U8" s="22" t="inlineStr">
        <is>
          <t>Signature Date</t>
        </is>
      </c>
      <c r="V8" s="22" t="inlineStr">
        <is>
          <t>Client Sign-off Required</t>
        </is>
      </c>
      <c r="W8" s="22" t="inlineStr">
        <is>
          <t>Client Sign-off Received</t>
        </is>
      </c>
      <c r="X8" s="22" t="inlineStr">
        <is>
          <t>Comments</t>
        </is>
      </c>
    </row>
    <row r="9" ht="78" customHeight="1">
      <c r="A9" s="23" t="inlineStr">
        <is>
          <t>ITP-EW-010</t>
        </is>
      </c>
      <c r="B9" s="23" t="inlineStr">
        <is>
          <t>Bulk excavation to Basement B2 — Lot EW-04</t>
        </is>
      </c>
      <c r="C9" s="23" t="inlineStr">
        <is>
          <t>Excavation base level, batter condition and founding material inspection before blinding concrete</t>
        </is>
      </c>
      <c r="D9" s="23" t="inlineStr">
        <is>
          <t>WBS 3.2.1  ·  Basement B2, grids A–F / 1–6</t>
        </is>
      </c>
      <c r="E9" s="23" t="inlineStr">
        <is>
          <t>Spec 02300 cl. 3.5</t>
        </is>
      </c>
      <c r="F9" s="23" t="inlineStr">
        <is>
          <t>S-C-2101 Rev D</t>
        </is>
      </c>
      <c r="G9" s="23" t="inlineStr">
        <is>
          <t>Founding level within +0 / −50 mm of RL 12.400, surveyed on a 5 m grid and at every change of grade; base proof-rolled with no visible deflection under a loaded 12 t roller; material classified Class 2 residual clay or better by the geotechnical engineer; base free of standing water and loose spoil</t>
        </is>
      </c>
      <c r="H9" s="23" t="inlineStr">
        <is>
          <t>Hold Point</t>
        </is>
      </c>
      <c r="I9" s="23" t="inlineStr">
        <is>
          <t>Each lot</t>
        </is>
      </c>
      <c r="J9" s="23" t="inlineStr">
        <is>
          <t>Client/Superintendent</t>
        </is>
      </c>
      <c r="K9" s="23" t="inlineStr">
        <is>
          <t>Survey report / as-built survey</t>
        </is>
      </c>
      <c r="L9" s="23" t="inlineStr">
        <is>
          <t>ISO 17892 (soil laboratory testing)</t>
        </is>
      </c>
      <c r="M9" s="60" t="n">
        <v>46153</v>
      </c>
      <c r="N9" s="60" t="n">
        <v>46154</v>
      </c>
      <c r="O9" s="23" t="inlineStr">
        <is>
          <t>Pass</t>
        </is>
      </c>
      <c r="P9" s="25">
        <f>IF($C9="","",IF(OR($O9="",$O9="Not yet inspected"),IF(AND(ISNUMBER($Q9),$Q9&gt;0),"Overdue","NOT INSPECTED"),IF(OR($O9="Fail",$O9="Conditional pass"),"Open",IF($O9="N/A","Closed",IF(AND($V9="Yes",$W9&lt;&gt;"Yes"),"Awaiting client","Closed")))))</f>
        <v/>
      </c>
      <c r="Q9" s="26">
        <f>IF(OR($C9="",$M9=""),"",IF($N9&lt;&gt;"","",IF(TODAY()&gt;$M9,TODAY()-$M9,0)))</f>
        <v/>
      </c>
      <c r="R9" s="27" t="inlineStr">
        <is>
          <t>No</t>
        </is>
      </c>
      <c r="S9" s="28" t="n"/>
      <c r="T9" s="23" t="inlineStr">
        <is>
          <t>R. Okafor, Site Engineer</t>
        </is>
      </c>
      <c r="U9" s="60" t="n">
        <v>46154</v>
      </c>
      <c r="V9" s="27" t="inlineStr">
        <is>
          <t>Yes</t>
        </is>
      </c>
      <c r="W9" s="27" t="inlineStr">
        <is>
          <t>Yes</t>
        </is>
      </c>
      <c r="X9" s="23" t="inlineStr">
        <is>
          <t>Hold point released on site by the Superintendent after the geotechnical engineer's inspection; signed ITP record filed at QA/ITP/EW-04.  ·  EXAMPLE — delete before use</t>
        </is>
      </c>
    </row>
    <row r="10" ht="78" customHeight="1">
      <c r="A10" s="23" t="inlineStr">
        <is>
          <t>ITP-SH-030</t>
        </is>
      </c>
      <c r="B10" s="23" t="inlineStr">
        <is>
          <t>Anchored soldier pile shoring wall — Lot SH-02</t>
        </is>
      </c>
      <c r="C10" s="23" t="inlineStr">
        <is>
          <t>Ground anchor proof-load testing and lock-off before excavating below the anchor row</t>
        </is>
      </c>
      <c r="D10" s="23" t="inlineStr">
        <is>
          <t>WBS 3.1.4  ·  perimeter wall, grids 1–6 north</t>
        </is>
      </c>
      <c r="E10" s="23" t="inlineStr">
        <is>
          <t>Spec 02255 cl. 3.9</t>
        </is>
      </c>
      <c r="F10" s="23" t="inlineStr">
        <is>
          <t>S-C-2210 Rev C</t>
        </is>
      </c>
      <c r="G10" s="23" t="inlineStr">
        <is>
          <t>Every production anchor proof-loaded to 1.33 × working load; creep not more than 1 mm between the 1-minute and 10-minute readings; lock-off within ±5% of design load; no anchor accepted on extrapolated data</t>
        </is>
      </c>
      <c r="H10" s="23" t="inlineStr">
        <is>
          <t>Hold Point</t>
        </is>
      </c>
      <c r="I10" s="23" t="inlineStr">
        <is>
          <t>Each anchor / each pile</t>
        </is>
      </c>
      <c r="J10" s="23" t="inlineStr">
        <is>
          <t>Third-party certifier</t>
        </is>
      </c>
      <c r="K10" s="23" t="inlineStr">
        <is>
          <t>Third-party certification</t>
        </is>
      </c>
      <c r="L10" s="23" t="inlineStr">
        <is>
          <t>ISO 22477-5 (ground anchor testing)</t>
        </is>
      </c>
      <c r="M10" s="60" t="n">
        <v>46167</v>
      </c>
      <c r="N10" s="61" t="n"/>
      <c r="O10" s="23" t="inlineStr">
        <is>
          <t>Not yet inspected</t>
        </is>
      </c>
      <c r="P10" s="25">
        <f>IF($C10="","",IF(OR($O10="",$O10="Not yet inspected"),IF(AND(ISNUMBER($Q10),$Q10&gt;0),"Overdue","NOT INSPECTED"),IF(OR($O10="Fail",$O10="Conditional pass"),"Open",IF($O10="N/A","Closed",IF(AND($V10="Yes",$W10&lt;&gt;"Yes"),"Awaiting client","Closed")))))</f>
        <v/>
      </c>
      <c r="Q10" s="26">
        <f>IF(OR($C10="",$M10=""),"",IF($N10&lt;&gt;"","",IF(TODAY()&gt;$M10,TODAY()-$M10,0)))</f>
        <v/>
      </c>
      <c r="R10" s="27" t="inlineStr">
        <is>
          <t>No</t>
        </is>
      </c>
      <c r="S10" s="28" t="n"/>
      <c r="T10" s="28" t="n"/>
      <c r="U10" s="61" t="n"/>
      <c r="V10" s="27" t="inlineStr">
        <is>
          <t>Yes</t>
        </is>
      </c>
      <c r="W10" s="30" t="n"/>
      <c r="X10" s="23" t="inlineStr">
        <is>
          <t>OUTSTANDING HOLD POINT — excavation must not proceed below the upper anchor row until the test certificates are received and the point is released. Escalated to the Superintendent.  ·  EXAMPLE — delete before use</t>
        </is>
      </c>
    </row>
    <row r="11" ht="78" customHeight="1">
      <c r="A11" s="23" t="inlineStr">
        <is>
          <t>ITP-CN-120</t>
        </is>
      </c>
      <c r="B11" s="23" t="inlineStr">
        <is>
          <t>Basement raft slab pour 3 — Lot CN-07</t>
        </is>
      </c>
      <c r="C11" s="23" t="inlineStr">
        <is>
          <t>Pre-pour inspection of reinforcement, cover, cast-in items and formwork</t>
        </is>
      </c>
      <c r="D11" s="23" t="inlineStr">
        <is>
          <t>WBS 4.1.2  ·  B2 raft, grids C–F / 3–6</t>
        </is>
      </c>
      <c r="E11" s="23" t="inlineStr">
        <is>
          <t>Spec 03200 cl. 3.4</t>
        </is>
      </c>
      <c r="F11" s="23" t="inlineStr">
        <is>
          <t>S-S-3105 Rev F</t>
        </is>
      </c>
      <c r="G11" s="23" t="inlineStr">
        <is>
          <t>Bar size, spacing and lap lengths as drawn; cover 50 mm −0 / +10 mm measured at ten random points per element; all cast-in items surveyed within ±10 mm of the setting-out coordinates; formwork within ±5 mm over any 3 m; pour zone free of debris and free water</t>
        </is>
      </c>
      <c r="H11" s="23" t="inlineStr">
        <is>
          <t>Hold Point</t>
        </is>
      </c>
      <c r="I11" s="23" t="inlineStr">
        <is>
          <t>Each pour</t>
        </is>
      </c>
      <c r="J11" s="23" t="inlineStr">
        <is>
          <t>Client/Superintendent</t>
        </is>
      </c>
      <c r="K11" s="23" t="inlineStr">
        <is>
          <t>Signed ITP record</t>
        </is>
      </c>
      <c r="L11" s="23" t="inlineStr">
        <is>
          <t>ISO 22966 (execution of concrete structures)</t>
        </is>
      </c>
      <c r="M11" s="60" t="n">
        <v>46181</v>
      </c>
      <c r="N11" s="60" t="n">
        <v>46181</v>
      </c>
      <c r="O11" s="23" t="inlineStr">
        <is>
          <t>Pass</t>
        </is>
      </c>
      <c r="P11" s="25">
        <f>IF($C11="","",IF(OR($O11="",$O11="Not yet inspected"),IF(AND(ISNUMBER($Q11),$Q11&gt;0),"Overdue","NOT INSPECTED"),IF(OR($O11="Fail",$O11="Conditional pass"),"Open",IF($O11="N/A","Closed",IF(AND($V11="Yes",$W11&lt;&gt;"Yes"),"Awaiting client","Closed")))))</f>
        <v/>
      </c>
      <c r="Q11" s="26">
        <f>IF(OR($C11="",$M11=""),"",IF($N11&lt;&gt;"","",IF(TODAY()&gt;$M11,TODAY()-$M11,0)))</f>
        <v/>
      </c>
      <c r="R11" s="27" t="inlineStr">
        <is>
          <t>No</t>
        </is>
      </c>
      <c r="S11" s="28" t="n"/>
      <c r="T11" s="23" t="inlineStr">
        <is>
          <t>L. Marchetti, Quality Manager</t>
        </is>
      </c>
      <c r="U11" s="60" t="n">
        <v>46181</v>
      </c>
      <c r="V11" s="27" t="inlineStr">
        <is>
          <t>Yes</t>
        </is>
      </c>
      <c r="W11" s="27" t="inlineStr">
        <is>
          <t>Yes</t>
        </is>
      </c>
      <c r="X11" s="23" t="inlineStr">
        <is>
          <t>Called 24 hours ahead and released two hours before the first truck was booked. Cover meter record and pre-pour photographs filed with the lot.  ·  EXAMPLE — delete before use</t>
        </is>
      </c>
    </row>
    <row r="12" ht="78" customHeight="1">
      <c r="A12" s="23" t="inlineStr">
        <is>
          <t>ITP-CN-140</t>
        </is>
      </c>
      <c r="B12" s="23" t="inlineStr">
        <is>
          <t>Basement raft slab pour 3 — Lot CN-07</t>
        </is>
      </c>
      <c r="C12" s="23" t="inlineStr">
        <is>
          <t>Concrete compressive strength at 28 days</t>
        </is>
      </c>
      <c r="D12" s="23" t="inlineStr">
        <is>
          <t>WBS 4.1.2  ·  B2 raft</t>
        </is>
      </c>
      <c r="E12" s="23" t="inlineStr">
        <is>
          <t>Spec 03200 cl. 2.6</t>
        </is>
      </c>
      <c r="F12" s="23" t="inlineStr">
        <is>
          <t>S-S-3105 Rev F</t>
        </is>
      </c>
      <c r="G12" s="23" t="inlineStr">
        <is>
          <t>Characteristic strength not less than 40 MPa at 28 days; each sample average not less than 40 MPa and no individual cylinder below 36 MPa; slump 100 mm ±25 mm at the point of discharge</t>
        </is>
      </c>
      <c r="H12" s="23" t="inlineStr">
        <is>
          <t>Test</t>
        </is>
      </c>
      <c r="I12" s="23" t="inlineStr">
        <is>
          <t>Per 50 m³ of concrete</t>
        </is>
      </c>
      <c r="J12" s="23" t="inlineStr">
        <is>
          <t>Third-party certifier</t>
        </is>
      </c>
      <c r="K12" s="23" t="inlineStr">
        <is>
          <t>Laboratory test certificate</t>
        </is>
      </c>
      <c r="L12" s="23" t="inlineStr">
        <is>
          <t>ISO 1920-4 (concrete compressive strength)</t>
        </is>
      </c>
      <c r="M12" s="60" t="n">
        <v>46209</v>
      </c>
      <c r="N12" s="60" t="n">
        <v>46209</v>
      </c>
      <c r="O12" s="23" t="inlineStr">
        <is>
          <t>Pass</t>
        </is>
      </c>
      <c r="P12" s="25">
        <f>IF($C12="","",IF(OR($O12="",$O12="Not yet inspected"),IF(AND(ISNUMBER($Q12),$Q12&gt;0),"Overdue","NOT INSPECTED"),IF(OR($O12="Fail",$O12="Conditional pass"),"Open",IF($O12="N/A","Closed",IF(AND($V12="Yes",$W12&lt;&gt;"Yes"),"Awaiting client","Closed")))))</f>
        <v/>
      </c>
      <c r="Q12" s="26">
        <f>IF(OR($C12="",$M12=""),"",IF($N12&lt;&gt;"","",IF(TODAY()&gt;$M12,TODAY()-$M12,0)))</f>
        <v/>
      </c>
      <c r="R12" s="27" t="inlineStr">
        <is>
          <t>No</t>
        </is>
      </c>
      <c r="S12" s="28" t="n"/>
      <c r="T12" s="23" t="inlineStr">
        <is>
          <t>Meridian Materials Laboratory (ILAC-accredited)</t>
        </is>
      </c>
      <c r="U12" s="60" t="n">
        <v>46211</v>
      </c>
      <c r="V12" s="27" t="inlineStr">
        <is>
          <t>Yes</t>
        </is>
      </c>
      <c r="W12" s="30" t="n"/>
      <c r="X12" s="23" t="inlineStr">
        <is>
          <t>Result 46.5 MPa — see TST-C-031 on the Test &amp; Certificate Register. Awaiting the Superintendent's countersignature on the lot conformance report.  ·  EXAMPLE — delete before use</t>
        </is>
      </c>
    </row>
    <row r="13" ht="78" customHeight="1">
      <c r="A13" s="23" t="inlineStr">
        <is>
          <t>ITP-SS-210</t>
        </is>
      </c>
      <c r="B13" s="23" t="inlineStr">
        <is>
          <t>Structural steel frame Levels 1–4 — Lot SS-03</t>
        </is>
      </c>
      <c r="C13" s="23" t="inlineStr">
        <is>
          <t>High-strength bolted connection tensioning verification</t>
        </is>
      </c>
      <c r="D13" s="23" t="inlineStr">
        <is>
          <t>WBS 5.2.3  ·  Levels 1–4, grids B–E</t>
        </is>
      </c>
      <c r="E13" s="23" t="inlineStr">
        <is>
          <t>Spec 05120 cl. 3.7</t>
        </is>
      </c>
      <c r="F13" s="23" t="inlineStr">
        <is>
          <t>S-S-4210 Rev C</t>
        </is>
      </c>
      <c r="G13" s="23" t="inlineStr">
        <is>
          <t>All bolts snug-tightened then fully tensioned in the specified sequence; 10% of bolts per connection type re-checked by torque or DTI gap; no bolt below the minimum shank tension for its grade and diameter</t>
        </is>
      </c>
      <c r="H13" s="23" t="inlineStr">
        <is>
          <t>Witness Point</t>
        </is>
      </c>
      <c r="I13" s="23" t="inlineStr">
        <is>
          <t>Each level</t>
        </is>
      </c>
      <c r="J13" s="23" t="inlineStr">
        <is>
          <t>Contractor</t>
        </is>
      </c>
      <c r="K13" s="23" t="inlineStr">
        <is>
          <t>Site inspection report</t>
        </is>
      </c>
      <c r="L13" s="23" t="inlineStr">
        <is>
          <t>Project specification only</t>
        </is>
      </c>
      <c r="M13" s="60" t="n">
        <v>46223</v>
      </c>
      <c r="N13" s="60" t="n">
        <v>46224</v>
      </c>
      <c r="O13" s="23" t="inlineStr">
        <is>
          <t>Conditional pass</t>
        </is>
      </c>
      <c r="P13" s="25">
        <f>IF($C13="","",IF(OR($O13="",$O13="Not yet inspected"),IF(AND(ISNUMBER($Q13),$Q13&gt;0),"Overdue","NOT INSPECTED"),IF(OR($O13="Fail",$O13="Conditional pass"),"Open",IF($O13="N/A","Closed",IF(AND($V13="Yes",$W13&lt;&gt;"Yes"),"Awaiting client","Closed")))))</f>
        <v/>
      </c>
      <c r="Q13" s="26">
        <f>IF(OR($C13="",$M13=""),"",IF($N13&lt;&gt;"","",IF(TODAY()&gt;$M13,TODAY()-$M13,0)))</f>
        <v/>
      </c>
      <c r="R13" s="27" t="inlineStr">
        <is>
          <t>Yes</t>
        </is>
      </c>
      <c r="S13" s="23" t="inlineStr">
        <is>
          <t>NCR-014</t>
        </is>
      </c>
      <c r="T13" s="23" t="inlineStr">
        <is>
          <t>M. Haddad, Steel Inspector</t>
        </is>
      </c>
      <c r="U13" s="60" t="n">
        <v>46224</v>
      </c>
      <c r="V13" s="27" t="inlineStr">
        <is>
          <t>No</t>
        </is>
      </c>
      <c r="W13" s="27" t="inlineStr">
        <is>
          <t>Not required</t>
        </is>
      </c>
      <c r="X13" s="23" t="inlineStr">
        <is>
          <t>Four bolts at grid C/3 below minimum tension. Conditional on re-tensioning and re-checking the full connection under NCR-014 before any deck loading.  ·  EXAMPLE — delete before use</t>
        </is>
      </c>
    </row>
    <row r="14" ht="78" customHeight="1">
      <c r="A14" s="23" t="inlineStr">
        <is>
          <t>ITP-WD-260</t>
        </is>
      </c>
      <c r="B14" s="23" t="inlineStr">
        <is>
          <t>Structural steel frame Levels 1–4 — Lot SS-03</t>
        </is>
      </c>
      <c r="C14" s="23" t="inlineStr">
        <is>
          <t>Ultrasonic examination of full-penetration butt welds to the Level 2 transfer beams</t>
        </is>
      </c>
      <c r="D14" s="23" t="inlineStr">
        <is>
          <t>WBS 5.2.4  ·  Level 2 transfer beams, grids C–D</t>
        </is>
      </c>
      <c r="E14" s="23" t="inlineStr">
        <is>
          <t>Spec 05120 cl. 3.9</t>
        </is>
      </c>
      <c r="F14" s="23" t="inlineStr">
        <is>
          <t>S-S-4235 Rev B</t>
        </is>
      </c>
      <c r="G14" s="23" t="inlineStr">
        <is>
          <t>100% ultrasonic examination of all full-penetration welds; acceptance to ISO 5817 quality level B; no cracks, no lack of fusion, and no indication exceeding the recording level; all repairs re-examined in full</t>
        </is>
      </c>
      <c r="H14" s="23" t="inlineStr">
        <is>
          <t>Test</t>
        </is>
      </c>
      <c r="I14" s="23" t="inlineStr">
        <is>
          <t>100% of items</t>
        </is>
      </c>
      <c r="J14" s="23" t="inlineStr">
        <is>
          <t>Third-party certifier</t>
        </is>
      </c>
      <c r="K14" s="23" t="inlineStr">
        <is>
          <t>NDT report</t>
        </is>
      </c>
      <c r="L14" s="23" t="inlineStr">
        <is>
          <t>ISO 17640 (weld ultrasonic testing)</t>
        </is>
      </c>
      <c r="M14" s="60" t="n">
        <v>46230</v>
      </c>
      <c r="N14" s="60" t="n">
        <v>46231</v>
      </c>
      <c r="O14" s="23" t="inlineStr">
        <is>
          <t>Fail</t>
        </is>
      </c>
      <c r="P14" s="25">
        <f>IF($C14="","",IF(OR($O14="",$O14="Not yet inspected"),IF(AND(ISNUMBER($Q14),$Q14&gt;0),"Overdue","NOT INSPECTED"),IF(OR($O14="Fail",$O14="Conditional pass"),"Open",IF($O14="N/A","Closed",IF(AND($V14="Yes",$W14&lt;&gt;"Yes"),"Awaiting client","Closed")))))</f>
        <v/>
      </c>
      <c r="Q14" s="26">
        <f>IF(OR($C14="",$M14=""),"",IF($N14&lt;&gt;"","",IF(TODAY()&gt;$M14,TODAY()-$M14,0)))</f>
        <v/>
      </c>
      <c r="R14" s="27" t="inlineStr">
        <is>
          <t>Yes</t>
        </is>
      </c>
      <c r="S14" s="23" t="inlineStr">
        <is>
          <t>NCR-016</t>
        </is>
      </c>
      <c r="T14" s="23" t="inlineStr">
        <is>
          <t>P. Nkemdirim, NDT Level 2 (ISO 9712)</t>
        </is>
      </c>
      <c r="U14" s="60" t="n">
        <v>46231</v>
      </c>
      <c r="V14" s="27" t="inlineStr">
        <is>
          <t>No</t>
        </is>
      </c>
      <c r="W14" s="27" t="inlineStr">
        <is>
          <t>Not required</t>
        </is>
      </c>
      <c r="X14" s="23" t="inlineStr">
        <is>
          <t>Lack of fusion in weld W-204 rejected. Gouged out, re-welded to a repair WPS and awaiting re-examination; NCR-016 open and past its close-out target.  ·  EXAMPLE — delete before use</t>
        </is>
      </c>
    </row>
    <row r="15" ht="78" customHeight="1">
      <c r="A15" s="23" t="inlineStr">
        <is>
          <t>ITP-ME-410</t>
        </is>
      </c>
      <c r="B15" s="23" t="inlineStr">
        <is>
          <t>Level 3 medical gas reticulation — Lot ME-02</t>
        </is>
      </c>
      <c r="C15" s="23" t="inlineStr">
        <is>
          <t>Medical gas pipeline pressure, anti-confusion and purity verification before connection to the live hospital system</t>
        </is>
      </c>
      <c r="D15" s="23" t="inlineStr">
        <is>
          <t>WBS 7.4.1  ·  Level 3 east, live hospital interface</t>
        </is>
      </c>
      <c r="E15" s="23" t="inlineStr">
        <is>
          <t>Spec 15400 cl. 3.12</t>
        </is>
      </c>
      <c r="F15" s="23" t="inlineStr">
        <is>
          <t>M-H-6410 Rev E</t>
        </is>
      </c>
      <c r="G15" s="23" t="inlineStr">
        <is>
          <t>System pressure-tested at 1.5 × working pressure and held 24 hours with no measurable loss; anti-confusion (cross-connection) test on 100% of outlets; oxygen purity not less than 99.5% and dew point not warmer than −46 °C at the furthest outlet; witnessed by the hospital's authorised person</t>
        </is>
      </c>
      <c r="H15" s="23" t="inlineStr">
        <is>
          <t>Hold Point</t>
        </is>
      </c>
      <c r="I15" s="23" t="inlineStr">
        <is>
          <t>Each zone</t>
        </is>
      </c>
      <c r="J15" s="23" t="inlineStr">
        <is>
          <t>Client/Superintendent</t>
        </is>
      </c>
      <c r="K15" s="23" t="inlineStr">
        <is>
          <t>Third-party certification</t>
        </is>
      </c>
      <c r="L15" s="23" t="inlineStr">
        <is>
          <t>ISO 7396-1 (medical gas pipeline systems)</t>
        </is>
      </c>
      <c r="M15" s="60" t="n">
        <v>46258</v>
      </c>
      <c r="N15" s="61" t="n"/>
      <c r="O15" s="23" t="inlineStr">
        <is>
          <t>Not yet inspected</t>
        </is>
      </c>
      <c r="P15" s="25">
        <f>IF($C15="","",IF(OR($O15="",$O15="Not yet inspected"),IF(AND(ISNUMBER($Q15),$Q15&gt;0),"Overdue","NOT INSPECTED"),IF(OR($O15="Fail",$O15="Conditional pass"),"Open",IF($O15="N/A","Closed",IF(AND($V15="Yes",$W15&lt;&gt;"Yes"),"Awaiting client","Closed")))))</f>
        <v/>
      </c>
      <c r="Q15" s="26">
        <f>IF(OR($C15="",$M15=""),"",IF($N15&lt;&gt;"","",IF(TODAY()&gt;$M15,TODAY()-$M15,0)))</f>
        <v/>
      </c>
      <c r="R15" s="27" t="inlineStr">
        <is>
          <t>No</t>
        </is>
      </c>
      <c r="S15" s="28" t="n"/>
      <c r="T15" s="28" t="n"/>
      <c r="U15" s="61" t="n"/>
      <c r="V15" s="27" t="inlineStr">
        <is>
          <t>Yes</t>
        </is>
      </c>
      <c r="W15" s="30" t="n"/>
      <c r="X15" s="23" t="inlineStr">
        <is>
          <t>This hold point protects a live clinical service. No connection to the existing system until the hospital's authorised person has witnessed the anti-confusion test and signed.  ·  EXAMPLE — delete before use</t>
        </is>
      </c>
    </row>
    <row r="16" ht="78" customHeight="1">
      <c r="A16" s="23" t="inlineStr">
        <is>
          <t>ITP-WP-310</t>
        </is>
      </c>
      <c r="B16" s="23" t="inlineStr">
        <is>
          <t>Waterproofing to basement lift pit — Lot WP-01</t>
        </is>
      </c>
      <c r="C16" s="23" t="inlineStr">
        <is>
          <t>Review of applicator certification, batch certificates, wet-film thickness records and flood test result before protection board</t>
        </is>
      </c>
      <c r="D16" s="23" t="inlineStr">
        <is>
          <t>WBS 4.4.2  ·  Basement B2 lift pit</t>
        </is>
      </c>
      <c r="E16" s="23" t="inlineStr">
        <is>
          <t>Spec 07100 cl. 3.6</t>
        </is>
      </c>
      <c r="F16" s="23" t="inlineStr">
        <is>
          <t>A-D-5120 Rev A</t>
        </is>
      </c>
      <c r="G16" s="23" t="inlineStr">
        <is>
          <t>Applicator licensed by the membrane manufacturer; batch certificates match the delivered product; wet-film thickness not less than 1.8 mm at every test point; 24-hour flood test with no loss of level over a 25 mm depth</t>
        </is>
      </c>
      <c r="H16" s="23" t="inlineStr">
        <is>
          <t>Review of records</t>
        </is>
      </c>
      <c r="I16" s="23" t="inlineStr">
        <is>
          <t>Each lot</t>
        </is>
      </c>
      <c r="J16" s="23" t="inlineStr">
        <is>
          <t>Contractor</t>
        </is>
      </c>
      <c r="K16" s="23" t="inlineStr">
        <is>
          <t>Manufacturer's certificate of conformity</t>
        </is>
      </c>
      <c r="L16" s="23" t="inlineStr">
        <is>
          <t>ISO 2808 (paint and coating film thickness)</t>
        </is>
      </c>
      <c r="M16" s="60" t="n">
        <v>46202</v>
      </c>
      <c r="N16" s="60" t="n">
        <v>46203</v>
      </c>
      <c r="O16" s="23" t="inlineStr">
        <is>
          <t>Pass</t>
        </is>
      </c>
      <c r="P16" s="25">
        <f>IF($C16="","",IF(OR($O16="",$O16="Not yet inspected"),IF(AND(ISNUMBER($Q16),$Q16&gt;0),"Overdue","NOT INSPECTED"),IF(OR($O16="Fail",$O16="Conditional pass"),"Open",IF($O16="N/A","Closed",IF(AND($V16="Yes",$W16&lt;&gt;"Yes"),"Awaiting client","Closed")))))</f>
        <v/>
      </c>
      <c r="Q16" s="26">
        <f>IF(OR($C16="",$M16=""),"",IF($N16&lt;&gt;"","",IF(TODAY()&gt;$M16,TODAY()-$M16,0)))</f>
        <v/>
      </c>
      <c r="R16" s="27" t="inlineStr">
        <is>
          <t>No</t>
        </is>
      </c>
      <c r="S16" s="28" t="n"/>
      <c r="T16" s="23" t="inlineStr">
        <is>
          <t>L. Marchetti, Quality Manager</t>
        </is>
      </c>
      <c r="U16" s="60" t="n">
        <v>46203</v>
      </c>
      <c r="V16" s="27" t="inlineStr">
        <is>
          <t>No</t>
        </is>
      </c>
      <c r="W16" s="27" t="inlineStr">
        <is>
          <t>Not required</t>
        </is>
      </c>
      <c r="X16" s="23" t="inlineStr">
        <is>
          <t>Wet-film readings 1.9–2.3 mm across 26 test points. Flood test photographs and manufacturer's warranty filed with the lot.  ·  EXAMPLE — delete before use</t>
        </is>
      </c>
    </row>
    <row r="17" ht="78" customHeight="1">
      <c r="A17" s="23" t="inlineStr">
        <is>
          <t>ITP-EL-460</t>
        </is>
      </c>
      <c r="B17" s="23" t="inlineStr">
        <is>
          <t>Level 1 electrical rough-in — Lot EL-05</t>
        </is>
      </c>
      <c r="C17" s="23" t="inlineStr">
        <is>
          <t>Surveillance of cable installation, support and segregation before ceiling close-up</t>
        </is>
      </c>
      <c r="D17" s="23" t="inlineStr">
        <is>
          <t>WBS 8.2.2  ·  Level 1 north</t>
        </is>
      </c>
      <c r="E17" s="23" t="inlineStr">
        <is>
          <t>Spec 16100 cl. 3.4</t>
        </is>
      </c>
      <c r="F17" s="23" t="inlineStr">
        <is>
          <t>E-P-7115 Rev C</t>
        </is>
      </c>
      <c r="G17" s="23" t="inlineStr">
        <is>
          <t>Cable supports at not more than 1.5 m centres; minimum bending radius per the manufacturer; 300 mm separation between power and data or a metallic barrier; every circuit identified at both ends</t>
        </is>
      </c>
      <c r="H17" s="23" t="inlineStr">
        <is>
          <t>Surveillance</t>
        </is>
      </c>
      <c r="I17" s="23" t="inlineStr">
        <is>
          <t>Weekly while the activity is open</t>
        </is>
      </c>
      <c r="J17" s="23" t="inlineStr">
        <is>
          <t>Contractor</t>
        </is>
      </c>
      <c r="K17" s="23" t="inlineStr">
        <is>
          <t>Photographic record</t>
        </is>
      </c>
      <c r="L17" s="23" t="inlineStr">
        <is>
          <t>IEC 60364-6 (electrical verification)</t>
        </is>
      </c>
      <c r="M17" s="60" t="n">
        <v>46244</v>
      </c>
      <c r="N17" s="60" t="n">
        <v>46245</v>
      </c>
      <c r="O17" s="23" t="inlineStr">
        <is>
          <t>Pass</t>
        </is>
      </c>
      <c r="P17" s="25">
        <f>IF($C17="","",IF(OR($O17="",$O17="Not yet inspected"),IF(AND(ISNUMBER($Q17),$Q17&gt;0),"Overdue","NOT INSPECTED"),IF(OR($O17="Fail",$O17="Conditional pass"),"Open",IF($O17="N/A","Closed",IF(AND($V17="Yes",$W17&lt;&gt;"Yes"),"Awaiting client","Closed")))))</f>
        <v/>
      </c>
      <c r="Q17" s="26">
        <f>IF(OR($C17="",$M17=""),"",IF($N17&lt;&gt;"","",IF(TODAY()&gt;$M17,TODAY()-$M17,0)))</f>
        <v/>
      </c>
      <c r="R17" s="27" t="inlineStr">
        <is>
          <t>No</t>
        </is>
      </c>
      <c r="S17" s="28" t="n"/>
      <c r="T17" s="23" t="inlineStr">
        <is>
          <t>D. Sørensen, Services Coordinator</t>
        </is>
      </c>
      <c r="U17" s="60" t="n">
        <v>46245</v>
      </c>
      <c r="V17" s="27" t="inlineStr">
        <is>
          <t>No</t>
        </is>
      </c>
      <c r="W17" s="27" t="inlineStr">
        <is>
          <t>Not required</t>
        </is>
      </c>
      <c r="X17" s="23" t="inlineStr">
        <is>
          <t>Two support omissions rectified on the spot and photographed; no non-conformance raised because the work had not been covered up.  ·  EXAMPLE — delete before use</t>
        </is>
      </c>
    </row>
    <row r="18" ht="34" customHeight="1">
      <c r="A18" s="28" t="n"/>
      <c r="B18" s="28" t="n"/>
      <c r="C18" s="28" t="n"/>
      <c r="D18" s="28" t="n"/>
      <c r="E18" s="28" t="n"/>
      <c r="F18" s="28" t="n"/>
      <c r="G18" s="28" t="n"/>
      <c r="H18" s="28" t="n"/>
      <c r="I18" s="28" t="n"/>
      <c r="J18" s="28" t="n"/>
      <c r="K18" s="28" t="n"/>
      <c r="L18" s="28" t="n"/>
      <c r="M18" s="61" t="n"/>
      <c r="N18" s="61" t="n"/>
      <c r="O18" s="28" t="n"/>
      <c r="P18" s="25">
        <f>IF($C18="","",IF(OR($O18="",$O18="Not yet inspected"),IF(AND(ISNUMBER($Q18),$Q18&gt;0),"Overdue","NOT INSPECTED"),IF(OR($O18="Fail",$O18="Conditional pass"),"Open",IF($O18="N/A","Closed",IF(AND($V18="Yes",$W18&lt;&gt;"Yes"),"Awaiting client","Closed")))))</f>
        <v/>
      </c>
      <c r="Q18" s="26">
        <f>IF(OR($C18="",$M18=""),"",IF($N18&lt;&gt;"","",IF(TODAY()&gt;$M18,TODAY()-$M18,0)))</f>
        <v/>
      </c>
      <c r="R18" s="30" t="n"/>
      <c r="S18" s="28" t="n"/>
      <c r="T18" s="28" t="n"/>
      <c r="U18" s="61" t="n"/>
      <c r="V18" s="30" t="n"/>
      <c r="W18" s="30" t="n"/>
      <c r="X18" s="28" t="n"/>
    </row>
    <row r="19" ht="34" customHeight="1">
      <c r="A19" s="28" t="n"/>
      <c r="B19" s="28" t="n"/>
      <c r="C19" s="28" t="n"/>
      <c r="D19" s="28" t="n"/>
      <c r="E19" s="28" t="n"/>
      <c r="F19" s="28" t="n"/>
      <c r="G19" s="28" t="n"/>
      <c r="H19" s="28" t="n"/>
      <c r="I19" s="28" t="n"/>
      <c r="J19" s="28" t="n"/>
      <c r="K19" s="28" t="n"/>
      <c r="L19" s="28" t="n"/>
      <c r="M19" s="61" t="n"/>
      <c r="N19" s="61" t="n"/>
      <c r="O19" s="28" t="n"/>
      <c r="P19" s="25">
        <f>IF($C19="","",IF(OR($O19="",$O19="Not yet inspected"),IF(AND(ISNUMBER($Q19),$Q19&gt;0),"Overdue","NOT INSPECTED"),IF(OR($O19="Fail",$O19="Conditional pass"),"Open",IF($O19="N/A","Closed",IF(AND($V19="Yes",$W19&lt;&gt;"Yes"),"Awaiting client","Closed")))))</f>
        <v/>
      </c>
      <c r="Q19" s="26">
        <f>IF(OR($C19="",$M19=""),"",IF($N19&lt;&gt;"","",IF(TODAY()&gt;$M19,TODAY()-$M19,0)))</f>
        <v/>
      </c>
      <c r="R19" s="30" t="n"/>
      <c r="S19" s="28" t="n"/>
      <c r="T19" s="28" t="n"/>
      <c r="U19" s="61" t="n"/>
      <c r="V19" s="30" t="n"/>
      <c r="W19" s="30" t="n"/>
      <c r="X19" s="28" t="n"/>
    </row>
    <row r="20" ht="34" customHeight="1">
      <c r="A20" s="28" t="n"/>
      <c r="B20" s="28" t="n"/>
      <c r="C20" s="28" t="n"/>
      <c r="D20" s="28" t="n"/>
      <c r="E20" s="28" t="n"/>
      <c r="F20" s="28" t="n"/>
      <c r="G20" s="28" t="n"/>
      <c r="H20" s="28" t="n"/>
      <c r="I20" s="28" t="n"/>
      <c r="J20" s="28" t="n"/>
      <c r="K20" s="28" t="n"/>
      <c r="L20" s="28" t="n"/>
      <c r="M20" s="61" t="n"/>
      <c r="N20" s="61" t="n"/>
      <c r="O20" s="28" t="n"/>
      <c r="P20" s="25">
        <f>IF($C20="","",IF(OR($O20="",$O20="Not yet inspected"),IF(AND(ISNUMBER($Q20),$Q20&gt;0),"Overdue","NOT INSPECTED"),IF(OR($O20="Fail",$O20="Conditional pass"),"Open",IF($O20="N/A","Closed",IF(AND($V20="Yes",$W20&lt;&gt;"Yes"),"Awaiting client","Closed")))))</f>
        <v/>
      </c>
      <c r="Q20" s="26">
        <f>IF(OR($C20="",$M20=""),"",IF($N20&lt;&gt;"","",IF(TODAY()&gt;$M20,TODAY()-$M20,0)))</f>
        <v/>
      </c>
      <c r="R20" s="30" t="n"/>
      <c r="S20" s="28" t="n"/>
      <c r="T20" s="28" t="n"/>
      <c r="U20" s="61" t="n"/>
      <c r="V20" s="30" t="n"/>
      <c r="W20" s="30" t="n"/>
      <c r="X20" s="28" t="n"/>
    </row>
    <row r="21" ht="34" customHeight="1">
      <c r="A21" s="28" t="n"/>
      <c r="B21" s="28" t="n"/>
      <c r="C21" s="28" t="n"/>
      <c r="D21" s="28" t="n"/>
      <c r="E21" s="28" t="n"/>
      <c r="F21" s="28" t="n"/>
      <c r="G21" s="28" t="n"/>
      <c r="H21" s="28" t="n"/>
      <c r="I21" s="28" t="n"/>
      <c r="J21" s="28" t="n"/>
      <c r="K21" s="28" t="n"/>
      <c r="L21" s="28" t="n"/>
      <c r="M21" s="61" t="n"/>
      <c r="N21" s="61" t="n"/>
      <c r="O21" s="28" t="n"/>
      <c r="P21" s="25">
        <f>IF($C21="","",IF(OR($O21="",$O21="Not yet inspected"),IF(AND(ISNUMBER($Q21),$Q21&gt;0),"Overdue","NOT INSPECTED"),IF(OR($O21="Fail",$O21="Conditional pass"),"Open",IF($O21="N/A","Closed",IF(AND($V21="Yes",$W21&lt;&gt;"Yes"),"Awaiting client","Closed")))))</f>
        <v/>
      </c>
      <c r="Q21" s="26">
        <f>IF(OR($C21="",$M21=""),"",IF($N21&lt;&gt;"","",IF(TODAY()&gt;$M21,TODAY()-$M21,0)))</f>
        <v/>
      </c>
      <c r="R21" s="30" t="n"/>
      <c r="S21" s="28" t="n"/>
      <c r="T21" s="28" t="n"/>
      <c r="U21" s="61" t="n"/>
      <c r="V21" s="30" t="n"/>
      <c r="W21" s="30" t="n"/>
      <c r="X21" s="28" t="n"/>
    </row>
    <row r="22" ht="34" customHeight="1">
      <c r="A22" s="28" t="n"/>
      <c r="B22" s="28" t="n"/>
      <c r="C22" s="28" t="n"/>
      <c r="D22" s="28" t="n"/>
      <c r="E22" s="28" t="n"/>
      <c r="F22" s="28" t="n"/>
      <c r="G22" s="28" t="n"/>
      <c r="H22" s="28" t="n"/>
      <c r="I22" s="28" t="n"/>
      <c r="J22" s="28" t="n"/>
      <c r="K22" s="28" t="n"/>
      <c r="L22" s="28" t="n"/>
      <c r="M22" s="61" t="n"/>
      <c r="N22" s="61" t="n"/>
      <c r="O22" s="28" t="n"/>
      <c r="P22" s="25">
        <f>IF($C22="","",IF(OR($O22="",$O22="Not yet inspected"),IF(AND(ISNUMBER($Q22),$Q22&gt;0),"Overdue","NOT INSPECTED"),IF(OR($O22="Fail",$O22="Conditional pass"),"Open",IF($O22="N/A","Closed",IF(AND($V22="Yes",$W22&lt;&gt;"Yes"),"Awaiting client","Closed")))))</f>
        <v/>
      </c>
      <c r="Q22" s="26">
        <f>IF(OR($C22="",$M22=""),"",IF($N22&lt;&gt;"","",IF(TODAY()&gt;$M22,TODAY()-$M22,0)))</f>
        <v/>
      </c>
      <c r="R22" s="30" t="n"/>
      <c r="S22" s="28" t="n"/>
      <c r="T22" s="28" t="n"/>
      <c r="U22" s="61" t="n"/>
      <c r="V22" s="30" t="n"/>
      <c r="W22" s="30" t="n"/>
      <c r="X22" s="28" t="n"/>
    </row>
    <row r="23" ht="34" customHeight="1">
      <c r="A23" s="28" t="n"/>
      <c r="B23" s="28" t="n"/>
      <c r="C23" s="28" t="n"/>
      <c r="D23" s="28" t="n"/>
      <c r="E23" s="28" t="n"/>
      <c r="F23" s="28" t="n"/>
      <c r="G23" s="28" t="n"/>
      <c r="H23" s="28" t="n"/>
      <c r="I23" s="28" t="n"/>
      <c r="J23" s="28" t="n"/>
      <c r="K23" s="28" t="n"/>
      <c r="L23" s="28" t="n"/>
      <c r="M23" s="61" t="n"/>
      <c r="N23" s="61" t="n"/>
      <c r="O23" s="28" t="n"/>
      <c r="P23" s="25">
        <f>IF($C23="","",IF(OR($O23="",$O23="Not yet inspected"),IF(AND(ISNUMBER($Q23),$Q23&gt;0),"Overdue","NOT INSPECTED"),IF(OR($O23="Fail",$O23="Conditional pass"),"Open",IF($O23="N/A","Closed",IF(AND($V23="Yes",$W23&lt;&gt;"Yes"),"Awaiting client","Closed")))))</f>
        <v/>
      </c>
      <c r="Q23" s="26">
        <f>IF(OR($C23="",$M23=""),"",IF($N23&lt;&gt;"","",IF(TODAY()&gt;$M23,TODAY()-$M23,0)))</f>
        <v/>
      </c>
      <c r="R23" s="30" t="n"/>
      <c r="S23" s="28" t="n"/>
      <c r="T23" s="28" t="n"/>
      <c r="U23" s="61" t="n"/>
      <c r="V23" s="30" t="n"/>
      <c r="W23" s="30" t="n"/>
      <c r="X23" s="28" t="n"/>
    </row>
    <row r="24" ht="34" customHeight="1">
      <c r="A24" s="28" t="n"/>
      <c r="B24" s="28" t="n"/>
      <c r="C24" s="28" t="n"/>
      <c r="D24" s="28" t="n"/>
      <c r="E24" s="28" t="n"/>
      <c r="F24" s="28" t="n"/>
      <c r="G24" s="28" t="n"/>
      <c r="H24" s="28" t="n"/>
      <c r="I24" s="28" t="n"/>
      <c r="J24" s="28" t="n"/>
      <c r="K24" s="28" t="n"/>
      <c r="L24" s="28" t="n"/>
      <c r="M24" s="61" t="n"/>
      <c r="N24" s="61" t="n"/>
      <c r="O24" s="28" t="n"/>
      <c r="P24" s="25">
        <f>IF($C24="","",IF(OR($O24="",$O24="Not yet inspected"),IF(AND(ISNUMBER($Q24),$Q24&gt;0),"Overdue","NOT INSPECTED"),IF(OR($O24="Fail",$O24="Conditional pass"),"Open",IF($O24="N/A","Closed",IF(AND($V24="Yes",$W24&lt;&gt;"Yes"),"Awaiting client","Closed")))))</f>
        <v/>
      </c>
      <c r="Q24" s="26">
        <f>IF(OR($C24="",$M24=""),"",IF($N24&lt;&gt;"","",IF(TODAY()&gt;$M24,TODAY()-$M24,0)))</f>
        <v/>
      </c>
      <c r="R24" s="30" t="n"/>
      <c r="S24" s="28" t="n"/>
      <c r="T24" s="28" t="n"/>
      <c r="U24" s="61" t="n"/>
      <c r="V24" s="30" t="n"/>
      <c r="W24" s="30" t="n"/>
      <c r="X24" s="28" t="n"/>
    </row>
    <row r="25" ht="34" customHeight="1">
      <c r="A25" s="28" t="n"/>
      <c r="B25" s="28" t="n"/>
      <c r="C25" s="28" t="n"/>
      <c r="D25" s="28" t="n"/>
      <c r="E25" s="28" t="n"/>
      <c r="F25" s="28" t="n"/>
      <c r="G25" s="28" t="n"/>
      <c r="H25" s="28" t="n"/>
      <c r="I25" s="28" t="n"/>
      <c r="J25" s="28" t="n"/>
      <c r="K25" s="28" t="n"/>
      <c r="L25" s="28" t="n"/>
      <c r="M25" s="61" t="n"/>
      <c r="N25" s="61" t="n"/>
      <c r="O25" s="28" t="n"/>
      <c r="P25" s="25">
        <f>IF($C25="","",IF(OR($O25="",$O25="Not yet inspected"),IF(AND(ISNUMBER($Q25),$Q25&gt;0),"Overdue","NOT INSPECTED"),IF(OR($O25="Fail",$O25="Conditional pass"),"Open",IF($O25="N/A","Closed",IF(AND($V25="Yes",$W25&lt;&gt;"Yes"),"Awaiting client","Closed")))))</f>
        <v/>
      </c>
      <c r="Q25" s="26">
        <f>IF(OR($C25="",$M25=""),"",IF($N25&lt;&gt;"","",IF(TODAY()&gt;$M25,TODAY()-$M25,0)))</f>
        <v/>
      </c>
      <c r="R25" s="30" t="n"/>
      <c r="S25" s="28" t="n"/>
      <c r="T25" s="28" t="n"/>
      <c r="U25" s="61" t="n"/>
      <c r="V25" s="30" t="n"/>
      <c r="W25" s="30" t="n"/>
      <c r="X25" s="28" t="n"/>
    </row>
    <row r="26" ht="34" customHeight="1">
      <c r="A26" s="28" t="n"/>
      <c r="B26" s="28" t="n"/>
      <c r="C26" s="28" t="n"/>
      <c r="D26" s="28" t="n"/>
      <c r="E26" s="28" t="n"/>
      <c r="F26" s="28" t="n"/>
      <c r="G26" s="28" t="n"/>
      <c r="H26" s="28" t="n"/>
      <c r="I26" s="28" t="n"/>
      <c r="J26" s="28" t="n"/>
      <c r="K26" s="28" t="n"/>
      <c r="L26" s="28" t="n"/>
      <c r="M26" s="61" t="n"/>
      <c r="N26" s="61" t="n"/>
      <c r="O26" s="28" t="n"/>
      <c r="P26" s="25">
        <f>IF($C26="","",IF(OR($O26="",$O26="Not yet inspected"),IF(AND(ISNUMBER($Q26),$Q26&gt;0),"Overdue","NOT INSPECTED"),IF(OR($O26="Fail",$O26="Conditional pass"),"Open",IF($O26="N/A","Closed",IF(AND($V26="Yes",$W26&lt;&gt;"Yes"),"Awaiting client","Closed")))))</f>
        <v/>
      </c>
      <c r="Q26" s="26">
        <f>IF(OR($C26="",$M26=""),"",IF($N26&lt;&gt;"","",IF(TODAY()&gt;$M26,TODAY()-$M26,0)))</f>
        <v/>
      </c>
      <c r="R26" s="30" t="n"/>
      <c r="S26" s="28" t="n"/>
      <c r="T26" s="28" t="n"/>
      <c r="U26" s="61" t="n"/>
      <c r="V26" s="30" t="n"/>
      <c r="W26" s="30" t="n"/>
      <c r="X26" s="28" t="n"/>
    </row>
    <row r="27" ht="34" customHeight="1">
      <c r="A27" s="28" t="n"/>
      <c r="B27" s="28" t="n"/>
      <c r="C27" s="28" t="n"/>
      <c r="D27" s="28" t="n"/>
      <c r="E27" s="28" t="n"/>
      <c r="F27" s="28" t="n"/>
      <c r="G27" s="28" t="n"/>
      <c r="H27" s="28" t="n"/>
      <c r="I27" s="28" t="n"/>
      <c r="J27" s="28" t="n"/>
      <c r="K27" s="28" t="n"/>
      <c r="L27" s="28" t="n"/>
      <c r="M27" s="61" t="n"/>
      <c r="N27" s="61" t="n"/>
      <c r="O27" s="28" t="n"/>
      <c r="P27" s="25">
        <f>IF($C27="","",IF(OR($O27="",$O27="Not yet inspected"),IF(AND(ISNUMBER($Q27),$Q27&gt;0),"Overdue","NOT INSPECTED"),IF(OR($O27="Fail",$O27="Conditional pass"),"Open",IF($O27="N/A","Closed",IF(AND($V27="Yes",$W27&lt;&gt;"Yes"),"Awaiting client","Closed")))))</f>
        <v/>
      </c>
      <c r="Q27" s="26">
        <f>IF(OR($C27="",$M27=""),"",IF($N27&lt;&gt;"","",IF(TODAY()&gt;$M27,TODAY()-$M27,0)))</f>
        <v/>
      </c>
      <c r="R27" s="30" t="n"/>
      <c r="S27" s="28" t="n"/>
      <c r="T27" s="28" t="n"/>
      <c r="U27" s="61" t="n"/>
      <c r="V27" s="30" t="n"/>
      <c r="W27" s="30" t="n"/>
      <c r="X27" s="28" t="n"/>
    </row>
    <row r="28" ht="34" customHeight="1">
      <c r="A28" s="28" t="n"/>
      <c r="B28" s="28" t="n"/>
      <c r="C28" s="28" t="n"/>
      <c r="D28" s="28" t="n"/>
      <c r="E28" s="28" t="n"/>
      <c r="F28" s="28" t="n"/>
      <c r="G28" s="28" t="n"/>
      <c r="H28" s="28" t="n"/>
      <c r="I28" s="28" t="n"/>
      <c r="J28" s="28" t="n"/>
      <c r="K28" s="28" t="n"/>
      <c r="L28" s="28" t="n"/>
      <c r="M28" s="61" t="n"/>
      <c r="N28" s="61" t="n"/>
      <c r="O28" s="28" t="n"/>
      <c r="P28" s="25">
        <f>IF($C28="","",IF(OR($O28="",$O28="Not yet inspected"),IF(AND(ISNUMBER($Q28),$Q28&gt;0),"Overdue","NOT INSPECTED"),IF(OR($O28="Fail",$O28="Conditional pass"),"Open",IF($O28="N/A","Closed",IF(AND($V28="Yes",$W28&lt;&gt;"Yes"),"Awaiting client","Closed")))))</f>
        <v/>
      </c>
      <c r="Q28" s="26">
        <f>IF(OR($C28="",$M28=""),"",IF($N28&lt;&gt;"","",IF(TODAY()&gt;$M28,TODAY()-$M28,0)))</f>
        <v/>
      </c>
      <c r="R28" s="30" t="n"/>
      <c r="S28" s="28" t="n"/>
      <c r="T28" s="28" t="n"/>
      <c r="U28" s="61" t="n"/>
      <c r="V28" s="30" t="n"/>
      <c r="W28" s="30" t="n"/>
      <c r="X28" s="28" t="n"/>
    </row>
    <row r="29" ht="34" customHeight="1">
      <c r="A29" s="28" t="n"/>
      <c r="B29" s="28" t="n"/>
      <c r="C29" s="28" t="n"/>
      <c r="D29" s="28" t="n"/>
      <c r="E29" s="28" t="n"/>
      <c r="F29" s="28" t="n"/>
      <c r="G29" s="28" t="n"/>
      <c r="H29" s="28" t="n"/>
      <c r="I29" s="28" t="n"/>
      <c r="J29" s="28" t="n"/>
      <c r="K29" s="28" t="n"/>
      <c r="L29" s="28" t="n"/>
      <c r="M29" s="61" t="n"/>
      <c r="N29" s="61" t="n"/>
      <c r="O29" s="28" t="n"/>
      <c r="P29" s="25">
        <f>IF($C29="","",IF(OR($O29="",$O29="Not yet inspected"),IF(AND(ISNUMBER($Q29),$Q29&gt;0),"Overdue","NOT INSPECTED"),IF(OR($O29="Fail",$O29="Conditional pass"),"Open",IF($O29="N/A","Closed",IF(AND($V29="Yes",$W29&lt;&gt;"Yes"),"Awaiting client","Closed")))))</f>
        <v/>
      </c>
      <c r="Q29" s="26">
        <f>IF(OR($C29="",$M29=""),"",IF($N29&lt;&gt;"","",IF(TODAY()&gt;$M29,TODAY()-$M29,0)))</f>
        <v/>
      </c>
      <c r="R29" s="30" t="n"/>
      <c r="S29" s="28" t="n"/>
      <c r="T29" s="28" t="n"/>
      <c r="U29" s="61" t="n"/>
      <c r="V29" s="30" t="n"/>
      <c r="W29" s="30" t="n"/>
      <c r="X29" s="28" t="n"/>
    </row>
    <row r="30" ht="34" customHeight="1">
      <c r="A30" s="28" t="n"/>
      <c r="B30" s="28" t="n"/>
      <c r="C30" s="28" t="n"/>
      <c r="D30" s="28" t="n"/>
      <c r="E30" s="28" t="n"/>
      <c r="F30" s="28" t="n"/>
      <c r="G30" s="28" t="n"/>
      <c r="H30" s="28" t="n"/>
      <c r="I30" s="28" t="n"/>
      <c r="J30" s="28" t="n"/>
      <c r="K30" s="28" t="n"/>
      <c r="L30" s="28" t="n"/>
      <c r="M30" s="61" t="n"/>
      <c r="N30" s="61" t="n"/>
      <c r="O30" s="28" t="n"/>
      <c r="P30" s="25">
        <f>IF($C30="","",IF(OR($O30="",$O30="Not yet inspected"),IF(AND(ISNUMBER($Q30),$Q30&gt;0),"Overdue","NOT INSPECTED"),IF(OR($O30="Fail",$O30="Conditional pass"),"Open",IF($O30="N/A","Closed",IF(AND($V30="Yes",$W30&lt;&gt;"Yes"),"Awaiting client","Closed")))))</f>
        <v/>
      </c>
      <c r="Q30" s="26">
        <f>IF(OR($C30="",$M30=""),"",IF($N30&lt;&gt;"","",IF(TODAY()&gt;$M30,TODAY()-$M30,0)))</f>
        <v/>
      </c>
      <c r="R30" s="30" t="n"/>
      <c r="S30" s="28" t="n"/>
      <c r="T30" s="28" t="n"/>
      <c r="U30" s="61" t="n"/>
      <c r="V30" s="30" t="n"/>
      <c r="W30" s="30" t="n"/>
      <c r="X30" s="28" t="n"/>
    </row>
    <row r="31" ht="34" customHeight="1">
      <c r="A31" s="28" t="n"/>
      <c r="B31" s="28" t="n"/>
      <c r="C31" s="28" t="n"/>
      <c r="D31" s="28" t="n"/>
      <c r="E31" s="28" t="n"/>
      <c r="F31" s="28" t="n"/>
      <c r="G31" s="28" t="n"/>
      <c r="H31" s="28" t="n"/>
      <c r="I31" s="28" t="n"/>
      <c r="J31" s="28" t="n"/>
      <c r="K31" s="28" t="n"/>
      <c r="L31" s="28" t="n"/>
      <c r="M31" s="61" t="n"/>
      <c r="N31" s="61" t="n"/>
      <c r="O31" s="28" t="n"/>
      <c r="P31" s="25">
        <f>IF($C31="","",IF(OR($O31="",$O31="Not yet inspected"),IF(AND(ISNUMBER($Q31),$Q31&gt;0),"Overdue","NOT INSPECTED"),IF(OR($O31="Fail",$O31="Conditional pass"),"Open",IF($O31="N/A","Closed",IF(AND($V31="Yes",$W31&lt;&gt;"Yes"),"Awaiting client","Closed")))))</f>
        <v/>
      </c>
      <c r="Q31" s="26">
        <f>IF(OR($C31="",$M31=""),"",IF($N31&lt;&gt;"","",IF(TODAY()&gt;$M31,TODAY()-$M31,0)))</f>
        <v/>
      </c>
      <c r="R31" s="30" t="n"/>
      <c r="S31" s="28" t="n"/>
      <c r="T31" s="28" t="n"/>
      <c r="U31" s="61" t="n"/>
      <c r="V31" s="30" t="n"/>
      <c r="W31" s="30" t="n"/>
      <c r="X31" s="28" t="n"/>
    </row>
    <row r="32" ht="34" customHeight="1">
      <c r="A32" s="28" t="n"/>
      <c r="B32" s="28" t="n"/>
      <c r="C32" s="28" t="n"/>
      <c r="D32" s="28" t="n"/>
      <c r="E32" s="28" t="n"/>
      <c r="F32" s="28" t="n"/>
      <c r="G32" s="28" t="n"/>
      <c r="H32" s="28" t="n"/>
      <c r="I32" s="28" t="n"/>
      <c r="J32" s="28" t="n"/>
      <c r="K32" s="28" t="n"/>
      <c r="L32" s="28" t="n"/>
      <c r="M32" s="61" t="n"/>
      <c r="N32" s="61" t="n"/>
      <c r="O32" s="28" t="n"/>
      <c r="P32" s="25">
        <f>IF($C32="","",IF(OR($O32="",$O32="Not yet inspected"),IF(AND(ISNUMBER($Q32),$Q32&gt;0),"Overdue","NOT INSPECTED"),IF(OR($O32="Fail",$O32="Conditional pass"),"Open",IF($O32="N/A","Closed",IF(AND($V32="Yes",$W32&lt;&gt;"Yes"),"Awaiting client","Closed")))))</f>
        <v/>
      </c>
      <c r="Q32" s="26">
        <f>IF(OR($C32="",$M32=""),"",IF($N32&lt;&gt;"","",IF(TODAY()&gt;$M32,TODAY()-$M32,0)))</f>
        <v/>
      </c>
      <c r="R32" s="30" t="n"/>
      <c r="S32" s="28" t="n"/>
      <c r="T32" s="28" t="n"/>
      <c r="U32" s="61" t="n"/>
      <c r="V32" s="30" t="n"/>
      <c r="W32" s="30" t="n"/>
      <c r="X32" s="28" t="n"/>
    </row>
    <row r="33" ht="34" customHeight="1">
      <c r="A33" s="28" t="n"/>
      <c r="B33" s="28" t="n"/>
      <c r="C33" s="28" t="n"/>
      <c r="D33" s="28" t="n"/>
      <c r="E33" s="28" t="n"/>
      <c r="F33" s="28" t="n"/>
      <c r="G33" s="28" t="n"/>
      <c r="H33" s="28" t="n"/>
      <c r="I33" s="28" t="n"/>
      <c r="J33" s="28" t="n"/>
      <c r="K33" s="28" t="n"/>
      <c r="L33" s="28" t="n"/>
      <c r="M33" s="61" t="n"/>
      <c r="N33" s="61" t="n"/>
      <c r="O33" s="28" t="n"/>
      <c r="P33" s="25">
        <f>IF($C33="","",IF(OR($O33="",$O33="Not yet inspected"),IF(AND(ISNUMBER($Q33),$Q33&gt;0),"Overdue","NOT INSPECTED"),IF(OR($O33="Fail",$O33="Conditional pass"),"Open",IF($O33="N/A","Closed",IF(AND($V33="Yes",$W33&lt;&gt;"Yes"),"Awaiting client","Closed")))))</f>
        <v/>
      </c>
      <c r="Q33" s="26">
        <f>IF(OR($C33="",$M33=""),"",IF($N33&lt;&gt;"","",IF(TODAY()&gt;$M33,TODAY()-$M33,0)))</f>
        <v/>
      </c>
      <c r="R33" s="30" t="n"/>
      <c r="S33" s="28" t="n"/>
      <c r="T33" s="28" t="n"/>
      <c r="U33" s="61" t="n"/>
      <c r="V33" s="30" t="n"/>
      <c r="W33" s="30" t="n"/>
      <c r="X33" s="28" t="n"/>
    </row>
    <row r="34" ht="34" customHeight="1">
      <c r="A34" s="28" t="n"/>
      <c r="B34" s="28" t="n"/>
      <c r="C34" s="28" t="n"/>
      <c r="D34" s="28" t="n"/>
      <c r="E34" s="28" t="n"/>
      <c r="F34" s="28" t="n"/>
      <c r="G34" s="28" t="n"/>
      <c r="H34" s="28" t="n"/>
      <c r="I34" s="28" t="n"/>
      <c r="J34" s="28" t="n"/>
      <c r="K34" s="28" t="n"/>
      <c r="L34" s="28" t="n"/>
      <c r="M34" s="61" t="n"/>
      <c r="N34" s="61" t="n"/>
      <c r="O34" s="28" t="n"/>
      <c r="P34" s="25">
        <f>IF($C34="","",IF(OR($O34="",$O34="Not yet inspected"),IF(AND(ISNUMBER($Q34),$Q34&gt;0),"Overdue","NOT INSPECTED"),IF(OR($O34="Fail",$O34="Conditional pass"),"Open",IF($O34="N/A","Closed",IF(AND($V34="Yes",$W34&lt;&gt;"Yes"),"Awaiting client","Closed")))))</f>
        <v/>
      </c>
      <c r="Q34" s="26">
        <f>IF(OR($C34="",$M34=""),"",IF($N34&lt;&gt;"","",IF(TODAY()&gt;$M34,TODAY()-$M34,0)))</f>
        <v/>
      </c>
      <c r="R34" s="30" t="n"/>
      <c r="S34" s="28" t="n"/>
      <c r="T34" s="28" t="n"/>
      <c r="U34" s="61" t="n"/>
      <c r="V34" s="30" t="n"/>
      <c r="W34" s="30" t="n"/>
      <c r="X34" s="28" t="n"/>
    </row>
    <row r="35" ht="34" customHeight="1">
      <c r="A35" s="28" t="n"/>
      <c r="B35" s="28" t="n"/>
      <c r="C35" s="28" t="n"/>
      <c r="D35" s="28" t="n"/>
      <c r="E35" s="28" t="n"/>
      <c r="F35" s="28" t="n"/>
      <c r="G35" s="28" t="n"/>
      <c r="H35" s="28" t="n"/>
      <c r="I35" s="28" t="n"/>
      <c r="J35" s="28" t="n"/>
      <c r="K35" s="28" t="n"/>
      <c r="L35" s="28" t="n"/>
      <c r="M35" s="61" t="n"/>
      <c r="N35" s="61" t="n"/>
      <c r="O35" s="28" t="n"/>
      <c r="P35" s="25">
        <f>IF($C35="","",IF(OR($O35="",$O35="Not yet inspected"),IF(AND(ISNUMBER($Q35),$Q35&gt;0),"Overdue","NOT INSPECTED"),IF(OR($O35="Fail",$O35="Conditional pass"),"Open",IF($O35="N/A","Closed",IF(AND($V35="Yes",$W35&lt;&gt;"Yes"),"Awaiting client","Closed")))))</f>
        <v/>
      </c>
      <c r="Q35" s="26">
        <f>IF(OR($C35="",$M35=""),"",IF($N35&lt;&gt;"","",IF(TODAY()&gt;$M35,TODAY()-$M35,0)))</f>
        <v/>
      </c>
      <c r="R35" s="30" t="n"/>
      <c r="S35" s="28" t="n"/>
      <c r="T35" s="28" t="n"/>
      <c r="U35" s="61" t="n"/>
      <c r="V35" s="30" t="n"/>
      <c r="W35" s="30" t="n"/>
      <c r="X35" s="28" t="n"/>
    </row>
    <row r="36" ht="34" customHeight="1">
      <c r="A36" s="28" t="n"/>
      <c r="B36" s="28" t="n"/>
      <c r="C36" s="28" t="n"/>
      <c r="D36" s="28" t="n"/>
      <c r="E36" s="28" t="n"/>
      <c r="F36" s="28" t="n"/>
      <c r="G36" s="28" t="n"/>
      <c r="H36" s="28" t="n"/>
      <c r="I36" s="28" t="n"/>
      <c r="J36" s="28" t="n"/>
      <c r="K36" s="28" t="n"/>
      <c r="L36" s="28" t="n"/>
      <c r="M36" s="61" t="n"/>
      <c r="N36" s="61" t="n"/>
      <c r="O36" s="28" t="n"/>
      <c r="P36" s="25">
        <f>IF($C36="","",IF(OR($O36="",$O36="Not yet inspected"),IF(AND(ISNUMBER($Q36),$Q36&gt;0),"Overdue","NOT INSPECTED"),IF(OR($O36="Fail",$O36="Conditional pass"),"Open",IF($O36="N/A","Closed",IF(AND($V36="Yes",$W36&lt;&gt;"Yes"),"Awaiting client","Closed")))))</f>
        <v/>
      </c>
      <c r="Q36" s="26">
        <f>IF(OR($C36="",$M36=""),"",IF($N36&lt;&gt;"","",IF(TODAY()&gt;$M36,TODAY()-$M36,0)))</f>
        <v/>
      </c>
      <c r="R36" s="30" t="n"/>
      <c r="S36" s="28" t="n"/>
      <c r="T36" s="28" t="n"/>
      <c r="U36" s="61" t="n"/>
      <c r="V36" s="30" t="n"/>
      <c r="W36" s="30" t="n"/>
      <c r="X36" s="28" t="n"/>
    </row>
    <row r="37" ht="34" customHeight="1">
      <c r="A37" s="28" t="n"/>
      <c r="B37" s="28" t="n"/>
      <c r="C37" s="28" t="n"/>
      <c r="D37" s="28" t="n"/>
      <c r="E37" s="28" t="n"/>
      <c r="F37" s="28" t="n"/>
      <c r="G37" s="28" t="n"/>
      <c r="H37" s="28" t="n"/>
      <c r="I37" s="28" t="n"/>
      <c r="J37" s="28" t="n"/>
      <c r="K37" s="28" t="n"/>
      <c r="L37" s="28" t="n"/>
      <c r="M37" s="61" t="n"/>
      <c r="N37" s="61" t="n"/>
      <c r="O37" s="28" t="n"/>
      <c r="P37" s="25">
        <f>IF($C37="","",IF(OR($O37="",$O37="Not yet inspected"),IF(AND(ISNUMBER($Q37),$Q37&gt;0),"Overdue","NOT INSPECTED"),IF(OR($O37="Fail",$O37="Conditional pass"),"Open",IF($O37="N/A","Closed",IF(AND($V37="Yes",$W37&lt;&gt;"Yes"),"Awaiting client","Closed")))))</f>
        <v/>
      </c>
      <c r="Q37" s="26">
        <f>IF(OR($C37="",$M37=""),"",IF($N37&lt;&gt;"","",IF(TODAY()&gt;$M37,TODAY()-$M37,0)))</f>
        <v/>
      </c>
      <c r="R37" s="30" t="n"/>
      <c r="S37" s="28" t="n"/>
      <c r="T37" s="28" t="n"/>
      <c r="U37" s="61" t="n"/>
      <c r="V37" s="30" t="n"/>
      <c r="W37" s="30" t="n"/>
      <c r="X37" s="28" t="n"/>
    </row>
    <row r="38" ht="34" customHeight="1">
      <c r="A38" s="28" t="n"/>
      <c r="B38" s="28" t="n"/>
      <c r="C38" s="28" t="n"/>
      <c r="D38" s="28" t="n"/>
      <c r="E38" s="28" t="n"/>
      <c r="F38" s="28" t="n"/>
      <c r="G38" s="28" t="n"/>
      <c r="H38" s="28" t="n"/>
      <c r="I38" s="28" t="n"/>
      <c r="J38" s="28" t="n"/>
      <c r="K38" s="28" t="n"/>
      <c r="L38" s="28" t="n"/>
      <c r="M38" s="61" t="n"/>
      <c r="N38" s="61" t="n"/>
      <c r="O38" s="28" t="n"/>
      <c r="P38" s="25">
        <f>IF($C38="","",IF(OR($O38="",$O38="Not yet inspected"),IF(AND(ISNUMBER($Q38),$Q38&gt;0),"Overdue","NOT INSPECTED"),IF(OR($O38="Fail",$O38="Conditional pass"),"Open",IF($O38="N/A","Closed",IF(AND($V38="Yes",$W38&lt;&gt;"Yes"),"Awaiting client","Closed")))))</f>
        <v/>
      </c>
      <c r="Q38" s="26">
        <f>IF(OR($C38="",$M38=""),"",IF($N38&lt;&gt;"","",IF(TODAY()&gt;$M38,TODAY()-$M38,0)))</f>
        <v/>
      </c>
      <c r="R38" s="30" t="n"/>
      <c r="S38" s="28" t="n"/>
      <c r="T38" s="28" t="n"/>
      <c r="U38" s="61" t="n"/>
      <c r="V38" s="30" t="n"/>
      <c r="W38" s="30" t="n"/>
      <c r="X38" s="28" t="n"/>
    </row>
    <row r="39" ht="34" customHeight="1">
      <c r="A39" s="28" t="n"/>
      <c r="B39" s="28" t="n"/>
      <c r="C39" s="28" t="n"/>
      <c r="D39" s="28" t="n"/>
      <c r="E39" s="28" t="n"/>
      <c r="F39" s="28" t="n"/>
      <c r="G39" s="28" t="n"/>
      <c r="H39" s="28" t="n"/>
      <c r="I39" s="28" t="n"/>
      <c r="J39" s="28" t="n"/>
      <c r="K39" s="28" t="n"/>
      <c r="L39" s="28" t="n"/>
      <c r="M39" s="61" t="n"/>
      <c r="N39" s="61" t="n"/>
      <c r="O39" s="28" t="n"/>
      <c r="P39" s="25">
        <f>IF($C39="","",IF(OR($O39="",$O39="Not yet inspected"),IF(AND(ISNUMBER($Q39),$Q39&gt;0),"Overdue","NOT INSPECTED"),IF(OR($O39="Fail",$O39="Conditional pass"),"Open",IF($O39="N/A","Closed",IF(AND($V39="Yes",$W39&lt;&gt;"Yes"),"Awaiting client","Closed")))))</f>
        <v/>
      </c>
      <c r="Q39" s="26">
        <f>IF(OR($C39="",$M39=""),"",IF($N39&lt;&gt;"","",IF(TODAY()&gt;$M39,TODAY()-$M39,0)))</f>
        <v/>
      </c>
      <c r="R39" s="30" t="n"/>
      <c r="S39" s="28" t="n"/>
      <c r="T39" s="28" t="n"/>
      <c r="U39" s="61" t="n"/>
      <c r="V39" s="30" t="n"/>
      <c r="W39" s="30" t="n"/>
      <c r="X39" s="28" t="n"/>
    </row>
    <row r="40" ht="34" customHeight="1">
      <c r="A40" s="28" t="n"/>
      <c r="B40" s="28" t="n"/>
      <c r="C40" s="28" t="n"/>
      <c r="D40" s="28" t="n"/>
      <c r="E40" s="28" t="n"/>
      <c r="F40" s="28" t="n"/>
      <c r="G40" s="28" t="n"/>
      <c r="H40" s="28" t="n"/>
      <c r="I40" s="28" t="n"/>
      <c r="J40" s="28" t="n"/>
      <c r="K40" s="28" t="n"/>
      <c r="L40" s="28" t="n"/>
      <c r="M40" s="61" t="n"/>
      <c r="N40" s="61" t="n"/>
      <c r="O40" s="28" t="n"/>
      <c r="P40" s="25">
        <f>IF($C40="","",IF(OR($O40="",$O40="Not yet inspected"),IF(AND(ISNUMBER($Q40),$Q40&gt;0),"Overdue","NOT INSPECTED"),IF(OR($O40="Fail",$O40="Conditional pass"),"Open",IF($O40="N/A","Closed",IF(AND($V40="Yes",$W40&lt;&gt;"Yes"),"Awaiting client","Closed")))))</f>
        <v/>
      </c>
      <c r="Q40" s="26">
        <f>IF(OR($C40="",$M40=""),"",IF($N40&lt;&gt;"","",IF(TODAY()&gt;$M40,TODAY()-$M40,0)))</f>
        <v/>
      </c>
      <c r="R40" s="30" t="n"/>
      <c r="S40" s="28" t="n"/>
      <c r="T40" s="28" t="n"/>
      <c r="U40" s="61" t="n"/>
      <c r="V40" s="30" t="n"/>
      <c r="W40" s="30" t="n"/>
      <c r="X40" s="28" t="n"/>
    </row>
    <row r="41" ht="34" customHeight="1">
      <c r="A41" s="28" t="n"/>
      <c r="B41" s="28" t="n"/>
      <c r="C41" s="28" t="n"/>
      <c r="D41" s="28" t="n"/>
      <c r="E41" s="28" t="n"/>
      <c r="F41" s="28" t="n"/>
      <c r="G41" s="28" t="n"/>
      <c r="H41" s="28" t="n"/>
      <c r="I41" s="28" t="n"/>
      <c r="J41" s="28" t="n"/>
      <c r="K41" s="28" t="n"/>
      <c r="L41" s="28" t="n"/>
      <c r="M41" s="61" t="n"/>
      <c r="N41" s="61" t="n"/>
      <c r="O41" s="28" t="n"/>
      <c r="P41" s="25">
        <f>IF($C41="","",IF(OR($O41="",$O41="Not yet inspected"),IF(AND(ISNUMBER($Q41),$Q41&gt;0),"Overdue","NOT INSPECTED"),IF(OR($O41="Fail",$O41="Conditional pass"),"Open",IF($O41="N/A","Closed",IF(AND($V41="Yes",$W41&lt;&gt;"Yes"),"Awaiting client","Closed")))))</f>
        <v/>
      </c>
      <c r="Q41" s="26">
        <f>IF(OR($C41="",$M41=""),"",IF($N41&lt;&gt;"","",IF(TODAY()&gt;$M41,TODAY()-$M41,0)))</f>
        <v/>
      </c>
      <c r="R41" s="30" t="n"/>
      <c r="S41" s="28" t="n"/>
      <c r="T41" s="28" t="n"/>
      <c r="U41" s="61" t="n"/>
      <c r="V41" s="30" t="n"/>
      <c r="W41" s="30" t="n"/>
      <c r="X41" s="28" t="n"/>
    </row>
    <row r="42" ht="34" customHeight="1">
      <c r="A42" s="28" t="n"/>
      <c r="B42" s="28" t="n"/>
      <c r="C42" s="28" t="n"/>
      <c r="D42" s="28" t="n"/>
      <c r="E42" s="28" t="n"/>
      <c r="F42" s="28" t="n"/>
      <c r="G42" s="28" t="n"/>
      <c r="H42" s="28" t="n"/>
      <c r="I42" s="28" t="n"/>
      <c r="J42" s="28" t="n"/>
      <c r="K42" s="28" t="n"/>
      <c r="L42" s="28" t="n"/>
      <c r="M42" s="61" t="n"/>
      <c r="N42" s="61" t="n"/>
      <c r="O42" s="28" t="n"/>
      <c r="P42" s="25">
        <f>IF($C42="","",IF(OR($O42="",$O42="Not yet inspected"),IF(AND(ISNUMBER($Q42),$Q42&gt;0),"Overdue","NOT INSPECTED"),IF(OR($O42="Fail",$O42="Conditional pass"),"Open",IF($O42="N/A","Closed",IF(AND($V42="Yes",$W42&lt;&gt;"Yes"),"Awaiting client","Closed")))))</f>
        <v/>
      </c>
      <c r="Q42" s="26">
        <f>IF(OR($C42="",$M42=""),"",IF($N42&lt;&gt;"","",IF(TODAY()&gt;$M42,TODAY()-$M42,0)))</f>
        <v/>
      </c>
      <c r="R42" s="30" t="n"/>
      <c r="S42" s="28" t="n"/>
      <c r="T42" s="28" t="n"/>
      <c r="U42" s="61" t="n"/>
      <c r="V42" s="30" t="n"/>
      <c r="W42" s="30" t="n"/>
      <c r="X42" s="28" t="n"/>
    </row>
    <row r="43" ht="34" customHeight="1">
      <c r="A43" s="28" t="n"/>
      <c r="B43" s="28" t="n"/>
      <c r="C43" s="28" t="n"/>
      <c r="D43" s="28" t="n"/>
      <c r="E43" s="28" t="n"/>
      <c r="F43" s="28" t="n"/>
      <c r="G43" s="28" t="n"/>
      <c r="H43" s="28" t="n"/>
      <c r="I43" s="28" t="n"/>
      <c r="J43" s="28" t="n"/>
      <c r="K43" s="28" t="n"/>
      <c r="L43" s="28" t="n"/>
      <c r="M43" s="61" t="n"/>
      <c r="N43" s="61" t="n"/>
      <c r="O43" s="28" t="n"/>
      <c r="P43" s="25">
        <f>IF($C43="","",IF(OR($O43="",$O43="Not yet inspected"),IF(AND(ISNUMBER($Q43),$Q43&gt;0),"Overdue","NOT INSPECTED"),IF(OR($O43="Fail",$O43="Conditional pass"),"Open",IF($O43="N/A","Closed",IF(AND($V43="Yes",$W43&lt;&gt;"Yes"),"Awaiting client","Closed")))))</f>
        <v/>
      </c>
      <c r="Q43" s="26">
        <f>IF(OR($C43="",$M43=""),"",IF($N43&lt;&gt;"","",IF(TODAY()&gt;$M43,TODAY()-$M43,0)))</f>
        <v/>
      </c>
      <c r="R43" s="30" t="n"/>
      <c r="S43" s="28" t="n"/>
      <c r="T43" s="28" t="n"/>
      <c r="U43" s="61" t="n"/>
      <c r="V43" s="30" t="n"/>
      <c r="W43" s="30" t="n"/>
      <c r="X43" s="28" t="n"/>
    </row>
    <row r="44" ht="34" customHeight="1">
      <c r="A44" s="28" t="n"/>
      <c r="B44" s="28" t="n"/>
      <c r="C44" s="28" t="n"/>
      <c r="D44" s="28" t="n"/>
      <c r="E44" s="28" t="n"/>
      <c r="F44" s="28" t="n"/>
      <c r="G44" s="28" t="n"/>
      <c r="H44" s="28" t="n"/>
      <c r="I44" s="28" t="n"/>
      <c r="J44" s="28" t="n"/>
      <c r="K44" s="28" t="n"/>
      <c r="L44" s="28" t="n"/>
      <c r="M44" s="61" t="n"/>
      <c r="N44" s="61" t="n"/>
      <c r="O44" s="28" t="n"/>
      <c r="P44" s="25">
        <f>IF($C44="","",IF(OR($O44="",$O44="Not yet inspected"),IF(AND(ISNUMBER($Q44),$Q44&gt;0),"Overdue","NOT INSPECTED"),IF(OR($O44="Fail",$O44="Conditional pass"),"Open",IF($O44="N/A","Closed",IF(AND($V44="Yes",$W44&lt;&gt;"Yes"),"Awaiting client","Closed")))))</f>
        <v/>
      </c>
      <c r="Q44" s="26">
        <f>IF(OR($C44="",$M44=""),"",IF($N44&lt;&gt;"","",IF(TODAY()&gt;$M44,TODAY()-$M44,0)))</f>
        <v/>
      </c>
      <c r="R44" s="30" t="n"/>
      <c r="S44" s="28" t="n"/>
      <c r="T44" s="28" t="n"/>
      <c r="U44" s="61" t="n"/>
      <c r="V44" s="30" t="n"/>
      <c r="W44" s="30" t="n"/>
      <c r="X44" s="28" t="n"/>
    </row>
    <row r="45" ht="34" customHeight="1">
      <c r="A45" s="28" t="n"/>
      <c r="B45" s="28" t="n"/>
      <c r="C45" s="28" t="n"/>
      <c r="D45" s="28" t="n"/>
      <c r="E45" s="28" t="n"/>
      <c r="F45" s="28" t="n"/>
      <c r="G45" s="28" t="n"/>
      <c r="H45" s="28" t="n"/>
      <c r="I45" s="28" t="n"/>
      <c r="J45" s="28" t="n"/>
      <c r="K45" s="28" t="n"/>
      <c r="L45" s="28" t="n"/>
      <c r="M45" s="61" t="n"/>
      <c r="N45" s="61" t="n"/>
      <c r="O45" s="28" t="n"/>
      <c r="P45" s="25">
        <f>IF($C45="","",IF(OR($O45="",$O45="Not yet inspected"),IF(AND(ISNUMBER($Q45),$Q45&gt;0),"Overdue","NOT INSPECTED"),IF(OR($O45="Fail",$O45="Conditional pass"),"Open",IF($O45="N/A","Closed",IF(AND($V45="Yes",$W45&lt;&gt;"Yes"),"Awaiting client","Closed")))))</f>
        <v/>
      </c>
      <c r="Q45" s="26">
        <f>IF(OR($C45="",$M45=""),"",IF($N45&lt;&gt;"","",IF(TODAY()&gt;$M45,TODAY()-$M45,0)))</f>
        <v/>
      </c>
      <c r="R45" s="30" t="n"/>
      <c r="S45" s="28" t="n"/>
      <c r="T45" s="28" t="n"/>
      <c r="U45" s="61" t="n"/>
      <c r="V45" s="30" t="n"/>
      <c r="W45" s="30" t="n"/>
      <c r="X45" s="28" t="n"/>
    </row>
    <row r="46" ht="34" customHeight="1">
      <c r="A46" s="28" t="n"/>
      <c r="B46" s="28" t="n"/>
      <c r="C46" s="28" t="n"/>
      <c r="D46" s="28" t="n"/>
      <c r="E46" s="28" t="n"/>
      <c r="F46" s="28" t="n"/>
      <c r="G46" s="28" t="n"/>
      <c r="H46" s="28" t="n"/>
      <c r="I46" s="28" t="n"/>
      <c r="J46" s="28" t="n"/>
      <c r="K46" s="28" t="n"/>
      <c r="L46" s="28" t="n"/>
      <c r="M46" s="61" t="n"/>
      <c r="N46" s="61" t="n"/>
      <c r="O46" s="28" t="n"/>
      <c r="P46" s="25">
        <f>IF($C46="","",IF(OR($O46="",$O46="Not yet inspected"),IF(AND(ISNUMBER($Q46),$Q46&gt;0),"Overdue","NOT INSPECTED"),IF(OR($O46="Fail",$O46="Conditional pass"),"Open",IF($O46="N/A","Closed",IF(AND($V46="Yes",$W46&lt;&gt;"Yes"),"Awaiting client","Closed")))))</f>
        <v/>
      </c>
      <c r="Q46" s="26">
        <f>IF(OR($C46="",$M46=""),"",IF($N46&lt;&gt;"","",IF(TODAY()&gt;$M46,TODAY()-$M46,0)))</f>
        <v/>
      </c>
      <c r="R46" s="30" t="n"/>
      <c r="S46" s="28" t="n"/>
      <c r="T46" s="28" t="n"/>
      <c r="U46" s="61" t="n"/>
      <c r="V46" s="30" t="n"/>
      <c r="W46" s="30" t="n"/>
      <c r="X46" s="28" t="n"/>
    </row>
    <row r="47" ht="34" customHeight="1">
      <c r="A47" s="28" t="n"/>
      <c r="B47" s="28" t="n"/>
      <c r="C47" s="28" t="n"/>
      <c r="D47" s="28" t="n"/>
      <c r="E47" s="28" t="n"/>
      <c r="F47" s="28" t="n"/>
      <c r="G47" s="28" t="n"/>
      <c r="H47" s="28" t="n"/>
      <c r="I47" s="28" t="n"/>
      <c r="J47" s="28" t="n"/>
      <c r="K47" s="28" t="n"/>
      <c r="L47" s="28" t="n"/>
      <c r="M47" s="61" t="n"/>
      <c r="N47" s="61" t="n"/>
      <c r="O47" s="28" t="n"/>
      <c r="P47" s="25">
        <f>IF($C47="","",IF(OR($O47="",$O47="Not yet inspected"),IF(AND(ISNUMBER($Q47),$Q47&gt;0),"Overdue","NOT INSPECTED"),IF(OR($O47="Fail",$O47="Conditional pass"),"Open",IF($O47="N/A","Closed",IF(AND($V47="Yes",$W47&lt;&gt;"Yes"),"Awaiting client","Closed")))))</f>
        <v/>
      </c>
      <c r="Q47" s="26">
        <f>IF(OR($C47="",$M47=""),"",IF($N47&lt;&gt;"","",IF(TODAY()&gt;$M47,TODAY()-$M47,0)))</f>
        <v/>
      </c>
      <c r="R47" s="30" t="n"/>
      <c r="S47" s="28" t="n"/>
      <c r="T47" s="28" t="n"/>
      <c r="U47" s="61" t="n"/>
      <c r="V47" s="30" t="n"/>
      <c r="W47" s="30" t="n"/>
      <c r="X47" s="28" t="n"/>
    </row>
    <row r="48" ht="34" customHeight="1">
      <c r="A48" s="28" t="n"/>
      <c r="B48" s="28" t="n"/>
      <c r="C48" s="28" t="n"/>
      <c r="D48" s="28" t="n"/>
      <c r="E48" s="28" t="n"/>
      <c r="F48" s="28" t="n"/>
      <c r="G48" s="28" t="n"/>
      <c r="H48" s="28" t="n"/>
      <c r="I48" s="28" t="n"/>
      <c r="J48" s="28" t="n"/>
      <c r="K48" s="28" t="n"/>
      <c r="L48" s="28" t="n"/>
      <c r="M48" s="61" t="n"/>
      <c r="N48" s="61" t="n"/>
      <c r="O48" s="28" t="n"/>
      <c r="P48" s="25">
        <f>IF($C48="","",IF(OR($O48="",$O48="Not yet inspected"),IF(AND(ISNUMBER($Q48),$Q48&gt;0),"Overdue","NOT INSPECTED"),IF(OR($O48="Fail",$O48="Conditional pass"),"Open",IF($O48="N/A","Closed",IF(AND($V48="Yes",$W48&lt;&gt;"Yes"),"Awaiting client","Closed")))))</f>
        <v/>
      </c>
      <c r="Q48" s="26">
        <f>IF(OR($C48="",$M48=""),"",IF($N48&lt;&gt;"","",IF(TODAY()&gt;$M48,TODAY()-$M48,0)))</f>
        <v/>
      </c>
      <c r="R48" s="30" t="n"/>
      <c r="S48" s="28" t="n"/>
      <c r="T48" s="28" t="n"/>
      <c r="U48" s="61" t="n"/>
      <c r="V48" s="30" t="n"/>
      <c r="W48" s="30" t="n"/>
      <c r="X48" s="28" t="n"/>
    </row>
    <row r="51" ht="19.5" customHeight="1">
      <c r="A51" s="4" t="inlineStr">
        <is>
          <t>SUMMARY — CALCULATED FROM THE ROWS ABOVE</t>
        </is>
      </c>
    </row>
    <row r="52" ht="15" customHeight="1">
      <c r="A52" s="12" t="inlineStr">
        <is>
          <t>Every figure is a formula over the rows above. Nothing here is typed, and nothing here should be overtyped.</t>
        </is>
      </c>
    </row>
    <row r="53" ht="15.75" customHeight="1">
      <c r="A53" s="13" t="inlineStr">
        <is>
          <t>Inspections and tests in this plan</t>
        </is>
      </c>
      <c r="D53" s="31">
        <f>SUMPRODUCT(--($C$9:$C$48&lt;&gt;""))</f>
        <v/>
      </c>
    </row>
    <row r="54" ht="15.75" customHeight="1">
      <c r="A54" s="13" t="inlineStr">
        <is>
          <t>Hold points</t>
        </is>
      </c>
      <c r="D54" s="31">
        <f>COUNTIF($H$9:$H$48,"Hold Point")</f>
        <v/>
      </c>
    </row>
    <row r="55" ht="15.75" customHeight="1">
      <c r="A55" s="13" t="inlineStr">
        <is>
          <t>Hold points released (signed off)</t>
        </is>
      </c>
      <c r="D55" s="31">
        <f>SUMPRODUCT(--($H$9:$H$48="Hold Point"),--($P$9:$P$48="Closed"))</f>
        <v/>
      </c>
    </row>
    <row r="56" ht="15.75" customHeight="1">
      <c r="A56" s="13" t="inlineStr">
        <is>
          <t>HOLD POINTS NOT RELEASED — work must not proceed past these</t>
        </is>
      </c>
      <c r="D56" s="31">
        <f>SUMPRODUCT(--($C$9:$C$48&lt;&gt;""),--($H$9:$H$48="Hold Point"),--($P$9:$P$48&lt;&gt;"Closed"))</f>
        <v/>
      </c>
    </row>
    <row r="57" ht="15.75" customHeight="1">
      <c r="A57" s="13" t="inlineStr">
        <is>
          <t>Witness points</t>
        </is>
      </c>
      <c r="D57" s="31">
        <f>COUNTIF($H$9:$H$48,"Witness Point")</f>
        <v/>
      </c>
    </row>
    <row r="58" ht="15.75" customHeight="1">
      <c r="A58" s="13" t="inlineStr">
        <is>
          <t>Inspections carried out</t>
        </is>
      </c>
      <c r="D58" s="31">
        <f>SUMPRODUCT(--($C$9:$C$48&lt;&gt;""),--($O$9:$O$48&lt;&gt;""),--($O$9:$O$48&lt;&gt;"Not yet inspected"))</f>
        <v/>
      </c>
    </row>
    <row r="59" ht="15.75" customHeight="1">
      <c r="A59" s="13" t="inlineStr">
        <is>
          <t>Passed at the first attempt</t>
        </is>
      </c>
      <c r="D59" s="31">
        <f>COUNTIF($O$9:$O$48,"Pass")</f>
        <v/>
      </c>
    </row>
    <row r="60" ht="15.75" customHeight="1">
      <c r="A60" s="13" t="inlineStr">
        <is>
          <t>Conditional passes</t>
        </is>
      </c>
      <c r="D60" s="31">
        <f>COUNTIF($O$9:$O$48,"Conditional pass")</f>
        <v/>
      </c>
    </row>
    <row r="61" ht="15.75" customHeight="1">
      <c r="A61" s="13" t="inlineStr">
        <is>
          <t>Failed</t>
        </is>
      </c>
      <c r="D61" s="31">
        <f>COUNTIF($O$9:$O$48,"Fail")</f>
        <v/>
      </c>
    </row>
    <row r="62" ht="15.75" customHeight="1">
      <c r="A62" s="13" t="inlineStr">
        <is>
          <t>Not yet inspected</t>
        </is>
      </c>
      <c r="D62" s="31">
        <f>SUMPRODUCT(--($C$9:$C$48&lt;&gt;""),--(($O$9:$O$48="")+($O$9:$O$48="Not yet inspected")&gt;0))</f>
        <v/>
      </c>
    </row>
    <row r="63" ht="15.75" customHeight="1">
      <c r="A63" s="13" t="inlineStr">
        <is>
          <t>Overdue against the planned date</t>
        </is>
      </c>
      <c r="D63" s="31">
        <f>COUNTIF($P$9:$P$48,"Overdue")</f>
        <v/>
      </c>
    </row>
    <row r="64" ht="15.75" customHeight="1">
      <c r="A64" s="13" t="inlineStr">
        <is>
          <t>Awaiting Client sign-off</t>
        </is>
      </c>
      <c r="D64" s="31">
        <f>COUNTIF($P$9:$P$48,"Awaiting client")</f>
        <v/>
      </c>
    </row>
    <row r="65" ht="15.75" customHeight="1">
      <c r="A65" s="13" t="inlineStr">
        <is>
          <t>First-time-pass rate</t>
        </is>
      </c>
      <c r="D65" s="62">
        <f>IF(SUMPRODUCT(--($C$9:$C$48&lt;&gt;""),--($O$9:$O$48&lt;&gt;""),--($O$9:$O$48&lt;&gt;"Not yet inspected"))=0,"",COUNTIF($O$9:$O$48,"Pass")/SUMPRODUCT(--($C$9:$C$48&lt;&gt;""),--($O$9:$O$48&lt;&gt;""),--($O$9:$O$48&lt;&gt;"Not yet inspected")))</f>
        <v/>
      </c>
    </row>
    <row r="66" ht="15.75" customHeight="1">
      <c r="A66" s="13" t="inlineStr">
        <is>
          <t>Rows with no measurable acceptance criteria</t>
        </is>
      </c>
      <c r="D66" s="31">
        <f>SUMPRODUCT(--($C$9:$C$48&lt;&gt;""),--($G$9:$G$48=""))</f>
        <v/>
      </c>
    </row>
    <row r="67" ht="15.75" customHeight="1">
      <c r="A67" s="13" t="inlineStr">
        <is>
          <t>Non-conformances raised from this plan</t>
        </is>
      </c>
      <c r="D67" s="31">
        <f>COUNTIF($R$9:$R$48,"Yes")</f>
        <v/>
      </c>
    </row>
    <row r="69" ht="53" customHeight="1">
      <c r="A69" s="13" t="inlineStr">
        <is>
          <t>THE HOLD-POINT RULE.  A hold point is a mandatory stop. The activity that follows it must not start — and the work at the hold point must not be covered up, backfilled, loaded, energised, pressurised or connected to a live service — until the inspection has been carried out, the result recorded as Pass, and, where the row says so, the Client's sign-off received. A witness point gives the other party the right to attend on notice but does not stop the work if they do not attend; record that they were given notice.</t>
        </is>
      </c>
    </row>
    <row r="70" ht="40" customHeight="1">
      <c r="A70" s="13" t="inlineStr">
        <is>
          <t>Write acceptance criteria that a stranger could apply. State the property, the limit, the tolerance, the number of measurements and the method — 'cover 50 mm −0 / +10 mm, measured at ten random points per element with a calibrated cover meter' can be audited; 'adequate cover' cannot. Rows shown in grey italic are worked examples from Northbank Health Precinct — Stage 2 — delete them before use.</t>
        </is>
      </c>
    </row>
    <row r="72" ht="16.5" customHeight="1">
      <c r="A72" s="66" t="inlineStr">
        <is>
          <t>Mastt template  ·  mastt.com  ·  © 2026 Mastt</t>
        </is>
      </c>
      <c r="B72" s="59" t="n"/>
      <c r="C72" s="59" t="n"/>
      <c r="D72" s="59" t="n"/>
      <c r="E72" s="59" t="n"/>
      <c r="F72" s="59" t="n"/>
      <c r="G72" s="59" t="n"/>
      <c r="H72" s="59" t="n"/>
      <c r="I72" s="59" t="n"/>
      <c r="J72" s="59" t="n"/>
      <c r="K72" s="59" t="n"/>
      <c r="L72" s="59" t="n"/>
      <c r="M72" s="59" t="n"/>
      <c r="N72" s="59" t="n"/>
      <c r="O72" s="59" t="n"/>
      <c r="P72" s="59" t="n"/>
      <c r="Q72" s="59" t="n"/>
      <c r="R72" s="59" t="n"/>
      <c r="S72" s="59" t="n"/>
      <c r="T72" s="59" t="n"/>
      <c r="U72" s="59" t="n"/>
      <c r="V72" s="59" t="n"/>
      <c r="W72" s="59" t="n"/>
      <c r="X72" s="59" t="n"/>
    </row>
  </sheetData>
  <mergeCells count="24">
    <mergeCell ref="C2:X2"/>
    <mergeCell ref="A66:C66"/>
    <mergeCell ref="S7:X7"/>
    <mergeCell ref="A56:C56"/>
    <mergeCell ref="A55:C55"/>
    <mergeCell ref="A57:C57"/>
    <mergeCell ref="A62:C62"/>
    <mergeCell ref="C3:X3"/>
    <mergeCell ref="A53:C53"/>
    <mergeCell ref="A52:L52"/>
    <mergeCell ref="A63:C63"/>
    <mergeCell ref="A72:X72"/>
    <mergeCell ref="A58:C58"/>
    <mergeCell ref="A67:C67"/>
    <mergeCell ref="A59:C59"/>
    <mergeCell ref="A51:C51"/>
    <mergeCell ref="A64:C64"/>
    <mergeCell ref="A60:C60"/>
    <mergeCell ref="A61:C61"/>
    <mergeCell ref="A6:L6"/>
    <mergeCell ref="A70:L70"/>
    <mergeCell ref="A65:C65"/>
    <mergeCell ref="A69:L69"/>
    <mergeCell ref="A54:C54"/>
  </mergeCells>
  <conditionalFormatting sqref="A6:L6">
    <cfRule type="expression" priority="1" dxfId="0" stopIfTrue="0">
      <formula>ISNUMBER(SEARCH("MUST NOT",$A$6))</formula>
    </cfRule>
    <cfRule type="expression" priority="2" dxfId="1" stopIfTrue="0">
      <formula>ISNUMBER(SEARCH("none outstanding",$A$6))</formula>
    </cfRule>
  </conditionalFormatting>
  <conditionalFormatting sqref="O9:O48">
    <cfRule type="expression" priority="3" dxfId="2" stopIfTrue="0">
      <formula>$O9="Pass"</formula>
    </cfRule>
    <cfRule type="expression" priority="4" dxfId="3" stopIfTrue="0">
      <formula>$O9="Fail"</formula>
    </cfRule>
    <cfRule type="expression" priority="5" dxfId="4" stopIfTrue="0">
      <formula>$O9="Conditional pass"</formula>
    </cfRule>
    <cfRule type="expression" priority="6" dxfId="5" stopIfTrue="0">
      <formula>$O9="N/A"</formula>
    </cfRule>
    <cfRule type="expression" priority="7" dxfId="6" stopIfTrue="0">
      <formula>$O9="Not yet inspected"</formula>
    </cfRule>
  </conditionalFormatting>
  <conditionalFormatting sqref="P9:P48">
    <cfRule type="expression" priority="8" dxfId="2" stopIfTrue="0">
      <formula>$P9="Closed"</formula>
    </cfRule>
    <cfRule type="expression" priority="9" dxfId="4" stopIfTrue="0">
      <formula>$P9="Awaiting client"</formula>
    </cfRule>
    <cfRule type="expression" priority="10" dxfId="0" stopIfTrue="0">
      <formula>$P9="Open"</formula>
    </cfRule>
    <cfRule type="expression" priority="11" dxfId="0" stopIfTrue="0">
      <formula>$P9="Overdue"</formula>
    </cfRule>
    <cfRule type="expression" priority="12" dxfId="6" stopIfTrue="0">
      <formula>$P9="NOT INSPECTED"</formula>
    </cfRule>
  </conditionalFormatting>
  <conditionalFormatting sqref="A9:C48">
    <cfRule type="expression" priority="13" dxfId="0" stopIfTrue="0">
      <formula>AND($C9&lt;&gt;"",$H9="Hold Point",$P9&lt;&gt;"Closed")</formula>
    </cfRule>
  </conditionalFormatting>
  <conditionalFormatting sqref="H9:H48">
    <cfRule type="expression" priority="14" dxfId="0" stopIfTrue="0">
      <formula>AND($C9&lt;&gt;"",$H9="Hold Point",$P9&lt;&gt;"Closed")</formula>
    </cfRule>
    <cfRule type="expression" priority="15" dxfId="2" stopIfTrue="0">
      <formula>AND($H9="Hold Point",$P9="Closed")</formula>
    </cfRule>
  </conditionalFormatting>
  <conditionalFormatting sqref="Q9:Q48">
    <cfRule type="expression" priority="16" dxfId="0" stopIfTrue="0">
      <formula>AND(ISNUMBER($Q9),$Q9&gt;0)</formula>
    </cfRule>
  </conditionalFormatting>
  <conditionalFormatting sqref="G9:G48">
    <cfRule type="expression" priority="17" dxfId="3" stopIfTrue="0">
      <formula>AND($G9="",$C9&lt;&gt;"")</formula>
    </cfRule>
  </conditionalFormatting>
  <conditionalFormatting sqref="W9:W48">
    <cfRule type="expression" priority="18" dxfId="4" stopIfTrue="0">
      <formula>AND($V9="Yes",$W9&lt;&gt;"Yes")</formula>
    </cfRule>
  </conditionalFormatting>
  <conditionalFormatting sqref="S9:S48">
    <cfRule type="expression" priority="19" dxfId="3" stopIfTrue="0">
      <formula>AND($R9="Yes",$S9="")</formula>
    </cfRule>
  </conditionalFormatting>
  <conditionalFormatting sqref="D56">
    <cfRule type="expression" priority="20" dxfId="0" stopIfTrue="0">
      <formula>$D$56&gt;0</formula>
    </cfRule>
  </conditionalFormatting>
  <conditionalFormatting sqref="D61">
    <cfRule type="expression" priority="21" dxfId="0" stopIfTrue="0">
      <formula>$D$61&gt;0</formula>
    </cfRule>
  </conditionalFormatting>
  <conditionalFormatting sqref="D63">
    <cfRule type="expression" priority="22" dxfId="0" stopIfTrue="0">
      <formula>$D$63&gt;0</formula>
    </cfRule>
  </conditionalFormatting>
  <conditionalFormatting sqref="D66">
    <cfRule type="expression" priority="23" dxfId="0" stopIfTrue="0">
      <formula>$D$66&gt;0</formula>
    </cfRule>
  </conditionalFormatting>
  <conditionalFormatting sqref="D60">
    <cfRule type="expression" priority="24" dxfId="7" stopIfTrue="0">
      <formula>$D$60&gt;0</formula>
    </cfRule>
  </conditionalFormatting>
  <conditionalFormatting sqref="D64">
    <cfRule type="expression" priority="25" dxfId="7" stopIfTrue="0">
      <formula>$D$64&gt;0</formula>
    </cfRule>
  </conditionalFormatting>
  <conditionalFormatting sqref="D62">
    <cfRule type="expression" priority="26" dxfId="7" stopIfTrue="0">
      <formula>$D$62&gt;0</formula>
    </cfRule>
  </conditionalFormatting>
  <conditionalFormatting sqref="D65">
    <cfRule type="expression" priority="27" dxfId="7" stopIfTrue="0">
      <formula>AND(ISNUMBER($D$65),$D$65&lt;FTP_Target)</formula>
    </cfRule>
    <cfRule type="expression" priority="28" dxfId="1" stopIfTrue="0">
      <formula>AND(ISNUMBER($D$65),$D$65&gt;=FTP_Target)</formula>
    </cfRule>
  </conditionalFormatting>
  <dataValidations count="9">
    <dataValidation sqref="H9:H48" showDropDown="0" showInputMessage="0" showErrorMessage="0" allowBlank="1" type="list">
      <formula1>Lists!$D$23:$D$27</formula1>
    </dataValidation>
    <dataValidation sqref="I9:I48" showDropDown="0" showInputMessage="0" showErrorMessage="0" allowBlank="1" type="list">
      <formula1>Lists!$E$23:$E$41</formula1>
    </dataValidation>
    <dataValidation sqref="J9:J48" showDropDown="0" showInputMessage="0" showErrorMessage="0" allowBlank="1" type="list">
      <formula1>Lists!$F$23:$F$27</formula1>
    </dataValidation>
    <dataValidation sqref="K9:K48" showDropDown="0" showInputMessage="0" showErrorMessage="0" allowBlank="1" type="list">
      <formula1>Lists!$R$23:$R$38</formula1>
    </dataValidation>
    <dataValidation sqref="L9:L48" showDropDown="0" showInputMessage="0" showErrorMessage="0" allowBlank="1" type="list">
      <formula1>Lists!$T$23:$T$43</formula1>
    </dataValidation>
    <dataValidation sqref="O9:O48" showDropDown="0" showInputMessage="0" showErrorMessage="0" allowBlank="1" type="list">
      <formula1>Lists!$G$23:$G$27</formula1>
    </dataValidation>
    <dataValidation sqref="R9:R48" showDropDown="0" showInputMessage="0" showErrorMessage="0" allowBlank="1" type="list">
      <formula1>Lists!$B$23:$B$24</formula1>
    </dataValidation>
    <dataValidation sqref="V9:V48" showDropDown="0" showInputMessage="0" showErrorMessage="0" allowBlank="1" type="list">
      <formula1>Lists!$B$23:$B$24</formula1>
    </dataValidation>
    <dataValidation sqref="W9:W48" showDropDown="0" showInputMessage="0" showErrorMessage="0" allowBlank="1" type="list">
      <formula1>Lists!$H$23:$H$25</formula1>
    </dataValidation>
  </dataValidations>
  <hyperlinks>
    <hyperlink xmlns:r="http://schemas.openxmlformats.org/officeDocument/2006/relationships" ref="A72" r:id="rId1"/>
  </hyperlinks>
  <printOptions horizontalCentered="0"/>
  <pageMargins left="0.3" right="0.3" top="0.5" bottom="0.5" header="0.2" footer="0.3"/>
  <pageSetup orientation="landscape" paperSize="8" fitToHeight="0" fitToWidth="2"/>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3.xml><?xml version="1.0" encoding="utf-8"?>
<worksheet xmlns="http://schemas.openxmlformats.org/spreadsheetml/2006/main">
  <sheetPr>
    <outlinePr summaryBelow="1" summaryRight="1"/>
    <pageSetUpPr fitToPage="1"/>
  </sheetPr>
  <dimension ref="A2:O194"/>
  <sheetViews>
    <sheetView showGridLines="0" workbookViewId="0">
      <pane xSplit="2" ySplit="8" topLeftCell="C9"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28" customWidth="1" min="2" max="2"/>
    <col width="44" customWidth="1" min="3" max="3"/>
    <col width="58" customWidth="1" min="4" max="4"/>
    <col width="30" customWidth="1" min="5" max="5"/>
    <col width="11" customWidth="1" min="6" max="6"/>
    <col width="11" customWidth="1" min="7" max="7"/>
    <col width="15" customWidth="1" min="8" max="8"/>
    <col width="20" customWidth="1" min="9" max="9"/>
    <col width="10" customWidth="1" min="10" max="10"/>
    <col width="10" customWidth="1" min="11" max="11"/>
    <col width="14" customWidth="1" min="12" max="12"/>
    <col width="20" customWidth="1" min="13" max="13"/>
    <col width="12" customWidth="1" min="14" max="14"/>
    <col width="34" customWidth="1" min="15" max="15"/>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Checklist by Element  ·  the site tick sheet  ·  one row per check, grouped by trade, with the acceptance criterion beside it</t>
        </is>
      </c>
    </row>
    <row r="4" ht="6" customHeight="1"/>
    <row r="6">
      <c r="A6" s="20">
        <f>IF(Proj_Name="","Project: —  |  complete the Cover sheet","Project:  "&amp;Proj_Name&amp;IF(Proj_Number="",""," |  No. "&amp;Proj_Number)&amp;IF(Proj_Client=""," "," |  "&amp;Proj_Client))</f>
        <v/>
      </c>
    </row>
    <row r="7" ht="27" customHeight="1">
      <c r="A7" s="12" t="inlineStr">
        <is>
          <t>Columns C, D, E and I carry the template's own content — read them, and overtype anything the specification words differently. You fill in Checked, Result, the measurement you actually took, the Min and Max from the specification, who checked it and when. Record the number, not just a tick: a measurement is evidence and a tick is an opinion. Each element band shows the percentage of its own items that have been checked.</t>
        </is>
      </c>
      <c r="M7" s="21" t="inlineStr">
        <is>
          <t>Shaded = your input.   Tinted = auto-calculated — do not overtype.</t>
        </is>
      </c>
    </row>
    <row r="8" ht="52" customHeight="1">
      <c r="A8" s="22" t="inlineStr">
        <is>
          <t>Item No.</t>
        </is>
      </c>
      <c r="B8" s="22" t="inlineStr">
        <is>
          <t>Element</t>
        </is>
      </c>
      <c r="C8" s="22" t="inlineStr">
        <is>
          <t>Check Description</t>
        </is>
      </c>
      <c r="D8" s="22" t="inlineStr">
        <is>
          <t>Acceptance Criteria</t>
        </is>
      </c>
      <c r="E8" s="22" t="inlineStr">
        <is>
          <t>Reference</t>
        </is>
      </c>
      <c r="F8" s="22" t="inlineStr">
        <is>
          <t>Checked</t>
        </is>
      </c>
      <c r="G8" s="22" t="inlineStr">
        <is>
          <t>Result</t>
        </is>
      </c>
      <c r="H8" s="22" t="inlineStr">
        <is>
          <t>Measurement / Value Recorded</t>
        </is>
      </c>
      <c r="I8" s="22" t="inlineStr">
        <is>
          <t>Tolerance / Limit</t>
        </is>
      </c>
      <c r="J8" s="22" t="inlineStr">
        <is>
          <t>Min</t>
        </is>
      </c>
      <c r="K8" s="22" t="inlineStr">
        <is>
          <t>Max</t>
        </is>
      </c>
      <c r="L8" s="22" t="inlineStr">
        <is>
          <t>Within Tolerance  (calculated)</t>
        </is>
      </c>
      <c r="M8" s="22" t="inlineStr">
        <is>
          <t>Checked By</t>
        </is>
      </c>
      <c r="N8" s="22" t="inlineStr">
        <is>
          <t>Date</t>
        </is>
      </c>
      <c r="O8" s="22" t="inlineStr">
        <is>
          <t>Comment</t>
        </is>
      </c>
    </row>
    <row r="9" ht="21" customHeight="1">
      <c r="A9" s="33" t="inlineStr">
        <is>
          <t>1.  SITE ESTABLISHMENT AND SET-OUT</t>
        </is>
      </c>
      <c r="B9" s="34" t="n"/>
      <c r="C9" s="34" t="n"/>
      <c r="D9" s="7" t="n"/>
      <c r="E9" s="35" t="inlineStr">
        <is>
          <t>ITEMS CHECKED IN THIS ELEMENT</t>
        </is>
      </c>
      <c r="F9" s="36">
        <f>IF(SUMPRODUCT(--(ISNUMBER($A$10:$A$14)))=0,"",SUMPRODUCT(--(ISNUMBER($A$10:$A$14)),--($F$10:$F$14&lt;&gt;""))/SUMPRODUCT(--(ISNUMBER($A$10:$A$14))))</f>
        <v/>
      </c>
      <c r="G9" s="26">
        <f>SUMPRODUCT(--(ISNUMBER($A$10:$A$14)))</f>
        <v/>
      </c>
      <c r="H9" s="37" t="n"/>
      <c r="I9" s="37" t="n"/>
      <c r="J9" s="37" t="n"/>
      <c r="K9" s="37" t="n"/>
      <c r="L9" s="37" t="n"/>
      <c r="M9" s="37" t="n"/>
      <c r="N9" s="37" t="n"/>
      <c r="O9" s="37" t="n"/>
    </row>
    <row r="10" ht="40" customHeight="1">
      <c r="A10" s="38" t="n">
        <v>1</v>
      </c>
      <c r="B10" s="28" t="inlineStr">
        <is>
          <t>Site establishment and set-out</t>
        </is>
      </c>
      <c r="C10" s="28" t="inlineStr">
        <is>
          <t>Survey control network established and verified against the project datum</t>
        </is>
      </c>
      <c r="D10" s="28" t="inlineStr">
        <is>
          <t>At least three permanent survey marks placed and protected; closed traverse misclose not worse than 1:10,000; datum and coordinate system recorded on the set-out plan</t>
        </is>
      </c>
      <c r="E10" s="28" t="inlineStr">
        <is>
          <t>ISO 17123 (survey instrument verification)</t>
        </is>
      </c>
      <c r="F10" s="30" t="n"/>
      <c r="G10" s="30" t="n"/>
      <c r="H10" s="39" t="n"/>
      <c r="I10" s="28" t="inlineStr">
        <is>
          <t>Misclose ≤ 1:10,000</t>
        </is>
      </c>
      <c r="J10" s="39" t="n"/>
      <c r="K10" s="39" t="n"/>
      <c r="L10" s="40">
        <f>IF($H10="","",IF(AND($J10="",$K10=""),"No limit set",IF(NOT(ISNUMBER($H10)),"Check value",IF(AND(ISNUMBER($J10),$H10&lt;$J10),"Outside",IF(AND(ISNUMBER($K10),$H10&gt;$K10),"Outside","Within")))))</f>
        <v/>
      </c>
      <c r="M10" s="28" t="n"/>
      <c r="N10" s="61" t="n"/>
      <c r="O10" s="28" t="n"/>
    </row>
    <row r="11" ht="40" customHeight="1">
      <c r="A11" s="38" t="n">
        <v>2</v>
      </c>
      <c r="B11" s="28" t="inlineStr">
        <is>
          <t>Site establishment and set-out</t>
        </is>
      </c>
      <c r="C11" s="28" t="inlineStr">
        <is>
          <t>Building set-out independently checked before any permanent work</t>
        </is>
      </c>
      <c r="D11" s="28" t="inlineStr">
        <is>
          <t>Grid lines and building corners within ±5 mm of the coordinates on the approved set-out plan, checked by a second surveyor or by an independent method</t>
        </is>
      </c>
      <c r="E11" s="28" t="inlineStr">
        <is>
          <t>Approved set-out drawing</t>
        </is>
      </c>
      <c r="F11" s="30" t="n"/>
      <c r="G11" s="30" t="n"/>
      <c r="H11" s="39" t="n"/>
      <c r="I11" s="28" t="inlineStr">
        <is>
          <t>±5 mm</t>
        </is>
      </c>
      <c r="J11" s="39" t="n"/>
      <c r="K11" s="39" t="n"/>
      <c r="L11" s="40">
        <f>IF($H11="","",IF(AND($J11="",$K11=""),"No limit set",IF(NOT(ISNUMBER($H11)),"Check value",IF(AND(ISNUMBER($J11),$H11&lt;$J11),"Outside",IF(AND(ISNUMBER($K11),$H11&gt;$K11),"Outside","Within")))))</f>
        <v/>
      </c>
      <c r="M11" s="28" t="n"/>
      <c r="N11" s="61" t="n"/>
      <c r="O11" s="28" t="n"/>
    </row>
    <row r="12" ht="40" customHeight="1">
      <c r="A12" s="38" t="n">
        <v>3</v>
      </c>
      <c r="B12" s="28" t="inlineStr">
        <is>
          <t>Site establishment and set-out</t>
        </is>
      </c>
      <c r="C12" s="28" t="inlineStr">
        <is>
          <t>Existing services located, proven and marked before ground disturbance</t>
        </is>
      </c>
      <c r="D12" s="28" t="inlineStr">
        <is>
          <t>Every service on the utility records located by non-destructive excavation and physically proven; marked on the ground and on the services plan; live-service exclusion zones established</t>
        </is>
      </c>
      <c r="E12" s="28" t="inlineStr">
        <is>
          <t>Utility authority requirements</t>
        </is>
      </c>
      <c r="F12" s="30" t="n"/>
      <c r="G12" s="30" t="n"/>
      <c r="H12" s="39" t="n"/>
      <c r="I12" s="28" t="inlineStr">
        <is>
          <t>—</t>
        </is>
      </c>
      <c r="J12" s="39" t="n"/>
      <c r="K12" s="39" t="n"/>
      <c r="L12" s="40">
        <f>IF($H12="","",IF(AND($J12="",$K12=""),"No limit set",IF(NOT(ISNUMBER($H12)),"Check value",IF(AND(ISNUMBER($J12),$H12&lt;$J12),"Outside",IF(AND(ISNUMBER($K12),$H12&gt;$K12),"Outside","Within")))))</f>
        <v/>
      </c>
      <c r="M12" s="28" t="n"/>
      <c r="N12" s="61" t="n"/>
      <c r="O12" s="28" t="n"/>
    </row>
    <row r="13" ht="40" customHeight="1">
      <c r="A13" s="38" t="n">
        <v>4</v>
      </c>
      <c r="B13" s="28" t="inlineStr">
        <is>
          <t>Site establishment and set-out</t>
        </is>
      </c>
      <c r="C13" s="28" t="inlineStr">
        <is>
          <t>Hoarding, access, amenities and environmental controls installed and functional</t>
        </is>
      </c>
      <c r="D13" s="28" t="inlineStr">
        <is>
          <t>Hoarding to the approved line and height; sediment, dust and noise controls installed and working before earthworks; wash-down point operational</t>
        </is>
      </c>
      <c r="E13" s="28" t="inlineStr">
        <is>
          <t>Approved site establishment plan</t>
        </is>
      </c>
      <c r="F13" s="30" t="n"/>
      <c r="G13" s="30" t="n"/>
      <c r="H13" s="39" t="n"/>
      <c r="I13" s="28" t="inlineStr">
        <is>
          <t>—</t>
        </is>
      </c>
      <c r="J13" s="39" t="n"/>
      <c r="K13" s="39" t="n"/>
      <c r="L13" s="40">
        <f>IF($H13="","",IF(AND($J13="",$K13=""),"No limit set",IF(NOT(ISNUMBER($H13)),"Check value",IF(AND(ISNUMBER($J13),$H13&lt;$J13),"Outside",IF(AND(ISNUMBER($K13),$H13&gt;$K13),"Outside","Within")))))</f>
        <v/>
      </c>
      <c r="M13" s="28" t="n"/>
      <c r="N13" s="61" t="n"/>
      <c r="O13" s="28" t="n"/>
    </row>
    <row r="14" ht="40" customHeight="1">
      <c r="A14" s="38" t="n">
        <v>5</v>
      </c>
      <c r="B14" s="28" t="inlineStr">
        <is>
          <t>Site establishment and set-out</t>
        </is>
      </c>
      <c r="C14" s="28" t="inlineStr">
        <is>
          <t>Condition (dilapidation) survey of adjoining property and live-building interfaces recorded</t>
        </is>
      </c>
      <c r="D14" s="28" t="inlineStr">
        <is>
          <t>Written and photographic record of every adjoining structure, shared service and interface completed and issued to the Client before work begins</t>
        </is>
      </c>
      <c r="E14" s="28" t="inlineStr">
        <is>
          <t>Project requirement</t>
        </is>
      </c>
      <c r="F14" s="30" t="n"/>
      <c r="G14" s="30" t="n"/>
      <c r="H14" s="39" t="n"/>
      <c r="I14" s="28" t="inlineStr">
        <is>
          <t>—</t>
        </is>
      </c>
      <c r="J14" s="39" t="n"/>
      <c r="K14" s="39" t="n"/>
      <c r="L14" s="40">
        <f>IF($H14="","",IF(AND($J14="",$K14=""),"No limit set",IF(NOT(ISNUMBER($H14)),"Check value",IF(AND(ISNUMBER($J14),$H14&lt;$J14),"Outside",IF(AND(ISNUMBER($K14),$H14&gt;$K14),"Outside","Within")))))</f>
        <v/>
      </c>
      <c r="M14" s="28" t="n"/>
      <c r="N14" s="61" t="n"/>
      <c r="O14" s="28" t="n"/>
    </row>
    <row r="15" ht="21" customHeight="1">
      <c r="A15" s="33" t="inlineStr">
        <is>
          <t>2.  EARTHWORKS AND SUBGRADE</t>
        </is>
      </c>
      <c r="B15" s="34" t="n"/>
      <c r="C15" s="34" t="n"/>
      <c r="D15" s="7" t="n"/>
      <c r="E15" s="35" t="inlineStr">
        <is>
          <t>ITEMS CHECKED IN THIS ELEMENT</t>
        </is>
      </c>
      <c r="F15" s="36">
        <f>IF(SUMPRODUCT(--(ISNUMBER($A$16:$A$20)))=0,"",SUMPRODUCT(--(ISNUMBER($A$16:$A$20)),--($F$16:$F$20&lt;&gt;""))/SUMPRODUCT(--(ISNUMBER($A$16:$A$20))))</f>
        <v/>
      </c>
      <c r="G15" s="26">
        <f>SUMPRODUCT(--(ISNUMBER($A$16:$A$20)))</f>
        <v/>
      </c>
      <c r="H15" s="37" t="n"/>
      <c r="I15" s="37" t="n"/>
      <c r="J15" s="37" t="n"/>
      <c r="K15" s="37" t="n"/>
      <c r="L15" s="37" t="n"/>
      <c r="M15" s="37" t="n"/>
      <c r="N15" s="37" t="n"/>
      <c r="O15" s="37" t="n"/>
    </row>
    <row r="16" ht="40" customHeight="1">
      <c r="A16" s="38" t="n">
        <v>6</v>
      </c>
      <c r="B16" s="28" t="inlineStr">
        <is>
          <t>Earthworks and subgrade</t>
        </is>
      </c>
      <c r="C16" s="28" t="inlineStr">
        <is>
          <t>Topsoil and unsuitable material stripped to the depth shown</t>
        </is>
      </c>
      <c r="D16" s="28" t="inlineStr">
        <is>
          <t>Stripping to the nominated depth; unsuitable material removed to natural or engineered surface and classified by the geotechnical engineer</t>
        </is>
      </c>
      <c r="E16" s="28" t="inlineStr">
        <is>
          <t>ISO 17892; project earthworks specification</t>
        </is>
      </c>
      <c r="F16" s="30" t="n"/>
      <c r="G16" s="30" t="n"/>
      <c r="H16" s="39" t="n"/>
      <c r="I16" s="28" t="inlineStr">
        <is>
          <t>—</t>
        </is>
      </c>
      <c r="J16" s="39" t="n"/>
      <c r="K16" s="39" t="n"/>
      <c r="L16" s="40">
        <f>IF($H16="","",IF(AND($J16="",$K16=""),"No limit set",IF(NOT(ISNUMBER($H16)),"Check value",IF(AND(ISNUMBER($J16),$H16&lt;$J16),"Outside",IF(AND(ISNUMBER($K16),$H16&gt;$K16),"Outside","Within")))))</f>
        <v/>
      </c>
      <c r="M16" s="28" t="n"/>
      <c r="N16" s="61" t="n"/>
      <c r="O16" s="28" t="n"/>
    </row>
    <row r="17" ht="48" customHeight="1">
      <c r="A17" s="38" t="n">
        <v>7</v>
      </c>
      <c r="B17" s="28" t="inlineStr">
        <is>
          <t>Earthworks and subgrade</t>
        </is>
      </c>
      <c r="C17" s="28" t="inlineStr">
        <is>
          <t>Subgrade level surveyed before placing fill or blinding</t>
        </is>
      </c>
      <c r="D17" s="28" t="inlineStr">
        <is>
          <t>Level within +0 / −50 mm of design on a maximum 10 m grid and at every change of grade</t>
        </is>
      </c>
      <c r="E17" s="28" t="inlineStr">
        <is>
          <t>Project earthworks specification</t>
        </is>
      </c>
      <c r="F17" s="27" t="inlineStr">
        <is>
          <t>Yes</t>
        </is>
      </c>
      <c r="G17" s="27" t="inlineStr">
        <is>
          <t>Pass</t>
        </is>
      </c>
      <c r="H17" s="41" t="n">
        <v>-18</v>
      </c>
      <c r="I17" s="28" t="inlineStr">
        <is>
          <t>+0 / −50 mm</t>
        </is>
      </c>
      <c r="J17" s="41" t="n">
        <v>-50</v>
      </c>
      <c r="K17" s="41" t="n">
        <v>0</v>
      </c>
      <c r="L17" s="40">
        <f>IF($H17="","",IF(AND($J17="",$K17=""),"No limit set",IF(NOT(ISNUMBER($H17)),"Check value",IF(AND(ISNUMBER($J17),$H17&lt;$J17),"Outside",IF(AND(ISNUMBER($K17),$H17&gt;$K17),"Outside","Within")))))</f>
        <v/>
      </c>
      <c r="M17" s="23" t="inlineStr">
        <is>
          <t>R. Okafor, Site Engineer</t>
        </is>
      </c>
      <c r="N17" s="60" t="n">
        <v>46153</v>
      </c>
      <c r="O17" s="23" t="inlineStr">
        <is>
          <t>42 points on a 5 m grid; worst deviation −34 mm at grid D/4. Value recorded is the mean deviation in mm.  ·  EXAMPLE — delete before use</t>
        </is>
      </c>
    </row>
    <row r="18" ht="40" customHeight="1">
      <c r="A18" s="38" t="n">
        <v>8</v>
      </c>
      <c r="B18" s="28" t="inlineStr">
        <is>
          <t>Earthworks and subgrade</t>
        </is>
      </c>
      <c r="C18" s="28" t="inlineStr">
        <is>
          <t>Subgrade proof-rolled and inspected</t>
        </is>
      </c>
      <c r="D18" s="28" t="inlineStr">
        <is>
          <t>No visible deflection or rutting under a loaded roller of the nominated mass; soft spots excavated and replaced with approved material</t>
        </is>
      </c>
      <c r="E18" s="28" t="inlineStr">
        <is>
          <t>Project earthworks specification</t>
        </is>
      </c>
      <c r="F18" s="30" t="n"/>
      <c r="G18" s="30" t="n"/>
      <c r="H18" s="39" t="n"/>
      <c r="I18" s="28" t="inlineStr">
        <is>
          <t>No visible deflection</t>
        </is>
      </c>
      <c r="J18" s="39" t="n"/>
      <c r="K18" s="39" t="n"/>
      <c r="L18" s="40">
        <f>IF($H18="","",IF(AND($J18="",$K18=""),"No limit set",IF(NOT(ISNUMBER($H18)),"Check value",IF(AND(ISNUMBER($J18),$H18&lt;$J18),"Outside",IF(AND(ISNUMBER($K18),$H18&gt;$K18),"Outside","Within")))))</f>
        <v/>
      </c>
      <c r="M18" s="28" t="n"/>
      <c r="N18" s="61" t="n"/>
      <c r="O18" s="28" t="n"/>
    </row>
    <row r="19" ht="40" customHeight="1">
      <c r="A19" s="38" t="n">
        <v>9</v>
      </c>
      <c r="B19" s="28" t="inlineStr">
        <is>
          <t>Earthworks and subgrade</t>
        </is>
      </c>
      <c r="C19" s="28" t="inlineStr">
        <is>
          <t>Fill placed in layers and compacted to the specified density</t>
        </is>
      </c>
      <c r="D19" s="28" t="inlineStr">
        <is>
          <t>Loose layer thickness not more than 300 mm; field dry density not less than 98% of standard maximum dry density; moisture content within −2% to +2% of optimum</t>
        </is>
      </c>
      <c r="E19" s="28" t="inlineStr">
        <is>
          <t>ISO 17892; ISO 22476</t>
        </is>
      </c>
      <c r="F19" s="30" t="n"/>
      <c r="G19" s="30" t="n"/>
      <c r="H19" s="39" t="n"/>
      <c r="I19" s="28" t="inlineStr">
        <is>
          <t>≥ 98% SMDD</t>
        </is>
      </c>
      <c r="J19" s="39" t="n"/>
      <c r="K19" s="39" t="n"/>
      <c r="L19" s="40">
        <f>IF($H19="","",IF(AND($J19="",$K19=""),"No limit set",IF(NOT(ISNUMBER($H19)),"Check value",IF(AND(ISNUMBER($J19),$H19&lt;$J19),"Outside",IF(AND(ISNUMBER($K19),$H19&gt;$K19),"Outside","Within")))))</f>
        <v/>
      </c>
      <c r="M19" s="28" t="n"/>
      <c r="N19" s="61" t="n"/>
      <c r="O19" s="28" t="n"/>
    </row>
    <row r="20" ht="40" customHeight="1">
      <c r="A20" s="38" t="n">
        <v>10</v>
      </c>
      <c r="B20" s="28" t="inlineStr">
        <is>
          <t>Earthworks and subgrade</t>
        </is>
      </c>
      <c r="C20" s="28" t="inlineStr">
        <is>
          <t>Compaction test frequency, locations and laboratory accreditation achieved</t>
        </is>
      </c>
      <c r="D20" s="28" t="inlineStr">
        <is>
          <t>One test per 500 m² per layer with a minimum of three per layer, at locations nominated by the Superintendent, by an ISO/IEC 17025 accredited laboratory</t>
        </is>
      </c>
      <c r="E20" s="28" t="inlineStr">
        <is>
          <t>ISO/IEC 17025</t>
        </is>
      </c>
      <c r="F20" s="30" t="n"/>
      <c r="G20" s="30" t="n"/>
      <c r="H20" s="39" t="n"/>
      <c r="I20" s="28" t="inlineStr">
        <is>
          <t>1 per 500 m² per layer</t>
        </is>
      </c>
      <c r="J20" s="39" t="n"/>
      <c r="K20" s="39" t="n"/>
      <c r="L20" s="40">
        <f>IF($H20="","",IF(AND($J20="",$K20=""),"No limit set",IF(NOT(ISNUMBER($H20)),"Check value",IF(AND(ISNUMBER($J20),$H20&lt;$J20),"Outside",IF(AND(ISNUMBER($K20),$H20&gt;$K20),"Outside","Within")))))</f>
        <v/>
      </c>
      <c r="M20" s="28" t="n"/>
      <c r="N20" s="61" t="n"/>
      <c r="O20" s="28" t="n"/>
    </row>
    <row r="21" ht="21" customHeight="1">
      <c r="A21" s="33" t="inlineStr">
        <is>
          <t>3.  SHORING AND GROUND SUPPORT</t>
        </is>
      </c>
      <c r="B21" s="34" t="n"/>
      <c r="C21" s="34" t="n"/>
      <c r="D21" s="7" t="n"/>
      <c r="E21" s="35" t="inlineStr">
        <is>
          <t>ITEMS CHECKED IN THIS ELEMENT</t>
        </is>
      </c>
      <c r="F21" s="36">
        <f>IF(SUMPRODUCT(--(ISNUMBER($A$22:$A$26)))=0,"",SUMPRODUCT(--(ISNUMBER($A$22:$A$26)),--($F$22:$F$26&lt;&gt;""))/SUMPRODUCT(--(ISNUMBER($A$22:$A$26))))</f>
        <v/>
      </c>
      <c r="G21" s="26">
        <f>SUMPRODUCT(--(ISNUMBER($A$22:$A$26)))</f>
        <v/>
      </c>
      <c r="H21" s="37" t="n"/>
      <c r="I21" s="37" t="n"/>
      <c r="J21" s="37" t="n"/>
      <c r="K21" s="37" t="n"/>
      <c r="L21" s="37" t="n"/>
      <c r="M21" s="37" t="n"/>
      <c r="N21" s="37" t="n"/>
      <c r="O21" s="37" t="n"/>
    </row>
    <row r="22" ht="40" customHeight="1">
      <c r="A22" s="38" t="n">
        <v>11</v>
      </c>
      <c r="B22" s="28" t="inlineStr">
        <is>
          <t>Shoring and ground support</t>
        </is>
      </c>
      <c r="C22" s="28" t="inlineStr">
        <is>
          <t>Temporary works design certified before installation</t>
        </is>
      </c>
      <c r="D22" s="28" t="inlineStr">
        <is>
          <t>Shoring design certified by a competent temporary works engineer; design assumptions match the geotechnical report and the surcharge actually present on site</t>
        </is>
      </c>
      <c r="E22" s="28" t="inlineStr">
        <is>
          <t>ISO 9001 cl. 8.3; temporary works procedure</t>
        </is>
      </c>
      <c r="F22" s="30" t="n"/>
      <c r="G22" s="30" t="n"/>
      <c r="H22" s="39" t="n"/>
      <c r="I22" s="28" t="inlineStr">
        <is>
          <t>—</t>
        </is>
      </c>
      <c r="J22" s="39" t="n"/>
      <c r="K22" s="39" t="n"/>
      <c r="L22" s="40">
        <f>IF($H22="","",IF(AND($J22="",$K22=""),"No limit set",IF(NOT(ISNUMBER($H22)),"Check value",IF(AND(ISNUMBER($J22),$H22&lt;$J22),"Outside",IF(AND(ISNUMBER($K22),$H22&gt;$K22),"Outside","Within")))))</f>
        <v/>
      </c>
      <c r="M22" s="28" t="n"/>
      <c r="N22" s="61" t="n"/>
      <c r="O22" s="28" t="n"/>
    </row>
    <row r="23" ht="40" customHeight="1">
      <c r="A23" s="38" t="n">
        <v>12</v>
      </c>
      <c r="B23" s="28" t="inlineStr">
        <is>
          <t>Shoring and ground support</t>
        </is>
      </c>
      <c r="C23" s="28" t="inlineStr">
        <is>
          <t>Soldier pile or wall element position and verticality verified</t>
        </is>
      </c>
      <c r="D23" s="28" t="inlineStr">
        <is>
          <t>Position within ±50 mm of design; verticality within 1:100 unless the design states otherwise</t>
        </is>
      </c>
      <c r="E23" s="28" t="inlineStr">
        <is>
          <t>Project shoring specification</t>
        </is>
      </c>
      <c r="F23" s="30" t="n"/>
      <c r="G23" s="30" t="n"/>
      <c r="H23" s="39" t="n"/>
      <c r="I23" s="28" t="inlineStr">
        <is>
          <t>±50 mm; 1:100</t>
        </is>
      </c>
      <c r="J23" s="39" t="n"/>
      <c r="K23" s="39" t="n"/>
      <c r="L23" s="40">
        <f>IF($H23="","",IF(AND($J23="",$K23=""),"No limit set",IF(NOT(ISNUMBER($H23)),"Check value",IF(AND(ISNUMBER($J23),$H23&lt;$J23),"Outside",IF(AND(ISNUMBER($K23),$H23&gt;$K23),"Outside","Within")))))</f>
        <v/>
      </c>
      <c r="M23" s="28" t="n"/>
      <c r="N23" s="61" t="n"/>
      <c r="O23" s="28" t="n"/>
    </row>
    <row r="24" ht="40" customHeight="1">
      <c r="A24" s="38" t="n">
        <v>13</v>
      </c>
      <c r="B24" s="28" t="inlineStr">
        <is>
          <t>Shoring and ground support</t>
        </is>
      </c>
      <c r="C24" s="28" t="inlineStr">
        <is>
          <t>Ground anchors proof-load tested and locked off</t>
        </is>
      </c>
      <c r="D24" s="28" t="inlineStr">
        <is>
          <t>Proof load 1.33 × working load; creep not more than 1 mm between the 1-minute and 10-minute readings; lock-off within ±5% of design load</t>
        </is>
      </c>
      <c r="E24" s="28" t="inlineStr">
        <is>
          <t>ISO 22477-5</t>
        </is>
      </c>
      <c r="F24" s="30" t="n"/>
      <c r="G24" s="30" t="n"/>
      <c r="H24" s="39" t="n"/>
      <c r="I24" s="28" t="inlineStr">
        <is>
          <t>Creep ≤ 1 mm</t>
        </is>
      </c>
      <c r="J24" s="39" t="n"/>
      <c r="K24" s="39" t="n"/>
      <c r="L24" s="40">
        <f>IF($H24="","",IF(AND($J24="",$K24=""),"No limit set",IF(NOT(ISNUMBER($H24)),"Check value",IF(AND(ISNUMBER($J24),$H24&lt;$J24),"Outside",IF(AND(ISNUMBER($K24),$H24&gt;$K24),"Outside","Within")))))</f>
        <v/>
      </c>
      <c r="M24" s="28" t="n"/>
      <c r="N24" s="61" t="n"/>
      <c r="O24" s="28" t="n"/>
    </row>
    <row r="25" ht="40" customHeight="1">
      <c r="A25" s="38" t="n">
        <v>14</v>
      </c>
      <c r="B25" s="28" t="inlineStr">
        <is>
          <t>Shoring and ground support</t>
        </is>
      </c>
      <c r="C25" s="28" t="inlineStr">
        <is>
          <t>Wall movement monitoring installed, base-read and read at the specified frequency</t>
        </is>
      </c>
      <c r="D25" s="28" t="inlineStr">
        <is>
          <t>Monitoring points installed and base-read before excavation; all readings within the design trigger levels; any exceedance reported the same day</t>
        </is>
      </c>
      <c r="E25" s="28" t="inlineStr">
        <is>
          <t>Project monitoring plan</t>
        </is>
      </c>
      <c r="F25" s="30" t="n"/>
      <c r="G25" s="30" t="n"/>
      <c r="H25" s="39" t="n"/>
      <c r="I25" s="28" t="inlineStr">
        <is>
          <t>Within trigger levels</t>
        </is>
      </c>
      <c r="J25" s="39" t="n"/>
      <c r="K25" s="39" t="n"/>
      <c r="L25" s="40">
        <f>IF($H25="","",IF(AND($J25="",$K25=""),"No limit set",IF(NOT(ISNUMBER($H25)),"Check value",IF(AND(ISNUMBER($J25),$H25&lt;$J25),"Outside",IF(AND(ISNUMBER($K25),$H25&gt;$K25),"Outside","Within")))))</f>
        <v/>
      </c>
      <c r="M25" s="28" t="n"/>
      <c r="N25" s="61" t="n"/>
      <c r="O25" s="28" t="n"/>
    </row>
    <row r="26" ht="40" customHeight="1">
      <c r="A26" s="38" t="n">
        <v>15</v>
      </c>
      <c r="B26" s="28" t="inlineStr">
        <is>
          <t>Shoring and ground support</t>
        </is>
      </c>
      <c r="C26" s="28" t="inlineStr">
        <is>
          <t>Shotcrete thickness and strength verified</t>
        </is>
      </c>
      <c r="D26" s="28" t="inlineStr">
        <is>
          <t>Thickness verified by depth pins or cores at the specified frequency; 28-day strength not less than the specified characteristic strength</t>
        </is>
      </c>
      <c r="E26" s="28" t="inlineStr">
        <is>
          <t>ISO 1920-4</t>
        </is>
      </c>
      <c r="F26" s="30" t="n"/>
      <c r="G26" s="30" t="n"/>
      <c r="H26" s="39" t="n"/>
      <c r="I26" s="28" t="inlineStr">
        <is>
          <t>≥ specified thickness</t>
        </is>
      </c>
      <c r="J26" s="39" t="n"/>
      <c r="K26" s="39" t="n"/>
      <c r="L26" s="40">
        <f>IF($H26="","",IF(AND($J26="",$K26=""),"No limit set",IF(NOT(ISNUMBER($H26)),"Check value",IF(AND(ISNUMBER($J26),$H26&lt;$J26),"Outside",IF(AND(ISNUMBER($K26),$H26&gt;$K26),"Outside","Within")))))</f>
        <v/>
      </c>
      <c r="M26" s="28" t="n"/>
      <c r="N26" s="61" t="n"/>
      <c r="O26" s="28" t="n"/>
    </row>
    <row r="27" ht="21" customHeight="1">
      <c r="A27" s="33" t="inlineStr">
        <is>
          <t>4.  PILING</t>
        </is>
      </c>
      <c r="B27" s="34" t="n"/>
      <c r="C27" s="34" t="n"/>
      <c r="D27" s="7" t="n"/>
      <c r="E27" s="35" t="inlineStr">
        <is>
          <t>ITEMS CHECKED IN THIS ELEMENT</t>
        </is>
      </c>
      <c r="F27" s="36">
        <f>IF(SUMPRODUCT(--(ISNUMBER($A$28:$A$32)))=0,"",SUMPRODUCT(--(ISNUMBER($A$28:$A$32)),--($F$28:$F$32&lt;&gt;""))/SUMPRODUCT(--(ISNUMBER($A$28:$A$32))))</f>
        <v/>
      </c>
      <c r="G27" s="26">
        <f>SUMPRODUCT(--(ISNUMBER($A$28:$A$32)))</f>
        <v/>
      </c>
      <c r="H27" s="37" t="n"/>
      <c r="I27" s="37" t="n"/>
      <c r="J27" s="37" t="n"/>
      <c r="K27" s="37" t="n"/>
      <c r="L27" s="37" t="n"/>
      <c r="M27" s="37" t="n"/>
      <c r="N27" s="37" t="n"/>
      <c r="O27" s="37" t="n"/>
    </row>
    <row r="28" ht="40" customHeight="1">
      <c r="A28" s="38" t="n">
        <v>16</v>
      </c>
      <c r="B28" s="28" t="inlineStr">
        <is>
          <t>Piling</t>
        </is>
      </c>
      <c r="C28" s="28" t="inlineStr">
        <is>
          <t>Pile set-out, diameter, verticality and toe level recorded for every pile</t>
        </is>
      </c>
      <c r="D28" s="28" t="inlineStr">
        <is>
          <t>Position within ±75 mm; verticality within 1:100; toe at or below design founding level, confirmed against the pile log</t>
        </is>
      </c>
      <c r="E28" s="28" t="inlineStr">
        <is>
          <t>Project piling specification</t>
        </is>
      </c>
      <c r="F28" s="30" t="n"/>
      <c r="G28" s="30" t="n"/>
      <c r="H28" s="39" t="n"/>
      <c r="I28" s="28" t="inlineStr">
        <is>
          <t>±75 mm; 1:100</t>
        </is>
      </c>
      <c r="J28" s="39" t="n"/>
      <c r="K28" s="39" t="n"/>
      <c r="L28" s="40">
        <f>IF($H28="","",IF(AND($J28="",$K28=""),"No limit set",IF(NOT(ISNUMBER($H28)),"Check value",IF(AND(ISNUMBER($J28),$H28&lt;$J28),"Outside",IF(AND(ISNUMBER($K28),$H28&gt;$K28),"Outside","Within")))))</f>
        <v/>
      </c>
      <c r="M28" s="28" t="n"/>
      <c r="N28" s="61" t="n"/>
      <c r="O28" s="28" t="n"/>
    </row>
    <row r="29" ht="40" customHeight="1">
      <c r="A29" s="38" t="n">
        <v>17</v>
      </c>
      <c r="B29" s="28" t="inlineStr">
        <is>
          <t>Piling</t>
        </is>
      </c>
      <c r="C29" s="28" t="inlineStr">
        <is>
          <t>Founding material at the toe confirmed before concreting</t>
        </is>
      </c>
      <c r="D29" s="28" t="inlineStr">
        <is>
          <t>Founding stratum confirmed by the geotechnical engineer against the pile log and the nearest borehole record</t>
        </is>
      </c>
      <c r="E29" s="28" t="inlineStr">
        <is>
          <t>ISO 22476</t>
        </is>
      </c>
      <c r="F29" s="30" t="n"/>
      <c r="G29" s="30" t="n"/>
      <c r="H29" s="39" t="n"/>
      <c r="I29" s="28" t="inlineStr">
        <is>
          <t>—</t>
        </is>
      </c>
      <c r="J29" s="39" t="n"/>
      <c r="K29" s="39" t="n"/>
      <c r="L29" s="40">
        <f>IF($H29="","",IF(AND($J29="",$K29=""),"No limit set",IF(NOT(ISNUMBER($H29)),"Check value",IF(AND(ISNUMBER($J29),$H29&lt;$J29),"Outside",IF(AND(ISNUMBER($K29),$H29&gt;$K29),"Outside","Within")))))</f>
        <v/>
      </c>
      <c r="M29" s="28" t="n"/>
      <c r="N29" s="61" t="n"/>
      <c r="O29" s="28" t="n"/>
    </row>
    <row r="30" ht="40" customHeight="1">
      <c r="A30" s="38" t="n">
        <v>18</v>
      </c>
      <c r="B30" s="28" t="inlineStr">
        <is>
          <t>Piling</t>
        </is>
      </c>
      <c r="C30" s="28" t="inlineStr">
        <is>
          <t>Reinforcement cage, spacers and cover verified before concreting</t>
        </is>
      </c>
      <c r="D30" s="28" t="inlineStr">
        <is>
          <t>Cage as detailed; spacers at the specified centres; minimum cover achieved; cage restrained against uplift during concreting</t>
        </is>
      </c>
      <c r="E30" s="28" t="inlineStr">
        <is>
          <t>Project piling specification</t>
        </is>
      </c>
      <c r="F30" s="30" t="n"/>
      <c r="G30" s="30" t="n"/>
      <c r="H30" s="39" t="n"/>
      <c r="I30" s="28" t="inlineStr">
        <is>
          <t>Cover ≥ specified</t>
        </is>
      </c>
      <c r="J30" s="39" t="n"/>
      <c r="K30" s="39" t="n"/>
      <c r="L30" s="40">
        <f>IF($H30="","",IF(AND($J30="",$K30=""),"No limit set",IF(NOT(ISNUMBER($H30)),"Check value",IF(AND(ISNUMBER($J30),$H30&lt;$J30),"Outside",IF(AND(ISNUMBER($K30),$H30&gt;$K30),"Outside","Within")))))</f>
        <v/>
      </c>
      <c r="M30" s="28" t="n"/>
      <c r="N30" s="61" t="n"/>
      <c r="O30" s="28" t="n"/>
    </row>
    <row r="31" ht="40" customHeight="1">
      <c r="A31" s="38" t="n">
        <v>19</v>
      </c>
      <c r="B31" s="28" t="inlineStr">
        <is>
          <t>Piling</t>
        </is>
      </c>
      <c r="C31" s="28" t="inlineStr">
        <is>
          <t>Concrete volume reconciled against theoretical volume for every pile</t>
        </is>
      </c>
      <c r="D31" s="28" t="inlineStr">
        <is>
          <t>Actual volume within the specified tolerance of theoretical; any over- or under-pour investigated and recorded on the pile log</t>
        </is>
      </c>
      <c r="E31" s="28" t="inlineStr">
        <is>
          <t>ISO 22966</t>
        </is>
      </c>
      <c r="F31" s="30" t="n"/>
      <c r="G31" s="30" t="n"/>
      <c r="H31" s="39" t="n"/>
      <c r="I31" s="28" t="inlineStr">
        <is>
          <t>Per specification</t>
        </is>
      </c>
      <c r="J31" s="39" t="n"/>
      <c r="K31" s="39" t="n"/>
      <c r="L31" s="40">
        <f>IF($H31="","",IF(AND($J31="",$K31=""),"No limit set",IF(NOT(ISNUMBER($H31)),"Check value",IF(AND(ISNUMBER($J31),$H31&lt;$J31),"Outside",IF(AND(ISNUMBER($K31),$H31&gt;$K31),"Outside","Within")))))</f>
        <v/>
      </c>
      <c r="M31" s="28" t="n"/>
      <c r="N31" s="61" t="n"/>
      <c r="O31" s="28" t="n"/>
    </row>
    <row r="32" ht="40" customHeight="1">
      <c r="A32" s="38" t="n">
        <v>20</v>
      </c>
      <c r="B32" s="28" t="inlineStr">
        <is>
          <t>Piling</t>
        </is>
      </c>
      <c r="C32" s="28" t="inlineStr">
        <is>
          <t>Pile integrity testing carried out and reported</t>
        </is>
      </c>
      <c r="D32" s="28" t="inlineStr">
        <is>
          <t>Integrity tests on the specified proportion of piles; any anomalous result investigated and resolved before the pile is loaded</t>
        </is>
      </c>
      <c r="E32" s="28" t="inlineStr">
        <is>
          <t>Project piling specification</t>
        </is>
      </c>
      <c r="F32" s="30" t="n"/>
      <c r="G32" s="30" t="n"/>
      <c r="H32" s="39" t="n"/>
      <c r="I32" s="28" t="inlineStr">
        <is>
          <t>—</t>
        </is>
      </c>
      <c r="J32" s="39" t="n"/>
      <c r="K32" s="39" t="n"/>
      <c r="L32" s="40">
        <f>IF($H32="","",IF(AND($J32="",$K32=""),"No limit set",IF(NOT(ISNUMBER($H32)),"Check value",IF(AND(ISNUMBER($J32),$H32&lt;$J32),"Outside",IF(AND(ISNUMBER($K32),$H32&gt;$K32),"Outside","Within")))))</f>
        <v/>
      </c>
      <c r="M32" s="28" t="n"/>
      <c r="N32" s="61" t="n"/>
      <c r="O32" s="28" t="n"/>
    </row>
    <row r="33" ht="21" customHeight="1">
      <c r="A33" s="33" t="inlineStr">
        <is>
          <t>5.  FOOTINGS AND REINFORCEMENT</t>
        </is>
      </c>
      <c r="B33" s="34" t="n"/>
      <c r="C33" s="34" t="n"/>
      <c r="D33" s="7" t="n"/>
      <c r="E33" s="35" t="inlineStr">
        <is>
          <t>ITEMS CHECKED IN THIS ELEMENT</t>
        </is>
      </c>
      <c r="F33" s="36">
        <f>IF(SUMPRODUCT(--(ISNUMBER($A$34:$A$37)))=0,"",SUMPRODUCT(--(ISNUMBER($A$34:$A$37)),--($F$34:$F$37&lt;&gt;""))/SUMPRODUCT(--(ISNUMBER($A$34:$A$37))))</f>
        <v/>
      </c>
      <c r="G33" s="26">
        <f>SUMPRODUCT(--(ISNUMBER($A$34:$A$37)))</f>
        <v/>
      </c>
      <c r="H33" s="37" t="n"/>
      <c r="I33" s="37" t="n"/>
      <c r="J33" s="37" t="n"/>
      <c r="K33" s="37" t="n"/>
      <c r="L33" s="37" t="n"/>
      <c r="M33" s="37" t="n"/>
      <c r="N33" s="37" t="n"/>
      <c r="O33" s="37" t="n"/>
    </row>
    <row r="34" ht="40" customHeight="1">
      <c r="A34" s="38" t="n">
        <v>21</v>
      </c>
      <c r="B34" s="28" t="inlineStr">
        <is>
          <t>Footings and reinforcement</t>
        </is>
      </c>
      <c r="C34" s="28" t="inlineStr">
        <is>
          <t>Excavation dimensions, level and base condition inspected before blinding</t>
        </is>
      </c>
      <c r="D34" s="28" t="inlineStr">
        <is>
          <t>Dimensions as drawn; base clean, dry and free of loose material; founding level confirmed by survey</t>
        </is>
      </c>
      <c r="E34" s="28" t="inlineStr">
        <is>
          <t>Project specification</t>
        </is>
      </c>
      <c r="F34" s="30" t="n"/>
      <c r="G34" s="30" t="n"/>
      <c r="H34" s="39" t="n"/>
      <c r="I34" s="28" t="inlineStr">
        <is>
          <t>As drawn</t>
        </is>
      </c>
      <c r="J34" s="39" t="n"/>
      <c r="K34" s="39" t="n"/>
      <c r="L34" s="40">
        <f>IF($H34="","",IF(AND($J34="",$K34=""),"No limit set",IF(NOT(ISNUMBER($H34)),"Check value",IF(AND(ISNUMBER($J34),$H34&lt;$J34),"Outside",IF(AND(ISNUMBER($K34),$H34&gt;$K34),"Outside","Within")))))</f>
        <v/>
      </c>
      <c r="M34" s="28" t="n"/>
      <c r="N34" s="61" t="n"/>
      <c r="O34" s="28" t="n"/>
    </row>
    <row r="35" ht="40" customHeight="1">
      <c r="A35" s="38" t="n">
        <v>22</v>
      </c>
      <c r="B35" s="28" t="inlineStr">
        <is>
          <t>Footings and reinforcement</t>
        </is>
      </c>
      <c r="C35" s="28" t="inlineStr">
        <is>
          <t>Reinforcement grade, size, spacing and laps verified against the drawing and bar schedule</t>
        </is>
      </c>
      <c r="D35" s="28" t="inlineStr">
        <is>
          <t>Bar marks match the schedule; spacing within ±10 mm; lap and anchorage lengths not less than shown; mill certificates on file</t>
        </is>
      </c>
      <c r="E35" s="28" t="inlineStr">
        <is>
          <t>ISO 17660; project reinforcement specification</t>
        </is>
      </c>
      <c r="F35" s="30" t="n"/>
      <c r="G35" s="30" t="n"/>
      <c r="H35" s="39" t="n"/>
      <c r="I35" s="28" t="inlineStr">
        <is>
          <t>±10 mm</t>
        </is>
      </c>
      <c r="J35" s="39" t="n"/>
      <c r="K35" s="39" t="n"/>
      <c r="L35" s="40">
        <f>IF($H35="","",IF(AND($J35="",$K35=""),"No limit set",IF(NOT(ISNUMBER($H35)),"Check value",IF(AND(ISNUMBER($J35),$H35&lt;$J35),"Outside",IF(AND(ISNUMBER($K35),$H35&gt;$K35),"Outside","Within")))))</f>
        <v/>
      </c>
      <c r="M35" s="28" t="n"/>
      <c r="N35" s="61" t="n"/>
      <c r="O35" s="28" t="n"/>
    </row>
    <row r="36" ht="40" customHeight="1">
      <c r="A36" s="38" t="n">
        <v>23</v>
      </c>
      <c r="B36" s="28" t="inlineStr">
        <is>
          <t>Footings and reinforcement</t>
        </is>
      </c>
      <c r="C36" s="28" t="inlineStr">
        <is>
          <t>Concrete cover verified before the pour</t>
        </is>
      </c>
      <c r="D36" s="28" t="inlineStr">
        <is>
          <t>Cover measured at a minimum of ten random points per element and within specified cover −0 / +10 mm; spacers of the correct type at the specified centres</t>
        </is>
      </c>
      <c r="E36" s="28" t="inlineStr">
        <is>
          <t>ISO 22966</t>
        </is>
      </c>
      <c r="F36" s="30" t="n"/>
      <c r="G36" s="30" t="n"/>
      <c r="H36" s="39" t="n"/>
      <c r="I36" s="28" t="inlineStr">
        <is>
          <t>−0 / +10 mm</t>
        </is>
      </c>
      <c r="J36" s="39" t="n"/>
      <c r="K36" s="39" t="n"/>
      <c r="L36" s="40">
        <f>IF($H36="","",IF(AND($J36="",$K36=""),"No limit set",IF(NOT(ISNUMBER($H36)),"Check value",IF(AND(ISNUMBER($J36),$H36&lt;$J36),"Outside",IF(AND(ISNUMBER($K36),$H36&gt;$K36),"Outside","Within")))))</f>
        <v/>
      </c>
      <c r="M36" s="28" t="n"/>
      <c r="N36" s="61" t="n"/>
      <c r="O36" s="28" t="n"/>
    </row>
    <row r="37" ht="40" customHeight="1">
      <c r="A37" s="38" t="n">
        <v>24</v>
      </c>
      <c r="B37" s="28" t="inlineStr">
        <is>
          <t>Footings and reinforcement</t>
        </is>
      </c>
      <c r="C37" s="28" t="inlineStr">
        <is>
          <t>Cast-in items, starter bars and holding-down bolts surveyed</t>
        </is>
      </c>
      <c r="D37" s="28" t="inlineStr">
        <is>
          <t>Every cast-in item within ±10 mm of the setting-out coordinates and levels; templates fixed and braced against movement during the pour</t>
        </is>
      </c>
      <c r="E37" s="28" t="inlineStr">
        <is>
          <t>Project specification</t>
        </is>
      </c>
      <c r="F37" s="30" t="n"/>
      <c r="G37" s="30" t="n"/>
      <c r="H37" s="39" t="n"/>
      <c r="I37" s="28" t="inlineStr">
        <is>
          <t>±10 mm</t>
        </is>
      </c>
      <c r="J37" s="39" t="n"/>
      <c r="K37" s="39" t="n"/>
      <c r="L37" s="40">
        <f>IF($H37="","",IF(AND($J37="",$K37=""),"No limit set",IF(NOT(ISNUMBER($H37)),"Check value",IF(AND(ISNUMBER($J37),$H37&lt;$J37),"Outside",IF(AND(ISNUMBER($K37),$H37&gt;$K37),"Outside","Within")))))</f>
        <v/>
      </c>
      <c r="M37" s="28" t="n"/>
      <c r="N37" s="61" t="n"/>
      <c r="O37" s="28" t="n"/>
    </row>
    <row r="38" ht="21" customHeight="1">
      <c r="A38" s="33" t="inlineStr">
        <is>
          <t>6.  FORMWORK</t>
        </is>
      </c>
      <c r="B38" s="34" t="n"/>
      <c r="C38" s="34" t="n"/>
      <c r="D38" s="7" t="n"/>
      <c r="E38" s="35" t="inlineStr">
        <is>
          <t>ITEMS CHECKED IN THIS ELEMENT</t>
        </is>
      </c>
      <c r="F38" s="36">
        <f>IF(SUMPRODUCT(--(ISNUMBER($A$39:$A$42)))=0,"",SUMPRODUCT(--(ISNUMBER($A$39:$A$42)),--($F$39:$F$42&lt;&gt;""))/SUMPRODUCT(--(ISNUMBER($A$39:$A$42))))</f>
        <v/>
      </c>
      <c r="G38" s="26">
        <f>SUMPRODUCT(--(ISNUMBER($A$39:$A$42)))</f>
        <v/>
      </c>
      <c r="H38" s="37" t="n"/>
      <c r="I38" s="37" t="n"/>
      <c r="J38" s="37" t="n"/>
      <c r="K38" s="37" t="n"/>
      <c r="L38" s="37" t="n"/>
      <c r="M38" s="37" t="n"/>
      <c r="N38" s="37" t="n"/>
      <c r="O38" s="37" t="n"/>
    </row>
    <row r="39" ht="40" customHeight="1">
      <c r="A39" s="38" t="n">
        <v>25</v>
      </c>
      <c r="B39" s="28" t="inlineStr">
        <is>
          <t>Formwork</t>
        </is>
      </c>
      <c r="C39" s="28" t="inlineStr">
        <is>
          <t>Formwork and falsework erected to a certified design</t>
        </is>
      </c>
      <c r="D39" s="28" t="inlineStr">
        <is>
          <t>Certified design available on site; props, bracing, bearers and foundations as designed; no unauthorised modification or missing brace</t>
        </is>
      </c>
      <c r="E39" s="28" t="inlineStr">
        <is>
          <t>ISO 9001 cl. 8.5.1; temporary works procedure</t>
        </is>
      </c>
      <c r="F39" s="30" t="n"/>
      <c r="G39" s="30" t="n"/>
      <c r="H39" s="39" t="n"/>
      <c r="I39" s="28" t="inlineStr">
        <is>
          <t>—</t>
        </is>
      </c>
      <c r="J39" s="39" t="n"/>
      <c r="K39" s="39" t="n"/>
      <c r="L39" s="40">
        <f>IF($H39="","",IF(AND($J39="",$K39=""),"No limit set",IF(NOT(ISNUMBER($H39)),"Check value",IF(AND(ISNUMBER($J39),$H39&lt;$J39),"Outside",IF(AND(ISNUMBER($K39),$H39&gt;$K39),"Outside","Within")))))</f>
        <v/>
      </c>
      <c r="M39" s="28" t="n"/>
      <c r="N39" s="61" t="n"/>
      <c r="O39" s="28" t="n"/>
    </row>
    <row r="40" ht="40" customHeight="1">
      <c r="A40" s="38" t="n">
        <v>26</v>
      </c>
      <c r="B40" s="28" t="inlineStr">
        <is>
          <t>Formwork</t>
        </is>
      </c>
      <c r="C40" s="28" t="inlineStr">
        <is>
          <t>Formwork line, level, plumb and dimension checked before the pour</t>
        </is>
      </c>
      <c r="D40" s="28" t="inlineStr">
        <is>
          <t>Line and level within ±5 mm over any 3 m; overall dimensions within the specified tolerance; plumb within 1:200</t>
        </is>
      </c>
      <c r="E40" s="28" t="inlineStr">
        <is>
          <t>ISO 22966 cl. 5</t>
        </is>
      </c>
      <c r="F40" s="30" t="n"/>
      <c r="G40" s="30" t="n"/>
      <c r="H40" s="39" t="n"/>
      <c r="I40" s="28" t="inlineStr">
        <is>
          <t>±5 mm / 3 m</t>
        </is>
      </c>
      <c r="J40" s="39" t="n"/>
      <c r="K40" s="39" t="n"/>
      <c r="L40" s="40">
        <f>IF($H40="","",IF(AND($J40="",$K40=""),"No limit set",IF(NOT(ISNUMBER($H40)),"Check value",IF(AND(ISNUMBER($J40),$H40&lt;$J40),"Outside",IF(AND(ISNUMBER($K40),$H40&gt;$K40),"Outside","Within")))))</f>
        <v/>
      </c>
      <c r="M40" s="28" t="n"/>
      <c r="N40" s="61" t="n"/>
      <c r="O40" s="28" t="n"/>
    </row>
    <row r="41" ht="40" customHeight="1">
      <c r="A41" s="38" t="n">
        <v>27</v>
      </c>
      <c r="B41" s="28" t="inlineStr">
        <is>
          <t>Formwork</t>
        </is>
      </c>
      <c r="C41" s="28" t="inlineStr">
        <is>
          <t>Form face condition, release agent and joint sealing verified</t>
        </is>
      </c>
      <c r="D41" s="28" t="inlineStr">
        <is>
          <t>Face free of damage and contamination; release agent applied evenly and not onto reinforcement; all joints sealed against grout loss</t>
        </is>
      </c>
      <c r="E41" s="28" t="inlineStr">
        <is>
          <t>Project concrete finish specification</t>
        </is>
      </c>
      <c r="F41" s="30" t="n"/>
      <c r="G41" s="30" t="n"/>
      <c r="H41" s="39" t="n"/>
      <c r="I41" s="28" t="inlineStr">
        <is>
          <t>—</t>
        </is>
      </c>
      <c r="J41" s="39" t="n"/>
      <c r="K41" s="39" t="n"/>
      <c r="L41" s="40">
        <f>IF($H41="","",IF(AND($J41="",$K41=""),"No limit set",IF(NOT(ISNUMBER($H41)),"Check value",IF(AND(ISNUMBER($J41),$H41&lt;$J41),"Outside",IF(AND(ISNUMBER($K41),$H41&gt;$K41),"Outside","Within")))))</f>
        <v/>
      </c>
      <c r="M41" s="28" t="n"/>
      <c r="N41" s="61" t="n"/>
      <c r="O41" s="28" t="n"/>
    </row>
    <row r="42" ht="40" customHeight="1">
      <c r="A42" s="38" t="n">
        <v>28</v>
      </c>
      <c r="B42" s="28" t="inlineStr">
        <is>
          <t>Formwork</t>
        </is>
      </c>
      <c r="C42" s="28" t="inlineStr">
        <is>
          <t>Striking and back-propping regime confirmed by the engineer</t>
        </is>
      </c>
      <c r="D42" s="28" t="inlineStr">
        <is>
          <t>Formwork struck only on the engineer's written release or on verified in-situ strength; back-propping installed where required before striking</t>
        </is>
      </c>
      <c r="E42" s="28" t="inlineStr">
        <is>
          <t>ISO 22966</t>
        </is>
      </c>
      <c r="F42" s="30" t="n"/>
      <c r="G42" s="30" t="n"/>
      <c r="H42" s="39" t="n"/>
      <c r="I42" s="28" t="inlineStr">
        <is>
          <t>—</t>
        </is>
      </c>
      <c r="J42" s="39" t="n"/>
      <c r="K42" s="39" t="n"/>
      <c r="L42" s="40">
        <f>IF($H42="","",IF(AND($J42="",$K42=""),"No limit set",IF(NOT(ISNUMBER($H42)),"Check value",IF(AND(ISNUMBER($J42),$H42&lt;$J42),"Outside",IF(AND(ISNUMBER($K42),$H42&gt;$K42),"Outside","Within")))))</f>
        <v/>
      </c>
      <c r="M42" s="28" t="n"/>
      <c r="N42" s="61" t="n"/>
      <c r="O42" s="28" t="n"/>
    </row>
    <row r="43" ht="21" customHeight="1">
      <c r="A43" s="33" t="inlineStr">
        <is>
          <t>7.  CONCRETE PLACEMENT AND CURING</t>
        </is>
      </c>
      <c r="B43" s="34" t="n"/>
      <c r="C43" s="34" t="n"/>
      <c r="D43" s="7" t="n"/>
      <c r="E43" s="35" t="inlineStr">
        <is>
          <t>ITEMS CHECKED IN THIS ELEMENT</t>
        </is>
      </c>
      <c r="F43" s="36">
        <f>IF(SUMPRODUCT(--(ISNUMBER($A$44:$A$48)))=0,"",SUMPRODUCT(--(ISNUMBER($A$44:$A$48)),--($F$44:$F$48&lt;&gt;""))/SUMPRODUCT(--(ISNUMBER($A$44:$A$48))))</f>
        <v/>
      </c>
      <c r="G43" s="26">
        <f>SUMPRODUCT(--(ISNUMBER($A$44:$A$48)))</f>
        <v/>
      </c>
      <c r="H43" s="37" t="n"/>
      <c r="I43" s="37" t="n"/>
      <c r="J43" s="37" t="n"/>
      <c r="K43" s="37" t="n"/>
      <c r="L43" s="37" t="n"/>
      <c r="M43" s="37" t="n"/>
      <c r="N43" s="37" t="n"/>
      <c r="O43" s="37" t="n"/>
    </row>
    <row r="44" ht="40" customHeight="1">
      <c r="A44" s="38" t="n">
        <v>29</v>
      </c>
      <c r="B44" s="28" t="inlineStr">
        <is>
          <t>Concrete placement and curing</t>
        </is>
      </c>
      <c r="C44" s="28" t="inlineStr">
        <is>
          <t>Concrete supply approved and every delivery docket checked against the specified mix</t>
        </is>
      </c>
      <c r="D44" s="28" t="inlineStr">
        <is>
          <t>Docket mix code, cement type, maximum aggregate size, slump and admixtures match the approved mix design; elapsed time from batching within the specified limit at discharge</t>
        </is>
      </c>
      <c r="E44" s="28" t="inlineStr">
        <is>
          <t>ISO 22966; project concrete specification</t>
        </is>
      </c>
      <c r="F44" s="30" t="n"/>
      <c r="G44" s="30" t="n"/>
      <c r="H44" s="39" t="n"/>
      <c r="I44" s="28" t="inlineStr">
        <is>
          <t>Per approved mix</t>
        </is>
      </c>
      <c r="J44" s="39" t="n"/>
      <c r="K44" s="39" t="n"/>
      <c r="L44" s="40">
        <f>IF($H44="","",IF(AND($J44="",$K44=""),"No limit set",IF(NOT(ISNUMBER($H44)),"Check value",IF(AND(ISNUMBER($J44),$H44&lt;$J44),"Outside",IF(AND(ISNUMBER($K44),$H44&gt;$K44),"Outside","Within")))))</f>
        <v/>
      </c>
      <c r="M44" s="28" t="n"/>
      <c r="N44" s="61" t="n"/>
      <c r="O44" s="28" t="n"/>
    </row>
    <row r="45" ht="48" customHeight="1">
      <c r="A45" s="38" t="n">
        <v>30</v>
      </c>
      <c r="B45" s="28" t="inlineStr">
        <is>
          <t>Concrete placement and curing</t>
        </is>
      </c>
      <c r="C45" s="28" t="inlineStr">
        <is>
          <t>Fresh concrete slump and temperature tested at the point of discharge</t>
        </is>
      </c>
      <c r="D45" s="28" t="inlineStr">
        <is>
          <t>Slump within the specified target ±25 mm; concrete temperature within the specified range; loads outside the limits rejected and the rejection recorded</t>
        </is>
      </c>
      <c r="E45" s="28" t="inlineStr">
        <is>
          <t>ISO 1920-2</t>
        </is>
      </c>
      <c r="F45" s="27" t="inlineStr">
        <is>
          <t>Yes</t>
        </is>
      </c>
      <c r="G45" s="27" t="inlineStr">
        <is>
          <t>Pass</t>
        </is>
      </c>
      <c r="H45" s="41" t="n">
        <v>105</v>
      </c>
      <c r="I45" s="28" t="inlineStr">
        <is>
          <t>±25 mm</t>
        </is>
      </c>
      <c r="J45" s="41" t="n">
        <v>75</v>
      </c>
      <c r="K45" s="41" t="n">
        <v>125</v>
      </c>
      <c r="L45" s="40">
        <f>IF($H45="","",IF(AND($J45="",$K45=""),"No limit set",IF(NOT(ISNUMBER($H45)),"Check value",IF(AND(ISNUMBER($J45),$H45&lt;$J45),"Outside",IF(AND(ISNUMBER($K45),$H45&gt;$K45),"Outside","Within")))))</f>
        <v/>
      </c>
      <c r="M45" s="23" t="inlineStr">
        <is>
          <t>L. Marchetti, Quality Manager</t>
        </is>
      </c>
      <c r="N45" s="60" t="n">
        <v>46181</v>
      </c>
      <c r="O45" s="23" t="inlineStr">
        <is>
          <t>Slump in mm at the point of discharge, truck 3 of 14; concrete temperature 24 °C.  ·  EXAMPLE — delete before use</t>
        </is>
      </c>
    </row>
    <row r="46" ht="40" customHeight="1">
      <c r="A46" s="38" t="n">
        <v>31</v>
      </c>
      <c r="B46" s="28" t="inlineStr">
        <is>
          <t>Concrete placement and curing</t>
        </is>
      </c>
      <c r="C46" s="28" t="inlineStr">
        <is>
          <t>Placement, compaction and layer sequence carried out as specified</t>
        </is>
      </c>
      <c r="D46" s="28" t="inlineStr">
        <is>
          <t>Placed in layers not more than 500 mm; vibrated to full compaction without segregation; no cold joints outside the construction joint locations shown</t>
        </is>
      </c>
      <c r="E46" s="28" t="inlineStr">
        <is>
          <t>ISO 22966</t>
        </is>
      </c>
      <c r="F46" s="30" t="n"/>
      <c r="G46" s="30" t="n"/>
      <c r="H46" s="39" t="n"/>
      <c r="I46" s="28" t="inlineStr">
        <is>
          <t>Layers ≤ 500 mm</t>
        </is>
      </c>
      <c r="J46" s="39" t="n"/>
      <c r="K46" s="39" t="n"/>
      <c r="L46" s="40">
        <f>IF($H46="","",IF(AND($J46="",$K46=""),"No limit set",IF(NOT(ISNUMBER($H46)),"Check value",IF(AND(ISNUMBER($J46),$H46&lt;$J46),"Outside",IF(AND(ISNUMBER($K46),$H46&gt;$K46),"Outside","Within")))))</f>
        <v/>
      </c>
      <c r="M46" s="28" t="n"/>
      <c r="N46" s="61" t="n"/>
      <c r="O46" s="28" t="n"/>
    </row>
    <row r="47" ht="40" customHeight="1">
      <c r="A47" s="38" t="n">
        <v>32</v>
      </c>
      <c r="B47" s="28" t="inlineStr">
        <is>
          <t>Concrete placement and curing</t>
        </is>
      </c>
      <c r="C47" s="28" t="inlineStr">
        <is>
          <t>Curing commenced within the specified time and maintained for the full period</t>
        </is>
      </c>
      <c r="D47" s="28" t="inlineStr">
        <is>
          <t>Curing started immediately after finishing; method and duration as specified; a curing record kept for every element</t>
        </is>
      </c>
      <c r="E47" s="28" t="inlineStr">
        <is>
          <t>ISO 22966</t>
        </is>
      </c>
      <c r="F47" s="30" t="n"/>
      <c r="G47" s="30" t="n"/>
      <c r="H47" s="39" t="n"/>
      <c r="I47" s="28" t="inlineStr">
        <is>
          <t>Per specification</t>
        </is>
      </c>
      <c r="J47" s="39" t="n"/>
      <c r="K47" s="39" t="n"/>
      <c r="L47" s="40">
        <f>IF($H47="","",IF(AND($J47="",$K47=""),"No limit set",IF(NOT(ISNUMBER($H47)),"Check value",IF(AND(ISNUMBER($J47),$H47&lt;$J47),"Outside",IF(AND(ISNUMBER($K47),$H47&gt;$K47),"Outside","Within")))))</f>
        <v/>
      </c>
      <c r="M47" s="28" t="n"/>
      <c r="N47" s="61" t="n"/>
      <c r="O47" s="28" t="n"/>
    </row>
    <row r="48" ht="40" customHeight="1">
      <c r="A48" s="38" t="n">
        <v>33</v>
      </c>
      <c r="B48" s="28" t="inlineStr">
        <is>
          <t>Concrete placement and curing</t>
        </is>
      </c>
      <c r="C48" s="28" t="inlineStr">
        <is>
          <t>Test specimens made, cured, identified and despatched correctly</t>
        </is>
      </c>
      <c r="D48" s="28" t="inlineStr">
        <is>
          <t>Sampling frequency as specified; specimens made, initially cured and transported to the test standard; unique identification traceable to the element and the pour</t>
        </is>
      </c>
      <c r="E48" s="28" t="inlineStr">
        <is>
          <t>ISO 1920-3</t>
        </is>
      </c>
      <c r="F48" s="30" t="n"/>
      <c r="G48" s="30" t="n"/>
      <c r="H48" s="39" t="n"/>
      <c r="I48" s="28" t="inlineStr">
        <is>
          <t>—</t>
        </is>
      </c>
      <c r="J48" s="39" t="n"/>
      <c r="K48" s="39" t="n"/>
      <c r="L48" s="40">
        <f>IF($H48="","",IF(AND($J48="",$K48=""),"No limit set",IF(NOT(ISNUMBER($H48)),"Check value",IF(AND(ISNUMBER($J48),$H48&lt;$J48),"Outside",IF(AND(ISNUMBER($K48),$H48&gt;$K48),"Outside","Within")))))</f>
        <v/>
      </c>
      <c r="M48" s="28" t="n"/>
      <c r="N48" s="61" t="n"/>
      <c r="O48" s="28" t="n"/>
    </row>
    <row r="49" ht="21" customHeight="1">
      <c r="A49" s="33" t="inlineStr">
        <is>
          <t>8.  CONCRETE FINISHES</t>
        </is>
      </c>
      <c r="B49" s="34" t="n"/>
      <c r="C49" s="34" t="n"/>
      <c r="D49" s="7" t="n"/>
      <c r="E49" s="35" t="inlineStr">
        <is>
          <t>ITEMS CHECKED IN THIS ELEMENT</t>
        </is>
      </c>
      <c r="F49" s="36">
        <f>IF(SUMPRODUCT(--(ISNUMBER($A$50:$A$53)))=0,"",SUMPRODUCT(--(ISNUMBER($A$50:$A$53)),--($F$50:$F$53&lt;&gt;""))/SUMPRODUCT(--(ISNUMBER($A$50:$A$53))))</f>
        <v/>
      </c>
      <c r="G49" s="26">
        <f>SUMPRODUCT(--(ISNUMBER($A$50:$A$53)))</f>
        <v/>
      </c>
      <c r="H49" s="37" t="n"/>
      <c r="I49" s="37" t="n"/>
      <c r="J49" s="37" t="n"/>
      <c r="K49" s="37" t="n"/>
      <c r="L49" s="37" t="n"/>
      <c r="M49" s="37" t="n"/>
      <c r="N49" s="37" t="n"/>
      <c r="O49" s="37" t="n"/>
    </row>
    <row r="50" ht="40" customHeight="1">
      <c r="A50" s="38" t="n">
        <v>34</v>
      </c>
      <c r="B50" s="28" t="inlineStr">
        <is>
          <t>Concrete finishes</t>
        </is>
      </c>
      <c r="C50" s="28" t="inlineStr">
        <is>
          <t>Surface finish class achieved and free of defects</t>
        </is>
      </c>
      <c r="D50" s="28" t="inlineStr">
        <is>
          <t>Finish matches the approved sample panel; no honeycombing, cold joints, exposed reinforcement or unrepaired tie holes</t>
        </is>
      </c>
      <c r="E50" s="28" t="inlineStr">
        <is>
          <t>ISO 22966; approved sample panel</t>
        </is>
      </c>
      <c r="F50" s="30" t="n"/>
      <c r="G50" s="30" t="n"/>
      <c r="H50" s="39" t="n"/>
      <c r="I50" s="28" t="inlineStr">
        <is>
          <t>Per sample panel</t>
        </is>
      </c>
      <c r="J50" s="39" t="n"/>
      <c r="K50" s="39" t="n"/>
      <c r="L50" s="40">
        <f>IF($H50="","",IF(AND($J50="",$K50=""),"No limit set",IF(NOT(ISNUMBER($H50)),"Check value",IF(AND(ISNUMBER($J50),$H50&lt;$J50),"Outside",IF(AND(ISNUMBER($K50),$H50&gt;$K50),"Outside","Within")))))</f>
        <v/>
      </c>
      <c r="M50" s="28" t="n"/>
      <c r="N50" s="61" t="n"/>
      <c r="O50" s="28" t="n"/>
    </row>
    <row r="51" ht="40" customHeight="1">
      <c r="A51" s="38" t="n">
        <v>35</v>
      </c>
      <c r="B51" s="28" t="inlineStr">
        <is>
          <t>Concrete finishes</t>
        </is>
      </c>
      <c r="C51" s="28" t="inlineStr">
        <is>
          <t>Floor level and flatness surveyed</t>
        </is>
      </c>
      <c r="D51" s="28" t="inlineStr">
        <is>
          <t>Level within ±10 mm of design across the slab; departure under a 3 m straightedge within the specified limit</t>
        </is>
      </c>
      <c r="E51" s="28" t="inlineStr">
        <is>
          <t>Project floor tolerance specification</t>
        </is>
      </c>
      <c r="F51" s="30" t="n"/>
      <c r="G51" s="30" t="n"/>
      <c r="H51" s="39" t="n"/>
      <c r="I51" s="28" t="inlineStr">
        <is>
          <t>±10 mm</t>
        </is>
      </c>
      <c r="J51" s="39" t="n"/>
      <c r="K51" s="39" t="n"/>
      <c r="L51" s="40">
        <f>IF($H51="","",IF(AND($J51="",$K51=""),"No limit set",IF(NOT(ISNUMBER($H51)),"Check value",IF(AND(ISNUMBER($J51),$H51&lt;$J51),"Outside",IF(AND(ISNUMBER($K51),$H51&gt;$K51),"Outside","Within")))))</f>
        <v/>
      </c>
      <c r="M51" s="28" t="n"/>
      <c r="N51" s="61" t="n"/>
      <c r="O51" s="28" t="n"/>
    </row>
    <row r="52" ht="40" customHeight="1">
      <c r="A52" s="38" t="n">
        <v>36</v>
      </c>
      <c r="B52" s="28" t="inlineStr">
        <is>
          <t>Concrete finishes</t>
        </is>
      </c>
      <c r="C52" s="28" t="inlineStr">
        <is>
          <t>Construction, control and movement joints formed as detailed</t>
        </is>
      </c>
      <c r="D52" s="28" t="inlineStr">
        <is>
          <t>Joint locations, widths and sealant types as detailed; saw cutting carried out within the specified time window after placing</t>
        </is>
      </c>
      <c r="E52" s="28" t="inlineStr">
        <is>
          <t>Project specification</t>
        </is>
      </c>
      <c r="F52" s="30" t="n"/>
      <c r="G52" s="30" t="n"/>
      <c r="H52" s="39" t="n"/>
      <c r="I52" s="28" t="inlineStr">
        <is>
          <t>As detailed</t>
        </is>
      </c>
      <c r="J52" s="39" t="n"/>
      <c r="K52" s="39" t="n"/>
      <c r="L52" s="40">
        <f>IF($H52="","",IF(AND($J52="",$K52=""),"No limit set",IF(NOT(ISNUMBER($H52)),"Check value",IF(AND(ISNUMBER($J52),$H52&lt;$J52),"Outside",IF(AND(ISNUMBER($K52),$H52&gt;$K52),"Outside","Within")))))</f>
        <v/>
      </c>
      <c r="M52" s="28" t="n"/>
      <c r="N52" s="61" t="n"/>
      <c r="O52" s="28" t="n"/>
    </row>
    <row r="53" ht="40" customHeight="1">
      <c r="A53" s="38" t="n">
        <v>37</v>
      </c>
      <c r="B53" s="28" t="inlineStr">
        <is>
          <t>Concrete finishes</t>
        </is>
      </c>
      <c r="C53" s="28" t="inlineStr">
        <is>
          <t>Repairs to concrete carried out under an approved method</t>
        </is>
      </c>
      <c r="D53" s="28" t="inlineStr">
        <is>
          <t>Repair method approved before work starts; materials compatible with the parent concrete; every repaired area recorded on the defect plan</t>
        </is>
      </c>
      <c r="E53" s="28" t="inlineStr">
        <is>
          <t>ISO 9001 cl. 8.7</t>
        </is>
      </c>
      <c r="F53" s="30" t="n"/>
      <c r="G53" s="30" t="n"/>
      <c r="H53" s="39" t="n"/>
      <c r="I53" s="28" t="inlineStr">
        <is>
          <t>—</t>
        </is>
      </c>
      <c r="J53" s="39" t="n"/>
      <c r="K53" s="39" t="n"/>
      <c r="L53" s="40">
        <f>IF($H53="","",IF(AND($J53="",$K53=""),"No limit set",IF(NOT(ISNUMBER($H53)),"Check value",IF(AND(ISNUMBER($J53),$H53&lt;$J53),"Outside",IF(AND(ISNUMBER($K53),$H53&gt;$K53),"Outside","Within")))))</f>
        <v/>
      </c>
      <c r="M53" s="28" t="n"/>
      <c r="N53" s="61" t="n"/>
      <c r="O53" s="28" t="n"/>
    </row>
    <row r="54" ht="21" customHeight="1">
      <c r="A54" s="33" t="inlineStr">
        <is>
          <t>9.  PRECAST ERECTION</t>
        </is>
      </c>
      <c r="B54" s="34" t="n"/>
      <c r="C54" s="34" t="n"/>
      <c r="D54" s="7" t="n"/>
      <c r="E54" s="35" t="inlineStr">
        <is>
          <t>ITEMS CHECKED IN THIS ELEMENT</t>
        </is>
      </c>
      <c r="F54" s="36">
        <f>IF(SUMPRODUCT(--(ISNUMBER($A$55:$A$58)))=0,"",SUMPRODUCT(--(ISNUMBER($A$55:$A$58)),--($F$55:$F$58&lt;&gt;""))/SUMPRODUCT(--(ISNUMBER($A$55:$A$58))))</f>
        <v/>
      </c>
      <c r="G54" s="26">
        <f>SUMPRODUCT(--(ISNUMBER($A$55:$A$58)))</f>
        <v/>
      </c>
      <c r="H54" s="37" t="n"/>
      <c r="I54" s="37" t="n"/>
      <c r="J54" s="37" t="n"/>
      <c r="K54" s="37" t="n"/>
      <c r="L54" s="37" t="n"/>
      <c r="M54" s="37" t="n"/>
      <c r="N54" s="37" t="n"/>
      <c r="O54" s="37" t="n"/>
    </row>
    <row r="55" ht="40" customHeight="1">
      <c r="A55" s="38" t="n">
        <v>38</v>
      </c>
      <c r="B55" s="28" t="inlineStr">
        <is>
          <t>Precast erection</t>
        </is>
      </c>
      <c r="C55" s="28" t="inlineStr">
        <is>
          <t>Units inspected on delivery for identification, dimension and damage</t>
        </is>
      </c>
      <c r="D55" s="28" t="inlineStr">
        <is>
          <t>Unit mark matches the erection drawing; dimensions within the specified casting tolerance; no cracks or spalls beyond the acceptance criteria; certificate of conformity received</t>
        </is>
      </c>
      <c r="E55" s="28" t="inlineStr">
        <is>
          <t>ISO 22966; project precast specification</t>
        </is>
      </c>
      <c r="F55" s="30" t="n"/>
      <c r="G55" s="30" t="n"/>
      <c r="H55" s="39" t="n"/>
      <c r="I55" s="28" t="inlineStr">
        <is>
          <t>Per casting tolerance</t>
        </is>
      </c>
      <c r="J55" s="39" t="n"/>
      <c r="K55" s="39" t="n"/>
      <c r="L55" s="40">
        <f>IF($H55="","",IF(AND($J55="",$K55=""),"No limit set",IF(NOT(ISNUMBER($H55)),"Check value",IF(AND(ISNUMBER($J55),$H55&lt;$J55),"Outside",IF(AND(ISNUMBER($K55),$H55&gt;$K55),"Outside","Within")))))</f>
        <v/>
      </c>
      <c r="M55" s="28" t="n"/>
      <c r="N55" s="61" t="n"/>
      <c r="O55" s="28" t="n"/>
    </row>
    <row r="56" ht="40" customHeight="1">
      <c r="A56" s="38" t="n">
        <v>39</v>
      </c>
      <c r="B56" s="28" t="inlineStr">
        <is>
          <t>Precast erection</t>
        </is>
      </c>
      <c r="C56" s="28" t="inlineStr">
        <is>
          <t>Bearing, packing and grouting of units verified</t>
        </is>
      </c>
      <c r="D56" s="28" t="inlineStr">
        <is>
          <t>Bearing length not less than shown; packers of the specified type and thickness; grout strength and non-shrink properties as specified and fully filled</t>
        </is>
      </c>
      <c r="E56" s="28" t="inlineStr">
        <is>
          <t>Project precast specification</t>
        </is>
      </c>
      <c r="F56" s="30" t="n"/>
      <c r="G56" s="30" t="n"/>
      <c r="H56" s="39" t="n"/>
      <c r="I56" s="28" t="inlineStr">
        <is>
          <t>As detailed</t>
        </is>
      </c>
      <c r="J56" s="39" t="n"/>
      <c r="K56" s="39" t="n"/>
      <c r="L56" s="40">
        <f>IF($H56="","",IF(AND($J56="",$K56=""),"No limit set",IF(NOT(ISNUMBER($H56)),"Check value",IF(AND(ISNUMBER($J56),$H56&lt;$J56),"Outside",IF(AND(ISNUMBER($K56),$H56&gt;$K56),"Outside","Within")))))</f>
        <v/>
      </c>
      <c r="M56" s="28" t="n"/>
      <c r="N56" s="61" t="n"/>
      <c r="O56" s="28" t="n"/>
    </row>
    <row r="57" ht="40" customHeight="1">
      <c r="A57" s="38" t="n">
        <v>40</v>
      </c>
      <c r="B57" s="28" t="inlineStr">
        <is>
          <t>Precast erection</t>
        </is>
      </c>
      <c r="C57" s="28" t="inlineStr">
        <is>
          <t>Erected position, plumb and joint width recorded</t>
        </is>
      </c>
      <c r="D57" s="28" t="inlineStr">
        <is>
          <t>Position within ±10 mm; plumb within the specified tolerance; joint width within ±5 mm of nominal</t>
        </is>
      </c>
      <c r="E57" s="28" t="inlineStr">
        <is>
          <t>Project precast specification</t>
        </is>
      </c>
      <c r="F57" s="30" t="n"/>
      <c r="G57" s="30" t="n"/>
      <c r="H57" s="39" t="n"/>
      <c r="I57" s="28" t="inlineStr">
        <is>
          <t>±10 mm; joint ±5 mm</t>
        </is>
      </c>
      <c r="J57" s="39" t="n"/>
      <c r="K57" s="39" t="n"/>
      <c r="L57" s="40">
        <f>IF($H57="","",IF(AND($J57="",$K57=""),"No limit set",IF(NOT(ISNUMBER($H57)),"Check value",IF(AND(ISNUMBER($J57),$H57&lt;$J57),"Outside",IF(AND(ISNUMBER($K57),$H57&gt;$K57),"Outside","Within")))))</f>
        <v/>
      </c>
      <c r="M57" s="28" t="n"/>
      <c r="N57" s="61" t="n"/>
      <c r="O57" s="28" t="n"/>
    </row>
    <row r="58" ht="40" customHeight="1">
      <c r="A58" s="38" t="n">
        <v>41</v>
      </c>
      <c r="B58" s="28" t="inlineStr">
        <is>
          <t>Precast erection</t>
        </is>
      </c>
      <c r="C58" s="28" t="inlineStr">
        <is>
          <t>Temporary propping and permanent connections complete before propping is released</t>
        </is>
      </c>
      <c r="D58" s="28" t="inlineStr">
        <is>
          <t>Propping to the certified design; every permanent connection complete and inspected; release authorised in writing by the engineer</t>
        </is>
      </c>
      <c r="E58" s="28" t="inlineStr">
        <is>
          <t>Temporary works procedure</t>
        </is>
      </c>
      <c r="F58" s="30" t="n"/>
      <c r="G58" s="30" t="n"/>
      <c r="H58" s="39" t="n"/>
      <c r="I58" s="28" t="inlineStr">
        <is>
          <t>—</t>
        </is>
      </c>
      <c r="J58" s="39" t="n"/>
      <c r="K58" s="39" t="n"/>
      <c r="L58" s="40">
        <f>IF($H58="","",IF(AND($J58="",$K58=""),"No limit set",IF(NOT(ISNUMBER($H58)),"Check value",IF(AND(ISNUMBER($J58),$H58&lt;$J58),"Outside",IF(AND(ISNUMBER($K58),$H58&gt;$K58),"Outside","Within")))))</f>
        <v/>
      </c>
      <c r="M58" s="28" t="n"/>
      <c r="N58" s="61" t="n"/>
      <c r="O58" s="28" t="n"/>
    </row>
    <row r="59" ht="21" customHeight="1">
      <c r="A59" s="33" t="inlineStr">
        <is>
          <t>10.  STRUCTURAL STEEL AND BOLTING</t>
        </is>
      </c>
      <c r="B59" s="34" t="n"/>
      <c r="C59" s="34" t="n"/>
      <c r="D59" s="7" t="n"/>
      <c r="E59" s="35" t="inlineStr">
        <is>
          <t>ITEMS CHECKED IN THIS ELEMENT</t>
        </is>
      </c>
      <c r="F59" s="36">
        <f>IF(SUMPRODUCT(--(ISNUMBER($A$60:$A$64)))=0,"",SUMPRODUCT(--(ISNUMBER($A$60:$A$64)),--($F$60:$F$64&lt;&gt;""))/SUMPRODUCT(--(ISNUMBER($A$60:$A$64))))</f>
        <v/>
      </c>
      <c r="G59" s="26">
        <f>SUMPRODUCT(--(ISNUMBER($A$60:$A$64)))</f>
        <v/>
      </c>
      <c r="H59" s="37" t="n"/>
      <c r="I59" s="37" t="n"/>
      <c r="J59" s="37" t="n"/>
      <c r="K59" s="37" t="n"/>
      <c r="L59" s="37" t="n"/>
      <c r="M59" s="37" t="n"/>
      <c r="N59" s="37" t="n"/>
      <c r="O59" s="37" t="n"/>
    </row>
    <row r="60" ht="40" customHeight="1">
      <c r="A60" s="38" t="n">
        <v>42</v>
      </c>
      <c r="B60" s="28" t="inlineStr">
        <is>
          <t>Structural steel and bolting</t>
        </is>
      </c>
      <c r="C60" s="28" t="inlineStr">
        <is>
          <t>Fabrication documentation, mill certificates and coating system received before delivery</t>
        </is>
      </c>
      <c r="D60" s="28" t="inlineStr">
        <is>
          <t>Mill certificates traceable to the members supplied; fabrication to the approved shop drawings; coating system matches the specified durability class</t>
        </is>
      </c>
      <c r="E60" s="28" t="inlineStr">
        <is>
          <t>ISO 1090 series or project equivalent</t>
        </is>
      </c>
      <c r="F60" s="30" t="n"/>
      <c r="G60" s="30" t="n"/>
      <c r="H60" s="39" t="n"/>
      <c r="I60" s="28" t="inlineStr">
        <is>
          <t>—</t>
        </is>
      </c>
      <c r="J60" s="39" t="n"/>
      <c r="K60" s="39" t="n"/>
      <c r="L60" s="40">
        <f>IF($H60="","",IF(AND($J60="",$K60=""),"No limit set",IF(NOT(ISNUMBER($H60)),"Check value",IF(AND(ISNUMBER($J60),$H60&lt;$J60),"Outside",IF(AND(ISNUMBER($K60),$H60&gt;$K60),"Outside","Within")))))</f>
        <v/>
      </c>
      <c r="M60" s="28" t="n"/>
      <c r="N60" s="61" t="n"/>
      <c r="O60" s="28" t="n"/>
    </row>
    <row r="61" ht="40" customHeight="1">
      <c r="A61" s="38" t="n">
        <v>43</v>
      </c>
      <c r="B61" s="28" t="inlineStr">
        <is>
          <t>Structural steel and bolting</t>
        </is>
      </c>
      <c r="C61" s="28" t="inlineStr">
        <is>
          <t>Member identification, straightness and damage checked on delivery</t>
        </is>
      </c>
      <c r="D61" s="28" t="inlineStr">
        <is>
          <t>Members marked and traceable to the shop drawing; no distortion or damage beyond the acceptance criteria; coating damage recorded for repair</t>
        </is>
      </c>
      <c r="E61" s="28" t="inlineStr">
        <is>
          <t>Project steel specification</t>
        </is>
      </c>
      <c r="F61" s="30" t="n"/>
      <c r="G61" s="30" t="n"/>
      <c r="H61" s="39" t="n"/>
      <c r="I61" s="28" t="inlineStr">
        <is>
          <t>—</t>
        </is>
      </c>
      <c r="J61" s="39" t="n"/>
      <c r="K61" s="39" t="n"/>
      <c r="L61" s="40">
        <f>IF($H61="","",IF(AND($J61="",$K61=""),"No limit set",IF(NOT(ISNUMBER($H61)),"Check value",IF(AND(ISNUMBER($J61),$H61&lt;$J61),"Outside",IF(AND(ISNUMBER($K61),$H61&gt;$K61),"Outside","Within")))))</f>
        <v/>
      </c>
      <c r="M61" s="28" t="n"/>
      <c r="N61" s="61" t="n"/>
      <c r="O61" s="28" t="n"/>
    </row>
    <row r="62" ht="48" customHeight="1">
      <c r="A62" s="38" t="n">
        <v>44</v>
      </c>
      <c r="B62" s="28" t="inlineStr">
        <is>
          <t>Structural steel and bolting</t>
        </is>
      </c>
      <c r="C62" s="28" t="inlineStr">
        <is>
          <t>Erected frame line, level and plumb surveyed</t>
        </is>
      </c>
      <c r="D62" s="28" t="inlineStr">
        <is>
          <t>Column plumb within 1:500 of height; level within ±5 mm; overall frame dimensions within the specified erection tolerance</t>
        </is>
      </c>
      <c r="E62" s="28" t="inlineStr">
        <is>
          <t>Project steel specification</t>
        </is>
      </c>
      <c r="F62" s="27" t="inlineStr">
        <is>
          <t>Yes</t>
        </is>
      </c>
      <c r="G62" s="27" t="inlineStr">
        <is>
          <t>Fail</t>
        </is>
      </c>
      <c r="H62" s="41" t="n">
        <v>6.5</v>
      </c>
      <c r="I62" s="28" t="inlineStr">
        <is>
          <t>±5 mm; 1:500</t>
        </is>
      </c>
      <c r="J62" s="41" t="n">
        <v>-5</v>
      </c>
      <c r="K62" s="41" t="n">
        <v>5</v>
      </c>
      <c r="L62" s="40">
        <f>IF($H62="","",IF(AND($J62="",$K62=""),"No limit set",IF(NOT(ISNUMBER($H62)),"Check value",IF(AND(ISNUMBER($J62),$H62&lt;$J62),"Outside",IF(AND(ISNUMBER($K62),$H62&gt;$K62),"Outside","Within")))))</f>
        <v/>
      </c>
      <c r="M62" s="23" t="inlineStr">
        <is>
          <t>M. Haddad, Steel Inspector</t>
        </is>
      </c>
      <c r="N62" s="60" t="n">
        <v>46224</v>
      </c>
      <c r="O62" s="23" t="inlineStr">
        <is>
          <t>Column plumb at grid C/3 out by 6.5 mm in 3 m. NCR-014 raised; re-shimmed and re-surveyed.  ·  EXAMPLE — delete before use</t>
        </is>
      </c>
    </row>
    <row r="63" ht="40" customHeight="1">
      <c r="A63" s="38" t="n">
        <v>45</v>
      </c>
      <c r="B63" s="28" t="inlineStr">
        <is>
          <t>Structural steel and bolting</t>
        </is>
      </c>
      <c r="C63" s="28" t="inlineStr">
        <is>
          <t>Bolted connections snug-tightened then fully tensioned in the specified sequence</t>
        </is>
      </c>
      <c r="D63" s="28" t="inlineStr">
        <is>
          <t>Bolts of the correct grade and length; tensioning sequence recorded; the specified proportion verified by torque or DTI gap with no result below the minimum shank tension</t>
        </is>
      </c>
      <c r="E63" s="28" t="inlineStr">
        <is>
          <t>ISO 898-1; project steel specification</t>
        </is>
      </c>
      <c r="F63" s="30" t="n"/>
      <c r="G63" s="30" t="n"/>
      <c r="H63" s="39" t="n"/>
      <c r="I63" s="28" t="inlineStr">
        <is>
          <t>Per specified sequence</t>
        </is>
      </c>
      <c r="J63" s="39" t="n"/>
      <c r="K63" s="39" t="n"/>
      <c r="L63" s="40">
        <f>IF($H63="","",IF(AND($J63="",$K63=""),"No limit set",IF(NOT(ISNUMBER($H63)),"Check value",IF(AND(ISNUMBER($J63),$H63&lt;$J63),"Outside",IF(AND(ISNUMBER($K63),$H63&gt;$K63),"Outside","Within")))))</f>
        <v/>
      </c>
      <c r="M63" s="28" t="n"/>
      <c r="N63" s="61" t="n"/>
      <c r="O63" s="28" t="n"/>
    </row>
    <row r="64" ht="40" customHeight="1">
      <c r="A64" s="38" t="n">
        <v>46</v>
      </c>
      <c r="B64" s="28" t="inlineStr">
        <is>
          <t>Structural steel and bolting</t>
        </is>
      </c>
      <c r="C64" s="28" t="inlineStr">
        <is>
          <t>Coating surface preparation, dry film thickness and adhesion verified</t>
        </is>
      </c>
      <c r="D64" s="28" t="inlineStr">
        <is>
          <t>Surface preparation class achieved before coating; dry film thickness not less than the specified minimum at 80% of readings and never below 80% of the minimum; adhesion test passed</t>
        </is>
      </c>
      <c r="E64" s="28" t="inlineStr">
        <is>
          <t>ISO 8501; ISO 2808</t>
        </is>
      </c>
      <c r="F64" s="30" t="n"/>
      <c r="G64" s="30" t="n"/>
      <c r="H64" s="39" t="n"/>
      <c r="I64" s="28" t="inlineStr">
        <is>
          <t>≥ specified DFT</t>
        </is>
      </c>
      <c r="J64" s="39" t="n"/>
      <c r="K64" s="39" t="n"/>
      <c r="L64" s="40">
        <f>IF($H64="","",IF(AND($J64="",$K64=""),"No limit set",IF(NOT(ISNUMBER($H64)),"Check value",IF(AND(ISNUMBER($J64),$H64&lt;$J64),"Outside",IF(AND(ISNUMBER($K64),$H64&gt;$K64),"Outside","Within")))))</f>
        <v/>
      </c>
      <c r="M64" s="28" t="n"/>
      <c r="N64" s="61" t="n"/>
      <c r="O64" s="28" t="n"/>
    </row>
    <row r="65" ht="21" customHeight="1">
      <c r="A65" s="33" t="inlineStr">
        <is>
          <t>11.  WELDING</t>
        </is>
      </c>
      <c r="B65" s="34" t="n"/>
      <c r="C65" s="34" t="n"/>
      <c r="D65" s="7" t="n"/>
      <c r="E65" s="35" t="inlineStr">
        <is>
          <t>ITEMS CHECKED IN THIS ELEMENT</t>
        </is>
      </c>
      <c r="F65" s="36">
        <f>IF(SUMPRODUCT(--(ISNUMBER($A$66:$A$70)))=0,"",SUMPRODUCT(--(ISNUMBER($A$66:$A$70)),--($F$66:$F$70&lt;&gt;""))/SUMPRODUCT(--(ISNUMBER($A$66:$A$70))))</f>
        <v/>
      </c>
      <c r="G65" s="26">
        <f>SUMPRODUCT(--(ISNUMBER($A$66:$A$70)))</f>
        <v/>
      </c>
      <c r="H65" s="37" t="n"/>
      <c r="I65" s="37" t="n"/>
      <c r="J65" s="37" t="n"/>
      <c r="K65" s="37" t="n"/>
      <c r="L65" s="37" t="n"/>
      <c r="M65" s="37" t="n"/>
      <c r="N65" s="37" t="n"/>
      <c r="O65" s="37" t="n"/>
    </row>
    <row r="66" ht="40" customHeight="1">
      <c r="A66" s="38" t="n">
        <v>47</v>
      </c>
      <c r="B66" s="28" t="inlineStr">
        <is>
          <t>Welding</t>
        </is>
      </c>
      <c r="C66" s="28" t="inlineStr">
        <is>
          <t>Welding procedures and welder qualifications current before welding starts</t>
        </is>
      </c>
      <c r="D66" s="28" t="inlineStr">
        <is>
          <t>A qualified WPS exists for the joint, position and parent material; every welder qualified for the process and position with certification in date</t>
        </is>
      </c>
      <c r="E66" s="28" t="inlineStr">
        <is>
          <t>ISO 15614; ISO 9606</t>
        </is>
      </c>
      <c r="F66" s="30" t="n"/>
      <c r="G66" s="30" t="n"/>
      <c r="H66" s="39" t="n"/>
      <c r="I66" s="28" t="inlineStr">
        <is>
          <t>—</t>
        </is>
      </c>
      <c r="J66" s="39" t="n"/>
      <c r="K66" s="39" t="n"/>
      <c r="L66" s="40">
        <f>IF($H66="","",IF(AND($J66="",$K66=""),"No limit set",IF(NOT(ISNUMBER($H66)),"Check value",IF(AND(ISNUMBER($J66),$H66&lt;$J66),"Outside",IF(AND(ISNUMBER($K66),$H66&gt;$K66),"Outside","Within")))))</f>
        <v/>
      </c>
      <c r="M66" s="28" t="n"/>
      <c r="N66" s="61" t="n"/>
      <c r="O66" s="28" t="n"/>
    </row>
    <row r="67" ht="40" customHeight="1">
      <c r="A67" s="38" t="n">
        <v>48</v>
      </c>
      <c r="B67" s="28" t="inlineStr">
        <is>
          <t>Welding</t>
        </is>
      </c>
      <c r="C67" s="28" t="inlineStr">
        <is>
          <t>Consumables controlled, identified and stored as specified</t>
        </is>
      </c>
      <c r="D67" s="28" t="inlineStr">
        <is>
          <t>Consumables as called up by the WPS, within date, stored and handled to the manufacturer's instruction; heated quivers used where required</t>
        </is>
      </c>
      <c r="E67" s="28" t="inlineStr">
        <is>
          <t>ISO 15614</t>
        </is>
      </c>
      <c r="F67" s="30" t="n"/>
      <c r="G67" s="30" t="n"/>
      <c r="H67" s="39" t="n"/>
      <c r="I67" s="28" t="inlineStr">
        <is>
          <t>—</t>
        </is>
      </c>
      <c r="J67" s="39" t="n"/>
      <c r="K67" s="39" t="n"/>
      <c r="L67" s="40">
        <f>IF($H67="","",IF(AND($J67="",$K67=""),"No limit set",IF(NOT(ISNUMBER($H67)),"Check value",IF(AND(ISNUMBER($J67),$H67&lt;$J67),"Outside",IF(AND(ISNUMBER($K67),$H67&gt;$K67),"Outside","Within")))))</f>
        <v/>
      </c>
      <c r="M67" s="28" t="n"/>
      <c r="N67" s="61" t="n"/>
      <c r="O67" s="28" t="n"/>
    </row>
    <row r="68" ht="40" customHeight="1">
      <c r="A68" s="38" t="n">
        <v>49</v>
      </c>
      <c r="B68" s="28" t="inlineStr">
        <is>
          <t>Welding</t>
        </is>
      </c>
      <c r="C68" s="28" t="inlineStr">
        <is>
          <t>Fit-up, preheat and interpass temperature verified before and during welding</t>
        </is>
      </c>
      <c r="D68" s="28" t="inlineStr">
        <is>
          <t>Root gap and bevel preparation to the WPS; preheat and interpass temperature within the WPS range, measured and recorded</t>
        </is>
      </c>
      <c r="E68" s="28" t="inlineStr">
        <is>
          <t>ISO 13916</t>
        </is>
      </c>
      <c r="F68" s="30" t="n"/>
      <c r="G68" s="30" t="n"/>
      <c r="H68" s="39" t="n"/>
      <c r="I68" s="28" t="inlineStr">
        <is>
          <t>Per WPS</t>
        </is>
      </c>
      <c r="J68" s="39" t="n"/>
      <c r="K68" s="39" t="n"/>
      <c r="L68" s="40">
        <f>IF($H68="","",IF(AND($J68="",$K68=""),"No limit set",IF(NOT(ISNUMBER($H68)),"Check value",IF(AND(ISNUMBER($J68),$H68&lt;$J68),"Outside",IF(AND(ISNUMBER($K68),$H68&gt;$K68),"Outside","Within")))))</f>
        <v/>
      </c>
      <c r="M68" s="28" t="n"/>
      <c r="N68" s="61" t="n"/>
      <c r="O68" s="28" t="n"/>
    </row>
    <row r="69" ht="40" customHeight="1">
      <c r="A69" s="38" t="n">
        <v>50</v>
      </c>
      <c r="B69" s="28" t="inlineStr">
        <is>
          <t>Welding</t>
        </is>
      </c>
      <c r="C69" s="28" t="inlineStr">
        <is>
          <t>Visual inspection of every completed weld carried out and recorded</t>
        </is>
      </c>
      <c r="D69" s="28" t="inlineStr">
        <is>
          <t>Weld size, profile and length as detailed; no cracks, undercut, overlap or porosity outside the specified quality level</t>
        </is>
      </c>
      <c r="E69" s="28" t="inlineStr">
        <is>
          <t>ISO 17637; ISO 5817</t>
        </is>
      </c>
      <c r="F69" s="30" t="n"/>
      <c r="G69" s="30" t="n"/>
      <c r="H69" s="39" t="n"/>
      <c r="I69" s="28" t="inlineStr">
        <is>
          <t>ISO 5817 level per spec</t>
        </is>
      </c>
      <c r="J69" s="39" t="n"/>
      <c r="K69" s="39" t="n"/>
      <c r="L69" s="40">
        <f>IF($H69="","",IF(AND($J69="",$K69=""),"No limit set",IF(NOT(ISNUMBER($H69)),"Check value",IF(AND(ISNUMBER($J69),$H69&lt;$J69),"Outside",IF(AND(ISNUMBER($K69),$H69&gt;$K69),"Outside","Within")))))</f>
        <v/>
      </c>
      <c r="M69" s="28" t="n"/>
      <c r="N69" s="61" t="n"/>
      <c r="O69" s="28" t="n"/>
    </row>
    <row r="70" ht="40" customHeight="1">
      <c r="A70" s="38" t="n">
        <v>51</v>
      </c>
      <c r="B70" s="28" t="inlineStr">
        <is>
          <t>Welding</t>
        </is>
      </c>
      <c r="C70" s="28" t="inlineStr">
        <is>
          <t>Non-destructive examination carried out at the specified extent and reported</t>
        </is>
      </c>
      <c r="D70" s="28" t="inlineStr">
        <is>
          <t>Extent and method as specified; carried out by an ISO 9712 certified technician; acceptance to the specified quality level; every repair re-examined in full</t>
        </is>
      </c>
      <c r="E70" s="28" t="inlineStr">
        <is>
          <t>ISO 17640; ISO 17638; ISO 9712</t>
        </is>
      </c>
      <c r="F70" s="30" t="n"/>
      <c r="G70" s="30" t="n"/>
      <c r="H70" s="39" t="n"/>
      <c r="I70" s="28" t="inlineStr">
        <is>
          <t>Per specified extent</t>
        </is>
      </c>
      <c r="J70" s="39" t="n"/>
      <c r="K70" s="39" t="n"/>
      <c r="L70" s="40">
        <f>IF($H70="","",IF(AND($J70="",$K70=""),"No limit set",IF(NOT(ISNUMBER($H70)),"Check value",IF(AND(ISNUMBER($J70),$H70&lt;$J70),"Outside",IF(AND(ISNUMBER($K70),$H70&gt;$K70),"Outside","Within")))))</f>
        <v/>
      </c>
      <c r="M70" s="28" t="n"/>
      <c r="N70" s="61" t="n"/>
      <c r="O70" s="28" t="n"/>
    </row>
    <row r="71" ht="21" customHeight="1">
      <c r="A71" s="33" t="inlineStr">
        <is>
          <t>12.  WATERPROOFING AND TANKING</t>
        </is>
      </c>
      <c r="B71" s="34" t="n"/>
      <c r="C71" s="34" t="n"/>
      <c r="D71" s="7" t="n"/>
      <c r="E71" s="35" t="inlineStr">
        <is>
          <t>ITEMS CHECKED IN THIS ELEMENT</t>
        </is>
      </c>
      <c r="F71" s="36">
        <f>IF(SUMPRODUCT(--(ISNUMBER($A$72:$A$76)))=0,"",SUMPRODUCT(--(ISNUMBER($A$72:$A$76)),--($F$72:$F$76&lt;&gt;""))/SUMPRODUCT(--(ISNUMBER($A$72:$A$76))))</f>
        <v/>
      </c>
      <c r="G71" s="26">
        <f>SUMPRODUCT(--(ISNUMBER($A$72:$A$76)))</f>
        <v/>
      </c>
      <c r="H71" s="37" t="n"/>
      <c r="I71" s="37" t="n"/>
      <c r="J71" s="37" t="n"/>
      <c r="K71" s="37" t="n"/>
      <c r="L71" s="37" t="n"/>
      <c r="M71" s="37" t="n"/>
      <c r="N71" s="37" t="n"/>
      <c r="O71" s="37" t="n"/>
    </row>
    <row r="72" ht="40" customHeight="1">
      <c r="A72" s="38" t="n">
        <v>52</v>
      </c>
      <c r="B72" s="28" t="inlineStr">
        <is>
          <t>Waterproofing and tanking</t>
        </is>
      </c>
      <c r="C72" s="28" t="inlineStr">
        <is>
          <t>Substrate condition, moisture content and preparation verified before application</t>
        </is>
      </c>
      <c r="D72" s="28" t="inlineStr">
        <is>
          <t>Substrate sound, clean and dry to the manufacturer's stated limit; fillets and corners formed; no laitance or residual curing compound</t>
        </is>
      </c>
      <c r="E72" s="28" t="inlineStr">
        <is>
          <t>Manufacturer's installation instruction</t>
        </is>
      </c>
      <c r="F72" s="30" t="n"/>
      <c r="G72" s="30" t="n"/>
      <c r="H72" s="39" t="n"/>
      <c r="I72" s="28" t="inlineStr">
        <is>
          <t>Per manufacturer</t>
        </is>
      </c>
      <c r="J72" s="39" t="n"/>
      <c r="K72" s="39" t="n"/>
      <c r="L72" s="40">
        <f>IF($H72="","",IF(AND($J72="",$K72=""),"No limit set",IF(NOT(ISNUMBER($H72)),"Check value",IF(AND(ISNUMBER($J72),$H72&lt;$J72),"Outside",IF(AND(ISNUMBER($K72),$H72&gt;$K72),"Outside","Within")))))</f>
        <v/>
      </c>
      <c r="M72" s="28" t="n"/>
      <c r="N72" s="61" t="n"/>
      <c r="O72" s="28" t="n"/>
    </row>
    <row r="73" ht="40" customHeight="1">
      <c r="A73" s="38" t="n">
        <v>53</v>
      </c>
      <c r="B73" s="28" t="inlineStr">
        <is>
          <t>Waterproofing and tanking</t>
        </is>
      </c>
      <c r="C73" s="28" t="inlineStr">
        <is>
          <t>Applicator certification and product batch traceability confirmed</t>
        </is>
      </c>
      <c r="D73" s="28" t="inlineStr">
        <is>
          <t>Applicator licensed by the membrane manufacturer; batch numbers recorded and matched to the delivery docket and to the area of application</t>
        </is>
      </c>
      <c r="E73" s="28" t="inlineStr">
        <is>
          <t>ISO 9001 cl. 8.4</t>
        </is>
      </c>
      <c r="F73" s="30" t="n"/>
      <c r="G73" s="30" t="n"/>
      <c r="H73" s="39" t="n"/>
      <c r="I73" s="28" t="inlineStr">
        <is>
          <t>—</t>
        </is>
      </c>
      <c r="J73" s="39" t="n"/>
      <c r="K73" s="39" t="n"/>
      <c r="L73" s="40">
        <f>IF($H73="","",IF(AND($J73="",$K73=""),"No limit set",IF(NOT(ISNUMBER($H73)),"Check value",IF(AND(ISNUMBER($J73),$H73&lt;$J73),"Outside",IF(AND(ISNUMBER($K73),$H73&gt;$K73),"Outside","Within")))))</f>
        <v/>
      </c>
      <c r="M73" s="28" t="n"/>
      <c r="N73" s="61" t="n"/>
      <c r="O73" s="28" t="n"/>
    </row>
    <row r="74" ht="40" customHeight="1">
      <c r="A74" s="38" t="n">
        <v>54</v>
      </c>
      <c r="B74" s="28" t="inlineStr">
        <is>
          <t>Waterproofing and tanking</t>
        </is>
      </c>
      <c r="C74" s="28" t="inlineStr">
        <is>
          <t>Membrane thickness and lap, termination and penetration detailing verified</t>
        </is>
      </c>
      <c r="D74" s="28" t="inlineStr">
        <is>
          <t>Wet or dry film thickness not less than specified at every test point; laps, terminations, penetrations and upstands as detailed</t>
        </is>
      </c>
      <c r="E74" s="28" t="inlineStr">
        <is>
          <t>ISO 2808</t>
        </is>
      </c>
      <c r="F74" s="30" t="n"/>
      <c r="G74" s="30" t="n"/>
      <c r="H74" s="39" t="n"/>
      <c r="I74" s="28" t="inlineStr">
        <is>
          <t>≥ specified thickness</t>
        </is>
      </c>
      <c r="J74" s="39" t="n"/>
      <c r="K74" s="39" t="n"/>
      <c r="L74" s="40">
        <f>IF($H74="","",IF(AND($J74="",$K74=""),"No limit set",IF(NOT(ISNUMBER($H74)),"Check value",IF(AND(ISNUMBER($J74),$H74&lt;$J74),"Outside",IF(AND(ISNUMBER($K74),$H74&gt;$K74),"Outside","Within")))))</f>
        <v/>
      </c>
      <c r="M74" s="28" t="n"/>
      <c r="N74" s="61" t="n"/>
      <c r="O74" s="28" t="n"/>
    </row>
    <row r="75" ht="40" customHeight="1">
      <c r="A75" s="38" t="n">
        <v>55</v>
      </c>
      <c r="B75" s="28" t="inlineStr">
        <is>
          <t>Waterproofing and tanking</t>
        </is>
      </c>
      <c r="C75" s="28" t="inlineStr">
        <is>
          <t>Flood test carried out and held for the specified period</t>
        </is>
      </c>
      <c r="D75" s="28" t="inlineStr">
        <is>
          <t>Flood test to the specified depth held for at least 24 hours with no loss of level and no leakage below; result witnessed and recorded</t>
        </is>
      </c>
      <c r="E75" s="28" t="inlineStr">
        <is>
          <t>Project waterproofing specification</t>
        </is>
      </c>
      <c r="F75" s="30" t="n"/>
      <c r="G75" s="30" t="n"/>
      <c r="H75" s="39" t="n"/>
      <c r="I75" s="28" t="inlineStr">
        <is>
          <t>No loss in 24 h</t>
        </is>
      </c>
      <c r="J75" s="39" t="n"/>
      <c r="K75" s="39" t="n"/>
      <c r="L75" s="40">
        <f>IF($H75="","",IF(AND($J75="",$K75=""),"No limit set",IF(NOT(ISNUMBER($H75)),"Check value",IF(AND(ISNUMBER($J75),$H75&lt;$J75),"Outside",IF(AND(ISNUMBER($K75),$H75&gt;$K75),"Outside","Within")))))</f>
        <v/>
      </c>
      <c r="M75" s="28" t="n"/>
      <c r="N75" s="61" t="n"/>
      <c r="O75" s="28" t="n"/>
    </row>
    <row r="76" ht="40" customHeight="1">
      <c r="A76" s="38" t="n">
        <v>56</v>
      </c>
      <c r="B76" s="28" t="inlineStr">
        <is>
          <t>Waterproofing and tanking</t>
        </is>
      </c>
      <c r="C76" s="28" t="inlineStr">
        <is>
          <t>Protection installed before any following trade or traffic</t>
        </is>
      </c>
      <c r="D76" s="28" t="inlineStr">
        <is>
          <t>Protection board or screed installed before any traffic or loading; membrane inspected immediately before covering</t>
        </is>
      </c>
      <c r="E76" s="28" t="inlineStr">
        <is>
          <t>Manufacturer's instruction</t>
        </is>
      </c>
      <c r="F76" s="30" t="n"/>
      <c r="G76" s="30" t="n"/>
      <c r="H76" s="39" t="n"/>
      <c r="I76" s="28" t="inlineStr">
        <is>
          <t>—</t>
        </is>
      </c>
      <c r="J76" s="39" t="n"/>
      <c r="K76" s="39" t="n"/>
      <c r="L76" s="40">
        <f>IF($H76="","",IF(AND($J76="",$K76=""),"No limit set",IF(NOT(ISNUMBER($H76)),"Check value",IF(AND(ISNUMBER($J76),$H76&lt;$J76),"Outside",IF(AND(ISNUMBER($K76),$H76&gt;$K76),"Outside","Within")))))</f>
        <v/>
      </c>
      <c r="M76" s="28" t="n"/>
      <c r="N76" s="61" t="n"/>
      <c r="O76" s="28" t="n"/>
    </row>
    <row r="77" ht="21" customHeight="1">
      <c r="A77" s="33" t="inlineStr">
        <is>
          <t>13.  ROOFING</t>
        </is>
      </c>
      <c r="B77" s="34" t="n"/>
      <c r="C77" s="34" t="n"/>
      <c r="D77" s="7" t="n"/>
      <c r="E77" s="35" t="inlineStr">
        <is>
          <t>ITEMS CHECKED IN THIS ELEMENT</t>
        </is>
      </c>
      <c r="F77" s="36">
        <f>IF(SUMPRODUCT(--(ISNUMBER($A$78:$A$81)))=0,"",SUMPRODUCT(--(ISNUMBER($A$78:$A$81)),--($F$78:$F$81&lt;&gt;""))/SUMPRODUCT(--(ISNUMBER($A$78:$A$81))))</f>
        <v/>
      </c>
      <c r="G77" s="26">
        <f>SUMPRODUCT(--(ISNUMBER($A$78:$A$81)))</f>
        <v/>
      </c>
      <c r="H77" s="37" t="n"/>
      <c r="I77" s="37" t="n"/>
      <c r="J77" s="37" t="n"/>
      <c r="K77" s="37" t="n"/>
      <c r="L77" s="37" t="n"/>
      <c r="M77" s="37" t="n"/>
      <c r="N77" s="37" t="n"/>
      <c r="O77" s="37" t="n"/>
    </row>
    <row r="78" ht="40" customHeight="1">
      <c r="A78" s="38" t="n">
        <v>57</v>
      </c>
      <c r="B78" s="28" t="inlineStr">
        <is>
          <t>Roofing</t>
        </is>
      </c>
      <c r="C78" s="28" t="inlineStr">
        <is>
          <t>Roof falls and drainage set out and verified before covering</t>
        </is>
      </c>
      <c r="D78" s="28" t="inlineStr">
        <is>
          <t>Falls not less than the specified minimum to every outlet; no ponding under a water test; sumps and overflows as detailed</t>
        </is>
      </c>
      <c r="E78" s="28" t="inlineStr">
        <is>
          <t>Project roofing specification</t>
        </is>
      </c>
      <c r="F78" s="30" t="n"/>
      <c r="G78" s="30" t="n"/>
      <c r="H78" s="39" t="n"/>
      <c r="I78" s="28" t="inlineStr">
        <is>
          <t>≥ specified fall</t>
        </is>
      </c>
      <c r="J78" s="39" t="n"/>
      <c r="K78" s="39" t="n"/>
      <c r="L78" s="40">
        <f>IF($H78="","",IF(AND($J78="",$K78=""),"No limit set",IF(NOT(ISNUMBER($H78)),"Check value",IF(AND(ISNUMBER($J78),$H78&lt;$J78),"Outside",IF(AND(ISNUMBER($K78),$H78&gt;$K78),"Outside","Within")))))</f>
        <v/>
      </c>
      <c r="M78" s="28" t="n"/>
      <c r="N78" s="61" t="n"/>
      <c r="O78" s="28" t="n"/>
    </row>
    <row r="79" ht="40" customHeight="1">
      <c r="A79" s="38" t="n">
        <v>58</v>
      </c>
      <c r="B79" s="28" t="inlineStr">
        <is>
          <t>Roofing</t>
        </is>
      </c>
      <c r="C79" s="28" t="inlineStr">
        <is>
          <t>Fixings, laps and wind-uplift restraint verified</t>
        </is>
      </c>
      <c r="D79" s="28" t="inlineStr">
        <is>
          <t>Fixing type, spacing and edge and corner zones as required by the wind design; side and end laps not less than specified; no unsealed fastener penetrations</t>
        </is>
      </c>
      <c r="E79" s="28" t="inlineStr">
        <is>
          <t>Wind design report</t>
        </is>
      </c>
      <c r="F79" s="30" t="n"/>
      <c r="G79" s="30" t="n"/>
      <c r="H79" s="39" t="n"/>
      <c r="I79" s="28" t="inlineStr">
        <is>
          <t>Per wind design</t>
        </is>
      </c>
      <c r="J79" s="39" t="n"/>
      <c r="K79" s="39" t="n"/>
      <c r="L79" s="40">
        <f>IF($H79="","",IF(AND($J79="",$K79=""),"No limit set",IF(NOT(ISNUMBER($H79)),"Check value",IF(AND(ISNUMBER($J79),$H79&lt;$J79),"Outside",IF(AND(ISNUMBER($K79),$H79&gt;$K79),"Outside","Within")))))</f>
        <v/>
      </c>
      <c r="M79" s="28" t="n"/>
      <c r="N79" s="61" t="n"/>
      <c r="O79" s="28" t="n"/>
    </row>
    <row r="80" ht="40" customHeight="1">
      <c r="A80" s="38" t="n">
        <v>59</v>
      </c>
      <c r="B80" s="28" t="inlineStr">
        <is>
          <t>Roofing</t>
        </is>
      </c>
      <c r="C80" s="28" t="inlineStr">
        <is>
          <t>Flashings, penetrations and upstand heights inspected</t>
        </is>
      </c>
      <c r="D80" s="28" t="inlineStr">
        <is>
          <t>Upstand heights not less than specified; flashings lapped, sealed and mechanically fixed; penetrations sleeved and flashed as detailed</t>
        </is>
      </c>
      <c r="E80" s="28" t="inlineStr">
        <is>
          <t>Project roofing specification</t>
        </is>
      </c>
      <c r="F80" s="30" t="n"/>
      <c r="G80" s="30" t="n"/>
      <c r="H80" s="39" t="n"/>
      <c r="I80" s="28" t="inlineStr">
        <is>
          <t>≥ specified upstand</t>
        </is>
      </c>
      <c r="J80" s="39" t="n"/>
      <c r="K80" s="39" t="n"/>
      <c r="L80" s="40">
        <f>IF($H80="","",IF(AND($J80="",$K80=""),"No limit set",IF(NOT(ISNUMBER($H80)),"Check value",IF(AND(ISNUMBER($J80),$H80&lt;$J80),"Outside",IF(AND(ISNUMBER($K80),$H80&gt;$K80),"Outside","Within")))))</f>
        <v/>
      </c>
      <c r="M80" s="28" t="n"/>
      <c r="N80" s="61" t="n"/>
      <c r="O80" s="28" t="n"/>
    </row>
    <row r="81" ht="40" customHeight="1">
      <c r="A81" s="38" t="n">
        <v>60</v>
      </c>
      <c r="B81" s="28" t="inlineStr">
        <is>
          <t>Roofing</t>
        </is>
      </c>
      <c r="C81" s="28" t="inlineStr">
        <is>
          <t>Completed roof water tested and every outlet proven to discharge</t>
        </is>
      </c>
      <c r="D81" s="28" t="inlineStr">
        <is>
          <t>Water test on the completed roof with no leakage; every outlet proven to discharge freely; debris removed</t>
        </is>
      </c>
      <c r="E81" s="28" t="inlineStr">
        <is>
          <t>Project roofing specification</t>
        </is>
      </c>
      <c r="F81" s="30" t="n"/>
      <c r="G81" s="30" t="n"/>
      <c r="H81" s="39" t="n"/>
      <c r="I81" s="28" t="inlineStr">
        <is>
          <t>No leakage</t>
        </is>
      </c>
      <c r="J81" s="39" t="n"/>
      <c r="K81" s="39" t="n"/>
      <c r="L81" s="40">
        <f>IF($H81="","",IF(AND($J81="",$K81=""),"No limit set",IF(NOT(ISNUMBER($H81)),"Check value",IF(AND(ISNUMBER($J81),$H81&lt;$J81),"Outside",IF(AND(ISNUMBER($K81),$H81&gt;$K81),"Outside","Within")))))</f>
        <v/>
      </c>
      <c r="M81" s="28" t="n"/>
      <c r="N81" s="61" t="n"/>
      <c r="O81" s="28" t="n"/>
    </row>
    <row r="82" ht="21" customHeight="1">
      <c r="A82" s="33" t="inlineStr">
        <is>
          <t>14.  CLADDING AND FACADE</t>
        </is>
      </c>
      <c r="B82" s="34" t="n"/>
      <c r="C82" s="34" t="n"/>
      <c r="D82" s="7" t="n"/>
      <c r="E82" s="35" t="inlineStr">
        <is>
          <t>ITEMS CHECKED IN THIS ELEMENT</t>
        </is>
      </c>
      <c r="F82" s="36">
        <f>IF(SUMPRODUCT(--(ISNUMBER($A$83:$A$87)))=0,"",SUMPRODUCT(--(ISNUMBER($A$83:$A$87)),--($F$83:$F$87&lt;&gt;""))/SUMPRODUCT(--(ISNUMBER($A$83:$A$87))))</f>
        <v/>
      </c>
      <c r="G82" s="26">
        <f>SUMPRODUCT(--(ISNUMBER($A$83:$A$87)))</f>
        <v/>
      </c>
      <c r="H82" s="37" t="n"/>
      <c r="I82" s="37" t="n"/>
      <c r="J82" s="37" t="n"/>
      <c r="K82" s="37" t="n"/>
      <c r="L82" s="37" t="n"/>
      <c r="M82" s="37" t="n"/>
      <c r="N82" s="37" t="n"/>
      <c r="O82" s="37" t="n"/>
    </row>
    <row r="83" ht="40" customHeight="1">
      <c r="A83" s="38" t="n">
        <v>61</v>
      </c>
      <c r="B83" s="28" t="inlineStr">
        <is>
          <t>Cladding and facade</t>
        </is>
      </c>
      <c r="C83" s="28" t="inlineStr">
        <is>
          <t>Facade system tested or certified for the specified performance</t>
        </is>
      </c>
      <c r="D83" s="28" t="inlineStr">
        <is>
          <t>System tested or engineer-certified for structural, water penetration and air infiltration performance at the specified test pressures</t>
        </is>
      </c>
      <c r="E83" s="28" t="inlineStr">
        <is>
          <t>ISO 15821; project facade specification</t>
        </is>
      </c>
      <c r="F83" s="30" t="n"/>
      <c r="G83" s="30" t="n"/>
      <c r="H83" s="39" t="n"/>
      <c r="I83" s="28" t="inlineStr">
        <is>
          <t>Per test report</t>
        </is>
      </c>
      <c r="J83" s="39" t="n"/>
      <c r="K83" s="39" t="n"/>
      <c r="L83" s="40">
        <f>IF($H83="","",IF(AND($J83="",$K83=""),"No limit set",IF(NOT(ISNUMBER($H83)),"Check value",IF(AND(ISNUMBER($J83),$H83&lt;$J83),"Outside",IF(AND(ISNUMBER($K83),$H83&gt;$K83),"Outside","Within")))))</f>
        <v/>
      </c>
      <c r="M83" s="28" t="n"/>
      <c r="N83" s="61" t="n"/>
      <c r="O83" s="28" t="n"/>
    </row>
    <row r="84" ht="40" customHeight="1">
      <c r="A84" s="38" t="n">
        <v>62</v>
      </c>
      <c r="B84" s="28" t="inlineStr">
        <is>
          <t>Cladding and facade</t>
        </is>
      </c>
      <c r="C84" s="28" t="inlineStr">
        <is>
          <t>Support brackets, fixings and substrate tolerance verified before panel installation</t>
        </is>
      </c>
      <c r="D84" s="28" t="inlineStr">
        <is>
          <t>Bracket position within the specified tolerance; fixing type, embedment and corrosion protection as designed; structural substrate surveyed and accepted</t>
        </is>
      </c>
      <c r="E84" s="28" t="inlineStr">
        <is>
          <t>Project facade specification</t>
        </is>
      </c>
      <c r="F84" s="30" t="n"/>
      <c r="G84" s="30" t="n"/>
      <c r="H84" s="39" t="n"/>
      <c r="I84" s="28" t="inlineStr">
        <is>
          <t>Per specified tolerance</t>
        </is>
      </c>
      <c r="J84" s="39" t="n"/>
      <c r="K84" s="39" t="n"/>
      <c r="L84" s="40">
        <f>IF($H84="","",IF(AND($J84="",$K84=""),"No limit set",IF(NOT(ISNUMBER($H84)),"Check value",IF(AND(ISNUMBER($J84),$H84&lt;$J84),"Outside",IF(AND(ISNUMBER($K84),$H84&gt;$K84),"Outside","Within")))))</f>
        <v/>
      </c>
      <c r="M84" s="28" t="n"/>
      <c r="N84" s="61" t="n"/>
      <c r="O84" s="28" t="n"/>
    </row>
    <row r="85" ht="40" customHeight="1">
      <c r="A85" s="38" t="n">
        <v>63</v>
      </c>
      <c r="B85" s="28" t="inlineStr">
        <is>
          <t>Cladding and facade</t>
        </is>
      </c>
      <c r="C85" s="28" t="inlineStr">
        <is>
          <t>Panel alignment, joint width and plumb recorded</t>
        </is>
      </c>
      <c r="D85" s="28" t="inlineStr">
        <is>
          <t>Joint width within ±3 mm of nominal; plumb and line within the specified tolerance over any 3 m and over the full height</t>
        </is>
      </c>
      <c r="E85" s="28" t="inlineStr">
        <is>
          <t>Project facade specification</t>
        </is>
      </c>
      <c r="F85" s="30" t="n"/>
      <c r="G85" s="30" t="n"/>
      <c r="H85" s="39" t="n"/>
      <c r="I85" s="28" t="inlineStr">
        <is>
          <t>Joint ±3 mm</t>
        </is>
      </c>
      <c r="J85" s="39" t="n"/>
      <c r="K85" s="39" t="n"/>
      <c r="L85" s="40">
        <f>IF($H85="","",IF(AND($J85="",$K85=""),"No limit set",IF(NOT(ISNUMBER($H85)),"Check value",IF(AND(ISNUMBER($J85),$H85&lt;$J85),"Outside",IF(AND(ISNUMBER($K85),$H85&gt;$K85),"Outside","Within")))))</f>
        <v/>
      </c>
      <c r="M85" s="28" t="n"/>
      <c r="N85" s="61" t="n"/>
      <c r="O85" s="28" t="n"/>
    </row>
    <row r="86" ht="40" customHeight="1">
      <c r="A86" s="38" t="n">
        <v>64</v>
      </c>
      <c r="B86" s="28" t="inlineStr">
        <is>
          <t>Cladding and facade</t>
        </is>
      </c>
      <c r="C86" s="28" t="inlineStr">
        <is>
          <t>Cavity barriers, insulation and fire stopping installed as tested</t>
        </is>
      </c>
      <c r="D86" s="28" t="inlineStr">
        <is>
          <t>Cavity barriers and fire stopping to the tested system with no gaps; insulation continuous, dry and correctly retained</t>
        </is>
      </c>
      <c r="E86" s="28" t="inlineStr">
        <is>
          <t>Project fire engineering report</t>
        </is>
      </c>
      <c r="F86" s="30" t="n"/>
      <c r="G86" s="30" t="n"/>
      <c r="H86" s="39" t="n"/>
      <c r="I86" s="28" t="inlineStr">
        <is>
          <t>Per tested system</t>
        </is>
      </c>
      <c r="J86" s="39" t="n"/>
      <c r="K86" s="39" t="n"/>
      <c r="L86" s="40">
        <f>IF($H86="","",IF(AND($J86="",$K86=""),"No limit set",IF(NOT(ISNUMBER($H86)),"Check value",IF(AND(ISNUMBER($J86),$H86&lt;$J86),"Outside",IF(AND(ISNUMBER($K86),$H86&gt;$K86),"Outside","Within")))))</f>
        <v/>
      </c>
      <c r="M86" s="28" t="n"/>
      <c r="N86" s="61" t="n"/>
      <c r="O86" s="28" t="n"/>
    </row>
    <row r="87" ht="40" customHeight="1">
      <c r="A87" s="38" t="n">
        <v>65</v>
      </c>
      <c r="B87" s="28" t="inlineStr">
        <is>
          <t>Cladding and facade</t>
        </is>
      </c>
      <c r="C87" s="28" t="inlineStr">
        <is>
          <t>Field water penetration test carried out on the nominated area</t>
        </is>
      </c>
      <c r="D87" s="28" t="inlineStr">
        <is>
          <t>Field water test on the nominated sample area with no penetration; result recorded and any failure re-tested after rectification</t>
        </is>
      </c>
      <c r="E87" s="28" t="inlineStr">
        <is>
          <t>ISO 15821</t>
        </is>
      </c>
      <c r="F87" s="30" t="n"/>
      <c r="G87" s="30" t="n"/>
      <c r="H87" s="39" t="n"/>
      <c r="I87" s="28" t="inlineStr">
        <is>
          <t>No penetration</t>
        </is>
      </c>
      <c r="J87" s="39" t="n"/>
      <c r="K87" s="39" t="n"/>
      <c r="L87" s="40">
        <f>IF($H87="","",IF(AND($J87="",$K87=""),"No limit set",IF(NOT(ISNUMBER($H87)),"Check value",IF(AND(ISNUMBER($J87),$H87&lt;$J87),"Outside",IF(AND(ISNUMBER($K87),$H87&gt;$K87),"Outside","Within")))))</f>
        <v/>
      </c>
      <c r="M87" s="28" t="n"/>
      <c r="N87" s="61" t="n"/>
      <c r="O87" s="28" t="n"/>
    </row>
    <row r="88" ht="21" customHeight="1">
      <c r="A88" s="33" t="inlineStr">
        <is>
          <t>15.  WINDOWS AND GLAZING</t>
        </is>
      </c>
      <c r="B88" s="34" t="n"/>
      <c r="C88" s="34" t="n"/>
      <c r="D88" s="7" t="n"/>
      <c r="E88" s="35" t="inlineStr">
        <is>
          <t>ITEMS CHECKED IN THIS ELEMENT</t>
        </is>
      </c>
      <c r="F88" s="36">
        <f>IF(SUMPRODUCT(--(ISNUMBER($A$89:$A$92)))=0,"",SUMPRODUCT(--(ISNUMBER($A$89:$A$92)),--($F$89:$F$92&lt;&gt;""))/SUMPRODUCT(--(ISNUMBER($A$89:$A$92))))</f>
        <v/>
      </c>
      <c r="G88" s="26">
        <f>SUMPRODUCT(--(ISNUMBER($A$89:$A$92)))</f>
        <v/>
      </c>
      <c r="H88" s="37" t="n"/>
      <c r="I88" s="37" t="n"/>
      <c r="J88" s="37" t="n"/>
      <c r="K88" s="37" t="n"/>
      <c r="L88" s="37" t="n"/>
      <c r="M88" s="37" t="n"/>
      <c r="N88" s="37" t="n"/>
      <c r="O88" s="37" t="n"/>
    </row>
    <row r="89" ht="40" customHeight="1">
      <c r="A89" s="38" t="n">
        <v>66</v>
      </c>
      <c r="B89" s="28" t="inlineStr">
        <is>
          <t>Windows and glazing</t>
        </is>
      </c>
      <c r="C89" s="28" t="inlineStr">
        <is>
          <t>Glazing type, make-up, coating and safety marking verified against the schedule</t>
        </is>
      </c>
      <c r="D89" s="28" t="inlineStr">
        <is>
          <t>Glass type, make-up and performance match the window schedule; safety glazing permanently marked where required</t>
        </is>
      </c>
      <c r="E89" s="28" t="inlineStr">
        <is>
          <t>ISO 12543; project glazing schedule</t>
        </is>
      </c>
      <c r="F89" s="30" t="n"/>
      <c r="G89" s="30" t="n"/>
      <c r="H89" s="39" t="n"/>
      <c r="I89" s="28" t="inlineStr">
        <is>
          <t>Per schedule</t>
        </is>
      </c>
      <c r="J89" s="39" t="n"/>
      <c r="K89" s="39" t="n"/>
      <c r="L89" s="40">
        <f>IF($H89="","",IF(AND($J89="",$K89=""),"No limit set",IF(NOT(ISNUMBER($H89)),"Check value",IF(AND(ISNUMBER($J89),$H89&lt;$J89),"Outside",IF(AND(ISNUMBER($K89),$H89&gt;$K89),"Outside","Within")))))</f>
        <v/>
      </c>
      <c r="M89" s="28" t="n"/>
      <c r="N89" s="61" t="n"/>
      <c r="O89" s="28" t="n"/>
    </row>
    <row r="90" ht="40" customHeight="1">
      <c r="A90" s="38" t="n">
        <v>67</v>
      </c>
      <c r="B90" s="28" t="inlineStr">
        <is>
          <t>Windows and glazing</t>
        </is>
      </c>
      <c r="C90" s="28" t="inlineStr">
        <is>
          <t>Frame installation, packing, fixing and perimeter sealing inspected</t>
        </is>
      </c>
      <c r="D90" s="28" t="inlineStr">
        <is>
          <t>Frames plumb, square and level within the specified tolerance; packers at fixing points only; perimeter sealed both sides as detailed</t>
        </is>
      </c>
      <c r="E90" s="28" t="inlineStr">
        <is>
          <t>Project glazing specification</t>
        </is>
      </c>
      <c r="F90" s="30" t="n"/>
      <c r="G90" s="30" t="n"/>
      <c r="H90" s="39" t="n"/>
      <c r="I90" s="28" t="inlineStr">
        <is>
          <t>Per specified tolerance</t>
        </is>
      </c>
      <c r="J90" s="39" t="n"/>
      <c r="K90" s="39" t="n"/>
      <c r="L90" s="40">
        <f>IF($H90="","",IF(AND($J90="",$K90=""),"No limit set",IF(NOT(ISNUMBER($H90)),"Check value",IF(AND(ISNUMBER($J90),$H90&lt;$J90),"Outside",IF(AND(ISNUMBER($K90),$H90&gt;$K90),"Outside","Within")))))</f>
        <v/>
      </c>
      <c r="M90" s="28" t="n"/>
      <c r="N90" s="61" t="n"/>
      <c r="O90" s="28" t="n"/>
    </row>
    <row r="91" ht="40" customHeight="1">
      <c r="A91" s="38" t="n">
        <v>68</v>
      </c>
      <c r="B91" s="28" t="inlineStr">
        <is>
          <t>Windows and glazing</t>
        </is>
      </c>
      <c r="C91" s="28" t="inlineStr">
        <is>
          <t>Water and air tightness of installed windows verified</t>
        </is>
      </c>
      <c r="D91" s="28" t="inlineStr">
        <is>
          <t>Site water test on the nominated proportion of openings with no penetration; drainage paths and weep holes proven clear</t>
        </is>
      </c>
      <c r="E91" s="28" t="inlineStr">
        <is>
          <t>ISO 15821</t>
        </is>
      </c>
      <c r="F91" s="30" t="n"/>
      <c r="G91" s="30" t="n"/>
      <c r="H91" s="39" t="n"/>
      <c r="I91" s="28" t="inlineStr">
        <is>
          <t>No penetration</t>
        </is>
      </c>
      <c r="J91" s="39" t="n"/>
      <c r="K91" s="39" t="n"/>
      <c r="L91" s="40">
        <f>IF($H91="","",IF(AND($J91="",$K91=""),"No limit set",IF(NOT(ISNUMBER($H91)),"Check value",IF(AND(ISNUMBER($J91),$H91&lt;$J91),"Outside",IF(AND(ISNUMBER($K91),$H91&gt;$K91),"Outside","Within")))))</f>
        <v/>
      </c>
      <c r="M91" s="28" t="n"/>
      <c r="N91" s="61" t="n"/>
      <c r="O91" s="28" t="n"/>
    </row>
    <row r="92" ht="40" customHeight="1">
      <c r="A92" s="38" t="n">
        <v>69</v>
      </c>
      <c r="B92" s="28" t="inlineStr">
        <is>
          <t>Windows and glazing</t>
        </is>
      </c>
      <c r="C92" s="28" t="inlineStr">
        <is>
          <t>Hardware operation, restrictors and safety devices checked</t>
        </is>
      </c>
      <c r="D92" s="28" t="inlineStr">
        <is>
          <t>Every sash operates smoothly and latches; restrictors fitted and functional where required; no forced or binding operation</t>
        </is>
      </c>
      <c r="E92" s="28" t="inlineStr">
        <is>
          <t>Project specification</t>
        </is>
      </c>
      <c r="F92" s="30" t="n"/>
      <c r="G92" s="30" t="n"/>
      <c r="H92" s="39" t="n"/>
      <c r="I92" s="28" t="inlineStr">
        <is>
          <t>—</t>
        </is>
      </c>
      <c r="J92" s="39" t="n"/>
      <c r="K92" s="39" t="n"/>
      <c r="L92" s="40">
        <f>IF($H92="","",IF(AND($J92="",$K92=""),"No limit set",IF(NOT(ISNUMBER($H92)),"Check value",IF(AND(ISNUMBER($J92),$H92&lt;$J92),"Outside",IF(AND(ISNUMBER($K92),$H92&gt;$K92),"Outside","Within")))))</f>
        <v/>
      </c>
      <c r="M92" s="28" t="n"/>
      <c r="N92" s="61" t="n"/>
      <c r="O92" s="28" t="n"/>
    </row>
    <row r="93" ht="21" customHeight="1">
      <c r="A93" s="33" t="inlineStr">
        <is>
          <t>16.  BLOCKWORK AND MASONRY</t>
        </is>
      </c>
      <c r="B93" s="34" t="n"/>
      <c r="C93" s="34" t="n"/>
      <c r="D93" s="7" t="n"/>
      <c r="E93" s="35" t="inlineStr">
        <is>
          <t>ITEMS CHECKED IN THIS ELEMENT</t>
        </is>
      </c>
      <c r="F93" s="36">
        <f>IF(SUMPRODUCT(--(ISNUMBER($A$94:$A$97)))=0,"",SUMPRODUCT(--(ISNUMBER($A$94:$A$97)),--($F$94:$F$97&lt;&gt;""))/SUMPRODUCT(--(ISNUMBER($A$94:$A$97))))</f>
        <v/>
      </c>
      <c r="G93" s="26">
        <f>SUMPRODUCT(--(ISNUMBER($A$94:$A$97)))</f>
        <v/>
      </c>
      <c r="H93" s="37" t="n"/>
      <c r="I93" s="37" t="n"/>
      <c r="J93" s="37" t="n"/>
      <c r="K93" s="37" t="n"/>
      <c r="L93" s="37" t="n"/>
      <c r="M93" s="37" t="n"/>
      <c r="N93" s="37" t="n"/>
      <c r="O93" s="37" t="n"/>
    </row>
    <row r="94" ht="40" customHeight="1">
      <c r="A94" s="38" t="n">
        <v>70</v>
      </c>
      <c r="B94" s="28" t="inlineStr">
        <is>
          <t>Blockwork and masonry</t>
        </is>
      </c>
      <c r="C94" s="28" t="inlineStr">
        <is>
          <t>Materials, mortar mix and reinforcement verified against the specification</t>
        </is>
      </c>
      <c r="D94" s="28" t="inlineStr">
        <is>
          <t>Unit type and strength as specified; mortar class and mix proportions as specified and batched consistently; reinforcement type and cover as detailed</t>
        </is>
      </c>
      <c r="E94" s="28" t="inlineStr">
        <is>
          <t>ISO 21723; project masonry specification</t>
        </is>
      </c>
      <c r="F94" s="30" t="n"/>
      <c r="G94" s="30" t="n"/>
      <c r="H94" s="39" t="n"/>
      <c r="I94" s="28" t="inlineStr">
        <is>
          <t>Per specification</t>
        </is>
      </c>
      <c r="J94" s="39" t="n"/>
      <c r="K94" s="39" t="n"/>
      <c r="L94" s="40">
        <f>IF($H94="","",IF(AND($J94="",$K94=""),"No limit set",IF(NOT(ISNUMBER($H94)),"Check value",IF(AND(ISNUMBER($J94),$H94&lt;$J94),"Outside",IF(AND(ISNUMBER($K94),$H94&gt;$K94),"Outside","Within")))))</f>
        <v/>
      </c>
      <c r="M94" s="28" t="n"/>
      <c r="N94" s="61" t="n"/>
      <c r="O94" s="28" t="n"/>
    </row>
    <row r="95" ht="40" customHeight="1">
      <c r="A95" s="38" t="n">
        <v>71</v>
      </c>
      <c r="B95" s="28" t="inlineStr">
        <is>
          <t>Blockwork and masonry</t>
        </is>
      </c>
      <c r="C95" s="28" t="inlineStr">
        <is>
          <t>Wall line, plumb, level and coursing checked</t>
        </is>
      </c>
      <c r="D95" s="28" t="inlineStr">
        <is>
          <t>Plumb within the specified tolerance over the storey height; coursing level within ±5 mm over 3 m; wall thickness and opening sizes as drawn</t>
        </is>
      </c>
      <c r="E95" s="28" t="inlineStr">
        <is>
          <t>Project masonry specification</t>
        </is>
      </c>
      <c r="F95" s="30" t="n"/>
      <c r="G95" s="30" t="n"/>
      <c r="H95" s="39" t="n"/>
      <c r="I95" s="28" t="inlineStr">
        <is>
          <t>±5 mm / 3 m</t>
        </is>
      </c>
      <c r="J95" s="39" t="n"/>
      <c r="K95" s="39" t="n"/>
      <c r="L95" s="40">
        <f>IF($H95="","",IF(AND($J95="",$K95=""),"No limit set",IF(NOT(ISNUMBER($H95)),"Check value",IF(AND(ISNUMBER($J95),$H95&lt;$J95),"Outside",IF(AND(ISNUMBER($K95),$H95&gt;$K95),"Outside","Within")))))</f>
        <v/>
      </c>
      <c r="M95" s="28" t="n"/>
      <c r="N95" s="61" t="n"/>
      <c r="O95" s="28" t="n"/>
    </row>
    <row r="96" ht="40" customHeight="1">
      <c r="A96" s="38" t="n">
        <v>72</v>
      </c>
      <c r="B96" s="28" t="inlineStr">
        <is>
          <t>Blockwork and masonry</t>
        </is>
      </c>
      <c r="C96" s="28" t="inlineStr">
        <is>
          <t>Ties, control joints, lintels and restraint verified</t>
        </is>
      </c>
      <c r="D96" s="28" t="inlineStr">
        <is>
          <t>Wall ties of the specified type at the specified centres and embedment; control joints at the detailed spacing; lintels with the correct bearing length</t>
        </is>
      </c>
      <c r="E96" s="28" t="inlineStr">
        <is>
          <t>Project masonry specification</t>
        </is>
      </c>
      <c r="F96" s="30" t="n"/>
      <c r="G96" s="30" t="n"/>
      <c r="H96" s="39" t="n"/>
      <c r="I96" s="28" t="inlineStr">
        <is>
          <t>As detailed</t>
        </is>
      </c>
      <c r="J96" s="39" t="n"/>
      <c r="K96" s="39" t="n"/>
      <c r="L96" s="40">
        <f>IF($H96="","",IF(AND($J96="",$K96=""),"No limit set",IF(NOT(ISNUMBER($H96)),"Check value",IF(AND(ISNUMBER($J96),$H96&lt;$J96),"Outside",IF(AND(ISNUMBER($K96),$H96&gt;$K96),"Outside","Within")))))</f>
        <v/>
      </c>
      <c r="M96" s="28" t="n"/>
      <c r="N96" s="61" t="n"/>
      <c r="O96" s="28" t="n"/>
    </row>
    <row r="97" ht="40" customHeight="1">
      <c r="A97" s="38" t="n">
        <v>73</v>
      </c>
      <c r="B97" s="28" t="inlineStr">
        <is>
          <t>Blockwork and masonry</t>
        </is>
      </c>
      <c r="C97" s="28" t="inlineStr">
        <is>
          <t>Grouting, cleaning and protection of completed masonry</t>
        </is>
      </c>
      <c r="D97" s="28" t="inlineStr">
        <is>
          <t>Cores grouted and consolidated where specified; faces cleaned without damage or staining; new work protected from weather and following trades</t>
        </is>
      </c>
      <c r="E97" s="28" t="inlineStr">
        <is>
          <t>Project masonry specification</t>
        </is>
      </c>
      <c r="F97" s="30" t="n"/>
      <c r="G97" s="30" t="n"/>
      <c r="H97" s="39" t="n"/>
      <c r="I97" s="28" t="inlineStr">
        <is>
          <t>—</t>
        </is>
      </c>
      <c r="J97" s="39" t="n"/>
      <c r="K97" s="39" t="n"/>
      <c r="L97" s="40">
        <f>IF($H97="","",IF(AND($J97="",$K97=""),"No limit set",IF(NOT(ISNUMBER($H97)),"Check value",IF(AND(ISNUMBER($J97),$H97&lt;$J97),"Outside",IF(AND(ISNUMBER($K97),$H97&gt;$K97),"Outside","Within")))))</f>
        <v/>
      </c>
      <c r="M97" s="28" t="n"/>
      <c r="N97" s="61" t="n"/>
      <c r="O97" s="28" t="n"/>
    </row>
    <row r="98" ht="21" customHeight="1">
      <c r="A98" s="33" t="inlineStr">
        <is>
          <t>17.  PARTITIONS AND LININGS</t>
        </is>
      </c>
      <c r="B98" s="34" t="n"/>
      <c r="C98" s="34" t="n"/>
      <c r="D98" s="7" t="n"/>
      <c r="E98" s="35" t="inlineStr">
        <is>
          <t>ITEMS CHECKED IN THIS ELEMENT</t>
        </is>
      </c>
      <c r="F98" s="36">
        <f>IF(SUMPRODUCT(--(ISNUMBER($A$99:$A$102)))=0,"",SUMPRODUCT(--(ISNUMBER($A$99:$A$102)),--($F$99:$F$102&lt;&gt;""))/SUMPRODUCT(--(ISNUMBER($A$99:$A$102))))</f>
        <v/>
      </c>
      <c r="G98" s="26">
        <f>SUMPRODUCT(--(ISNUMBER($A$99:$A$102)))</f>
        <v/>
      </c>
      <c r="H98" s="37" t="n"/>
      <c r="I98" s="37" t="n"/>
      <c r="J98" s="37" t="n"/>
      <c r="K98" s="37" t="n"/>
      <c r="L98" s="37" t="n"/>
      <c r="M98" s="37" t="n"/>
      <c r="N98" s="37" t="n"/>
      <c r="O98" s="37" t="n"/>
    </row>
    <row r="99" ht="40" customHeight="1">
      <c r="A99" s="38" t="n">
        <v>74</v>
      </c>
      <c r="B99" s="28" t="inlineStr">
        <is>
          <t>Partitions and linings</t>
        </is>
      </c>
      <c r="C99" s="28" t="inlineStr">
        <is>
          <t>Framing type, gauge, centres and deflection head verified</t>
        </is>
      </c>
      <c r="D99" s="28" t="inlineStr">
        <is>
          <t>Stud gauge and centres as required by the tested system; deflection head detail installed wherever a partition meets a structural soffit</t>
        </is>
      </c>
      <c r="E99" s="28" t="inlineStr">
        <is>
          <t>Tested system documentation</t>
        </is>
      </c>
      <c r="F99" s="30" t="n"/>
      <c r="G99" s="30" t="n"/>
      <c r="H99" s="39" t="n"/>
      <c r="I99" s="28" t="inlineStr">
        <is>
          <t>Per tested system</t>
        </is>
      </c>
      <c r="J99" s="39" t="n"/>
      <c r="K99" s="39" t="n"/>
      <c r="L99" s="40">
        <f>IF($H99="","",IF(AND($J99="",$K99=""),"No limit set",IF(NOT(ISNUMBER($H99)),"Check value",IF(AND(ISNUMBER($J99),$H99&lt;$J99),"Outside",IF(AND(ISNUMBER($K99),$H99&gt;$K99),"Outside","Within")))))</f>
        <v/>
      </c>
      <c r="M99" s="28" t="n"/>
      <c r="N99" s="61" t="n"/>
      <c r="O99" s="28" t="n"/>
    </row>
    <row r="100" ht="40" customHeight="1">
      <c r="A100" s="38" t="n">
        <v>75</v>
      </c>
      <c r="B100" s="28" t="inlineStr">
        <is>
          <t>Partitions and linings</t>
        </is>
      </c>
      <c r="C100" s="28" t="inlineStr">
        <is>
          <t>Fire and acoustic rated partitions built exactly to the tested system</t>
        </is>
      </c>
      <c r="D100" s="28" t="inlineStr">
        <is>
          <t>Board type, number of layers, fixing centres, insulation and joint treatment identical to the tested system; no substitution; system reference recorded for every wall type</t>
        </is>
      </c>
      <c r="E100" s="28" t="inlineStr">
        <is>
          <t>ISO 834; tested system documentation</t>
        </is>
      </c>
      <c r="F100" s="30" t="n"/>
      <c r="G100" s="30" t="n"/>
      <c r="H100" s="39" t="n"/>
      <c r="I100" s="28" t="inlineStr">
        <is>
          <t>Per tested system</t>
        </is>
      </c>
      <c r="J100" s="39" t="n"/>
      <c r="K100" s="39" t="n"/>
      <c r="L100" s="40">
        <f>IF($H100="","",IF(AND($J100="",$K100=""),"No limit set",IF(NOT(ISNUMBER($H100)),"Check value",IF(AND(ISNUMBER($J100),$H100&lt;$J100),"Outside",IF(AND(ISNUMBER($K100),$H100&gt;$K100),"Outside","Within")))))</f>
        <v/>
      </c>
      <c r="M100" s="28" t="n"/>
      <c r="N100" s="61" t="n"/>
      <c r="O100" s="28" t="n"/>
    </row>
    <row r="101" ht="40" customHeight="1">
      <c r="A101" s="38" t="n">
        <v>76</v>
      </c>
      <c r="B101" s="28" t="inlineStr">
        <is>
          <t>Partitions and linings</t>
        </is>
      </c>
      <c r="C101" s="28" t="inlineStr">
        <is>
          <t>Service penetrations fire stopped and acoustically sealed before close-up</t>
        </is>
      </c>
      <c r="D101" s="28" t="inlineStr">
        <is>
          <t>Every penetration sealed with a system tested for that substrate and service; installer certification and a photographic record taken before close-up</t>
        </is>
      </c>
      <c r="E101" s="28" t="inlineStr">
        <is>
          <t>Tested penetration system</t>
        </is>
      </c>
      <c r="F101" s="30" t="n"/>
      <c r="G101" s="30" t="n"/>
      <c r="H101" s="39" t="n"/>
      <c r="I101" s="28" t="inlineStr">
        <is>
          <t>—</t>
        </is>
      </c>
      <c r="J101" s="39" t="n"/>
      <c r="K101" s="39" t="n"/>
      <c r="L101" s="40">
        <f>IF($H101="","",IF(AND($J101="",$K101=""),"No limit set",IF(NOT(ISNUMBER($H101)),"Check value",IF(AND(ISNUMBER($J101),$H101&lt;$J101),"Outside",IF(AND(ISNUMBER($K101),$H101&gt;$K101),"Outside","Within")))))</f>
        <v/>
      </c>
      <c r="M101" s="28" t="n"/>
      <c r="N101" s="61" t="n"/>
      <c r="O101" s="28" t="n"/>
    </row>
    <row r="102" ht="40" customHeight="1">
      <c r="A102" s="38" t="n">
        <v>77</v>
      </c>
      <c r="B102" s="28" t="inlineStr">
        <is>
          <t>Partitions and linings</t>
        </is>
      </c>
      <c r="C102" s="28" t="inlineStr">
        <is>
          <t>Board surface flatness and joint finish accepted before painting</t>
        </is>
      </c>
      <c r="D102" s="28" t="inlineStr">
        <is>
          <t>Departure under a 3 m straightedge within the specified limit; joints, fastener heads and corners finished to the specified level of finish</t>
        </is>
      </c>
      <c r="E102" s="28" t="inlineStr">
        <is>
          <t>Project linings specification</t>
        </is>
      </c>
      <c r="F102" s="30" t="n"/>
      <c r="G102" s="30" t="n"/>
      <c r="H102" s="39" t="n"/>
      <c r="I102" s="28" t="inlineStr">
        <is>
          <t>Per specified level</t>
        </is>
      </c>
      <c r="J102" s="39" t="n"/>
      <c r="K102" s="39" t="n"/>
      <c r="L102" s="40">
        <f>IF($H102="","",IF(AND($J102="",$K102=""),"No limit set",IF(NOT(ISNUMBER($H102)),"Check value",IF(AND(ISNUMBER($J102),$H102&lt;$J102),"Outside",IF(AND(ISNUMBER($K102),$H102&gt;$K102),"Outside","Within")))))</f>
        <v/>
      </c>
      <c r="M102" s="28" t="n"/>
      <c r="N102" s="61" t="n"/>
      <c r="O102" s="28" t="n"/>
    </row>
    <row r="103" ht="21" customHeight="1">
      <c r="A103" s="33" t="inlineStr">
        <is>
          <t>18.  DOORS AND HARDWARE</t>
        </is>
      </c>
      <c r="B103" s="34" t="n"/>
      <c r="C103" s="34" t="n"/>
      <c r="D103" s="7" t="n"/>
      <c r="E103" s="35" t="inlineStr">
        <is>
          <t>ITEMS CHECKED IN THIS ELEMENT</t>
        </is>
      </c>
      <c r="F103" s="36">
        <f>IF(SUMPRODUCT(--(ISNUMBER($A$104:$A$107)))=0,"",SUMPRODUCT(--(ISNUMBER($A$104:$A$107)),--($F$104:$F$107&lt;&gt;""))/SUMPRODUCT(--(ISNUMBER($A$104:$A$107))))</f>
        <v/>
      </c>
      <c r="G103" s="26">
        <f>SUMPRODUCT(--(ISNUMBER($A$104:$A$107)))</f>
        <v/>
      </c>
      <c r="H103" s="37" t="n"/>
      <c r="I103" s="37" t="n"/>
      <c r="J103" s="37" t="n"/>
      <c r="K103" s="37" t="n"/>
      <c r="L103" s="37" t="n"/>
      <c r="M103" s="37" t="n"/>
      <c r="N103" s="37" t="n"/>
      <c r="O103" s="37" t="n"/>
    </row>
    <row r="104" ht="40" customHeight="1">
      <c r="A104" s="38" t="n">
        <v>78</v>
      </c>
      <c r="B104" s="28" t="inlineStr">
        <is>
          <t>Doors and hardware</t>
        </is>
      </c>
      <c r="C104" s="28" t="inlineStr">
        <is>
          <t>Door leaf, frame and hardware match the door schedule</t>
        </is>
      </c>
      <c r="D104" s="28" t="inlineStr">
        <is>
          <t>Leaf type, size, fire and acoustic rating, vision panel and finish as scheduled; hardware set as scheduled and compatible with the rating</t>
        </is>
      </c>
      <c r="E104" s="28" t="inlineStr">
        <is>
          <t>Project door schedule</t>
        </is>
      </c>
      <c r="F104" s="30" t="n"/>
      <c r="G104" s="30" t="n"/>
      <c r="H104" s="39" t="n"/>
      <c r="I104" s="28" t="inlineStr">
        <is>
          <t>Per schedule</t>
        </is>
      </c>
      <c r="J104" s="39" t="n"/>
      <c r="K104" s="39" t="n"/>
      <c r="L104" s="40">
        <f>IF($H104="","",IF(AND($J104="",$K104=""),"No limit set",IF(NOT(ISNUMBER($H104)),"Check value",IF(AND(ISNUMBER($J104),$H104&lt;$J104),"Outside",IF(AND(ISNUMBER($K104),$H104&gt;$K104),"Outside","Within")))))</f>
        <v/>
      </c>
      <c r="M104" s="28" t="n"/>
      <c r="N104" s="61" t="n"/>
      <c r="O104" s="28" t="n"/>
    </row>
    <row r="105" ht="40" customHeight="1">
      <c r="A105" s="38" t="n">
        <v>79</v>
      </c>
      <c r="B105" s="28" t="inlineStr">
        <is>
          <t>Doors and hardware</t>
        </is>
      </c>
      <c r="C105" s="28" t="inlineStr">
        <is>
          <t>Fire and smoke doors installed with certification tags and correct clearances</t>
        </is>
      </c>
      <c r="D105" s="28" t="inlineStr">
        <is>
          <t>Certification tag present and legible; leaf-to-frame clearances within the certified limits; smoke seals continuous; self-closing and latching proven from any open position</t>
        </is>
      </c>
      <c r="E105" s="28" t="inlineStr">
        <is>
          <t>ISO 3008; certified door system</t>
        </is>
      </c>
      <c r="F105" s="30" t="n"/>
      <c r="G105" s="30" t="n"/>
      <c r="H105" s="39" t="n"/>
      <c r="I105" s="28" t="inlineStr">
        <is>
          <t>Per certification</t>
        </is>
      </c>
      <c r="J105" s="39" t="n"/>
      <c r="K105" s="39" t="n"/>
      <c r="L105" s="40">
        <f>IF($H105="","",IF(AND($J105="",$K105=""),"No limit set",IF(NOT(ISNUMBER($H105)),"Check value",IF(AND(ISNUMBER($J105),$H105&lt;$J105),"Outside",IF(AND(ISNUMBER($K105),$H105&gt;$K105),"Outside","Within")))))</f>
        <v/>
      </c>
      <c r="M105" s="28" t="n"/>
      <c r="N105" s="61" t="n"/>
      <c r="O105" s="28" t="n"/>
    </row>
    <row r="106" ht="40" customHeight="1">
      <c r="A106" s="38" t="n">
        <v>80</v>
      </c>
      <c r="B106" s="28" t="inlineStr">
        <is>
          <t>Doors and hardware</t>
        </is>
      </c>
      <c r="C106" s="28" t="inlineStr">
        <is>
          <t>Door operation, alignment and floor clearance checked</t>
        </is>
      </c>
      <c r="D106" s="28" t="inlineStr">
        <is>
          <t>Doors swing freely, latch positively and close fully; floor clearance within the specified limit; no binding on frame, floor or hardware</t>
        </is>
      </c>
      <c r="E106" s="28" t="inlineStr">
        <is>
          <t>Project specification</t>
        </is>
      </c>
      <c r="F106" s="30" t="n"/>
      <c r="G106" s="30" t="n"/>
      <c r="H106" s="39" t="n"/>
      <c r="I106" s="28" t="inlineStr">
        <is>
          <t>Per specified clearance</t>
        </is>
      </c>
      <c r="J106" s="39" t="n"/>
      <c r="K106" s="39" t="n"/>
      <c r="L106" s="40">
        <f>IF($H106="","",IF(AND($J106="",$K106=""),"No limit set",IF(NOT(ISNUMBER($H106)),"Check value",IF(AND(ISNUMBER($J106),$H106&lt;$J106),"Outside",IF(AND(ISNUMBER($K106),$H106&gt;$K106),"Outside","Within")))))</f>
        <v/>
      </c>
      <c r="M106" s="28" t="n"/>
      <c r="N106" s="61" t="n"/>
      <c r="O106" s="28" t="n"/>
    </row>
    <row r="107" ht="40" customHeight="1">
      <c r="A107" s="38" t="n">
        <v>81</v>
      </c>
      <c r="B107" s="28" t="inlineStr">
        <is>
          <t>Doors and hardware</t>
        </is>
      </c>
      <c r="C107" s="28" t="inlineStr">
        <is>
          <t>Access control, hold-open devices and fire alarm interface proven</t>
        </is>
      </c>
      <c r="D107" s="28" t="inlineStr">
        <is>
          <t>Electrified hardware, hold-open devices and access control release proven on fire alarm activation and on loss of power</t>
        </is>
      </c>
      <c r="E107" s="28" t="inlineStr">
        <is>
          <t>Project fire and security specification</t>
        </is>
      </c>
      <c r="F107" s="30" t="n"/>
      <c r="G107" s="30" t="n"/>
      <c r="H107" s="39" t="n"/>
      <c r="I107" s="28" t="inlineStr">
        <is>
          <t>—</t>
        </is>
      </c>
      <c r="J107" s="39" t="n"/>
      <c r="K107" s="39" t="n"/>
      <c r="L107" s="40">
        <f>IF($H107="","",IF(AND($J107="",$K107=""),"No limit set",IF(NOT(ISNUMBER($H107)),"Check value",IF(AND(ISNUMBER($J107),$H107&lt;$J107),"Outside",IF(AND(ISNUMBER($K107),$H107&gt;$K107),"Outside","Within")))))</f>
        <v/>
      </c>
      <c r="M107" s="28" t="n"/>
      <c r="N107" s="61" t="n"/>
      <c r="O107" s="28" t="n"/>
    </row>
    <row r="108" ht="21" customHeight="1">
      <c r="A108" s="33" t="inlineStr">
        <is>
          <t>19.  JOINERY</t>
        </is>
      </c>
      <c r="B108" s="34" t="n"/>
      <c r="C108" s="34" t="n"/>
      <c r="D108" s="7" t="n"/>
      <c r="E108" s="35" t="inlineStr">
        <is>
          <t>ITEMS CHECKED IN THIS ELEMENT</t>
        </is>
      </c>
      <c r="F108" s="36">
        <f>IF(SUMPRODUCT(--(ISNUMBER($A$109:$A$112)))=0,"",SUMPRODUCT(--(ISNUMBER($A$109:$A$112)),--($F$109:$F$112&lt;&gt;""))/SUMPRODUCT(--(ISNUMBER($A$109:$A$112))))</f>
        <v/>
      </c>
      <c r="G108" s="26">
        <f>SUMPRODUCT(--(ISNUMBER($A$109:$A$112)))</f>
        <v/>
      </c>
      <c r="H108" s="37" t="n"/>
      <c r="I108" s="37" t="n"/>
      <c r="J108" s="37" t="n"/>
      <c r="K108" s="37" t="n"/>
      <c r="L108" s="37" t="n"/>
      <c r="M108" s="37" t="n"/>
      <c r="N108" s="37" t="n"/>
      <c r="O108" s="37" t="n"/>
    </row>
    <row r="109" ht="40" customHeight="1">
      <c r="A109" s="38" t="n">
        <v>82</v>
      </c>
      <c r="B109" s="28" t="inlineStr">
        <is>
          <t>Joinery</t>
        </is>
      </c>
      <c r="C109" s="28" t="inlineStr">
        <is>
          <t>Materials, finishes and substrate moisture content verified before installation</t>
        </is>
      </c>
      <c r="D109" s="28" t="inlineStr">
        <is>
          <t>Board type, finish and edge treatment as specified; moisture content within the specified range for the internal environment</t>
        </is>
      </c>
      <c r="E109" s="28" t="inlineStr">
        <is>
          <t>Project joinery specification</t>
        </is>
      </c>
      <c r="F109" s="30" t="n"/>
      <c r="G109" s="30" t="n"/>
      <c r="H109" s="39" t="n"/>
      <c r="I109" s="28" t="inlineStr">
        <is>
          <t>Per specification</t>
        </is>
      </c>
      <c r="J109" s="39" t="n"/>
      <c r="K109" s="39" t="n"/>
      <c r="L109" s="40">
        <f>IF($H109="","",IF(AND($J109="",$K109=""),"No limit set",IF(NOT(ISNUMBER($H109)),"Check value",IF(AND(ISNUMBER($J109),$H109&lt;$J109),"Outside",IF(AND(ISNUMBER($K109),$H109&gt;$K109),"Outside","Within")))))</f>
        <v/>
      </c>
      <c r="M109" s="28" t="n"/>
      <c r="N109" s="61" t="n"/>
      <c r="O109" s="28" t="n"/>
    </row>
    <row r="110" ht="40" customHeight="1">
      <c r="A110" s="38" t="n">
        <v>83</v>
      </c>
      <c r="B110" s="28" t="inlineStr">
        <is>
          <t>Joinery</t>
        </is>
      </c>
      <c r="C110" s="28" t="inlineStr">
        <is>
          <t>Setting-out, level, plumb and scribing of units checked</t>
        </is>
      </c>
      <c r="D110" s="28" t="inlineStr">
        <is>
          <t>Units level and plumb within the specified tolerance; scribes tight and consistent; no packing visible in the finished work</t>
        </is>
      </c>
      <c r="E110" s="28" t="inlineStr">
        <is>
          <t>Project joinery specification</t>
        </is>
      </c>
      <c r="F110" s="30" t="n"/>
      <c r="G110" s="30" t="n"/>
      <c r="H110" s="39" t="n"/>
      <c r="I110" s="28" t="inlineStr">
        <is>
          <t>Per specified tolerance</t>
        </is>
      </c>
      <c r="J110" s="39" t="n"/>
      <c r="K110" s="39" t="n"/>
      <c r="L110" s="40">
        <f>IF($H110="","",IF(AND($J110="",$K110=""),"No limit set",IF(NOT(ISNUMBER($H110)),"Check value",IF(AND(ISNUMBER($J110),$H110&lt;$J110),"Outside",IF(AND(ISNUMBER($K110),$H110&gt;$K110),"Outside","Within")))))</f>
        <v/>
      </c>
      <c r="M110" s="28" t="n"/>
      <c r="N110" s="61" t="n"/>
      <c r="O110" s="28" t="n"/>
    </row>
    <row r="111" ht="40" customHeight="1">
      <c r="A111" s="38" t="n">
        <v>84</v>
      </c>
      <c r="B111" s="28" t="inlineStr">
        <is>
          <t>Joinery</t>
        </is>
      </c>
      <c r="C111" s="28" t="inlineStr">
        <is>
          <t>Fixings, backing and load capacity of wall-hung items verified</t>
        </is>
      </c>
      <c r="D111" s="28" t="inlineStr">
        <is>
          <t>Fixings appropriate to the substrate and the design load; noggings or backing installed where required; loaded items proof-checked before handover</t>
        </is>
      </c>
      <c r="E111" s="28" t="inlineStr">
        <is>
          <t>Project joinery specification</t>
        </is>
      </c>
      <c r="F111" s="30" t="n"/>
      <c r="G111" s="30" t="n"/>
      <c r="H111" s="39" t="n"/>
      <c r="I111" s="28" t="inlineStr">
        <is>
          <t>—</t>
        </is>
      </c>
      <c r="J111" s="39" t="n"/>
      <c r="K111" s="39" t="n"/>
      <c r="L111" s="40">
        <f>IF($H111="","",IF(AND($J111="",$K111=""),"No limit set",IF(NOT(ISNUMBER($H111)),"Check value",IF(AND(ISNUMBER($J111),$H111&lt;$J111),"Outside",IF(AND(ISNUMBER($K111),$H111&gt;$K111),"Outside","Within")))))</f>
        <v/>
      </c>
      <c r="M111" s="28" t="n"/>
      <c r="N111" s="61" t="n"/>
      <c r="O111" s="28" t="n"/>
    </row>
    <row r="112" ht="40" customHeight="1">
      <c r="A112" s="38" t="n">
        <v>85</v>
      </c>
      <c r="B112" s="28" t="inlineStr">
        <is>
          <t>Joinery</t>
        </is>
      </c>
      <c r="C112" s="28" t="inlineStr">
        <is>
          <t>Hardware, drawer and door operation and gap consistency checked</t>
        </is>
      </c>
      <c r="D112" s="28" t="inlineStr">
        <is>
          <t>All hardware adjusted, operating smoothly and aligned; gaps consistent and within the specified tolerance</t>
        </is>
      </c>
      <c r="E112" s="28" t="inlineStr">
        <is>
          <t>Project joinery specification</t>
        </is>
      </c>
      <c r="F112" s="30" t="n"/>
      <c r="G112" s="30" t="n"/>
      <c r="H112" s="39" t="n"/>
      <c r="I112" s="28" t="inlineStr">
        <is>
          <t>Per specified gap</t>
        </is>
      </c>
      <c r="J112" s="39" t="n"/>
      <c r="K112" s="39" t="n"/>
      <c r="L112" s="40">
        <f>IF($H112="","",IF(AND($J112="",$K112=""),"No limit set",IF(NOT(ISNUMBER($H112)),"Check value",IF(AND(ISNUMBER($J112),$H112&lt;$J112),"Outside",IF(AND(ISNUMBER($K112),$H112&gt;$K112),"Outside","Within")))))</f>
        <v/>
      </c>
      <c r="M112" s="28" t="n"/>
      <c r="N112" s="61" t="n"/>
      <c r="O112" s="28" t="n"/>
    </row>
    <row r="113" ht="21" customHeight="1">
      <c r="A113" s="33" t="inlineStr">
        <is>
          <t>20.  WET-AREA AND TILING</t>
        </is>
      </c>
      <c r="B113" s="34" t="n"/>
      <c r="C113" s="34" t="n"/>
      <c r="D113" s="7" t="n"/>
      <c r="E113" s="35" t="inlineStr">
        <is>
          <t>ITEMS CHECKED IN THIS ELEMENT</t>
        </is>
      </c>
      <c r="F113" s="36">
        <f>IF(SUMPRODUCT(--(ISNUMBER($A$114:$A$117)))=0,"",SUMPRODUCT(--(ISNUMBER($A$114:$A$117)),--($F$114:$F$117&lt;&gt;""))/SUMPRODUCT(--(ISNUMBER($A$114:$A$117))))</f>
        <v/>
      </c>
      <c r="G113" s="26">
        <f>SUMPRODUCT(--(ISNUMBER($A$114:$A$117)))</f>
        <v/>
      </c>
      <c r="H113" s="37" t="n"/>
      <c r="I113" s="37" t="n"/>
      <c r="J113" s="37" t="n"/>
      <c r="K113" s="37" t="n"/>
      <c r="L113" s="37" t="n"/>
      <c r="M113" s="37" t="n"/>
      <c r="N113" s="37" t="n"/>
      <c r="O113" s="37" t="n"/>
    </row>
    <row r="114" ht="40" customHeight="1">
      <c r="A114" s="38" t="n">
        <v>86</v>
      </c>
      <c r="B114" s="28" t="inlineStr">
        <is>
          <t>Wet-area and tiling</t>
        </is>
      </c>
      <c r="C114" s="28" t="inlineStr">
        <is>
          <t>Wet-area waterproofing complete, inspected and flood tested before tiling</t>
        </is>
      </c>
      <c r="D114" s="28" t="inlineStr">
        <is>
          <t>Membrane to the specified height and extent; junctions, penetrations and hobs detailed; flood test held for the specified period with no loss</t>
        </is>
      </c>
      <c r="E114" s="28" t="inlineStr">
        <is>
          <t>Project wet-area specification</t>
        </is>
      </c>
      <c r="F114" s="30" t="n"/>
      <c r="G114" s="30" t="n"/>
      <c r="H114" s="39" t="n"/>
      <c r="I114" s="28" t="inlineStr">
        <is>
          <t>No loss in 24 h</t>
        </is>
      </c>
      <c r="J114" s="39" t="n"/>
      <c r="K114" s="39" t="n"/>
      <c r="L114" s="40">
        <f>IF($H114="","",IF(AND($J114="",$K114=""),"No limit set",IF(NOT(ISNUMBER($H114)),"Check value",IF(AND(ISNUMBER($J114),$H114&lt;$J114),"Outside",IF(AND(ISNUMBER($K114),$H114&gt;$K114),"Outside","Within")))))</f>
        <v/>
      </c>
      <c r="M114" s="28" t="n"/>
      <c r="N114" s="61" t="n"/>
      <c r="O114" s="28" t="n"/>
    </row>
    <row r="115" ht="40" customHeight="1">
      <c r="A115" s="38" t="n">
        <v>87</v>
      </c>
      <c r="B115" s="28" t="inlineStr">
        <is>
          <t>Wet-area and tiling</t>
        </is>
      </c>
      <c r="C115" s="28" t="inlineStr">
        <is>
          <t>Falls to floor wastes verified before and after tiling</t>
        </is>
      </c>
      <c r="D115" s="28" t="inlineStr">
        <is>
          <t>Continuous fall to every waste with no ponding; fall not less than the specified minimum; water test carried out after tiling</t>
        </is>
      </c>
      <c r="E115" s="28" t="inlineStr">
        <is>
          <t>Project wet-area specification</t>
        </is>
      </c>
      <c r="F115" s="30" t="n"/>
      <c r="G115" s="30" t="n"/>
      <c r="H115" s="39" t="n"/>
      <c r="I115" s="28" t="inlineStr">
        <is>
          <t>≥ specified fall</t>
        </is>
      </c>
      <c r="J115" s="39" t="n"/>
      <c r="K115" s="39" t="n"/>
      <c r="L115" s="40">
        <f>IF($H115="","",IF(AND($J115="",$K115=""),"No limit set",IF(NOT(ISNUMBER($H115)),"Check value",IF(AND(ISNUMBER($J115),$H115&lt;$J115),"Outside",IF(AND(ISNUMBER($K115),$H115&gt;$K115),"Outside","Within")))))</f>
        <v/>
      </c>
      <c r="M115" s="28" t="n"/>
      <c r="N115" s="61" t="n"/>
      <c r="O115" s="28" t="n"/>
    </row>
    <row r="116" ht="40" customHeight="1">
      <c r="A116" s="38" t="n">
        <v>88</v>
      </c>
      <c r="B116" s="28" t="inlineStr">
        <is>
          <t>Wet-area and tiling</t>
        </is>
      </c>
      <c r="C116" s="28" t="inlineStr">
        <is>
          <t>Tile setting, adhesive coverage, level and lippage checked</t>
        </is>
      </c>
      <c r="D116" s="28" t="inlineStr">
        <is>
          <t>Adhesive coverage not less than specified, verified by lifting one tile per area; lippage and level within the specified tolerance; layout as the approved setting-out</t>
        </is>
      </c>
      <c r="E116" s="28" t="inlineStr">
        <is>
          <t>ISO 13007; project tiling specification</t>
        </is>
      </c>
      <c r="F116" s="30" t="n"/>
      <c r="G116" s="30" t="n"/>
      <c r="H116" s="39" t="n"/>
      <c r="I116" s="28" t="inlineStr">
        <is>
          <t>Per specified lippage</t>
        </is>
      </c>
      <c r="J116" s="39" t="n"/>
      <c r="K116" s="39" t="n"/>
      <c r="L116" s="40">
        <f>IF($H116="","",IF(AND($J116="",$K116=""),"No limit set",IF(NOT(ISNUMBER($H116)),"Check value",IF(AND(ISNUMBER($J116),$H116&lt;$J116),"Outside",IF(AND(ISNUMBER($K116),$H116&gt;$K116),"Outside","Within")))))</f>
        <v/>
      </c>
      <c r="M116" s="28" t="n"/>
      <c r="N116" s="61" t="n"/>
      <c r="O116" s="28" t="n"/>
    </row>
    <row r="117" ht="40" customHeight="1">
      <c r="A117" s="38" t="n">
        <v>89</v>
      </c>
      <c r="B117" s="28" t="inlineStr">
        <is>
          <t>Wet-area and tiling</t>
        </is>
      </c>
      <c r="C117" s="28" t="inlineStr">
        <is>
          <t>Grouting, sealants and movement joints installed as detailed</t>
        </is>
      </c>
      <c r="D117" s="28" t="inlineStr">
        <is>
          <t>Grout type and colour as specified and fully packed; movement joints at the detailed spacing and at every change of plane; sealant tooled and fully adhered</t>
        </is>
      </c>
      <c r="E117" s="28" t="inlineStr">
        <is>
          <t>ISO 13007</t>
        </is>
      </c>
      <c r="F117" s="30" t="n"/>
      <c r="G117" s="30" t="n"/>
      <c r="H117" s="39" t="n"/>
      <c r="I117" s="28" t="inlineStr">
        <is>
          <t>As detailed</t>
        </is>
      </c>
      <c r="J117" s="39" t="n"/>
      <c r="K117" s="39" t="n"/>
      <c r="L117" s="40">
        <f>IF($H117="","",IF(AND($J117="",$K117=""),"No limit set",IF(NOT(ISNUMBER($H117)),"Check value",IF(AND(ISNUMBER($J117),$H117&lt;$J117),"Outside",IF(AND(ISNUMBER($K117),$H117&gt;$K117),"Outside","Within")))))</f>
        <v/>
      </c>
      <c r="M117" s="28" t="n"/>
      <c r="N117" s="61" t="n"/>
      <c r="O117" s="28" t="n"/>
    </row>
    <row r="118" ht="21" customHeight="1">
      <c r="A118" s="33" t="inlineStr">
        <is>
          <t>21.  PAINTING AND FINISHES</t>
        </is>
      </c>
      <c r="B118" s="34" t="n"/>
      <c r="C118" s="34" t="n"/>
      <c r="D118" s="7" t="n"/>
      <c r="E118" s="35" t="inlineStr">
        <is>
          <t>ITEMS CHECKED IN THIS ELEMENT</t>
        </is>
      </c>
      <c r="F118" s="36">
        <f>IF(SUMPRODUCT(--(ISNUMBER($A$119:$A$122)))=0,"",SUMPRODUCT(--(ISNUMBER($A$119:$A$122)),--($F$119:$F$122&lt;&gt;""))/SUMPRODUCT(--(ISNUMBER($A$119:$A$122))))</f>
        <v/>
      </c>
      <c r="G118" s="26">
        <f>SUMPRODUCT(--(ISNUMBER($A$119:$A$122)))</f>
        <v/>
      </c>
      <c r="H118" s="37" t="n"/>
      <c r="I118" s="37" t="n"/>
      <c r="J118" s="37" t="n"/>
      <c r="K118" s="37" t="n"/>
      <c r="L118" s="37" t="n"/>
      <c r="M118" s="37" t="n"/>
      <c r="N118" s="37" t="n"/>
      <c r="O118" s="37" t="n"/>
    </row>
    <row r="119" ht="40" customHeight="1">
      <c r="A119" s="38" t="n">
        <v>90</v>
      </c>
      <c r="B119" s="28" t="inlineStr">
        <is>
          <t>Painting and finishes</t>
        </is>
      </c>
      <c r="C119" s="28" t="inlineStr">
        <is>
          <t>Substrate preparation, moisture content and priming verified before coating</t>
        </is>
      </c>
      <c r="D119" s="28" t="inlineStr">
        <is>
          <t>Surface clean, sound and within the specified moisture limit; primer compatible with substrate and topcoat; approved sample area accepted</t>
        </is>
      </c>
      <c r="E119" s="28" t="inlineStr">
        <is>
          <t>ISO 12944</t>
        </is>
      </c>
      <c r="F119" s="30" t="n"/>
      <c r="G119" s="30" t="n"/>
      <c r="H119" s="39" t="n"/>
      <c r="I119" s="28" t="inlineStr">
        <is>
          <t>Per specification</t>
        </is>
      </c>
      <c r="J119" s="39" t="n"/>
      <c r="K119" s="39" t="n"/>
      <c r="L119" s="40">
        <f>IF($H119="","",IF(AND($J119="",$K119=""),"No limit set",IF(NOT(ISNUMBER($H119)),"Check value",IF(AND(ISNUMBER($J119),$H119&lt;$J119),"Outside",IF(AND(ISNUMBER($K119),$H119&gt;$K119),"Outside","Within")))))</f>
        <v/>
      </c>
      <c r="M119" s="28" t="n"/>
      <c r="N119" s="61" t="n"/>
      <c r="O119" s="28" t="n"/>
    </row>
    <row r="120" ht="40" customHeight="1">
      <c r="A120" s="38" t="n">
        <v>91</v>
      </c>
      <c r="B120" s="28" t="inlineStr">
        <is>
          <t>Painting and finishes</t>
        </is>
      </c>
      <c r="C120" s="28" t="inlineStr">
        <is>
          <t>Coating system, number of coats and film thickness as specified</t>
        </is>
      </c>
      <c r="D120" s="28" t="inlineStr">
        <is>
          <t>Product and system match the approved schedule; number of coats verified; dry film thickness within the specified range where measurable</t>
        </is>
      </c>
      <c r="E120" s="28" t="inlineStr">
        <is>
          <t>ISO 2808; ISO 12944</t>
        </is>
      </c>
      <c r="F120" s="30" t="n"/>
      <c r="G120" s="30" t="n"/>
      <c r="H120" s="39" t="n"/>
      <c r="I120" s="28" t="inlineStr">
        <is>
          <t>≥ specified DFT</t>
        </is>
      </c>
      <c r="J120" s="39" t="n"/>
      <c r="K120" s="39" t="n"/>
      <c r="L120" s="40">
        <f>IF($H120="","",IF(AND($J120="",$K120=""),"No limit set",IF(NOT(ISNUMBER($H120)),"Check value",IF(AND(ISNUMBER($J120),$H120&lt;$J120),"Outside",IF(AND(ISNUMBER($K120),$H120&gt;$K120),"Outside","Within")))))</f>
        <v/>
      </c>
      <c r="M120" s="28" t="n"/>
      <c r="N120" s="61" t="n"/>
      <c r="O120" s="28" t="n"/>
    </row>
    <row r="121" ht="40" customHeight="1">
      <c r="A121" s="38" t="n">
        <v>92</v>
      </c>
      <c r="B121" s="28" t="inlineStr">
        <is>
          <t>Painting and finishes</t>
        </is>
      </c>
      <c r="C121" s="28" t="inlineStr">
        <is>
          <t>Application conditions within the manufacturer's stated limits</t>
        </is>
      </c>
      <c r="D121" s="28" t="inlineStr">
        <is>
          <t>Substrate and air temperature, relative humidity and dew point within limits at the time of application, recorded for every area</t>
        </is>
      </c>
      <c r="E121" s="28" t="inlineStr">
        <is>
          <t>Manufacturer's instruction</t>
        </is>
      </c>
      <c r="F121" s="30" t="n"/>
      <c r="G121" s="30" t="n"/>
      <c r="H121" s="39" t="n"/>
      <c r="I121" s="28" t="inlineStr">
        <is>
          <t>Per manufacturer</t>
        </is>
      </c>
      <c r="J121" s="39" t="n"/>
      <c r="K121" s="39" t="n"/>
      <c r="L121" s="40">
        <f>IF($H121="","",IF(AND($J121="",$K121=""),"No limit set",IF(NOT(ISNUMBER($H121)),"Check value",IF(AND(ISNUMBER($J121),$H121&lt;$J121),"Outside",IF(AND(ISNUMBER($K121),$H121&gt;$K121),"Outside","Within")))))</f>
        <v/>
      </c>
      <c r="M121" s="28" t="n"/>
      <c r="N121" s="61" t="n"/>
      <c r="O121" s="28" t="n"/>
    </row>
    <row r="122" ht="40" customHeight="1">
      <c r="A122" s="38" t="n">
        <v>93</v>
      </c>
      <c r="B122" s="28" t="inlineStr">
        <is>
          <t>Painting and finishes</t>
        </is>
      </c>
      <c r="C122" s="28" t="inlineStr">
        <is>
          <t>Finished appearance accepted against the approved sample under the final lighting</t>
        </is>
      </c>
      <c r="D122" s="28" t="inlineStr">
        <is>
          <t>Uniform colour, sheen and coverage with no runs, holidays, brush marks or overspray, viewed under the final installed lighting</t>
        </is>
      </c>
      <c r="E122" s="28" t="inlineStr">
        <is>
          <t>Approved sample panel</t>
        </is>
      </c>
      <c r="F122" s="30" t="n"/>
      <c r="G122" s="30" t="n"/>
      <c r="H122" s="39" t="n"/>
      <c r="I122" s="28" t="inlineStr">
        <is>
          <t>Per sample panel</t>
        </is>
      </c>
      <c r="J122" s="39" t="n"/>
      <c r="K122" s="39" t="n"/>
      <c r="L122" s="40">
        <f>IF($H122="","",IF(AND($J122="",$K122=""),"No limit set",IF(NOT(ISNUMBER($H122)),"Check value",IF(AND(ISNUMBER($J122),$H122&lt;$J122),"Outside",IF(AND(ISNUMBER($K122),$H122&gt;$K122),"Outside","Within")))))</f>
        <v/>
      </c>
      <c r="M122" s="28" t="n"/>
      <c r="N122" s="61" t="n"/>
      <c r="O122" s="28" t="n"/>
    </row>
    <row r="123" ht="21" customHeight="1">
      <c r="A123" s="33" t="inlineStr">
        <is>
          <t>22.  FLOOR COVERINGS</t>
        </is>
      </c>
      <c r="B123" s="34" t="n"/>
      <c r="C123" s="34" t="n"/>
      <c r="D123" s="7" t="n"/>
      <c r="E123" s="35" t="inlineStr">
        <is>
          <t>ITEMS CHECKED IN THIS ELEMENT</t>
        </is>
      </c>
      <c r="F123" s="36">
        <f>IF(SUMPRODUCT(--(ISNUMBER($A$124:$A$127)))=0,"",SUMPRODUCT(--(ISNUMBER($A$124:$A$127)),--($F$124:$F$127&lt;&gt;""))/SUMPRODUCT(--(ISNUMBER($A$124:$A$127))))</f>
        <v/>
      </c>
      <c r="G123" s="26">
        <f>SUMPRODUCT(--(ISNUMBER($A$124:$A$127)))</f>
        <v/>
      </c>
      <c r="H123" s="37" t="n"/>
      <c r="I123" s="37" t="n"/>
      <c r="J123" s="37" t="n"/>
      <c r="K123" s="37" t="n"/>
      <c r="L123" s="37" t="n"/>
      <c r="M123" s="37" t="n"/>
      <c r="N123" s="37" t="n"/>
      <c r="O123" s="37" t="n"/>
    </row>
    <row r="124" ht="40" customHeight="1">
      <c r="A124" s="38" t="n">
        <v>94</v>
      </c>
      <c r="B124" s="28" t="inlineStr">
        <is>
          <t>Floor coverings</t>
        </is>
      </c>
      <c r="C124" s="28" t="inlineStr">
        <is>
          <t>Substrate flatness, moisture content and preparation verified</t>
        </is>
      </c>
      <c r="D124" s="28" t="inlineStr">
        <is>
          <t>Substrate within the specified flatness; moisture content below the limit stated by the flooring manufacturer, tested and recorded; laitance removed</t>
        </is>
      </c>
      <c r="E124" s="28" t="inlineStr">
        <is>
          <t>ISO 10874; manufacturer's instruction</t>
        </is>
      </c>
      <c r="F124" s="30" t="n"/>
      <c r="G124" s="30" t="n"/>
      <c r="H124" s="39" t="n"/>
      <c r="I124" s="28" t="inlineStr">
        <is>
          <t>Per manufacturer</t>
        </is>
      </c>
      <c r="J124" s="39" t="n"/>
      <c r="K124" s="39" t="n"/>
      <c r="L124" s="40">
        <f>IF($H124="","",IF(AND($J124="",$K124=""),"No limit set",IF(NOT(ISNUMBER($H124)),"Check value",IF(AND(ISNUMBER($J124),$H124&lt;$J124),"Outside",IF(AND(ISNUMBER($K124),$H124&gt;$K124),"Outside","Within")))))</f>
        <v/>
      </c>
      <c r="M124" s="28" t="n"/>
      <c r="N124" s="61" t="n"/>
      <c r="O124" s="28" t="n"/>
    </row>
    <row r="125" ht="40" customHeight="1">
      <c r="A125" s="38" t="n">
        <v>95</v>
      </c>
      <c r="B125" s="28" t="inlineStr">
        <is>
          <t>Floor coverings</t>
        </is>
      </c>
      <c r="C125" s="28" t="inlineStr">
        <is>
          <t>Material batch, colour and direction consistent with the approved sample</t>
        </is>
      </c>
      <c r="D125" s="28" t="inlineStr">
        <is>
          <t>Batch and dye lot consistent across each area; pattern and pile direction as the approved setting-out; material conditioned before laying</t>
        </is>
      </c>
      <c r="E125" s="28" t="inlineStr">
        <is>
          <t>Approved sample</t>
        </is>
      </c>
      <c r="F125" s="30" t="n"/>
      <c r="G125" s="30" t="n"/>
      <c r="H125" s="39" t="n"/>
      <c r="I125" s="28" t="inlineStr">
        <is>
          <t>—</t>
        </is>
      </c>
      <c r="J125" s="39" t="n"/>
      <c r="K125" s="39" t="n"/>
      <c r="L125" s="40">
        <f>IF($H125="","",IF(AND($J125="",$K125=""),"No limit set",IF(NOT(ISNUMBER($H125)),"Check value",IF(AND(ISNUMBER($J125),$H125&lt;$J125),"Outside",IF(AND(ISNUMBER($K125),$H125&gt;$K125),"Outside","Within")))))</f>
        <v/>
      </c>
      <c r="M125" s="28" t="n"/>
      <c r="N125" s="61" t="n"/>
      <c r="O125" s="28" t="n"/>
    </row>
    <row r="126" ht="40" customHeight="1">
      <c r="A126" s="38" t="n">
        <v>96</v>
      </c>
      <c r="B126" s="28" t="inlineStr">
        <is>
          <t>Floor coverings</t>
        </is>
      </c>
      <c r="C126" s="28" t="inlineStr">
        <is>
          <t>Adhesive, welding and seam quality inspected</t>
        </is>
      </c>
      <c r="D126" s="28" t="inlineStr">
        <is>
          <t>Adhesive type and open time as the manufacturer requires; welded seams continuous and dressed flush; coved skirtings formed as detailed in wet and clinical areas</t>
        </is>
      </c>
      <c r="E126" s="28" t="inlineStr">
        <is>
          <t>Manufacturer's instruction</t>
        </is>
      </c>
      <c r="F126" s="30" t="n"/>
      <c r="G126" s="30" t="n"/>
      <c r="H126" s="39" t="n"/>
      <c r="I126" s="28" t="inlineStr">
        <is>
          <t>—</t>
        </is>
      </c>
      <c r="J126" s="39" t="n"/>
      <c r="K126" s="39" t="n"/>
      <c r="L126" s="40">
        <f>IF($H126="","",IF(AND($J126="",$K126=""),"No limit set",IF(NOT(ISNUMBER($H126)),"Check value",IF(AND(ISNUMBER($J126),$H126&lt;$J126),"Outside",IF(AND(ISNUMBER($K126),$H126&gt;$K126),"Outside","Within")))))</f>
        <v/>
      </c>
      <c r="M126" s="28" t="n"/>
      <c r="N126" s="61" t="n"/>
      <c r="O126" s="28" t="n"/>
    </row>
    <row r="127" ht="40" customHeight="1">
      <c r="A127" s="38" t="n">
        <v>97</v>
      </c>
      <c r="B127" s="28" t="inlineStr">
        <is>
          <t>Floor coverings</t>
        </is>
      </c>
      <c r="C127" s="28" t="inlineStr">
        <is>
          <t>Junctions, thresholds, slip resistance and protection verified</t>
        </is>
      </c>
      <c r="D127" s="28" t="inlineStr">
        <is>
          <t>Thresholds and trims as detailed; slip resistance classification as specified for the area; protection installed and maintained until handover</t>
        </is>
      </c>
      <c r="E127" s="28" t="inlineStr">
        <is>
          <t>Project slip resistance specification</t>
        </is>
      </c>
      <c r="F127" s="30" t="n"/>
      <c r="G127" s="30" t="n"/>
      <c r="H127" s="39" t="n"/>
      <c r="I127" s="28" t="inlineStr">
        <is>
          <t>Per specified class</t>
        </is>
      </c>
      <c r="J127" s="39" t="n"/>
      <c r="K127" s="39" t="n"/>
      <c r="L127" s="40">
        <f>IF($H127="","",IF(AND($J127="",$K127=""),"No limit set",IF(NOT(ISNUMBER($H127)),"Check value",IF(AND(ISNUMBER($J127),$H127&lt;$J127),"Outside",IF(AND(ISNUMBER($K127),$H127&gt;$K127),"Outside","Within")))))</f>
        <v/>
      </c>
      <c r="M127" s="28" t="n"/>
      <c r="N127" s="61" t="n"/>
      <c r="O127" s="28" t="n"/>
    </row>
    <row r="128" ht="21" customHeight="1">
      <c r="A128" s="33" t="inlineStr">
        <is>
          <t>23.  CEILINGS</t>
        </is>
      </c>
      <c r="B128" s="34" t="n"/>
      <c r="C128" s="34" t="n"/>
      <c r="D128" s="7" t="n"/>
      <c r="E128" s="35" t="inlineStr">
        <is>
          <t>ITEMS CHECKED IN THIS ELEMENT</t>
        </is>
      </c>
      <c r="F128" s="36">
        <f>IF(SUMPRODUCT(--(ISNUMBER($A$129:$A$132)))=0,"",SUMPRODUCT(--(ISNUMBER($A$129:$A$132)),--($F$129:$F$132&lt;&gt;""))/SUMPRODUCT(--(ISNUMBER($A$129:$A$132))))</f>
        <v/>
      </c>
      <c r="G128" s="26">
        <f>SUMPRODUCT(--(ISNUMBER($A$129:$A$132)))</f>
        <v/>
      </c>
      <c r="H128" s="37" t="n"/>
      <c r="I128" s="37" t="n"/>
      <c r="J128" s="37" t="n"/>
      <c r="K128" s="37" t="n"/>
      <c r="L128" s="37" t="n"/>
      <c r="M128" s="37" t="n"/>
      <c r="N128" s="37" t="n"/>
      <c r="O128" s="37" t="n"/>
    </row>
    <row r="129" ht="40" customHeight="1">
      <c r="A129" s="38" t="n">
        <v>98</v>
      </c>
      <c r="B129" s="28" t="inlineStr">
        <is>
          <t>Ceilings</t>
        </is>
      </c>
      <c r="C129" s="28" t="inlineStr">
        <is>
          <t>Suspension system, hangers and bracing installed to the certified system</t>
        </is>
      </c>
      <c r="D129" s="28" t="inlineStr">
        <is>
          <t>Hanger type and spacing, back-bracing and seismic restraint as designed; no hanger fixed to services or to non-structural elements</t>
        </is>
      </c>
      <c r="E129" s="28" t="inlineStr">
        <is>
          <t>Project ceiling specification</t>
        </is>
      </c>
      <c r="F129" s="30" t="n"/>
      <c r="G129" s="30" t="n"/>
      <c r="H129" s="39" t="n"/>
      <c r="I129" s="28" t="inlineStr">
        <is>
          <t>Per system</t>
        </is>
      </c>
      <c r="J129" s="39" t="n"/>
      <c r="K129" s="39" t="n"/>
      <c r="L129" s="40">
        <f>IF($H129="","",IF(AND($J129="",$K129=""),"No limit set",IF(NOT(ISNUMBER($H129)),"Check value",IF(AND(ISNUMBER($J129),$H129&lt;$J129),"Outside",IF(AND(ISNUMBER($K129),$H129&gt;$K129),"Outside","Within")))))</f>
        <v/>
      </c>
      <c r="M129" s="28" t="n"/>
      <c r="N129" s="61" t="n"/>
      <c r="O129" s="28" t="n"/>
    </row>
    <row r="130" ht="40" customHeight="1">
      <c r="A130" s="38" t="n">
        <v>99</v>
      </c>
      <c r="B130" s="28" t="inlineStr">
        <is>
          <t>Ceilings</t>
        </is>
      </c>
      <c r="C130" s="28" t="inlineStr">
        <is>
          <t>Ceiling level, line and grid set-out verified</t>
        </is>
      </c>
      <c r="D130" s="28" t="inlineStr">
        <is>
          <t>Level within ±3 mm over any 3 m; grid centred as the approved reflected ceiling plan; margins equal and not less than the specified minimum tile width</t>
        </is>
      </c>
      <c r="E130" s="28" t="inlineStr">
        <is>
          <t>Approved reflected ceiling plan</t>
        </is>
      </c>
      <c r="F130" s="30" t="n"/>
      <c r="G130" s="30" t="n"/>
      <c r="H130" s="39" t="n"/>
      <c r="I130" s="28" t="inlineStr">
        <is>
          <t>±3 mm / 3 m</t>
        </is>
      </c>
      <c r="J130" s="39" t="n"/>
      <c r="K130" s="39" t="n"/>
      <c r="L130" s="40">
        <f>IF($H130="","",IF(AND($J130="",$K130=""),"No limit set",IF(NOT(ISNUMBER($H130)),"Check value",IF(AND(ISNUMBER($J130),$H130&lt;$J130),"Outside",IF(AND(ISNUMBER($K130),$H130&gt;$K130),"Outside","Within")))))</f>
        <v/>
      </c>
      <c r="M130" s="28" t="n"/>
      <c r="N130" s="61" t="n"/>
      <c r="O130" s="28" t="n"/>
    </row>
    <row r="131" ht="40" customHeight="1">
      <c r="A131" s="38" t="n">
        <v>100</v>
      </c>
      <c r="B131" s="28" t="inlineStr">
        <is>
          <t>Ceilings</t>
        </is>
      </c>
      <c r="C131" s="28" t="inlineStr">
        <is>
          <t>Fire-rated and acoustic ceiling systems built exactly to the tested system</t>
        </is>
      </c>
      <c r="D131" s="28" t="inlineStr">
        <is>
          <t>Tile type, backing, hanger and penetration treatment identical to the tested system; system reference recorded for every ceiling type</t>
        </is>
      </c>
      <c r="E131" s="28" t="inlineStr">
        <is>
          <t>Tested system documentation</t>
        </is>
      </c>
      <c r="F131" s="30" t="n"/>
      <c r="G131" s="30" t="n"/>
      <c r="H131" s="39" t="n"/>
      <c r="I131" s="28" t="inlineStr">
        <is>
          <t>Per tested system</t>
        </is>
      </c>
      <c r="J131" s="39" t="n"/>
      <c r="K131" s="39" t="n"/>
      <c r="L131" s="40">
        <f>IF($H131="","",IF(AND($J131="",$K131=""),"No limit set",IF(NOT(ISNUMBER($H131)),"Check value",IF(AND(ISNUMBER($J131),$H131&lt;$J131),"Outside",IF(AND(ISNUMBER($K131),$H131&gt;$K131),"Outside","Within")))))</f>
        <v/>
      </c>
      <c r="M131" s="28" t="n"/>
      <c r="N131" s="61" t="n"/>
      <c r="O131" s="28" t="n"/>
    </row>
    <row r="132" ht="40" customHeight="1">
      <c r="A132" s="38" t="n">
        <v>101</v>
      </c>
      <c r="B132" s="28" t="inlineStr">
        <is>
          <t>Ceilings</t>
        </is>
      </c>
      <c r="C132" s="28" t="inlineStr">
        <is>
          <t>Service penetrations, access panels and above-ceiling clearances coordinated</t>
        </is>
      </c>
      <c r="D132" s="28" t="inlineStr">
        <is>
          <t>Access panels located to reach every serviceable item; penetrations trimmed and sealed; clearance above the ceiling as coordinated</t>
        </is>
      </c>
      <c r="E132" s="28" t="inlineStr">
        <is>
          <t>ISO 19650 coordinated information</t>
        </is>
      </c>
      <c r="F132" s="30" t="n"/>
      <c r="G132" s="30" t="n"/>
      <c r="H132" s="39" t="n"/>
      <c r="I132" s="28" t="inlineStr">
        <is>
          <t>—</t>
        </is>
      </c>
      <c r="J132" s="39" t="n"/>
      <c r="K132" s="39" t="n"/>
      <c r="L132" s="40">
        <f>IF($H132="","",IF(AND($J132="",$K132=""),"No limit set",IF(NOT(ISNUMBER($H132)),"Check value",IF(AND(ISNUMBER($J132),$H132&lt;$J132),"Outside",IF(AND(ISNUMBER($K132),$H132&gt;$K132),"Outside","Within")))))</f>
        <v/>
      </c>
      <c r="M132" s="28" t="n"/>
      <c r="N132" s="61" t="n"/>
      <c r="O132" s="28" t="n"/>
    </row>
    <row r="133" ht="21" customHeight="1">
      <c r="A133" s="33" t="inlineStr">
        <is>
          <t>24.  MECHANICAL SERVICES ROUGH-IN AND FINAL</t>
        </is>
      </c>
      <c r="B133" s="34" t="n"/>
      <c r="C133" s="34" t="n"/>
      <c r="D133" s="7" t="n"/>
      <c r="E133" s="35" t="inlineStr">
        <is>
          <t>ITEMS CHECKED IN THIS ELEMENT</t>
        </is>
      </c>
      <c r="F133" s="36">
        <f>IF(SUMPRODUCT(--(ISNUMBER($A$134:$A$138)))=0,"",SUMPRODUCT(--(ISNUMBER($A$134:$A$138)),--($F$134:$F$138&lt;&gt;""))/SUMPRODUCT(--(ISNUMBER($A$134:$A$138))))</f>
        <v/>
      </c>
      <c r="G133" s="26">
        <f>SUMPRODUCT(--(ISNUMBER($A$134:$A$138)))</f>
        <v/>
      </c>
      <c r="H133" s="37" t="n"/>
      <c r="I133" s="37" t="n"/>
      <c r="J133" s="37" t="n"/>
      <c r="K133" s="37" t="n"/>
      <c r="L133" s="37" t="n"/>
      <c r="M133" s="37" t="n"/>
      <c r="N133" s="37" t="n"/>
      <c r="O133" s="37" t="n"/>
    </row>
    <row r="134" ht="40" customHeight="1">
      <c r="A134" s="38" t="n">
        <v>102</v>
      </c>
      <c r="B134" s="28" t="inlineStr">
        <is>
          <t>Mechanical services rough-in and final</t>
        </is>
      </c>
      <c r="C134" s="28" t="inlineStr">
        <is>
          <t>Plant, ductwork and equipment installed to the coordinated model with maintenance access</t>
        </is>
      </c>
      <c r="D134" s="28" t="inlineStr">
        <is>
          <t>Position and level as the coordinated model; the manufacturer's stated maintenance clearances achieved and physically demonstrated</t>
        </is>
      </c>
      <c r="E134" s="28" t="inlineStr">
        <is>
          <t>ISO 19650; manufacturer's data</t>
        </is>
      </c>
      <c r="F134" s="30" t="n"/>
      <c r="G134" s="30" t="n"/>
      <c r="H134" s="39" t="n"/>
      <c r="I134" s="28" t="inlineStr">
        <is>
          <t>Per coordinated model</t>
        </is>
      </c>
      <c r="J134" s="39" t="n"/>
      <c r="K134" s="39" t="n"/>
      <c r="L134" s="40">
        <f>IF($H134="","",IF(AND($J134="",$K134=""),"No limit set",IF(NOT(ISNUMBER($H134)),"Check value",IF(AND(ISNUMBER($J134),$H134&lt;$J134),"Outside",IF(AND(ISNUMBER($K134),$H134&gt;$K134),"Outside","Within")))))</f>
        <v/>
      </c>
      <c r="M134" s="28" t="n"/>
      <c r="N134" s="61" t="n"/>
      <c r="O134" s="28" t="n"/>
    </row>
    <row r="135" ht="40" customHeight="1">
      <c r="A135" s="38" t="n">
        <v>103</v>
      </c>
      <c r="B135" s="28" t="inlineStr">
        <is>
          <t>Mechanical services rough-in and final</t>
        </is>
      </c>
      <c r="C135" s="28" t="inlineStr">
        <is>
          <t>Ductwork leakage tested to the specified class before concealment</t>
        </is>
      </c>
      <c r="D135" s="28" t="inlineStr">
        <is>
          <t>Duct pressure-tested to the specified leakage class before insulation or close-up; measured leakage within the allowable rate</t>
        </is>
      </c>
      <c r="E135" s="28" t="inlineStr">
        <is>
          <t>Project duct leakage specification</t>
        </is>
      </c>
      <c r="F135" s="30" t="n"/>
      <c r="G135" s="30" t="n"/>
      <c r="H135" s="39" t="n"/>
      <c r="I135" s="28" t="inlineStr">
        <is>
          <t>≤ specified class</t>
        </is>
      </c>
      <c r="J135" s="39" t="n"/>
      <c r="K135" s="39" t="n"/>
      <c r="L135" s="40">
        <f>IF($H135="","",IF(AND($J135="",$K135=""),"No limit set",IF(NOT(ISNUMBER($H135)),"Check value",IF(AND(ISNUMBER($J135),$H135&lt;$J135),"Outside",IF(AND(ISNUMBER($K135),$H135&gt;$K135),"Outside","Within")))))</f>
        <v/>
      </c>
      <c r="M135" s="28" t="n"/>
      <c r="N135" s="61" t="n"/>
      <c r="O135" s="28" t="n"/>
    </row>
    <row r="136" ht="40" customHeight="1">
      <c r="A136" s="38" t="n">
        <v>104</v>
      </c>
      <c r="B136" s="28" t="inlineStr">
        <is>
          <t>Mechanical services rough-in and final</t>
        </is>
      </c>
      <c r="C136" s="28" t="inlineStr">
        <is>
          <t>Pipework pressure tested, flushed and chemically treated</t>
        </is>
      </c>
      <c r="D136" s="28" t="inlineStr">
        <is>
          <t>Pressure test at the specified pressure held for the specified period with no loss; system flushed, treated and a water sample tested where specified</t>
        </is>
      </c>
      <c r="E136" s="28" t="inlineStr">
        <is>
          <t>Project mechanical specification</t>
        </is>
      </c>
      <c r="F136" s="30" t="n"/>
      <c r="G136" s="30" t="n"/>
      <c r="H136" s="39" t="n"/>
      <c r="I136" s="28" t="inlineStr">
        <is>
          <t>No loss</t>
        </is>
      </c>
      <c r="J136" s="39" t="n"/>
      <c r="K136" s="39" t="n"/>
      <c r="L136" s="40">
        <f>IF($H136="","",IF(AND($J136="",$K136=""),"No limit set",IF(NOT(ISNUMBER($H136)),"Check value",IF(AND(ISNUMBER($J136),$H136&lt;$J136),"Outside",IF(AND(ISNUMBER($K136),$H136&gt;$K136),"Outside","Within")))))</f>
        <v/>
      </c>
      <c r="M136" s="28" t="n"/>
      <c r="N136" s="61" t="n"/>
      <c r="O136" s="28" t="n"/>
    </row>
    <row r="137" ht="40" customHeight="1">
      <c r="A137" s="38" t="n">
        <v>105</v>
      </c>
      <c r="B137" s="28" t="inlineStr">
        <is>
          <t>Mechanical services rough-in and final</t>
        </is>
      </c>
      <c r="C137" s="28" t="inlineStr">
        <is>
          <t>Insulation, vapour barrier, supports and identification complete</t>
        </is>
      </c>
      <c r="D137" s="28" t="inlineStr">
        <is>
          <t>Insulation type and thickness as specified and continuous through supports; vapour barrier sealed; supports at the specified centres; every service labelled and direction-marked</t>
        </is>
      </c>
      <c r="E137" s="28" t="inlineStr">
        <is>
          <t>Project mechanical specification</t>
        </is>
      </c>
      <c r="F137" s="30" t="n"/>
      <c r="G137" s="30" t="n"/>
      <c r="H137" s="39" t="n"/>
      <c r="I137" s="28" t="inlineStr">
        <is>
          <t>Per specification</t>
        </is>
      </c>
      <c r="J137" s="39" t="n"/>
      <c r="K137" s="39" t="n"/>
      <c r="L137" s="40">
        <f>IF($H137="","",IF(AND($J137="",$K137=""),"No limit set",IF(NOT(ISNUMBER($H137)),"Check value",IF(AND(ISNUMBER($J137),$H137&lt;$J137),"Outside",IF(AND(ISNUMBER($K137),$H137&gt;$K137),"Outside","Within")))))</f>
        <v/>
      </c>
      <c r="M137" s="28" t="n"/>
      <c r="N137" s="61" t="n"/>
      <c r="O137" s="28" t="n"/>
    </row>
    <row r="138" ht="40" customHeight="1">
      <c r="A138" s="38" t="n">
        <v>106</v>
      </c>
      <c r="B138" s="28" t="inlineStr">
        <is>
          <t>Mechanical services rough-in and final</t>
        </is>
      </c>
      <c r="C138" s="28" t="inlineStr">
        <is>
          <t>Air balance, filtration and room pressure regimes verified</t>
        </is>
      </c>
      <c r="D138" s="28" t="inlineStr">
        <is>
          <t>Measured air quantities within the specified tolerance of design; filters of the specified class installed and clean; pressure cascade correct for every clinical or containment room</t>
        </is>
      </c>
      <c r="E138" s="28" t="inlineStr">
        <is>
          <t>ISO 16890; ISO 14644</t>
        </is>
      </c>
      <c r="F138" s="30" t="n"/>
      <c r="G138" s="30" t="n"/>
      <c r="H138" s="39" t="n"/>
      <c r="I138" s="28" t="inlineStr">
        <is>
          <t>±10% of design</t>
        </is>
      </c>
      <c r="J138" s="39" t="n"/>
      <c r="K138" s="39" t="n"/>
      <c r="L138" s="40">
        <f>IF($H138="","",IF(AND($J138="",$K138=""),"No limit set",IF(NOT(ISNUMBER($H138)),"Check value",IF(AND(ISNUMBER($J138),$H138&lt;$J138),"Outside",IF(AND(ISNUMBER($K138),$H138&gt;$K138),"Outside","Within")))))</f>
        <v/>
      </c>
      <c r="M138" s="28" t="n"/>
      <c r="N138" s="61" t="n"/>
      <c r="O138" s="28" t="n"/>
    </row>
    <row r="139" ht="21" customHeight="1">
      <c r="A139" s="33" t="inlineStr">
        <is>
          <t>25.  ELECTRICAL ROUGH-IN AND FINAL</t>
        </is>
      </c>
      <c r="B139" s="34" t="n"/>
      <c r="C139" s="34" t="n"/>
      <c r="D139" s="7" t="n"/>
      <c r="E139" s="35" t="inlineStr">
        <is>
          <t>ITEMS CHECKED IN THIS ELEMENT</t>
        </is>
      </c>
      <c r="F139" s="36">
        <f>IF(SUMPRODUCT(--(ISNUMBER($A$140:$A$144)))=0,"",SUMPRODUCT(--(ISNUMBER($A$140:$A$144)),--($F$140:$F$144&lt;&gt;""))/SUMPRODUCT(--(ISNUMBER($A$140:$A$144))))</f>
        <v/>
      </c>
      <c r="G139" s="26">
        <f>SUMPRODUCT(--(ISNUMBER($A$140:$A$144)))</f>
        <v/>
      </c>
      <c r="H139" s="37" t="n"/>
      <c r="I139" s="37" t="n"/>
      <c r="J139" s="37" t="n"/>
      <c r="K139" s="37" t="n"/>
      <c r="L139" s="37" t="n"/>
      <c r="M139" s="37" t="n"/>
      <c r="N139" s="37" t="n"/>
      <c r="O139" s="37" t="n"/>
    </row>
    <row r="140" ht="40" customHeight="1">
      <c r="A140" s="38" t="n">
        <v>107</v>
      </c>
      <c r="B140" s="28" t="inlineStr">
        <is>
          <t>Electrical rough-in and final</t>
        </is>
      </c>
      <c r="C140" s="28" t="inlineStr">
        <is>
          <t>Cable type, size, route, support and segregation verified before close-up</t>
        </is>
      </c>
      <c r="D140" s="28" t="inlineStr">
        <is>
          <t>Cable type and size as scheduled; supports at the specified centres; bending radius respected; segregation from other services maintained or barriered</t>
        </is>
      </c>
      <c r="E140" s="28" t="inlineStr">
        <is>
          <t>IEC 60364-5-52</t>
        </is>
      </c>
      <c r="F140" s="30" t="n"/>
      <c r="G140" s="30" t="n"/>
      <c r="H140" s="39" t="n"/>
      <c r="I140" s="28" t="inlineStr">
        <is>
          <t>Per specification</t>
        </is>
      </c>
      <c r="J140" s="39" t="n"/>
      <c r="K140" s="39" t="n"/>
      <c r="L140" s="40">
        <f>IF($H140="","",IF(AND($J140="",$K140=""),"No limit set",IF(NOT(ISNUMBER($H140)),"Check value",IF(AND(ISNUMBER($J140),$H140&lt;$J140),"Outside",IF(AND(ISNUMBER($K140),$H140&gt;$K140),"Outside","Within")))))</f>
        <v/>
      </c>
      <c r="M140" s="28" t="n"/>
      <c r="N140" s="61" t="n"/>
      <c r="O140" s="28" t="n"/>
    </row>
    <row r="141" ht="40" customHeight="1">
      <c r="A141" s="38" t="n">
        <v>108</v>
      </c>
      <c r="B141" s="28" t="inlineStr">
        <is>
          <t>Electrical rough-in and final</t>
        </is>
      </c>
      <c r="C141" s="28" t="inlineStr">
        <is>
          <t>Switchboards, distribution and protective devices installed and labelled as designed</t>
        </is>
      </c>
      <c r="D141" s="28" t="inlineStr">
        <is>
          <t>Board build, device ratings and discrimination as designed; labelling complete and legible; as-built schedule installed in the board</t>
        </is>
      </c>
      <c r="E141" s="28" t="inlineStr">
        <is>
          <t>IEC 61439</t>
        </is>
      </c>
      <c r="F141" s="30" t="n"/>
      <c r="G141" s="30" t="n"/>
      <c r="H141" s="39" t="n"/>
      <c r="I141" s="28" t="inlineStr">
        <is>
          <t>Per design</t>
        </is>
      </c>
      <c r="J141" s="39" t="n"/>
      <c r="K141" s="39" t="n"/>
      <c r="L141" s="40">
        <f>IF($H141="","",IF(AND($J141="",$K141=""),"No limit set",IF(NOT(ISNUMBER($H141)),"Check value",IF(AND(ISNUMBER($J141),$H141&lt;$J141),"Outside",IF(AND(ISNUMBER($K141),$H141&gt;$K141),"Outside","Within")))))</f>
        <v/>
      </c>
      <c r="M141" s="28" t="n"/>
      <c r="N141" s="61" t="n"/>
      <c r="O141" s="28" t="n"/>
    </row>
    <row r="142" ht="40" customHeight="1">
      <c r="A142" s="38" t="n">
        <v>109</v>
      </c>
      <c r="B142" s="28" t="inlineStr">
        <is>
          <t>Electrical rough-in and final</t>
        </is>
      </c>
      <c r="C142" s="28" t="inlineStr">
        <is>
          <t>Earthing, bonding and continuity verified and recorded</t>
        </is>
      </c>
      <c r="D142" s="28" t="inlineStr">
        <is>
          <t>Continuity of every protective conductor and bonding connection proven and recorded; earth resistance within the specified limit</t>
        </is>
      </c>
      <c r="E142" s="28" t="inlineStr">
        <is>
          <t>IEC 60364-6</t>
        </is>
      </c>
      <c r="F142" s="30" t="n"/>
      <c r="G142" s="30" t="n"/>
      <c r="H142" s="39" t="n"/>
      <c r="I142" s="28" t="inlineStr">
        <is>
          <t>≤ specified value</t>
        </is>
      </c>
      <c r="J142" s="39" t="n"/>
      <c r="K142" s="39" t="n"/>
      <c r="L142" s="40">
        <f>IF($H142="","",IF(AND($J142="",$K142=""),"No limit set",IF(NOT(ISNUMBER($H142)),"Check value",IF(AND(ISNUMBER($J142),$H142&lt;$J142),"Outside",IF(AND(ISNUMBER($K142),$H142&gt;$K142),"Outside","Within")))))</f>
        <v/>
      </c>
      <c r="M142" s="28" t="n"/>
      <c r="N142" s="61" t="n"/>
      <c r="O142" s="28" t="n"/>
    </row>
    <row r="143" ht="48" customHeight="1">
      <c r="A143" s="38" t="n">
        <v>110</v>
      </c>
      <c r="B143" s="28" t="inlineStr">
        <is>
          <t>Electrical rough-in and final</t>
        </is>
      </c>
      <c r="C143" s="28" t="inlineStr">
        <is>
          <t>Insulation resistance, polarity, RCD operation and loop impedance tested</t>
        </is>
      </c>
      <c r="D143" s="28" t="inlineStr">
        <is>
          <t>Insulation resistance not less than the specified minimum; polarity correct throughout; RCD trip times within limits; earth fault loop impedance within the maximum for the protective device</t>
        </is>
      </c>
      <c r="E143" s="28" t="inlineStr">
        <is>
          <t>IEC 60364-6</t>
        </is>
      </c>
      <c r="F143" s="27" t="inlineStr">
        <is>
          <t>Yes</t>
        </is>
      </c>
      <c r="G143" s="27" t="inlineStr">
        <is>
          <t>Pass</t>
        </is>
      </c>
      <c r="H143" s="41" t="n">
        <v>220</v>
      </c>
      <c r="I143" s="28" t="inlineStr">
        <is>
          <t>Per IEC 60364-6</t>
        </is>
      </c>
      <c r="J143" s="41" t="n">
        <v>1</v>
      </c>
      <c r="K143" s="39" t="n"/>
      <c r="L143" s="40">
        <f>IF($H143="","",IF(AND($J143="",$K143=""),"No limit set",IF(NOT(ISNUMBER($H143)),"Check value",IF(AND(ISNUMBER($J143),$H143&lt;$J143),"Outside",IF(AND(ISNUMBER($K143),$H143&gt;$K143),"Outside","Within")))))</f>
        <v/>
      </c>
      <c r="M143" s="23" t="inlineStr">
        <is>
          <t>D. Sørensen, Services Coordinator</t>
        </is>
      </c>
      <c r="N143" s="60" t="n">
        <v>46245</v>
      </c>
      <c r="O143" s="23" t="inlineStr">
        <is>
          <t>Insulation resistance in MΩ, lowest of 48 circuits on Level 1 north; minimum specified 1 MΩ.  ·  EXAMPLE — delete before use</t>
        </is>
      </c>
    </row>
    <row r="144" ht="40" customHeight="1">
      <c r="A144" s="38" t="n">
        <v>111</v>
      </c>
      <c r="B144" s="28" t="inlineStr">
        <is>
          <t>Electrical rough-in and final</t>
        </is>
      </c>
      <c r="C144" s="28" t="inlineStr">
        <is>
          <t>Emergency lighting, exit signage and essential-supply changeover proven</t>
        </is>
      </c>
      <c r="D144" s="28" t="inlineStr">
        <is>
          <t>Emergency luminaires operate for the specified duration; exit signage visible from the required viewing distances; changeover to the essential supply proven under load</t>
        </is>
      </c>
      <c r="E144" s="28" t="inlineStr">
        <is>
          <t>IEC 60598-2-22</t>
        </is>
      </c>
      <c r="F144" s="30" t="n"/>
      <c r="G144" s="30" t="n"/>
      <c r="H144" s="39" t="n"/>
      <c r="I144" s="28" t="inlineStr">
        <is>
          <t>Per specified duration</t>
        </is>
      </c>
      <c r="J144" s="39" t="n"/>
      <c r="K144" s="39" t="n"/>
      <c r="L144" s="40">
        <f>IF($H144="","",IF(AND($J144="",$K144=""),"No limit set",IF(NOT(ISNUMBER($H144)),"Check value",IF(AND(ISNUMBER($J144),$H144&lt;$J144),"Outside",IF(AND(ISNUMBER($K144),$H144&gt;$K144),"Outside","Within")))))</f>
        <v/>
      </c>
      <c r="M144" s="28" t="n"/>
      <c r="N144" s="61" t="n"/>
      <c r="O144" s="28" t="n"/>
    </row>
    <row r="145" ht="21" customHeight="1">
      <c r="A145" s="33" t="inlineStr">
        <is>
          <t>26.  HYDRAULIC SERVICES</t>
        </is>
      </c>
      <c r="B145" s="34" t="n"/>
      <c r="C145" s="34" t="n"/>
      <c r="D145" s="7" t="n"/>
      <c r="E145" s="35" t="inlineStr">
        <is>
          <t>ITEMS CHECKED IN THIS ELEMENT</t>
        </is>
      </c>
      <c r="F145" s="36">
        <f>IF(SUMPRODUCT(--(ISNUMBER($A$146:$A$149)))=0,"",SUMPRODUCT(--(ISNUMBER($A$146:$A$149)),--($F$146:$F$149&lt;&gt;""))/SUMPRODUCT(--(ISNUMBER($A$146:$A$149))))</f>
        <v/>
      </c>
      <c r="G145" s="26">
        <f>SUMPRODUCT(--(ISNUMBER($A$146:$A$149)))</f>
        <v/>
      </c>
      <c r="H145" s="37" t="n"/>
      <c r="I145" s="37" t="n"/>
      <c r="J145" s="37" t="n"/>
      <c r="K145" s="37" t="n"/>
      <c r="L145" s="37" t="n"/>
      <c r="M145" s="37" t="n"/>
      <c r="N145" s="37" t="n"/>
      <c r="O145" s="37" t="n"/>
    </row>
    <row r="146" ht="40" customHeight="1">
      <c r="A146" s="38" t="n">
        <v>112</v>
      </c>
      <c r="B146" s="28" t="inlineStr">
        <is>
          <t>Hydraulic services</t>
        </is>
      </c>
      <c r="C146" s="28" t="inlineStr">
        <is>
          <t>Pipework materials, jointing and support verified</t>
        </is>
      </c>
      <c r="D146" s="28" t="inlineStr">
        <is>
          <t>Material and pressure class as specified; joints made by the specified method by a competent person; supports and expansion provision at the specified centres</t>
        </is>
      </c>
      <c r="E146" s="28" t="inlineStr">
        <is>
          <t>Project hydraulic specification</t>
        </is>
      </c>
      <c r="F146" s="30" t="n"/>
      <c r="G146" s="30" t="n"/>
      <c r="H146" s="39" t="n"/>
      <c r="I146" s="28" t="inlineStr">
        <is>
          <t>Per specification</t>
        </is>
      </c>
      <c r="J146" s="39" t="n"/>
      <c r="K146" s="39" t="n"/>
      <c r="L146" s="40">
        <f>IF($H146="","",IF(AND($J146="",$K146=""),"No limit set",IF(NOT(ISNUMBER($H146)),"Check value",IF(AND(ISNUMBER($J146),$H146&lt;$J146),"Outside",IF(AND(ISNUMBER($K146),$H146&gt;$K146),"Outside","Within")))))</f>
        <v/>
      </c>
      <c r="M146" s="28" t="n"/>
      <c r="N146" s="61" t="n"/>
      <c r="O146" s="28" t="n"/>
    </row>
    <row r="147" ht="40" customHeight="1">
      <c r="A147" s="38" t="n">
        <v>113</v>
      </c>
      <c r="B147" s="28" t="inlineStr">
        <is>
          <t>Hydraulic services</t>
        </is>
      </c>
      <c r="C147" s="28" t="inlineStr">
        <is>
          <t>Pressure and hydrostatic tests carried out and recorded by section</t>
        </is>
      </c>
      <c r="D147" s="28" t="inlineStr">
        <is>
          <t>Test at the specified pressure held for the specified period with no loss; every test witnessed and recorded against the section of system tested</t>
        </is>
      </c>
      <c r="E147" s="28" t="inlineStr">
        <is>
          <t>Project hydraulic specification</t>
        </is>
      </c>
      <c r="F147" s="30" t="n"/>
      <c r="G147" s="30" t="n"/>
      <c r="H147" s="39" t="n"/>
      <c r="I147" s="28" t="inlineStr">
        <is>
          <t>No loss</t>
        </is>
      </c>
      <c r="J147" s="39" t="n"/>
      <c r="K147" s="39" t="n"/>
      <c r="L147" s="40">
        <f>IF($H147="","",IF(AND($J147="",$K147=""),"No limit set",IF(NOT(ISNUMBER($H147)),"Check value",IF(AND(ISNUMBER($J147),$H147&lt;$J147),"Outside",IF(AND(ISNUMBER($K147),$H147&gt;$K147),"Outside","Within")))))</f>
        <v/>
      </c>
      <c r="M147" s="28" t="n"/>
      <c r="N147" s="61" t="n"/>
      <c r="O147" s="28" t="n"/>
    </row>
    <row r="148" ht="40" customHeight="1">
      <c r="A148" s="38" t="n">
        <v>114</v>
      </c>
      <c r="B148" s="28" t="inlineStr">
        <is>
          <t>Hydraulic services</t>
        </is>
      </c>
      <c r="C148" s="28" t="inlineStr">
        <is>
          <t>Drainage grades, venting and testing verified</t>
        </is>
      </c>
      <c r="D148" s="28" t="inlineStr">
        <is>
          <t>Grades not flatter than the specified minimum; venting as designed; drainage air or water tested with no loss; CCTV survey where specified</t>
        </is>
      </c>
      <c r="E148" s="28" t="inlineStr">
        <is>
          <t>Project hydraulic specification</t>
        </is>
      </c>
      <c r="F148" s="30" t="n"/>
      <c r="G148" s="30" t="n"/>
      <c r="H148" s="39" t="n"/>
      <c r="I148" s="28" t="inlineStr">
        <is>
          <t>≥ specified grade</t>
        </is>
      </c>
      <c r="J148" s="39" t="n"/>
      <c r="K148" s="39" t="n"/>
      <c r="L148" s="40">
        <f>IF($H148="","",IF(AND($J148="",$K148=""),"No limit set",IF(NOT(ISNUMBER($H148)),"Check value",IF(AND(ISNUMBER($J148),$H148&lt;$J148),"Outside",IF(AND(ISNUMBER($K148),$H148&gt;$K148),"Outside","Within")))))</f>
        <v/>
      </c>
      <c r="M148" s="28" t="n"/>
      <c r="N148" s="61" t="n"/>
      <c r="O148" s="28" t="n"/>
    </row>
    <row r="149" ht="40" customHeight="1">
      <c r="A149" s="38" t="n">
        <v>115</v>
      </c>
      <c r="B149" s="28" t="inlineStr">
        <is>
          <t>Hydraulic services</t>
        </is>
      </c>
      <c r="C149" s="28" t="inlineStr">
        <is>
          <t>Backflow prevention, tempering, isolation and water quality verified</t>
        </is>
      </c>
      <c r="D149" s="28" t="inlineStr">
        <is>
          <t>Backflow devices of the correct hazard rating installed, tested and registered; tempered water within the specified band at the outlet; water sample results within the specified limits</t>
        </is>
      </c>
      <c r="E149" s="28" t="inlineStr">
        <is>
          <t>ISO 24521; project water quality specification</t>
        </is>
      </c>
      <c r="F149" s="30" t="n"/>
      <c r="G149" s="30" t="n"/>
      <c r="H149" s="39" t="n"/>
      <c r="I149" s="28" t="inlineStr">
        <is>
          <t>Per specification</t>
        </is>
      </c>
      <c r="J149" s="39" t="n"/>
      <c r="K149" s="39" t="n"/>
      <c r="L149" s="40">
        <f>IF($H149="","",IF(AND($J149="",$K149=""),"No limit set",IF(NOT(ISNUMBER($H149)),"Check value",IF(AND(ISNUMBER($J149),$H149&lt;$J149),"Outside",IF(AND(ISNUMBER($K149),$H149&gt;$K149),"Outside","Within")))))</f>
        <v/>
      </c>
      <c r="M149" s="28" t="n"/>
      <c r="N149" s="61" t="n"/>
      <c r="O149" s="28" t="n"/>
    </row>
    <row r="150" ht="21" customHeight="1">
      <c r="A150" s="33" t="inlineStr">
        <is>
          <t>27.  FIRE SERVICES</t>
        </is>
      </c>
      <c r="B150" s="34" t="n"/>
      <c r="C150" s="34" t="n"/>
      <c r="D150" s="7" t="n"/>
      <c r="E150" s="35" t="inlineStr">
        <is>
          <t>ITEMS CHECKED IN THIS ELEMENT</t>
        </is>
      </c>
      <c r="F150" s="36">
        <f>IF(SUMPRODUCT(--(ISNUMBER($A$151:$A$155)))=0,"",SUMPRODUCT(--(ISNUMBER($A$151:$A$155)),--($F$151:$F$155&lt;&gt;""))/SUMPRODUCT(--(ISNUMBER($A$151:$A$155))))</f>
        <v/>
      </c>
      <c r="G150" s="26">
        <f>SUMPRODUCT(--(ISNUMBER($A$151:$A$155)))</f>
        <v/>
      </c>
      <c r="H150" s="37" t="n"/>
      <c r="I150" s="37" t="n"/>
      <c r="J150" s="37" t="n"/>
      <c r="K150" s="37" t="n"/>
      <c r="L150" s="37" t="n"/>
      <c r="M150" s="37" t="n"/>
      <c r="N150" s="37" t="n"/>
      <c r="O150" s="37" t="n"/>
    </row>
    <row r="151" ht="40" customHeight="1">
      <c r="A151" s="38" t="n">
        <v>116</v>
      </c>
      <c r="B151" s="28" t="inlineStr">
        <is>
          <t>Fire services</t>
        </is>
      </c>
      <c r="C151" s="28" t="inlineStr">
        <is>
          <t>Fire systems installed to the certified design and the fire engineering report</t>
        </is>
      </c>
      <c r="D151" s="28" t="inlineStr">
        <is>
          <t>Installation matches the certified design and the fire engineering report; any variation approved in writing by the fire engineer before installation</t>
        </is>
      </c>
      <c r="E151" s="28" t="inlineStr">
        <is>
          <t>Project fire engineering report</t>
        </is>
      </c>
      <c r="F151" s="30" t="n"/>
      <c r="G151" s="30" t="n"/>
      <c r="H151" s="39" t="n"/>
      <c r="I151" s="28" t="inlineStr">
        <is>
          <t>—</t>
        </is>
      </c>
      <c r="J151" s="39" t="n"/>
      <c r="K151" s="39" t="n"/>
      <c r="L151" s="40">
        <f>IF($H151="","",IF(AND($J151="",$K151=""),"No limit set",IF(NOT(ISNUMBER($H151)),"Check value",IF(AND(ISNUMBER($J151),$H151&lt;$J151),"Outside",IF(AND(ISNUMBER($K151),$H151&gt;$K151),"Outside","Within")))))</f>
        <v/>
      </c>
      <c r="M151" s="28" t="n"/>
      <c r="N151" s="61" t="n"/>
      <c r="O151" s="28" t="n"/>
    </row>
    <row r="152" ht="40" customHeight="1">
      <c r="A152" s="38" t="n">
        <v>117</v>
      </c>
      <c r="B152" s="28" t="inlineStr">
        <is>
          <t>Fire services</t>
        </is>
      </c>
      <c r="C152" s="28" t="inlineStr">
        <is>
          <t>Sprinkler, hydrant and hose reel flow and pressure tested</t>
        </is>
      </c>
      <c r="D152" s="28" t="inlineStr">
        <is>
          <t>Flow and pressure at the design point not less than specified; pump performance verified against the pump curve; results recorded</t>
        </is>
      </c>
      <c r="E152" s="28" t="inlineStr">
        <is>
          <t>ISO 6182 series</t>
        </is>
      </c>
      <c r="F152" s="30" t="n"/>
      <c r="G152" s="30" t="n"/>
      <c r="H152" s="39" t="n"/>
      <c r="I152" s="28" t="inlineStr">
        <is>
          <t>≥ specified flow and pressure</t>
        </is>
      </c>
      <c r="J152" s="39" t="n"/>
      <c r="K152" s="39" t="n"/>
      <c r="L152" s="40">
        <f>IF($H152="","",IF(AND($J152="",$K152=""),"No limit set",IF(NOT(ISNUMBER($H152)),"Check value",IF(AND(ISNUMBER($J152),$H152&lt;$J152),"Outside",IF(AND(ISNUMBER($K152),$H152&gt;$K152),"Outside","Within")))))</f>
        <v/>
      </c>
      <c r="M152" s="28" t="n"/>
      <c r="N152" s="61" t="n"/>
      <c r="O152" s="28" t="n"/>
    </row>
    <row r="153" ht="40" customHeight="1">
      <c r="A153" s="38" t="n">
        <v>118</v>
      </c>
      <c r="B153" s="28" t="inlineStr">
        <is>
          <t>Fire services</t>
        </is>
      </c>
      <c r="C153" s="28" t="inlineStr">
        <is>
          <t>Detection, alarm, occupant warning and system interfaces proven</t>
        </is>
      </c>
      <c r="D153" s="28" t="inlineStr">
        <is>
          <t>Every device addressed, tested and located as the as-built; audibility and intelligibility achieved; interfaces to lifts, dampers, doors, air handling and the building management system proven end to end</t>
        </is>
      </c>
      <c r="E153" s="28" t="inlineStr">
        <is>
          <t>ISO 7240 series</t>
        </is>
      </c>
      <c r="F153" s="30" t="n"/>
      <c r="G153" s="30" t="n"/>
      <c r="H153" s="39" t="n"/>
      <c r="I153" s="28" t="inlineStr">
        <is>
          <t>Per ISO 7240</t>
        </is>
      </c>
      <c r="J153" s="39" t="n"/>
      <c r="K153" s="39" t="n"/>
      <c r="L153" s="40">
        <f>IF($H153="","",IF(AND($J153="",$K153=""),"No limit set",IF(NOT(ISNUMBER($H153)),"Check value",IF(AND(ISNUMBER($J153),$H153&lt;$J153),"Outside",IF(AND(ISNUMBER($K153),$H153&gt;$K153),"Outside","Within")))))</f>
        <v/>
      </c>
      <c r="M153" s="28" t="n"/>
      <c r="N153" s="61" t="n"/>
      <c r="O153" s="28" t="n"/>
    </row>
    <row r="154" ht="40" customHeight="1">
      <c r="A154" s="38" t="n">
        <v>119</v>
      </c>
      <c r="B154" s="28" t="inlineStr">
        <is>
          <t>Fire services</t>
        </is>
      </c>
      <c r="C154" s="28" t="inlineStr">
        <is>
          <t>Passive fire protection, dampers and fire stopping inspected and registered</t>
        </is>
      </c>
      <c r="D154" s="28" t="inlineStr">
        <is>
          <t>Every damper accessible, tested and tagged; fire stopping to a tested system for that substrate and service; penetration register complete with photographs</t>
        </is>
      </c>
      <c r="E154" s="28" t="inlineStr">
        <is>
          <t>ISO 3008; tested penetration systems</t>
        </is>
      </c>
      <c r="F154" s="30" t="n"/>
      <c r="G154" s="30" t="n"/>
      <c r="H154" s="39" t="n"/>
      <c r="I154" s="28" t="inlineStr">
        <is>
          <t>—</t>
        </is>
      </c>
      <c r="J154" s="39" t="n"/>
      <c r="K154" s="39" t="n"/>
      <c r="L154" s="40">
        <f>IF($H154="","",IF(AND($J154="",$K154=""),"No limit set",IF(NOT(ISNUMBER($H154)),"Check value",IF(AND(ISNUMBER($J154),$H154&lt;$J154),"Outside",IF(AND(ISNUMBER($K154),$H154&gt;$K154),"Outside","Within")))))</f>
        <v/>
      </c>
      <c r="M154" s="28" t="n"/>
      <c r="N154" s="61" t="n"/>
      <c r="O154" s="28" t="n"/>
    </row>
    <row r="155" ht="40" customHeight="1">
      <c r="A155" s="38" t="n">
        <v>120</v>
      </c>
      <c r="B155" s="28" t="inlineStr">
        <is>
          <t>Fire services</t>
        </is>
      </c>
      <c r="C155" s="28" t="inlineStr">
        <is>
          <t>Essential fire safety measures verified against the schedule before occupation</t>
        </is>
      </c>
      <c r="D155" s="28" t="inlineStr">
        <is>
          <t>Every essential fire safety measure listed, installed, tested and certified; outstanding items listed with an owner and a date before any occupancy</t>
        </is>
      </c>
      <c r="E155" s="28" t="inlineStr">
        <is>
          <t>Project fire safety schedule</t>
        </is>
      </c>
      <c r="F155" s="30" t="n"/>
      <c r="G155" s="30" t="n"/>
      <c r="H155" s="39" t="n"/>
      <c r="I155" s="28" t="inlineStr">
        <is>
          <t>—</t>
        </is>
      </c>
      <c r="J155" s="39" t="n"/>
      <c r="K155" s="39" t="n"/>
      <c r="L155" s="40">
        <f>IF($H155="","",IF(AND($J155="",$K155=""),"No limit set",IF(NOT(ISNUMBER($H155)),"Check value",IF(AND(ISNUMBER($J155),$H155&lt;$J155),"Outside",IF(AND(ISNUMBER($K155),$H155&gt;$K155),"Outside","Within")))))</f>
        <v/>
      </c>
      <c r="M155" s="28" t="n"/>
      <c r="N155" s="61" t="n"/>
      <c r="O155" s="28" t="n"/>
    </row>
    <row r="156" ht="21" customHeight="1">
      <c r="A156" s="33" t="inlineStr">
        <is>
          <t>28.  VERTICAL TRANSPORTATION</t>
        </is>
      </c>
      <c r="B156" s="34" t="n"/>
      <c r="C156" s="34" t="n"/>
      <c r="D156" s="7" t="n"/>
      <c r="E156" s="35" t="inlineStr">
        <is>
          <t>ITEMS CHECKED IN THIS ELEMENT</t>
        </is>
      </c>
      <c r="F156" s="36">
        <f>IF(SUMPRODUCT(--(ISNUMBER($A$157:$A$160)))=0,"",SUMPRODUCT(--(ISNUMBER($A$157:$A$160)),--($F$157:$F$160&lt;&gt;""))/SUMPRODUCT(--(ISNUMBER($A$157:$A$160))))</f>
        <v/>
      </c>
      <c r="G156" s="26">
        <f>SUMPRODUCT(--(ISNUMBER($A$157:$A$160)))</f>
        <v/>
      </c>
      <c r="H156" s="37" t="n"/>
      <c r="I156" s="37" t="n"/>
      <c r="J156" s="37" t="n"/>
      <c r="K156" s="37" t="n"/>
      <c r="L156" s="37" t="n"/>
      <c r="M156" s="37" t="n"/>
      <c r="N156" s="37" t="n"/>
      <c r="O156" s="37" t="n"/>
    </row>
    <row r="157" ht="40" customHeight="1">
      <c r="A157" s="38" t="n">
        <v>121</v>
      </c>
      <c r="B157" s="28" t="inlineStr">
        <is>
          <t>Vertical transportation</t>
        </is>
      </c>
      <c r="C157" s="28" t="inlineStr">
        <is>
          <t>Shaft dimensions, plumb and machine space provisions verified before installation</t>
        </is>
      </c>
      <c r="D157" s="28" t="inlineStr">
        <is>
          <t>Shaft within the manufacturer's stated tolerance for plumb and dimension; sill and landing levels correct; power, ventilation and access provided</t>
        </is>
      </c>
      <c r="E157" s="28" t="inlineStr">
        <is>
          <t>ISO 8100 series</t>
        </is>
      </c>
      <c r="F157" s="30" t="n"/>
      <c r="G157" s="30" t="n"/>
      <c r="H157" s="39" t="n"/>
      <c r="I157" s="28" t="inlineStr">
        <is>
          <t>Per manufacturer</t>
        </is>
      </c>
      <c r="J157" s="39" t="n"/>
      <c r="K157" s="39" t="n"/>
      <c r="L157" s="40">
        <f>IF($H157="","",IF(AND($J157="",$K157=""),"No limit set",IF(NOT(ISNUMBER($H157)),"Check value",IF(AND(ISNUMBER($J157),$H157&lt;$J157),"Outside",IF(AND(ISNUMBER($K157),$H157&gt;$K157),"Outside","Within")))))</f>
        <v/>
      </c>
      <c r="M157" s="28" t="n"/>
      <c r="N157" s="61" t="n"/>
      <c r="O157" s="28" t="n"/>
    </row>
    <row r="158" ht="40" customHeight="1">
      <c r="A158" s="38" t="n">
        <v>122</v>
      </c>
      <c r="B158" s="28" t="inlineStr">
        <is>
          <t>Vertical transportation</t>
        </is>
      </c>
      <c r="C158" s="28" t="inlineStr">
        <is>
          <t>Installation, safety gear, brakes and door protection tested</t>
        </is>
      </c>
      <c r="D158" s="28" t="inlineStr">
        <is>
          <t>Overspeed governor, safety gear, buffers, brakes and door protection all tested and recorded; every result within the manufacturer's limits</t>
        </is>
      </c>
      <c r="E158" s="28" t="inlineStr">
        <is>
          <t>ISO 8100-1</t>
        </is>
      </c>
      <c r="F158" s="30" t="n"/>
      <c r="G158" s="30" t="n"/>
      <c r="H158" s="39" t="n"/>
      <c r="I158" s="28" t="inlineStr">
        <is>
          <t>Per ISO 8100</t>
        </is>
      </c>
      <c r="J158" s="39" t="n"/>
      <c r="K158" s="39" t="n"/>
      <c r="L158" s="40">
        <f>IF($H158="","",IF(AND($J158="",$K158=""),"No limit set",IF(NOT(ISNUMBER($H158)),"Check value",IF(AND(ISNUMBER($J158),$H158&lt;$J158),"Outside",IF(AND(ISNUMBER($K158),$H158&gt;$K158),"Outside","Within")))))</f>
        <v/>
      </c>
      <c r="M158" s="28" t="n"/>
      <c r="N158" s="61" t="n"/>
      <c r="O158" s="28" t="n"/>
    </row>
    <row r="159" ht="40" customHeight="1">
      <c r="A159" s="38" t="n">
        <v>123</v>
      </c>
      <c r="B159" s="28" t="inlineStr">
        <is>
          <t>Vertical transportation</t>
        </is>
      </c>
      <c r="C159" s="28" t="inlineStr">
        <is>
          <t>Ride quality, levelling accuracy and door timing measured</t>
        </is>
      </c>
      <c r="D159" s="28" t="inlineStr">
        <is>
          <t>Floor levelling within ±5 mm; ride quality within the specified limits; door open and dwell times as specified and as accessibility requires</t>
        </is>
      </c>
      <c r="E159" s="28" t="inlineStr">
        <is>
          <t>ISO 18738-1</t>
        </is>
      </c>
      <c r="F159" s="30" t="n"/>
      <c r="G159" s="30" t="n"/>
      <c r="H159" s="39" t="n"/>
      <c r="I159" s="28" t="inlineStr">
        <is>
          <t>±5 mm</t>
        </is>
      </c>
      <c r="J159" s="39" t="n"/>
      <c r="K159" s="39" t="n"/>
      <c r="L159" s="40">
        <f>IF($H159="","",IF(AND($J159="",$K159=""),"No limit set",IF(NOT(ISNUMBER($H159)),"Check value",IF(AND(ISNUMBER($J159),$H159&lt;$J159),"Outside",IF(AND(ISNUMBER($K159),$H159&gt;$K159),"Outside","Within")))))</f>
        <v/>
      </c>
      <c r="M159" s="28" t="n"/>
      <c r="N159" s="61" t="n"/>
      <c r="O159" s="28" t="n"/>
    </row>
    <row r="160" ht="40" customHeight="1">
      <c r="A160" s="38" t="n">
        <v>124</v>
      </c>
      <c r="B160" s="28" t="inlineStr">
        <is>
          <t>Vertical transportation</t>
        </is>
      </c>
      <c r="C160" s="28" t="inlineStr">
        <is>
          <t>Firefighting, emergency recall and independent service modes proven</t>
        </is>
      </c>
      <c r="D160" s="28" t="inlineStr">
        <is>
          <t>Emergency recall, firefighter operation, intercom and standby power operation proven with the fire alarm system; statutory registration and certification issued</t>
        </is>
      </c>
      <c r="E160" s="28" t="inlineStr">
        <is>
          <t>ISO 8100-2</t>
        </is>
      </c>
      <c r="F160" s="30" t="n"/>
      <c r="G160" s="30" t="n"/>
      <c r="H160" s="39" t="n"/>
      <c r="I160" s="28" t="inlineStr">
        <is>
          <t>—</t>
        </is>
      </c>
      <c r="J160" s="39" t="n"/>
      <c r="K160" s="39" t="n"/>
      <c r="L160" s="40">
        <f>IF($H160="","",IF(AND($J160="",$K160=""),"No limit set",IF(NOT(ISNUMBER($H160)),"Check value",IF(AND(ISNUMBER($J160),$H160&lt;$J160),"Outside",IF(AND(ISNUMBER($K160),$H160&gt;$K160),"Outside","Within")))))</f>
        <v/>
      </c>
      <c r="M160" s="28" t="n"/>
      <c r="N160" s="61" t="n"/>
      <c r="O160" s="28" t="n"/>
    </row>
    <row r="161" ht="21" customHeight="1">
      <c r="A161" s="33" t="inlineStr">
        <is>
          <t>29.  COMMISSIONING</t>
        </is>
      </c>
      <c r="B161" s="34" t="n"/>
      <c r="C161" s="34" t="n"/>
      <c r="D161" s="7" t="n"/>
      <c r="E161" s="35" t="inlineStr">
        <is>
          <t>ITEMS CHECKED IN THIS ELEMENT</t>
        </is>
      </c>
      <c r="F161" s="36">
        <f>IF(SUMPRODUCT(--(ISNUMBER($A$162:$A$166)))=0,"",SUMPRODUCT(--(ISNUMBER($A$162:$A$166)),--($F$162:$F$166&lt;&gt;""))/SUMPRODUCT(--(ISNUMBER($A$162:$A$166))))</f>
        <v/>
      </c>
      <c r="G161" s="26">
        <f>SUMPRODUCT(--(ISNUMBER($A$162:$A$166)))</f>
        <v/>
      </c>
      <c r="H161" s="37" t="n"/>
      <c r="I161" s="37" t="n"/>
      <c r="J161" s="37" t="n"/>
      <c r="K161" s="37" t="n"/>
      <c r="L161" s="37" t="n"/>
      <c r="M161" s="37" t="n"/>
      <c r="N161" s="37" t="n"/>
      <c r="O161" s="37" t="n"/>
    </row>
    <row r="162" ht="40" customHeight="1">
      <c r="A162" s="38" t="n">
        <v>125</v>
      </c>
      <c r="B162" s="28" t="inlineStr">
        <is>
          <t>Commissioning</t>
        </is>
      </c>
      <c r="C162" s="28" t="inlineStr">
        <is>
          <t>Commissioning plan, responsibilities and witnessing points agreed before commissioning starts</t>
        </is>
      </c>
      <c r="D162" s="28" t="inlineStr">
        <is>
          <t>Plan issued and accepted; witnessing points, sequence and acceptance criteria agreed with the Client and the commissioning agent</t>
        </is>
      </c>
      <c r="E162" s="28" t="inlineStr">
        <is>
          <t>ISO 9001 cl. 8.5.1; commissioning plan</t>
        </is>
      </c>
      <c r="F162" s="30" t="n"/>
      <c r="G162" s="30" t="n"/>
      <c r="H162" s="39" t="n"/>
      <c r="I162" s="28" t="inlineStr">
        <is>
          <t>—</t>
        </is>
      </c>
      <c r="J162" s="39" t="n"/>
      <c r="K162" s="39" t="n"/>
      <c r="L162" s="40">
        <f>IF($H162="","",IF(AND($J162="",$K162=""),"No limit set",IF(NOT(ISNUMBER($H162)),"Check value",IF(AND(ISNUMBER($J162),$H162&lt;$J162),"Outside",IF(AND(ISNUMBER($K162),$H162&gt;$K162),"Outside","Within")))))</f>
        <v/>
      </c>
      <c r="M162" s="28" t="n"/>
      <c r="N162" s="61" t="n"/>
      <c r="O162" s="28" t="n"/>
    </row>
    <row r="163" ht="40" customHeight="1">
      <c r="A163" s="38" t="n">
        <v>126</v>
      </c>
      <c r="B163" s="28" t="inlineStr">
        <is>
          <t>Commissioning</t>
        </is>
      </c>
      <c r="C163" s="28" t="inlineStr">
        <is>
          <t>Pre-commissioning checks, static completion and safe energisation complete</t>
        </is>
      </c>
      <c r="D163" s="28" t="inlineStr">
        <is>
          <t>Every system statically complete, cleaned and safely energised, with pre-commissioning checklists signed before dynamic commissioning starts</t>
        </is>
      </c>
      <c r="E163" s="28" t="inlineStr">
        <is>
          <t>Project commissioning plan</t>
        </is>
      </c>
      <c r="F163" s="30" t="n"/>
      <c r="G163" s="30" t="n"/>
      <c r="H163" s="39" t="n"/>
      <c r="I163" s="28" t="inlineStr">
        <is>
          <t>—</t>
        </is>
      </c>
      <c r="J163" s="39" t="n"/>
      <c r="K163" s="39" t="n"/>
      <c r="L163" s="40">
        <f>IF($H163="","",IF(AND($J163="",$K163=""),"No limit set",IF(NOT(ISNUMBER($H163)),"Check value",IF(AND(ISNUMBER($J163),$H163&lt;$J163),"Outside",IF(AND(ISNUMBER($K163),$H163&gt;$K163),"Outside","Within")))))</f>
        <v/>
      </c>
      <c r="M163" s="28" t="n"/>
      <c r="N163" s="61" t="n"/>
      <c r="O163" s="28" t="n"/>
    </row>
    <row r="164" ht="40" customHeight="1">
      <c r="A164" s="38" t="n">
        <v>127</v>
      </c>
      <c r="B164" s="28" t="inlineStr">
        <is>
          <t>Commissioning</t>
        </is>
      </c>
      <c r="C164" s="28" t="inlineStr">
        <is>
          <t>System performance demonstrated against the design intent</t>
        </is>
      </c>
      <c r="D164" s="28" t="inlineStr">
        <is>
          <t>Each system demonstrated to meet the design performance in every specified operating mode, including failure and changeover modes, with results recorded on the commissioning data sheets</t>
        </is>
      </c>
      <c r="E164" s="28" t="inlineStr">
        <is>
          <t>Project commissioning plan</t>
        </is>
      </c>
      <c r="F164" s="30" t="n"/>
      <c r="G164" s="30" t="n"/>
      <c r="H164" s="39" t="n"/>
      <c r="I164" s="28" t="inlineStr">
        <is>
          <t>Per design intent</t>
        </is>
      </c>
      <c r="J164" s="39" t="n"/>
      <c r="K164" s="39" t="n"/>
      <c r="L164" s="40">
        <f>IF($H164="","",IF(AND($J164="",$K164=""),"No limit set",IF(NOT(ISNUMBER($H164)),"Check value",IF(AND(ISNUMBER($J164),$H164&lt;$J164),"Outside",IF(AND(ISNUMBER($K164),$H164&gt;$K164),"Outside","Within")))))</f>
        <v/>
      </c>
      <c r="M164" s="28" t="n"/>
      <c r="N164" s="61" t="n"/>
      <c r="O164" s="28" t="n"/>
    </row>
    <row r="165" ht="40" customHeight="1">
      <c r="A165" s="38" t="n">
        <v>128</v>
      </c>
      <c r="B165" s="28" t="inlineStr">
        <is>
          <t>Commissioning</t>
        </is>
      </c>
      <c r="C165" s="28" t="inlineStr">
        <is>
          <t>Integrated system testing across interfacing systems completed and witnessed</t>
        </is>
      </c>
      <c r="D165" s="28" t="inlineStr">
        <is>
          <t>Cause-and-effect matrix proven end to end across fire, mechanical, electrical, security and vertical transportation, witnessed and signed by the Client's representative</t>
        </is>
      </c>
      <c r="E165" s="28" t="inlineStr">
        <is>
          <t>Project cause-and-effect matrix</t>
        </is>
      </c>
      <c r="F165" s="30" t="n"/>
      <c r="G165" s="30" t="n"/>
      <c r="H165" s="39" t="n"/>
      <c r="I165" s="28" t="inlineStr">
        <is>
          <t>—</t>
        </is>
      </c>
      <c r="J165" s="39" t="n"/>
      <c r="K165" s="39" t="n"/>
      <c r="L165" s="40">
        <f>IF($H165="","",IF(AND($J165="",$K165=""),"No limit set",IF(NOT(ISNUMBER($H165)),"Check value",IF(AND(ISNUMBER($J165),$H165&lt;$J165),"Outside",IF(AND(ISNUMBER($K165),$H165&gt;$K165),"Outside","Within")))))</f>
        <v/>
      </c>
      <c r="M165" s="28" t="n"/>
      <c r="N165" s="61" t="n"/>
      <c r="O165" s="28" t="n"/>
    </row>
    <row r="166" ht="40" customHeight="1">
      <c r="A166" s="38" t="n">
        <v>129</v>
      </c>
      <c r="B166" s="28" t="inlineStr">
        <is>
          <t>Commissioning</t>
        </is>
      </c>
      <c r="C166" s="28" t="inlineStr">
        <is>
          <t>Training, as-built information, manuals and warranties handed over</t>
        </is>
      </c>
      <c r="D166" s="28" t="inlineStr">
        <is>
          <t>Operation and maintenance manuals, as-built information, asset register, warranties and training records issued and accepted in the specified format</t>
        </is>
      </c>
      <c r="E166" s="28" t="inlineStr">
        <is>
          <t>ISO 19650-3</t>
        </is>
      </c>
      <c r="F166" s="30" t="n"/>
      <c r="G166" s="30" t="n"/>
      <c r="H166" s="39" t="n"/>
      <c r="I166" s="28" t="inlineStr">
        <is>
          <t>—</t>
        </is>
      </c>
      <c r="J166" s="39" t="n"/>
      <c r="K166" s="39" t="n"/>
      <c r="L166" s="40">
        <f>IF($H166="","",IF(AND($J166="",$K166=""),"No limit set",IF(NOT(ISNUMBER($H166)),"Check value",IF(AND(ISNUMBER($J166),$H166&lt;$J166),"Outside",IF(AND(ISNUMBER($K166),$H166&gt;$K166),"Outside","Within")))))</f>
        <v/>
      </c>
      <c r="M166" s="28" t="n"/>
      <c r="N166" s="61" t="n"/>
      <c r="O166" s="28" t="n"/>
    </row>
    <row r="167" ht="21" customHeight="1">
      <c r="A167" s="33" t="inlineStr">
        <is>
          <t>30.  EXTERNAL WORKS</t>
        </is>
      </c>
      <c r="B167" s="34" t="n"/>
      <c r="C167" s="34" t="n"/>
      <c r="D167" s="7" t="n"/>
      <c r="E167" s="35" t="inlineStr">
        <is>
          <t>ITEMS CHECKED IN THIS ELEMENT</t>
        </is>
      </c>
      <c r="F167" s="36">
        <f>IF(SUMPRODUCT(--(ISNUMBER($A$168:$A$171)))=0,"",SUMPRODUCT(--(ISNUMBER($A$168:$A$171)),--($F$168:$F$171&lt;&gt;""))/SUMPRODUCT(--(ISNUMBER($A$168:$A$171))))</f>
        <v/>
      </c>
      <c r="G167" s="26">
        <f>SUMPRODUCT(--(ISNUMBER($A$168:$A$171)))</f>
        <v/>
      </c>
      <c r="H167" s="37" t="n"/>
      <c r="I167" s="37" t="n"/>
      <c r="J167" s="37" t="n"/>
      <c r="K167" s="37" t="n"/>
      <c r="L167" s="37" t="n"/>
      <c r="M167" s="37" t="n"/>
      <c r="N167" s="37" t="n"/>
      <c r="O167" s="37" t="n"/>
    </row>
    <row r="168" ht="40" customHeight="1">
      <c r="A168" s="38" t="n">
        <v>130</v>
      </c>
      <c r="B168" s="28" t="inlineStr">
        <is>
          <t>External works</t>
        </is>
      </c>
      <c r="C168" s="28" t="inlineStr">
        <is>
          <t>Pavement subgrade, base course and surfacing tested</t>
        </is>
      </c>
      <c r="D168" s="28" t="inlineStr">
        <is>
          <t>Subgrade and base compacted and tested to the specified density; layer thicknesses verified; surfacing thickness and finish within the specified tolerance</t>
        </is>
      </c>
      <c r="E168" s="28" t="inlineStr">
        <is>
          <t>ISO 17892; project pavement specification</t>
        </is>
      </c>
      <c r="F168" s="30" t="n"/>
      <c r="G168" s="30" t="n"/>
      <c r="H168" s="39" t="n"/>
      <c r="I168" s="28" t="inlineStr">
        <is>
          <t>Per specification</t>
        </is>
      </c>
      <c r="J168" s="39" t="n"/>
      <c r="K168" s="39" t="n"/>
      <c r="L168" s="40">
        <f>IF($H168="","",IF(AND($J168="",$K168=""),"No limit set",IF(NOT(ISNUMBER($H168)),"Check value",IF(AND(ISNUMBER($J168),$H168&lt;$J168),"Outside",IF(AND(ISNUMBER($K168),$H168&gt;$K168),"Outside","Within")))))</f>
        <v/>
      </c>
      <c r="M168" s="28" t="n"/>
      <c r="N168" s="61" t="n"/>
      <c r="O168" s="28" t="n"/>
    </row>
    <row r="169" ht="40" customHeight="1">
      <c r="A169" s="38" t="n">
        <v>131</v>
      </c>
      <c r="B169" s="28" t="inlineStr">
        <is>
          <t>External works</t>
        </is>
      </c>
      <c r="C169" s="28" t="inlineStr">
        <is>
          <t>Levels, falls, drainage and accessibility gradients surveyed</t>
        </is>
      </c>
      <c r="D169" s="28" t="inlineStr">
        <is>
          <t>Surface levels within ±10 mm of design; falls to every pit and grate with no ponding; accessible path gradients and crossfalls within the specified limits</t>
        </is>
      </c>
      <c r="E169" s="28" t="inlineStr">
        <is>
          <t>ISO 21542</t>
        </is>
      </c>
      <c r="F169" s="30" t="n"/>
      <c r="G169" s="30" t="n"/>
      <c r="H169" s="39" t="n"/>
      <c r="I169" s="28" t="inlineStr">
        <is>
          <t>±10 mm</t>
        </is>
      </c>
      <c r="J169" s="39" t="n"/>
      <c r="K169" s="39" t="n"/>
      <c r="L169" s="40">
        <f>IF($H169="","",IF(AND($J169="",$K169=""),"No limit set",IF(NOT(ISNUMBER($H169)),"Check value",IF(AND(ISNUMBER($J169),$H169&lt;$J169),"Outside",IF(AND(ISNUMBER($K169),$H169&gt;$K169),"Outside","Within")))))</f>
        <v/>
      </c>
      <c r="M169" s="28" t="n"/>
      <c r="N169" s="61" t="n"/>
      <c r="O169" s="28" t="n"/>
    </row>
    <row r="170" ht="40" customHeight="1">
      <c r="A170" s="38" t="n">
        <v>132</v>
      </c>
      <c r="B170" s="28" t="inlineStr">
        <is>
          <t>External works</t>
        </is>
      </c>
      <c r="C170" s="28" t="inlineStr">
        <is>
          <t>Kerbs, line marking, signage and street furniture installed as designed</t>
        </is>
      </c>
      <c r="D170" s="28" t="inlineStr">
        <is>
          <t>Alignment within the specified tolerance; line marking and signage as the approved traffic plan; furniture fixed, level and complete</t>
        </is>
      </c>
      <c r="E170" s="28" t="inlineStr">
        <is>
          <t>Approved traffic and landscape plans</t>
        </is>
      </c>
      <c r="F170" s="30" t="n"/>
      <c r="G170" s="30" t="n"/>
      <c r="H170" s="39" t="n"/>
      <c r="I170" s="28" t="inlineStr">
        <is>
          <t>Per plan</t>
        </is>
      </c>
      <c r="J170" s="39" t="n"/>
      <c r="K170" s="39" t="n"/>
      <c r="L170" s="40">
        <f>IF($H170="","",IF(AND($J170="",$K170=""),"No limit set",IF(NOT(ISNUMBER($H170)),"Check value",IF(AND(ISNUMBER($J170),$H170&lt;$J170),"Outside",IF(AND(ISNUMBER($K170),$H170&gt;$K170),"Outside","Within")))))</f>
        <v/>
      </c>
      <c r="M170" s="28" t="n"/>
      <c r="N170" s="61" t="n"/>
      <c r="O170" s="28" t="n"/>
    </row>
    <row r="171" ht="40" customHeight="1">
      <c r="A171" s="38" t="n">
        <v>133</v>
      </c>
      <c r="B171" s="28" t="inlineStr">
        <is>
          <t>External works</t>
        </is>
      </c>
      <c r="C171" s="28" t="inlineStr">
        <is>
          <t>Landscaping, topsoil, planting and irrigation established</t>
        </is>
      </c>
      <c r="D171" s="28" t="inlineStr">
        <is>
          <t>Topsoil depth and quality as specified; species, size and setting-out as the landscape plan; irrigation tested and coverage proven; establishment period commenced and recorded</t>
        </is>
      </c>
      <c r="E171" s="28" t="inlineStr">
        <is>
          <t>Project landscape specification</t>
        </is>
      </c>
      <c r="F171" s="30" t="n"/>
      <c r="G171" s="30" t="n"/>
      <c r="H171" s="39" t="n"/>
      <c r="I171" s="28" t="inlineStr">
        <is>
          <t>Per plan</t>
        </is>
      </c>
      <c r="J171" s="39" t="n"/>
      <c r="K171" s="39" t="n"/>
      <c r="L171" s="40">
        <f>IF($H171="","",IF(AND($J171="",$K171=""),"No limit set",IF(NOT(ISNUMBER($H171)),"Check value",IF(AND(ISNUMBER($J171),$H171&lt;$J171),"Outside",IF(AND(ISNUMBER($K171),$H171&gt;$K171),"Outside","Within")))))</f>
        <v/>
      </c>
      <c r="M171" s="28" t="n"/>
      <c r="N171" s="61" t="n"/>
      <c r="O171" s="28" t="n"/>
    </row>
    <row r="172" ht="21" customHeight="1">
      <c r="A172" s="33" t="inlineStr">
        <is>
          <t>31.  FINAL CLEAN AND HANDOVER READINESS</t>
        </is>
      </c>
      <c r="B172" s="34" t="n"/>
      <c r="C172" s="34" t="n"/>
      <c r="D172" s="7" t="n"/>
      <c r="E172" s="35" t="inlineStr">
        <is>
          <t>ITEMS CHECKED IN THIS ELEMENT</t>
        </is>
      </c>
      <c r="F172" s="36">
        <f>IF(SUMPRODUCT(--(ISNUMBER($A$173:$A$177)))=0,"",SUMPRODUCT(--(ISNUMBER($A$173:$A$177)),--($F$173:$F$177&lt;&gt;""))/SUMPRODUCT(--(ISNUMBER($A$173:$A$177))))</f>
        <v/>
      </c>
      <c r="G172" s="26">
        <f>SUMPRODUCT(--(ISNUMBER($A$173:$A$177)))</f>
        <v/>
      </c>
      <c r="H172" s="37" t="n"/>
      <c r="I172" s="37" t="n"/>
      <c r="J172" s="37" t="n"/>
      <c r="K172" s="37" t="n"/>
      <c r="L172" s="37" t="n"/>
      <c r="M172" s="37" t="n"/>
      <c r="N172" s="37" t="n"/>
      <c r="O172" s="37" t="n"/>
    </row>
    <row r="173" ht="40" customHeight="1">
      <c r="A173" s="38" t="n">
        <v>134</v>
      </c>
      <c r="B173" s="28" t="inlineStr">
        <is>
          <t>Final clean and handover readiness</t>
        </is>
      </c>
      <c r="C173" s="28" t="inlineStr">
        <is>
          <t>Builder's clean and final detail clean completed to the specified standard</t>
        </is>
      </c>
      <c r="D173" s="28" t="inlineStr">
        <is>
          <t>All surfaces, glazing, luminaires, grilles, ceiling voids and service risers clean; no construction dust in any air path or clinical space; clean witnessed and accepted</t>
        </is>
      </c>
      <c r="E173" s="28" t="inlineStr">
        <is>
          <t>Project cleaning specification</t>
        </is>
      </c>
      <c r="F173" s="30" t="n"/>
      <c r="G173" s="30" t="n"/>
      <c r="H173" s="39" t="n"/>
      <c r="I173" s="28" t="inlineStr">
        <is>
          <t>—</t>
        </is>
      </c>
      <c r="J173" s="39" t="n"/>
      <c r="K173" s="39" t="n"/>
      <c r="L173" s="40">
        <f>IF($H173="","",IF(AND($J173="",$K173=""),"No limit set",IF(NOT(ISNUMBER($H173)),"Check value",IF(AND(ISNUMBER($J173),$H173&lt;$J173),"Outside",IF(AND(ISNUMBER($K173),$H173&gt;$K173),"Outside","Within")))))</f>
        <v/>
      </c>
      <c r="M173" s="28" t="n"/>
      <c r="N173" s="61" t="n"/>
      <c r="O173" s="28" t="n"/>
    </row>
    <row r="174" ht="40" customHeight="1">
      <c r="A174" s="38" t="n">
        <v>135</v>
      </c>
      <c r="B174" s="28" t="inlineStr">
        <is>
          <t>Final clean and handover readiness</t>
        </is>
      </c>
      <c r="C174" s="28" t="inlineStr">
        <is>
          <t>Inspection list closed out and verified by re-inspection</t>
        </is>
      </c>
      <c r="D174" s="28" t="inlineStr">
        <is>
          <t>Every item rectified and re-inspected; closed items signed by the party who raised them; any open item listed with an owner and a date</t>
        </is>
      </c>
      <c r="E174" s="28" t="inlineStr">
        <is>
          <t>ISO 9001 cl. 8.7 and 10.2</t>
        </is>
      </c>
      <c r="F174" s="30" t="n"/>
      <c r="G174" s="30" t="n"/>
      <c r="H174" s="39" t="n"/>
      <c r="I174" s="28" t="inlineStr">
        <is>
          <t>—</t>
        </is>
      </c>
      <c r="J174" s="39" t="n"/>
      <c r="K174" s="39" t="n"/>
      <c r="L174" s="40">
        <f>IF($H174="","",IF(AND($J174="",$K174=""),"No limit set",IF(NOT(ISNUMBER($H174)),"Check value",IF(AND(ISNUMBER($J174),$H174&lt;$J174),"Outside",IF(AND(ISNUMBER($K174),$H174&gt;$K174),"Outside","Within")))))</f>
        <v/>
      </c>
      <c r="M174" s="28" t="n"/>
      <c r="N174" s="61" t="n"/>
      <c r="O174" s="28" t="n"/>
    </row>
    <row r="175" ht="40" customHeight="1">
      <c r="A175" s="38" t="n">
        <v>136</v>
      </c>
      <c r="B175" s="28" t="inlineStr">
        <is>
          <t>Final clean and handover readiness</t>
        </is>
      </c>
      <c r="C175" s="28" t="inlineStr">
        <is>
          <t>Statutory approvals, certificates and compliance documentation complete</t>
        </is>
      </c>
      <c r="D175" s="28" t="inlineStr">
        <is>
          <t>Every certificate required for occupation issued and filed; register of certificates complete with issue dates and issuing parties</t>
        </is>
      </c>
      <c r="E175" s="28" t="inlineStr">
        <is>
          <t>[insert applicable jurisdiction's building and occupancy approval requirements]</t>
        </is>
      </c>
      <c r="F175" s="30" t="n"/>
      <c r="G175" s="30" t="n"/>
      <c r="H175" s="39" t="n"/>
      <c r="I175" s="28" t="inlineStr">
        <is>
          <t>—</t>
        </is>
      </c>
      <c r="J175" s="39" t="n"/>
      <c r="K175" s="39" t="n"/>
      <c r="L175" s="40">
        <f>IF($H175="","",IF(AND($J175="",$K175=""),"No limit set",IF(NOT(ISNUMBER($H175)),"Check value",IF(AND(ISNUMBER($J175),$H175&lt;$J175),"Outside",IF(AND(ISNUMBER($K175),$H175&gt;$K175),"Outside","Within")))))</f>
        <v/>
      </c>
      <c r="M175" s="28" t="n"/>
      <c r="N175" s="61" t="n"/>
      <c r="O175" s="28" t="n"/>
    </row>
    <row r="176" ht="40" customHeight="1">
      <c r="A176" s="38" t="n">
        <v>137</v>
      </c>
      <c r="B176" s="28" t="inlineStr">
        <is>
          <t>Final clean and handover readiness</t>
        </is>
      </c>
      <c r="C176" s="28" t="inlineStr">
        <is>
          <t>Keys, access credentials, spares and attic stock handed over and receipted</t>
        </is>
      </c>
      <c r="D176" s="28" t="inlineStr">
        <is>
          <t>Keys, access cards, spare parts and attic stock in the specified quantities, handed over against a signed receipt</t>
        </is>
      </c>
      <c r="E176" s="28" t="inlineStr">
        <is>
          <t>Project specification</t>
        </is>
      </c>
      <c r="F176" s="30" t="n"/>
      <c r="G176" s="30" t="n"/>
      <c r="H176" s="39" t="n"/>
      <c r="I176" s="28" t="inlineStr">
        <is>
          <t>—</t>
        </is>
      </c>
      <c r="J176" s="39" t="n"/>
      <c r="K176" s="39" t="n"/>
      <c r="L176" s="40">
        <f>IF($H176="","",IF(AND($J176="",$K176=""),"No limit set",IF(NOT(ISNUMBER($H176)),"Check value",IF(AND(ISNUMBER($J176),$H176&lt;$J176),"Outside",IF(AND(ISNUMBER($K176),$H176&gt;$K176),"Outside","Within")))))</f>
        <v/>
      </c>
      <c r="M176" s="28" t="n"/>
      <c r="N176" s="61" t="n"/>
      <c r="O176" s="28" t="n"/>
    </row>
    <row r="177" ht="40" customHeight="1">
      <c r="A177" s="38" t="n">
        <v>138</v>
      </c>
      <c r="B177" s="28" t="inlineStr">
        <is>
          <t>Final clean and handover readiness</t>
        </is>
      </c>
      <c r="C177" s="28" t="inlineStr">
        <is>
          <t>Final joint inspection with the Client completed and the record signed</t>
        </is>
      </c>
      <c r="D177" s="28" t="inlineStr">
        <is>
          <t>Joint final inspection carried out, the record signed by both parties, and every remaining item transferred to the defects liability register with an owner and a date</t>
        </is>
      </c>
      <c r="E177" s="28" t="inlineStr">
        <is>
          <t>ISO 9001 cl. 8.6</t>
        </is>
      </c>
      <c r="F177" s="30" t="n"/>
      <c r="G177" s="30" t="n"/>
      <c r="H177" s="39" t="n"/>
      <c r="I177" s="28" t="inlineStr">
        <is>
          <t>—</t>
        </is>
      </c>
      <c r="J177" s="39" t="n"/>
      <c r="K177" s="39" t="n"/>
      <c r="L177" s="40">
        <f>IF($H177="","",IF(AND($J177="",$K177=""),"No limit set",IF(NOT(ISNUMBER($H177)),"Check value",IF(AND(ISNUMBER($J177),$H177&lt;$J177),"Outside",IF(AND(ISNUMBER($K177),$H177&gt;$K177),"Outside","Within")))))</f>
        <v/>
      </c>
      <c r="M177" s="28" t="n"/>
      <c r="N177" s="61" t="n"/>
      <c r="O177" s="28" t="n"/>
    </row>
    <row r="178" ht="21" customHeight="1">
      <c r="A178" s="33" t="inlineStr">
        <is>
          <t>ALL ELEMENTS — TOTAL</t>
        </is>
      </c>
      <c r="B178" s="34" t="n"/>
      <c r="C178" s="34" t="n"/>
      <c r="D178" s="7" t="n"/>
      <c r="E178" s="35" t="inlineStr">
        <is>
          <t>ITEMS CHECKED, WHOLE CHECKLIST</t>
        </is>
      </c>
      <c r="F178" s="42">
        <f>IF(SUMPRODUCT(--(ISNUMBER($A$9:$A$177)))=0,"",SUMPRODUCT(--(ISNUMBER($A$9:$A$177)),--($F$9:$F$177&lt;&gt;""))/SUMPRODUCT(--(ISNUMBER($A$9:$A$177))))</f>
        <v/>
      </c>
      <c r="G178" s="43">
        <f>SUMPRODUCT(--(ISNUMBER($A$9:$A$177)))</f>
        <v/>
      </c>
      <c r="H178" s="37" t="n"/>
      <c r="I178" s="37" t="n"/>
      <c r="J178" s="37" t="n"/>
      <c r="K178" s="37" t="n"/>
      <c r="L178" s="37" t="n"/>
      <c r="M178" s="37" t="n"/>
      <c r="N178" s="37" t="n"/>
      <c r="O178" s="37" t="n"/>
    </row>
    <row r="180" ht="19.5" customHeight="1">
      <c r="A180" s="4" t="inlineStr">
        <is>
          <t>SUMMARY — CALCULATED FROM THE ROWS ABOVE</t>
        </is>
      </c>
    </row>
    <row r="181" ht="15" customHeight="1">
      <c r="A181" s="12" t="inlineStr">
        <is>
          <t>Read the completion percentage together with the failures. A checklist that is 100% checked with items still outside tolerance is not complete; it is finished being filled in.</t>
        </is>
      </c>
    </row>
    <row r="182" ht="15.75" customHeight="1">
      <c r="A182" s="13" t="inlineStr">
        <is>
          <t>Checklist items in this workbook</t>
        </is>
      </c>
      <c r="D182" s="31">
        <f>SUMPRODUCT(--(ISNUMBER($A$9:$A$177)))</f>
        <v/>
      </c>
    </row>
    <row r="183" ht="15.75" customHeight="1">
      <c r="A183" s="13" t="inlineStr">
        <is>
          <t>Items checked</t>
        </is>
      </c>
      <c r="D183" s="31">
        <f>SUMPRODUCT(--(ISNUMBER($A$9:$A$177)),--($F$9:$F$177&lt;&gt;""))</f>
        <v/>
      </c>
    </row>
    <row r="184" ht="15.75" customHeight="1">
      <c r="A184" s="13" t="inlineStr">
        <is>
          <t>Items not yet checked</t>
        </is>
      </c>
      <c r="D184" s="31">
        <f>SUMPRODUCT(--(ISNUMBER($A$9:$A$177)),--($F$9:$F$177=""))</f>
        <v/>
      </c>
    </row>
    <row r="185" ht="15.75" customHeight="1">
      <c r="A185" s="13" t="inlineStr">
        <is>
          <t>Items recorded as Pass</t>
        </is>
      </c>
      <c r="D185" s="31">
        <f>COUNTIF($G$9:$G$177,"Pass")</f>
        <v/>
      </c>
    </row>
    <row r="186" ht="15.75" customHeight="1">
      <c r="A186" s="13" t="inlineStr">
        <is>
          <t>Items recorded as Fail</t>
        </is>
      </c>
      <c r="D186" s="31">
        <f>COUNTIF($G$9:$G$177,"Fail")</f>
        <v/>
      </c>
    </row>
    <row r="187" ht="15.75" customHeight="1">
      <c r="A187" s="13" t="inlineStr">
        <is>
          <t>Items recorded as N/A</t>
        </is>
      </c>
      <c r="D187" s="31">
        <f>COUNTIF($G$9:$G$177,"N/A")</f>
        <v/>
      </c>
    </row>
    <row r="188" ht="15.75" customHeight="1">
      <c r="A188" s="13" t="inlineStr">
        <is>
          <t>Measurements outside tolerance</t>
        </is>
      </c>
      <c r="D188" s="31">
        <f>COUNTIF($L$9:$L$177,"Outside")</f>
        <v/>
      </c>
    </row>
    <row r="189" ht="15.75" customHeight="1">
      <c r="A189" s="13" t="inlineStr">
        <is>
          <t>Measurements taken with no limit set</t>
        </is>
      </c>
      <c r="D189" s="31">
        <f>COUNTIF($L$9:$L$177,"No limit set")</f>
        <v/>
      </c>
    </row>
    <row r="190" ht="15.75" customHeight="1">
      <c r="A190" s="13" t="inlineStr">
        <is>
          <t>Items checked but not signed or dated</t>
        </is>
      </c>
      <c r="D190" s="31">
        <f>SUMPRODUCT(--(ISNUMBER($A$9:$A$177)),--($F$9:$F$177&lt;&gt;""),--(($M$9:$M$177="")+($N$9:$N$177="")&gt;0))</f>
        <v/>
      </c>
    </row>
    <row r="192" ht="40" customHeight="1">
      <c r="A192" s="13" t="inlineStr">
        <is>
          <t>This sheet is the working tick sheet, not the plan. It does not replace the Inspection &amp; Test Plan: the plan carries the hold points, the frequencies and the Client's rights to witness, and it is the document that is accepted before the work starts. Use them together — the checklist is how the crew proves the item, the plan is how the project proves the lot. Rows shown in grey italic are worked examples from Northbank Health Precinct — Stage 2 — delete them before use.</t>
        </is>
      </c>
    </row>
    <row r="194" ht="16.5" customHeight="1">
      <c r="A194" s="66" t="inlineStr">
        <is>
          <t>Mastt template  ·  mastt.com  ·  © 2026 Mastt</t>
        </is>
      </c>
      <c r="B194" s="59" t="n"/>
      <c r="C194" s="59" t="n"/>
      <c r="D194" s="59" t="n"/>
      <c r="E194" s="59" t="n"/>
      <c r="F194" s="59" t="n"/>
      <c r="G194" s="59" t="n"/>
      <c r="H194" s="59" t="n"/>
      <c r="I194" s="59" t="n"/>
      <c r="J194" s="59" t="n"/>
      <c r="K194" s="59" t="n"/>
      <c r="L194" s="59" t="n"/>
      <c r="M194" s="59" t="n"/>
      <c r="N194" s="59" t="n"/>
      <c r="O194" s="59" t="n"/>
    </row>
  </sheetData>
  <mergeCells count="49">
    <mergeCell ref="A183:C183"/>
    <mergeCell ref="A150:D150"/>
    <mergeCell ref="A7:L7"/>
    <mergeCell ref="A38:D38"/>
    <mergeCell ref="A189:C189"/>
    <mergeCell ref="M7:O7"/>
    <mergeCell ref="A43:D43"/>
    <mergeCell ref="A156:D156"/>
    <mergeCell ref="A161:D161"/>
    <mergeCell ref="A192:L192"/>
    <mergeCell ref="A93:D93"/>
    <mergeCell ref="A9:D9"/>
    <mergeCell ref="A185:C185"/>
    <mergeCell ref="A77:D77"/>
    <mergeCell ref="A167:D167"/>
    <mergeCell ref="A188:C188"/>
    <mergeCell ref="C3:O3"/>
    <mergeCell ref="A15:D15"/>
    <mergeCell ref="A59:D59"/>
    <mergeCell ref="A82:D82"/>
    <mergeCell ref="A181:L181"/>
    <mergeCell ref="A184:C184"/>
    <mergeCell ref="A49:D49"/>
    <mergeCell ref="A194:O194"/>
    <mergeCell ref="A180:C180"/>
    <mergeCell ref="A178:D178"/>
    <mergeCell ref="A98:D98"/>
    <mergeCell ref="A123:D123"/>
    <mergeCell ref="A190:C190"/>
    <mergeCell ref="A103:D103"/>
    <mergeCell ref="A88:D88"/>
    <mergeCell ref="A54:D54"/>
    <mergeCell ref="A65:D65"/>
    <mergeCell ref="A128:D128"/>
    <mergeCell ref="A172:D172"/>
    <mergeCell ref="A186:C186"/>
    <mergeCell ref="A133:D133"/>
    <mergeCell ref="A108:D108"/>
    <mergeCell ref="A182:C182"/>
    <mergeCell ref="A118:D118"/>
    <mergeCell ref="A27:D27"/>
    <mergeCell ref="A145:D145"/>
    <mergeCell ref="A139:D139"/>
    <mergeCell ref="A21:D21"/>
    <mergeCell ref="A113:D113"/>
    <mergeCell ref="A33:D33"/>
    <mergeCell ref="A71:D71"/>
    <mergeCell ref="A187:C187"/>
    <mergeCell ref="C2:O2"/>
  </mergeCells>
  <conditionalFormatting sqref="F9">
    <cfRule type="expression" priority="1" dxfId="1" stopIfTrue="0">
      <formula>AND(ISNUMBER($F$9),$F$9&gt;=Checklist_Target)</formula>
    </cfRule>
    <cfRule type="expression" priority="2" dxfId="7" stopIfTrue="0">
      <formula>AND(ISNUMBER($F$9),$F$9&gt;0,$F$9&lt;Checklist_Target)</formula>
    </cfRule>
  </conditionalFormatting>
  <conditionalFormatting sqref="F15">
    <cfRule type="expression" priority="3" dxfId="1" stopIfTrue="0">
      <formula>AND(ISNUMBER($F$15),$F$15&gt;=Checklist_Target)</formula>
    </cfRule>
    <cfRule type="expression" priority="4" dxfId="7" stopIfTrue="0">
      <formula>AND(ISNUMBER($F$15),$F$15&gt;0,$F$15&lt;Checklist_Target)</formula>
    </cfRule>
  </conditionalFormatting>
  <conditionalFormatting sqref="F21">
    <cfRule type="expression" priority="5" dxfId="1" stopIfTrue="0">
      <formula>AND(ISNUMBER($F$21),$F$21&gt;=Checklist_Target)</formula>
    </cfRule>
    <cfRule type="expression" priority="6" dxfId="7" stopIfTrue="0">
      <formula>AND(ISNUMBER($F$21),$F$21&gt;0,$F$21&lt;Checklist_Target)</formula>
    </cfRule>
  </conditionalFormatting>
  <conditionalFormatting sqref="F27">
    <cfRule type="expression" priority="7" dxfId="1" stopIfTrue="0">
      <formula>AND(ISNUMBER($F$27),$F$27&gt;=Checklist_Target)</formula>
    </cfRule>
    <cfRule type="expression" priority="8" dxfId="7" stopIfTrue="0">
      <formula>AND(ISNUMBER($F$27),$F$27&gt;0,$F$27&lt;Checklist_Target)</formula>
    </cfRule>
  </conditionalFormatting>
  <conditionalFormatting sqref="F33">
    <cfRule type="expression" priority="9" dxfId="1" stopIfTrue="0">
      <formula>AND(ISNUMBER($F$33),$F$33&gt;=Checklist_Target)</formula>
    </cfRule>
    <cfRule type="expression" priority="10" dxfId="7" stopIfTrue="0">
      <formula>AND(ISNUMBER($F$33),$F$33&gt;0,$F$33&lt;Checklist_Target)</formula>
    </cfRule>
  </conditionalFormatting>
  <conditionalFormatting sqref="F38">
    <cfRule type="expression" priority="11" dxfId="1" stopIfTrue="0">
      <formula>AND(ISNUMBER($F$38),$F$38&gt;=Checklist_Target)</formula>
    </cfRule>
    <cfRule type="expression" priority="12" dxfId="7" stopIfTrue="0">
      <formula>AND(ISNUMBER($F$38),$F$38&gt;0,$F$38&lt;Checklist_Target)</formula>
    </cfRule>
  </conditionalFormatting>
  <conditionalFormatting sqref="F43">
    <cfRule type="expression" priority="13" dxfId="1" stopIfTrue="0">
      <formula>AND(ISNUMBER($F$43),$F$43&gt;=Checklist_Target)</formula>
    </cfRule>
    <cfRule type="expression" priority="14" dxfId="7" stopIfTrue="0">
      <formula>AND(ISNUMBER($F$43),$F$43&gt;0,$F$43&lt;Checklist_Target)</formula>
    </cfRule>
  </conditionalFormatting>
  <conditionalFormatting sqref="F49">
    <cfRule type="expression" priority="15" dxfId="1" stopIfTrue="0">
      <formula>AND(ISNUMBER($F$49),$F$49&gt;=Checklist_Target)</formula>
    </cfRule>
    <cfRule type="expression" priority="16" dxfId="7" stopIfTrue="0">
      <formula>AND(ISNUMBER($F$49),$F$49&gt;0,$F$49&lt;Checklist_Target)</formula>
    </cfRule>
  </conditionalFormatting>
  <conditionalFormatting sqref="F54">
    <cfRule type="expression" priority="17" dxfId="1" stopIfTrue="0">
      <formula>AND(ISNUMBER($F$54),$F$54&gt;=Checklist_Target)</formula>
    </cfRule>
    <cfRule type="expression" priority="18" dxfId="7" stopIfTrue="0">
      <formula>AND(ISNUMBER($F$54),$F$54&gt;0,$F$54&lt;Checklist_Target)</formula>
    </cfRule>
  </conditionalFormatting>
  <conditionalFormatting sqref="F59">
    <cfRule type="expression" priority="19" dxfId="1" stopIfTrue="0">
      <formula>AND(ISNUMBER($F$59),$F$59&gt;=Checklist_Target)</formula>
    </cfRule>
    <cfRule type="expression" priority="20" dxfId="7" stopIfTrue="0">
      <formula>AND(ISNUMBER($F$59),$F$59&gt;0,$F$59&lt;Checklist_Target)</formula>
    </cfRule>
  </conditionalFormatting>
  <conditionalFormatting sqref="F65">
    <cfRule type="expression" priority="21" dxfId="1" stopIfTrue="0">
      <formula>AND(ISNUMBER($F$65),$F$65&gt;=Checklist_Target)</formula>
    </cfRule>
    <cfRule type="expression" priority="22" dxfId="7" stopIfTrue="0">
      <formula>AND(ISNUMBER($F$65),$F$65&gt;0,$F$65&lt;Checklist_Target)</formula>
    </cfRule>
  </conditionalFormatting>
  <conditionalFormatting sqref="F71">
    <cfRule type="expression" priority="23" dxfId="1" stopIfTrue="0">
      <formula>AND(ISNUMBER($F$71),$F$71&gt;=Checklist_Target)</formula>
    </cfRule>
    <cfRule type="expression" priority="24" dxfId="7" stopIfTrue="0">
      <formula>AND(ISNUMBER($F$71),$F$71&gt;0,$F$71&lt;Checklist_Target)</formula>
    </cfRule>
  </conditionalFormatting>
  <conditionalFormatting sqref="F77">
    <cfRule type="expression" priority="25" dxfId="1" stopIfTrue="0">
      <formula>AND(ISNUMBER($F$77),$F$77&gt;=Checklist_Target)</formula>
    </cfRule>
    <cfRule type="expression" priority="26" dxfId="7" stopIfTrue="0">
      <formula>AND(ISNUMBER($F$77),$F$77&gt;0,$F$77&lt;Checklist_Target)</formula>
    </cfRule>
  </conditionalFormatting>
  <conditionalFormatting sqref="F82">
    <cfRule type="expression" priority="27" dxfId="1" stopIfTrue="0">
      <formula>AND(ISNUMBER($F$82),$F$82&gt;=Checklist_Target)</formula>
    </cfRule>
    <cfRule type="expression" priority="28" dxfId="7" stopIfTrue="0">
      <formula>AND(ISNUMBER($F$82),$F$82&gt;0,$F$82&lt;Checklist_Target)</formula>
    </cfRule>
  </conditionalFormatting>
  <conditionalFormatting sqref="F88">
    <cfRule type="expression" priority="29" dxfId="1" stopIfTrue="0">
      <formula>AND(ISNUMBER($F$88),$F$88&gt;=Checklist_Target)</formula>
    </cfRule>
    <cfRule type="expression" priority="30" dxfId="7" stopIfTrue="0">
      <formula>AND(ISNUMBER($F$88),$F$88&gt;0,$F$88&lt;Checklist_Target)</formula>
    </cfRule>
  </conditionalFormatting>
  <conditionalFormatting sqref="F93">
    <cfRule type="expression" priority="31" dxfId="1" stopIfTrue="0">
      <formula>AND(ISNUMBER($F$93),$F$93&gt;=Checklist_Target)</formula>
    </cfRule>
    <cfRule type="expression" priority="32" dxfId="7" stopIfTrue="0">
      <formula>AND(ISNUMBER($F$93),$F$93&gt;0,$F$93&lt;Checklist_Target)</formula>
    </cfRule>
  </conditionalFormatting>
  <conditionalFormatting sqref="F98">
    <cfRule type="expression" priority="33" dxfId="1" stopIfTrue="0">
      <formula>AND(ISNUMBER($F$98),$F$98&gt;=Checklist_Target)</formula>
    </cfRule>
    <cfRule type="expression" priority="34" dxfId="7" stopIfTrue="0">
      <formula>AND(ISNUMBER($F$98),$F$98&gt;0,$F$98&lt;Checklist_Target)</formula>
    </cfRule>
  </conditionalFormatting>
  <conditionalFormatting sqref="F103">
    <cfRule type="expression" priority="35" dxfId="1" stopIfTrue="0">
      <formula>AND(ISNUMBER($F$103),$F$103&gt;=Checklist_Target)</formula>
    </cfRule>
    <cfRule type="expression" priority="36" dxfId="7" stopIfTrue="0">
      <formula>AND(ISNUMBER($F$103),$F$103&gt;0,$F$103&lt;Checklist_Target)</formula>
    </cfRule>
  </conditionalFormatting>
  <conditionalFormatting sqref="F108">
    <cfRule type="expression" priority="37" dxfId="1" stopIfTrue="0">
      <formula>AND(ISNUMBER($F$108),$F$108&gt;=Checklist_Target)</formula>
    </cfRule>
    <cfRule type="expression" priority="38" dxfId="7" stopIfTrue="0">
      <formula>AND(ISNUMBER($F$108),$F$108&gt;0,$F$108&lt;Checklist_Target)</formula>
    </cfRule>
  </conditionalFormatting>
  <conditionalFormatting sqref="F113">
    <cfRule type="expression" priority="39" dxfId="1" stopIfTrue="0">
      <formula>AND(ISNUMBER($F$113),$F$113&gt;=Checklist_Target)</formula>
    </cfRule>
    <cfRule type="expression" priority="40" dxfId="7" stopIfTrue="0">
      <formula>AND(ISNUMBER($F$113),$F$113&gt;0,$F$113&lt;Checklist_Target)</formula>
    </cfRule>
  </conditionalFormatting>
  <conditionalFormatting sqref="F118">
    <cfRule type="expression" priority="41" dxfId="1" stopIfTrue="0">
      <formula>AND(ISNUMBER($F$118),$F$118&gt;=Checklist_Target)</formula>
    </cfRule>
    <cfRule type="expression" priority="42" dxfId="7" stopIfTrue="0">
      <formula>AND(ISNUMBER($F$118),$F$118&gt;0,$F$118&lt;Checklist_Target)</formula>
    </cfRule>
  </conditionalFormatting>
  <conditionalFormatting sqref="F123">
    <cfRule type="expression" priority="43" dxfId="1" stopIfTrue="0">
      <formula>AND(ISNUMBER($F$123),$F$123&gt;=Checklist_Target)</formula>
    </cfRule>
    <cfRule type="expression" priority="44" dxfId="7" stopIfTrue="0">
      <formula>AND(ISNUMBER($F$123),$F$123&gt;0,$F$123&lt;Checklist_Target)</formula>
    </cfRule>
  </conditionalFormatting>
  <conditionalFormatting sqref="F128">
    <cfRule type="expression" priority="45" dxfId="1" stopIfTrue="0">
      <formula>AND(ISNUMBER($F$128),$F$128&gt;=Checklist_Target)</formula>
    </cfRule>
    <cfRule type="expression" priority="46" dxfId="7" stopIfTrue="0">
      <formula>AND(ISNUMBER($F$128),$F$128&gt;0,$F$128&lt;Checklist_Target)</formula>
    </cfRule>
  </conditionalFormatting>
  <conditionalFormatting sqref="F133">
    <cfRule type="expression" priority="47" dxfId="1" stopIfTrue="0">
      <formula>AND(ISNUMBER($F$133),$F$133&gt;=Checklist_Target)</formula>
    </cfRule>
    <cfRule type="expression" priority="48" dxfId="7" stopIfTrue="0">
      <formula>AND(ISNUMBER($F$133),$F$133&gt;0,$F$133&lt;Checklist_Target)</formula>
    </cfRule>
  </conditionalFormatting>
  <conditionalFormatting sqref="F139">
    <cfRule type="expression" priority="49" dxfId="1" stopIfTrue="0">
      <formula>AND(ISNUMBER($F$139),$F$139&gt;=Checklist_Target)</formula>
    </cfRule>
    <cfRule type="expression" priority="50" dxfId="7" stopIfTrue="0">
      <formula>AND(ISNUMBER($F$139),$F$139&gt;0,$F$139&lt;Checklist_Target)</formula>
    </cfRule>
  </conditionalFormatting>
  <conditionalFormatting sqref="F145">
    <cfRule type="expression" priority="51" dxfId="1" stopIfTrue="0">
      <formula>AND(ISNUMBER($F$145),$F$145&gt;=Checklist_Target)</formula>
    </cfRule>
    <cfRule type="expression" priority="52" dxfId="7" stopIfTrue="0">
      <formula>AND(ISNUMBER($F$145),$F$145&gt;0,$F$145&lt;Checklist_Target)</formula>
    </cfRule>
  </conditionalFormatting>
  <conditionalFormatting sqref="F150">
    <cfRule type="expression" priority="53" dxfId="1" stopIfTrue="0">
      <formula>AND(ISNUMBER($F$150),$F$150&gt;=Checklist_Target)</formula>
    </cfRule>
    <cfRule type="expression" priority="54" dxfId="7" stopIfTrue="0">
      <formula>AND(ISNUMBER($F$150),$F$150&gt;0,$F$150&lt;Checklist_Target)</formula>
    </cfRule>
  </conditionalFormatting>
  <conditionalFormatting sqref="F156">
    <cfRule type="expression" priority="55" dxfId="1" stopIfTrue="0">
      <formula>AND(ISNUMBER($F$156),$F$156&gt;=Checklist_Target)</formula>
    </cfRule>
    <cfRule type="expression" priority="56" dxfId="7" stopIfTrue="0">
      <formula>AND(ISNUMBER($F$156),$F$156&gt;0,$F$156&lt;Checklist_Target)</formula>
    </cfRule>
  </conditionalFormatting>
  <conditionalFormatting sqref="F161">
    <cfRule type="expression" priority="57" dxfId="1" stopIfTrue="0">
      <formula>AND(ISNUMBER($F$161),$F$161&gt;=Checklist_Target)</formula>
    </cfRule>
    <cfRule type="expression" priority="58" dxfId="7" stopIfTrue="0">
      <formula>AND(ISNUMBER($F$161),$F$161&gt;0,$F$161&lt;Checklist_Target)</formula>
    </cfRule>
  </conditionalFormatting>
  <conditionalFormatting sqref="F167">
    <cfRule type="expression" priority="59" dxfId="1" stopIfTrue="0">
      <formula>AND(ISNUMBER($F$167),$F$167&gt;=Checklist_Target)</formula>
    </cfRule>
    <cfRule type="expression" priority="60" dxfId="7" stopIfTrue="0">
      <formula>AND(ISNUMBER($F$167),$F$167&gt;0,$F$167&lt;Checklist_Target)</formula>
    </cfRule>
  </conditionalFormatting>
  <conditionalFormatting sqref="F172">
    <cfRule type="expression" priority="61" dxfId="1" stopIfTrue="0">
      <formula>AND(ISNUMBER($F$172),$F$172&gt;=Checklist_Target)</formula>
    </cfRule>
    <cfRule type="expression" priority="62" dxfId="7" stopIfTrue="0">
      <formula>AND(ISNUMBER($F$172),$F$172&gt;0,$F$172&lt;Checklist_Target)</formula>
    </cfRule>
  </conditionalFormatting>
  <conditionalFormatting sqref="F9:F177">
    <cfRule type="expression" priority="63" dxfId="2" stopIfTrue="0">
      <formula>$F9="Yes"</formula>
    </cfRule>
    <cfRule type="expression" priority="64" dxfId="4" stopIfTrue="0">
      <formula>$F9="No"</formula>
    </cfRule>
    <cfRule type="expression" priority="65" dxfId="5" stopIfTrue="0">
      <formula>$F9="N/A"</formula>
    </cfRule>
  </conditionalFormatting>
  <conditionalFormatting sqref="G9:G177">
    <cfRule type="expression" priority="66" dxfId="2" stopIfTrue="0">
      <formula>$G9="Pass"</formula>
    </cfRule>
    <cfRule type="expression" priority="67" dxfId="3" stopIfTrue="0">
      <formula>$G9="Fail"</formula>
    </cfRule>
    <cfRule type="expression" priority="68" dxfId="5" stopIfTrue="0">
      <formula>$G9="N/A"</formula>
    </cfRule>
  </conditionalFormatting>
  <conditionalFormatting sqref="L9:L177">
    <cfRule type="expression" priority="69" dxfId="2" stopIfTrue="0">
      <formula>$L9="Within"</formula>
    </cfRule>
    <cfRule type="expression" priority="70" dxfId="0" stopIfTrue="0">
      <formula>$L9="Outside"</formula>
    </cfRule>
    <cfRule type="expression" priority="71" dxfId="4" stopIfTrue="0">
      <formula>$L9="Check value"</formula>
    </cfRule>
    <cfRule type="expression" priority="72" dxfId="6" stopIfTrue="0">
      <formula>$L9="No limit set"</formula>
    </cfRule>
  </conditionalFormatting>
  <conditionalFormatting sqref="A9:C177">
    <cfRule type="expression" priority="73" dxfId="3" stopIfTrue="0">
      <formula>OR($G9="Fail",$L9="Outside")</formula>
    </cfRule>
  </conditionalFormatting>
  <conditionalFormatting sqref="O9:O177">
    <cfRule type="expression" priority="74" dxfId="3" stopIfTrue="0">
      <formula>AND(OR($G9="Fail",$L9="Outside"),$O9="")</formula>
    </cfRule>
  </conditionalFormatting>
  <conditionalFormatting sqref="M9:N177">
    <cfRule type="expression" priority="75" dxfId="4" stopIfTrue="0">
      <formula>AND($F9&lt;&gt;"",OR($M9="",$N9=""))</formula>
    </cfRule>
  </conditionalFormatting>
  <conditionalFormatting sqref="F178">
    <cfRule type="expression" priority="76" dxfId="1" stopIfTrue="0">
      <formula>AND(ISNUMBER($F$178),$F$178&gt;=Checklist_Target)</formula>
    </cfRule>
    <cfRule type="expression" priority="77" dxfId="7" stopIfTrue="0">
      <formula>AND(ISNUMBER($F$178),$F$178&lt;Checklist_Target)</formula>
    </cfRule>
  </conditionalFormatting>
  <conditionalFormatting sqref="D186">
    <cfRule type="expression" priority="78" dxfId="0" stopIfTrue="0">
      <formula>$D$186&gt;0</formula>
    </cfRule>
  </conditionalFormatting>
  <conditionalFormatting sqref="D188">
    <cfRule type="expression" priority="79" dxfId="0" stopIfTrue="0">
      <formula>$D$188&gt;0</formula>
    </cfRule>
  </conditionalFormatting>
  <conditionalFormatting sqref="D190">
    <cfRule type="expression" priority="80" dxfId="0" stopIfTrue="0">
      <formula>$D$190&gt;0</formula>
    </cfRule>
  </conditionalFormatting>
  <conditionalFormatting sqref="D189">
    <cfRule type="expression" priority="81" dxfId="4" stopIfTrue="0">
      <formula>$D$189&gt;0</formula>
    </cfRule>
  </conditionalFormatting>
  <dataValidations count="3">
    <dataValidation sqref="B9:B177" showDropDown="0" showInputMessage="0" showErrorMessage="0" allowBlank="1" type="list">
      <formula1>Lists!$J$23:$J$53</formula1>
    </dataValidation>
    <dataValidation sqref="F9:F177" showDropDown="0" showInputMessage="0" showErrorMessage="0" allowBlank="1" type="list">
      <formula1>Lists!$C$23:$C$25</formula1>
    </dataValidation>
    <dataValidation sqref="G9:G177" showDropDown="0" showInputMessage="0" showErrorMessage="0" allowBlank="1" type="list">
      <formula1>Lists!$I$23:$I$25</formula1>
    </dataValidation>
  </dataValidations>
  <hyperlinks>
    <hyperlink xmlns:r="http://schemas.openxmlformats.org/officeDocument/2006/relationships" ref="A194" r:id="rId1"/>
  </hyperlinks>
  <printOptions horizontalCentered="0"/>
  <pageMargins left="0.3" right="0.3" top="0.5" bottom="0.5" header="0.2" footer="0.3"/>
  <pageSetup orientation="landscape" paperSize="8" fitToHeight="0" fitToWidth="2"/>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4.xml><?xml version="1.0" encoding="utf-8"?>
<worksheet xmlns="http://schemas.openxmlformats.org/spreadsheetml/2006/main">
  <sheetPr>
    <outlinePr summaryBelow="1" summaryRight="1"/>
    <pageSetUpPr fitToPage="1"/>
  </sheetPr>
  <dimension ref="A2:R49"/>
  <sheetViews>
    <sheetView showGridLines="0" workbookViewId="0">
      <pane xSplit="2" ySplit="8" topLeftCell="C9"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28" customWidth="1" min="2" max="2"/>
    <col width="24" customWidth="1" min="3" max="3"/>
    <col width="44" customWidth="1" min="4" max="4"/>
    <col width="12" customWidth="1" min="5" max="5"/>
    <col width="11" customWidth="1" min="6" max="6"/>
    <col width="10" customWidth="1" min="7" max="7"/>
    <col width="22" customWidth="1" min="8" max="8"/>
    <col width="11" customWidth="1" min="9" max="9"/>
    <col width="11" customWidth="1" min="10" max="10"/>
    <col width="10" customWidth="1" min="11" max="11"/>
    <col width="10" customWidth="1" min="12" max="12"/>
    <col width="10" customWidth="1" min="13" max="13"/>
    <col width="16" customWidth="1" min="14" max="14"/>
    <col width="12" customWidth="1" min="15" max="15"/>
    <col width="10" customWidth="1" min="16" max="16"/>
    <col width="20" customWidth="1" min="17" max="17"/>
    <col width="36" customWidth="1" min="18" max="18"/>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Lot Register  ·  one row per lot  ·  a lot closes only when every inspection is complete, every test has passed and no non-conformance is open</t>
        </is>
      </c>
    </row>
    <row r="4" ht="6" customHeight="1"/>
    <row r="6">
      <c r="A6" s="20">
        <f>IF(Proj_Name="","Project: —  |  complete the Cover sheet","Project:  "&amp;Proj_Name&amp;IF(Proj_Number="",""," |  No. "&amp;Proj_Number)&amp;IF(Proj_Client=""," "," |  "&amp;Proj_Client))</f>
        <v/>
      </c>
    </row>
    <row r="7" ht="27" customHeight="1">
      <c r="A7" s="12" t="inlineStr">
        <is>
          <t>A lot is a defined quantity of work, of one kind, in one location, produced under uniform conditions — it is the unit that is accepted or rejected. Put the lot number in the Work Element / Lot column of the Inspection &amp; Test Plan, the Test &amp; Certificate Register and the Non-Conformance Register: the tinted columns below find it in that text and do the counting for you.</t>
        </is>
      </c>
      <c r="M7" s="21" t="inlineStr">
        <is>
          <t>Shaded = your input.   Tinted = auto-calculated — do not overtype.</t>
        </is>
      </c>
    </row>
    <row r="8" ht="62" customHeight="1">
      <c r="A8" s="22" t="inlineStr">
        <is>
          <t>Lot No.</t>
        </is>
      </c>
      <c r="B8" s="22" t="inlineStr">
        <is>
          <t>Element</t>
        </is>
      </c>
      <c r="C8" s="22" t="inlineStr">
        <is>
          <t>Location / Grid / Level</t>
        </is>
      </c>
      <c r="D8" s="22" t="inlineStr">
        <is>
          <t>Description of the work in this lot</t>
        </is>
      </c>
      <c r="E8" s="22" t="inlineStr">
        <is>
          <t>Lot Opened</t>
        </is>
      </c>
      <c r="F8" s="22" t="inlineStr">
        <is>
          <t>Quantity</t>
        </is>
      </c>
      <c r="G8" s="22" t="inlineStr">
        <is>
          <t>Unit</t>
        </is>
      </c>
      <c r="H8" s="22" t="inlineStr">
        <is>
          <t>ITP Refs Applicable</t>
        </is>
      </c>
      <c r="I8" s="22" t="inlineStr">
        <is>
          <t>ITP Items Found  (calculated)</t>
        </is>
      </c>
      <c r="J8" s="22" t="inlineStr">
        <is>
          <t>Inspections Complete  (calculated)</t>
        </is>
      </c>
      <c r="K8" s="22" t="inlineStr">
        <is>
          <t>Tests Passed  (calculated)</t>
        </is>
      </c>
      <c r="L8" s="22" t="inlineStr">
        <is>
          <t>Tests Failed  (calculated)</t>
        </is>
      </c>
      <c r="M8" s="22" t="inlineStr">
        <is>
          <t>NCRs Open  (calculated)</t>
        </is>
      </c>
      <c r="N8" s="22" t="inlineStr">
        <is>
          <t>Conformance Status  (calculated)</t>
        </is>
      </c>
      <c r="O8" s="22" t="inlineStr">
        <is>
          <t>Lot Closed</t>
        </is>
      </c>
      <c r="P8" s="22" t="inlineStr">
        <is>
          <t>Days Open  (calculated)</t>
        </is>
      </c>
      <c r="Q8" s="22" t="inlineStr">
        <is>
          <t>Closed By</t>
        </is>
      </c>
      <c r="R8" s="22" t="inlineStr">
        <is>
          <t>Comments</t>
        </is>
      </c>
    </row>
    <row r="9" ht="56" customHeight="1">
      <c r="A9" s="23" t="inlineStr">
        <is>
          <t>EW-04</t>
        </is>
      </c>
      <c r="B9" s="23" t="inlineStr">
        <is>
          <t>Earthworks and subgrade</t>
        </is>
      </c>
      <c r="C9" s="23" t="inlineStr">
        <is>
          <t>Basement B2, grids A–F / 1–6</t>
        </is>
      </c>
      <c r="D9" s="23" t="inlineStr">
        <is>
          <t>Bulk excavation, subgrade preparation and blinding to the B2 raft footprint</t>
        </is>
      </c>
      <c r="E9" s="60" t="n">
        <v>46146</v>
      </c>
      <c r="F9" s="41" t="n">
        <v>4820</v>
      </c>
      <c r="G9" s="27" t="inlineStr">
        <is>
          <t>m3</t>
        </is>
      </c>
      <c r="H9" s="23" t="inlineStr">
        <is>
          <t>ITP-EW-010</t>
        </is>
      </c>
      <c r="I9" s="26">
        <f>IF($A9="","",SUMPRODUCT(--(ISNUMBER(SEARCH($A9,'Inspection &amp; Test Plan'!$B$9:$B$48)))))</f>
        <v/>
      </c>
      <c r="J9" s="26">
        <f>IF($A9="","",SUMPRODUCT(--(ISNUMBER(SEARCH($A9,'Inspection &amp; Test Plan'!$B$9:$B$48))),--('Inspection &amp; Test Plan'!$P$9:$P$48="Closed")))</f>
        <v/>
      </c>
      <c r="K9" s="26">
        <f>IF($A9="","",SUMPRODUCT(--(ISNUMBER(SEARCH($A9,'Test &amp; Certificate Register'!$B$9:$B$38))),--('Test &amp; Certificate Register'!$N$9:$N$38="Pass")))</f>
        <v/>
      </c>
      <c r="L9" s="26">
        <f>IF($A9="","",SUMPRODUCT(--(ISNUMBER(SEARCH($A9,'Test &amp; Certificate Register'!$B$9:$B$38))),--('Test &amp; Certificate Register'!$N$9:$N$38="Fail")))</f>
        <v/>
      </c>
      <c r="M9" s="26">
        <f>IF($A9="","",SUMPRODUCT(--(ISNUMBER(SEARCH($A9,'Non-Conformance Register'!$D$9:$D$33))),--('Non-Conformance Register'!$A$9:$A$33&lt;&gt;""),--('Non-Conformance Register'!$T$9:$T$33&lt;&gt;"Closed")))</f>
        <v/>
      </c>
      <c r="N9" s="25">
        <f>IF($A9="","",IF($M9&gt;0,"Non-conforming",IF($L9&gt;0,"Non-conforming",IF(OR($I9=0,$J9&lt;$I9),"Incomplete","Conforming"))))</f>
        <v/>
      </c>
      <c r="O9" s="60" t="n">
        <v>46157</v>
      </c>
      <c r="P9" s="26">
        <f>IF(OR($A9="",$E9=""),"",IF($O9="",TODAY()-$E9,$O9-$E9))</f>
        <v/>
      </c>
      <c r="Q9" s="23" t="inlineStr">
        <is>
          <t>L. Marchetti, Quality Manager</t>
        </is>
      </c>
      <c r="R9" s="23" t="inlineStr">
        <is>
          <t>Lot conformance report issued with the survey, the geotechnical inspection certificate and the compaction test results.  ·  EXAMPLE — delete before use</t>
        </is>
      </c>
    </row>
    <row r="10" ht="56" customHeight="1">
      <c r="A10" s="23" t="inlineStr">
        <is>
          <t>CN-07</t>
        </is>
      </c>
      <c r="B10" s="23" t="inlineStr">
        <is>
          <t>Concrete placement and curing</t>
        </is>
      </c>
      <c r="C10" s="23" t="inlineStr">
        <is>
          <t>Basement B2 raft, grids C–F / 3–6</t>
        </is>
      </c>
      <c r="D10" s="23" t="inlineStr">
        <is>
          <t>Raft slab pour 3 — 310 m³ placed in a single continuous pour</t>
        </is>
      </c>
      <c r="E10" s="60" t="n">
        <v>46174</v>
      </c>
      <c r="F10" s="41" t="n">
        <v>310</v>
      </c>
      <c r="G10" s="27" t="inlineStr">
        <is>
          <t>m3</t>
        </is>
      </c>
      <c r="H10" s="23" t="inlineStr">
        <is>
          <t>ITP-CN-120, ITP-CN-140</t>
        </is>
      </c>
      <c r="I10" s="26">
        <f>IF($A10="","",SUMPRODUCT(--(ISNUMBER(SEARCH($A10,'Inspection &amp; Test Plan'!$B$9:$B$48)))))</f>
        <v/>
      </c>
      <c r="J10" s="26">
        <f>IF($A10="","",SUMPRODUCT(--(ISNUMBER(SEARCH($A10,'Inspection &amp; Test Plan'!$B$9:$B$48))),--('Inspection &amp; Test Plan'!$P$9:$P$48="Closed")))</f>
        <v/>
      </c>
      <c r="K10" s="26">
        <f>IF($A10="","",SUMPRODUCT(--(ISNUMBER(SEARCH($A10,'Test &amp; Certificate Register'!$B$9:$B$38))),--('Test &amp; Certificate Register'!$N$9:$N$38="Pass")))</f>
        <v/>
      </c>
      <c r="L10" s="26">
        <f>IF($A10="","",SUMPRODUCT(--(ISNUMBER(SEARCH($A10,'Test &amp; Certificate Register'!$B$9:$B$38))),--('Test &amp; Certificate Register'!$N$9:$N$38="Fail")))</f>
        <v/>
      </c>
      <c r="M10" s="26">
        <f>IF($A10="","",SUMPRODUCT(--(ISNUMBER(SEARCH($A10,'Non-Conformance Register'!$D$9:$D$33))),--('Non-Conformance Register'!$A$9:$A$33&lt;&gt;""),--('Non-Conformance Register'!$T$9:$T$33&lt;&gt;"Closed")))</f>
        <v/>
      </c>
      <c r="N10" s="25">
        <f>IF($A10="","",IF($M10&gt;0,"Non-conforming",IF($L10&gt;0,"Non-conforming",IF(OR($I10=0,$J10&lt;$I10),"Incomplete","Conforming"))))</f>
        <v/>
      </c>
      <c r="O10" s="61" t="n"/>
      <c r="P10" s="26">
        <f>IF(OR($A10="",$E10=""),"",IF($O10="",TODAY()-$E10,$O10-$E10))</f>
        <v/>
      </c>
      <c r="Q10" s="28" t="n"/>
      <c r="R10" s="23" t="inlineStr">
        <is>
          <t>Cannot be closed until the Superintendent countersigns the lot conformance report for the 28-day strength result.  ·  EXAMPLE — delete before use</t>
        </is>
      </c>
    </row>
    <row r="11" ht="56" customHeight="1">
      <c r="A11" s="23" t="inlineStr">
        <is>
          <t>SS-03</t>
        </is>
      </c>
      <c r="B11" s="23" t="inlineStr">
        <is>
          <t>Structural steel and bolting</t>
        </is>
      </c>
      <c r="C11" s="23" t="inlineStr">
        <is>
          <t>Levels 1–4, grids B–E</t>
        </is>
      </c>
      <c r="D11" s="23" t="inlineStr">
        <is>
          <t>Steel frame erection, bolting, welding and coating repair to Levels 1–4</t>
        </is>
      </c>
      <c r="E11" s="60" t="n">
        <v>46209</v>
      </c>
      <c r="F11" s="41" t="n">
        <v>186</v>
      </c>
      <c r="G11" s="27" t="inlineStr">
        <is>
          <t>tonne</t>
        </is>
      </c>
      <c r="H11" s="23" t="inlineStr">
        <is>
          <t>ITP-SS-210, ITP-WD-260</t>
        </is>
      </c>
      <c r="I11" s="26">
        <f>IF($A11="","",SUMPRODUCT(--(ISNUMBER(SEARCH($A11,'Inspection &amp; Test Plan'!$B$9:$B$48)))))</f>
        <v/>
      </c>
      <c r="J11" s="26">
        <f>IF($A11="","",SUMPRODUCT(--(ISNUMBER(SEARCH($A11,'Inspection &amp; Test Plan'!$B$9:$B$48))),--('Inspection &amp; Test Plan'!$P$9:$P$48="Closed")))</f>
        <v/>
      </c>
      <c r="K11" s="26">
        <f>IF($A11="","",SUMPRODUCT(--(ISNUMBER(SEARCH($A11,'Test &amp; Certificate Register'!$B$9:$B$38))),--('Test &amp; Certificate Register'!$N$9:$N$38="Pass")))</f>
        <v/>
      </c>
      <c r="L11" s="26">
        <f>IF($A11="","",SUMPRODUCT(--(ISNUMBER(SEARCH($A11,'Test &amp; Certificate Register'!$B$9:$B$38))),--('Test &amp; Certificate Register'!$N$9:$N$38="Fail")))</f>
        <v/>
      </c>
      <c r="M11" s="26">
        <f>IF($A11="","",SUMPRODUCT(--(ISNUMBER(SEARCH($A11,'Non-Conformance Register'!$D$9:$D$33))),--('Non-Conformance Register'!$A$9:$A$33&lt;&gt;""),--('Non-Conformance Register'!$T$9:$T$33&lt;&gt;"Closed")))</f>
        <v/>
      </c>
      <c r="N11" s="25">
        <f>IF($A11="","",IF($M11&gt;0,"Non-conforming",IF($L11&gt;0,"Non-conforming",IF(OR($I11=0,$J11&lt;$I11),"Incomplete","Conforming"))))</f>
        <v/>
      </c>
      <c r="O11" s="61" t="n"/>
      <c r="P11" s="26">
        <f>IF(OR($A11="",$E11=""),"",IF($O11="",TODAY()-$E11,$O11-$E11))</f>
        <v/>
      </c>
      <c r="Q11" s="28" t="n"/>
      <c r="R11" s="23" t="inlineStr">
        <is>
          <t>Non-conforming while NCR-016 (weld W-204) is open and the coating DFT retest is outstanding. Deck loading is not authorised.  ·  EXAMPLE — delete before use</t>
        </is>
      </c>
    </row>
    <row r="12" ht="56" customHeight="1">
      <c r="A12" s="23" t="inlineStr">
        <is>
          <t>ME-02</t>
        </is>
      </c>
      <c r="B12" s="23" t="inlineStr">
        <is>
          <t>Mechanical services rough-in and final</t>
        </is>
      </c>
      <c r="C12" s="23" t="inlineStr">
        <is>
          <t>Level 3 east, live hospital interface</t>
        </is>
      </c>
      <c r="D12" s="23" t="inlineStr">
        <is>
          <t>Medical gas reticulation to Level 3 east — 46 outlets, four gas services</t>
        </is>
      </c>
      <c r="E12" s="60" t="n">
        <v>46230</v>
      </c>
      <c r="F12" s="41" t="n">
        <v>46</v>
      </c>
      <c r="G12" s="27" t="inlineStr">
        <is>
          <t>outlet</t>
        </is>
      </c>
      <c r="H12" s="23" t="inlineStr">
        <is>
          <t>ITP-ME-410</t>
        </is>
      </c>
      <c r="I12" s="26">
        <f>IF($A12="","",SUMPRODUCT(--(ISNUMBER(SEARCH($A12,'Inspection &amp; Test Plan'!$B$9:$B$48)))))</f>
        <v/>
      </c>
      <c r="J12" s="26">
        <f>IF($A12="","",SUMPRODUCT(--(ISNUMBER(SEARCH($A12,'Inspection &amp; Test Plan'!$B$9:$B$48))),--('Inspection &amp; Test Plan'!$P$9:$P$48="Closed")))</f>
        <v/>
      </c>
      <c r="K12" s="26">
        <f>IF($A12="","",SUMPRODUCT(--(ISNUMBER(SEARCH($A12,'Test &amp; Certificate Register'!$B$9:$B$38))),--('Test &amp; Certificate Register'!$N$9:$N$38="Pass")))</f>
        <v/>
      </c>
      <c r="L12" s="26">
        <f>IF($A12="","",SUMPRODUCT(--(ISNUMBER(SEARCH($A12,'Test &amp; Certificate Register'!$B$9:$B$38))),--('Test &amp; Certificate Register'!$N$9:$N$38="Fail")))</f>
        <v/>
      </c>
      <c r="M12" s="26">
        <f>IF($A12="","",SUMPRODUCT(--(ISNUMBER(SEARCH($A12,'Non-Conformance Register'!$D$9:$D$33))),--('Non-Conformance Register'!$A$9:$A$33&lt;&gt;""),--('Non-Conformance Register'!$T$9:$T$33&lt;&gt;"Closed")))</f>
        <v/>
      </c>
      <c r="N12" s="25">
        <f>IF($A12="","",IF($M12&gt;0,"Non-conforming",IF($L12&gt;0,"Non-conforming",IF(OR($I12=0,$J12&lt;$I12),"Incomplete","Conforming"))))</f>
        <v/>
      </c>
      <c r="O12" s="61" t="n"/>
      <c r="P12" s="26">
        <f>IF(OR($A12="",$E12=""),"",IF($O12="",TODAY()-$E12,$O12-$E12))</f>
        <v/>
      </c>
      <c r="Q12" s="28" t="n"/>
      <c r="R12" s="23" t="inlineStr">
        <is>
          <t>Held open pending the anti-confusion certificate and the authorised person's witness of the connection hold point.  ·  EXAMPLE — delete before use</t>
        </is>
      </c>
    </row>
    <row r="13" ht="34" customHeight="1">
      <c r="A13" s="28" t="n"/>
      <c r="B13" s="28" t="n"/>
      <c r="C13" s="28" t="n"/>
      <c r="D13" s="28" t="n"/>
      <c r="E13" s="61" t="n"/>
      <c r="F13" s="39" t="n"/>
      <c r="G13" s="30" t="n"/>
      <c r="H13" s="28" t="n"/>
      <c r="I13" s="26">
        <f>IF($A13="","",SUMPRODUCT(--(ISNUMBER(SEARCH($A13,'Inspection &amp; Test Plan'!$B$9:$B$48)))))</f>
        <v/>
      </c>
      <c r="J13" s="26">
        <f>IF($A13="","",SUMPRODUCT(--(ISNUMBER(SEARCH($A13,'Inspection &amp; Test Plan'!$B$9:$B$48))),--('Inspection &amp; Test Plan'!$P$9:$P$48="Closed")))</f>
        <v/>
      </c>
      <c r="K13" s="26">
        <f>IF($A13="","",SUMPRODUCT(--(ISNUMBER(SEARCH($A13,'Test &amp; Certificate Register'!$B$9:$B$38))),--('Test &amp; Certificate Register'!$N$9:$N$38="Pass")))</f>
        <v/>
      </c>
      <c r="L13" s="26">
        <f>IF($A13="","",SUMPRODUCT(--(ISNUMBER(SEARCH($A13,'Test &amp; Certificate Register'!$B$9:$B$38))),--('Test &amp; Certificate Register'!$N$9:$N$38="Fail")))</f>
        <v/>
      </c>
      <c r="M13" s="26">
        <f>IF($A13="","",SUMPRODUCT(--(ISNUMBER(SEARCH($A13,'Non-Conformance Register'!$D$9:$D$33))),--('Non-Conformance Register'!$A$9:$A$33&lt;&gt;""),--('Non-Conformance Register'!$T$9:$T$33&lt;&gt;"Closed")))</f>
        <v/>
      </c>
      <c r="N13" s="25">
        <f>IF($A13="","",IF($M13&gt;0,"Non-conforming",IF($L13&gt;0,"Non-conforming",IF(OR($I13=0,$J13&lt;$I13),"Incomplete","Conforming"))))</f>
        <v/>
      </c>
      <c r="O13" s="61" t="n"/>
      <c r="P13" s="26">
        <f>IF(OR($A13="",$E13=""),"",IF($O13="",TODAY()-$E13,$O13-$E13))</f>
        <v/>
      </c>
      <c r="Q13" s="28" t="n"/>
      <c r="R13" s="28" t="n"/>
    </row>
    <row r="14" ht="34" customHeight="1">
      <c r="A14" s="28" t="n"/>
      <c r="B14" s="28" t="n"/>
      <c r="C14" s="28" t="n"/>
      <c r="D14" s="28" t="n"/>
      <c r="E14" s="61" t="n"/>
      <c r="F14" s="39" t="n"/>
      <c r="G14" s="30" t="n"/>
      <c r="H14" s="28" t="n"/>
      <c r="I14" s="26">
        <f>IF($A14="","",SUMPRODUCT(--(ISNUMBER(SEARCH($A14,'Inspection &amp; Test Plan'!$B$9:$B$48)))))</f>
        <v/>
      </c>
      <c r="J14" s="26">
        <f>IF($A14="","",SUMPRODUCT(--(ISNUMBER(SEARCH($A14,'Inspection &amp; Test Plan'!$B$9:$B$48))),--('Inspection &amp; Test Plan'!$P$9:$P$48="Closed")))</f>
        <v/>
      </c>
      <c r="K14" s="26">
        <f>IF($A14="","",SUMPRODUCT(--(ISNUMBER(SEARCH($A14,'Test &amp; Certificate Register'!$B$9:$B$38))),--('Test &amp; Certificate Register'!$N$9:$N$38="Pass")))</f>
        <v/>
      </c>
      <c r="L14" s="26">
        <f>IF($A14="","",SUMPRODUCT(--(ISNUMBER(SEARCH($A14,'Test &amp; Certificate Register'!$B$9:$B$38))),--('Test &amp; Certificate Register'!$N$9:$N$38="Fail")))</f>
        <v/>
      </c>
      <c r="M14" s="26">
        <f>IF($A14="","",SUMPRODUCT(--(ISNUMBER(SEARCH($A14,'Non-Conformance Register'!$D$9:$D$33))),--('Non-Conformance Register'!$A$9:$A$33&lt;&gt;""),--('Non-Conformance Register'!$T$9:$T$33&lt;&gt;"Closed")))</f>
        <v/>
      </c>
      <c r="N14" s="25">
        <f>IF($A14="","",IF($M14&gt;0,"Non-conforming",IF($L14&gt;0,"Non-conforming",IF(OR($I14=0,$J14&lt;$I14),"Incomplete","Conforming"))))</f>
        <v/>
      </c>
      <c r="O14" s="61" t="n"/>
      <c r="P14" s="26">
        <f>IF(OR($A14="",$E14=""),"",IF($O14="",TODAY()-$E14,$O14-$E14))</f>
        <v/>
      </c>
      <c r="Q14" s="28" t="n"/>
      <c r="R14" s="28" t="n"/>
    </row>
    <row r="15" ht="34" customHeight="1">
      <c r="A15" s="28" t="n"/>
      <c r="B15" s="28" t="n"/>
      <c r="C15" s="28" t="n"/>
      <c r="D15" s="28" t="n"/>
      <c r="E15" s="61" t="n"/>
      <c r="F15" s="39" t="n"/>
      <c r="G15" s="30" t="n"/>
      <c r="H15" s="28" t="n"/>
      <c r="I15" s="26">
        <f>IF($A15="","",SUMPRODUCT(--(ISNUMBER(SEARCH($A15,'Inspection &amp; Test Plan'!$B$9:$B$48)))))</f>
        <v/>
      </c>
      <c r="J15" s="26">
        <f>IF($A15="","",SUMPRODUCT(--(ISNUMBER(SEARCH($A15,'Inspection &amp; Test Plan'!$B$9:$B$48))),--('Inspection &amp; Test Plan'!$P$9:$P$48="Closed")))</f>
        <v/>
      </c>
      <c r="K15" s="26">
        <f>IF($A15="","",SUMPRODUCT(--(ISNUMBER(SEARCH($A15,'Test &amp; Certificate Register'!$B$9:$B$38))),--('Test &amp; Certificate Register'!$N$9:$N$38="Pass")))</f>
        <v/>
      </c>
      <c r="L15" s="26">
        <f>IF($A15="","",SUMPRODUCT(--(ISNUMBER(SEARCH($A15,'Test &amp; Certificate Register'!$B$9:$B$38))),--('Test &amp; Certificate Register'!$N$9:$N$38="Fail")))</f>
        <v/>
      </c>
      <c r="M15" s="26">
        <f>IF($A15="","",SUMPRODUCT(--(ISNUMBER(SEARCH($A15,'Non-Conformance Register'!$D$9:$D$33))),--('Non-Conformance Register'!$A$9:$A$33&lt;&gt;""),--('Non-Conformance Register'!$T$9:$T$33&lt;&gt;"Closed")))</f>
        <v/>
      </c>
      <c r="N15" s="25">
        <f>IF($A15="","",IF($M15&gt;0,"Non-conforming",IF($L15&gt;0,"Non-conforming",IF(OR($I15=0,$J15&lt;$I15),"Incomplete","Conforming"))))</f>
        <v/>
      </c>
      <c r="O15" s="61" t="n"/>
      <c r="P15" s="26">
        <f>IF(OR($A15="",$E15=""),"",IF($O15="",TODAY()-$E15,$O15-$E15))</f>
        <v/>
      </c>
      <c r="Q15" s="28" t="n"/>
      <c r="R15" s="28" t="n"/>
    </row>
    <row r="16" ht="34" customHeight="1">
      <c r="A16" s="28" t="n"/>
      <c r="B16" s="28" t="n"/>
      <c r="C16" s="28" t="n"/>
      <c r="D16" s="28" t="n"/>
      <c r="E16" s="61" t="n"/>
      <c r="F16" s="39" t="n"/>
      <c r="G16" s="30" t="n"/>
      <c r="H16" s="28" t="n"/>
      <c r="I16" s="26">
        <f>IF($A16="","",SUMPRODUCT(--(ISNUMBER(SEARCH($A16,'Inspection &amp; Test Plan'!$B$9:$B$48)))))</f>
        <v/>
      </c>
      <c r="J16" s="26">
        <f>IF($A16="","",SUMPRODUCT(--(ISNUMBER(SEARCH($A16,'Inspection &amp; Test Plan'!$B$9:$B$48))),--('Inspection &amp; Test Plan'!$P$9:$P$48="Closed")))</f>
        <v/>
      </c>
      <c r="K16" s="26">
        <f>IF($A16="","",SUMPRODUCT(--(ISNUMBER(SEARCH($A16,'Test &amp; Certificate Register'!$B$9:$B$38))),--('Test &amp; Certificate Register'!$N$9:$N$38="Pass")))</f>
        <v/>
      </c>
      <c r="L16" s="26">
        <f>IF($A16="","",SUMPRODUCT(--(ISNUMBER(SEARCH($A16,'Test &amp; Certificate Register'!$B$9:$B$38))),--('Test &amp; Certificate Register'!$N$9:$N$38="Fail")))</f>
        <v/>
      </c>
      <c r="M16" s="26">
        <f>IF($A16="","",SUMPRODUCT(--(ISNUMBER(SEARCH($A16,'Non-Conformance Register'!$D$9:$D$33))),--('Non-Conformance Register'!$A$9:$A$33&lt;&gt;""),--('Non-Conformance Register'!$T$9:$T$33&lt;&gt;"Closed")))</f>
        <v/>
      </c>
      <c r="N16" s="25">
        <f>IF($A16="","",IF($M16&gt;0,"Non-conforming",IF($L16&gt;0,"Non-conforming",IF(OR($I16=0,$J16&lt;$I16),"Incomplete","Conforming"))))</f>
        <v/>
      </c>
      <c r="O16" s="61" t="n"/>
      <c r="P16" s="26">
        <f>IF(OR($A16="",$E16=""),"",IF($O16="",TODAY()-$E16,$O16-$E16))</f>
        <v/>
      </c>
      <c r="Q16" s="28" t="n"/>
      <c r="R16" s="28" t="n"/>
    </row>
    <row r="17" ht="34" customHeight="1">
      <c r="A17" s="28" t="n"/>
      <c r="B17" s="28" t="n"/>
      <c r="C17" s="28" t="n"/>
      <c r="D17" s="28" t="n"/>
      <c r="E17" s="61" t="n"/>
      <c r="F17" s="39" t="n"/>
      <c r="G17" s="30" t="n"/>
      <c r="H17" s="28" t="n"/>
      <c r="I17" s="26">
        <f>IF($A17="","",SUMPRODUCT(--(ISNUMBER(SEARCH($A17,'Inspection &amp; Test Plan'!$B$9:$B$48)))))</f>
        <v/>
      </c>
      <c r="J17" s="26">
        <f>IF($A17="","",SUMPRODUCT(--(ISNUMBER(SEARCH($A17,'Inspection &amp; Test Plan'!$B$9:$B$48))),--('Inspection &amp; Test Plan'!$P$9:$P$48="Closed")))</f>
        <v/>
      </c>
      <c r="K17" s="26">
        <f>IF($A17="","",SUMPRODUCT(--(ISNUMBER(SEARCH($A17,'Test &amp; Certificate Register'!$B$9:$B$38))),--('Test &amp; Certificate Register'!$N$9:$N$38="Pass")))</f>
        <v/>
      </c>
      <c r="L17" s="26">
        <f>IF($A17="","",SUMPRODUCT(--(ISNUMBER(SEARCH($A17,'Test &amp; Certificate Register'!$B$9:$B$38))),--('Test &amp; Certificate Register'!$N$9:$N$38="Fail")))</f>
        <v/>
      </c>
      <c r="M17" s="26">
        <f>IF($A17="","",SUMPRODUCT(--(ISNUMBER(SEARCH($A17,'Non-Conformance Register'!$D$9:$D$33))),--('Non-Conformance Register'!$A$9:$A$33&lt;&gt;""),--('Non-Conformance Register'!$T$9:$T$33&lt;&gt;"Closed")))</f>
        <v/>
      </c>
      <c r="N17" s="25">
        <f>IF($A17="","",IF($M17&gt;0,"Non-conforming",IF($L17&gt;0,"Non-conforming",IF(OR($I17=0,$J17&lt;$I17),"Incomplete","Conforming"))))</f>
        <v/>
      </c>
      <c r="O17" s="61" t="n"/>
      <c r="P17" s="26">
        <f>IF(OR($A17="",$E17=""),"",IF($O17="",TODAY()-$E17,$O17-$E17))</f>
        <v/>
      </c>
      <c r="Q17" s="28" t="n"/>
      <c r="R17" s="28" t="n"/>
    </row>
    <row r="18" ht="34" customHeight="1">
      <c r="A18" s="28" t="n"/>
      <c r="B18" s="28" t="n"/>
      <c r="C18" s="28" t="n"/>
      <c r="D18" s="28" t="n"/>
      <c r="E18" s="61" t="n"/>
      <c r="F18" s="39" t="n"/>
      <c r="G18" s="30" t="n"/>
      <c r="H18" s="28" t="n"/>
      <c r="I18" s="26">
        <f>IF($A18="","",SUMPRODUCT(--(ISNUMBER(SEARCH($A18,'Inspection &amp; Test Plan'!$B$9:$B$48)))))</f>
        <v/>
      </c>
      <c r="J18" s="26">
        <f>IF($A18="","",SUMPRODUCT(--(ISNUMBER(SEARCH($A18,'Inspection &amp; Test Plan'!$B$9:$B$48))),--('Inspection &amp; Test Plan'!$P$9:$P$48="Closed")))</f>
        <v/>
      </c>
      <c r="K18" s="26">
        <f>IF($A18="","",SUMPRODUCT(--(ISNUMBER(SEARCH($A18,'Test &amp; Certificate Register'!$B$9:$B$38))),--('Test &amp; Certificate Register'!$N$9:$N$38="Pass")))</f>
        <v/>
      </c>
      <c r="L18" s="26">
        <f>IF($A18="","",SUMPRODUCT(--(ISNUMBER(SEARCH($A18,'Test &amp; Certificate Register'!$B$9:$B$38))),--('Test &amp; Certificate Register'!$N$9:$N$38="Fail")))</f>
        <v/>
      </c>
      <c r="M18" s="26">
        <f>IF($A18="","",SUMPRODUCT(--(ISNUMBER(SEARCH($A18,'Non-Conformance Register'!$D$9:$D$33))),--('Non-Conformance Register'!$A$9:$A$33&lt;&gt;""),--('Non-Conformance Register'!$T$9:$T$33&lt;&gt;"Closed")))</f>
        <v/>
      </c>
      <c r="N18" s="25">
        <f>IF($A18="","",IF($M18&gt;0,"Non-conforming",IF($L18&gt;0,"Non-conforming",IF(OR($I18=0,$J18&lt;$I18),"Incomplete","Conforming"))))</f>
        <v/>
      </c>
      <c r="O18" s="61" t="n"/>
      <c r="P18" s="26">
        <f>IF(OR($A18="",$E18=""),"",IF($O18="",TODAY()-$E18,$O18-$E18))</f>
        <v/>
      </c>
      <c r="Q18" s="28" t="n"/>
      <c r="R18" s="28" t="n"/>
    </row>
    <row r="19" ht="34" customHeight="1">
      <c r="A19" s="28" t="n"/>
      <c r="B19" s="28" t="n"/>
      <c r="C19" s="28" t="n"/>
      <c r="D19" s="28" t="n"/>
      <c r="E19" s="61" t="n"/>
      <c r="F19" s="39" t="n"/>
      <c r="G19" s="30" t="n"/>
      <c r="H19" s="28" t="n"/>
      <c r="I19" s="26">
        <f>IF($A19="","",SUMPRODUCT(--(ISNUMBER(SEARCH($A19,'Inspection &amp; Test Plan'!$B$9:$B$48)))))</f>
        <v/>
      </c>
      <c r="J19" s="26">
        <f>IF($A19="","",SUMPRODUCT(--(ISNUMBER(SEARCH($A19,'Inspection &amp; Test Plan'!$B$9:$B$48))),--('Inspection &amp; Test Plan'!$P$9:$P$48="Closed")))</f>
        <v/>
      </c>
      <c r="K19" s="26">
        <f>IF($A19="","",SUMPRODUCT(--(ISNUMBER(SEARCH($A19,'Test &amp; Certificate Register'!$B$9:$B$38))),--('Test &amp; Certificate Register'!$N$9:$N$38="Pass")))</f>
        <v/>
      </c>
      <c r="L19" s="26">
        <f>IF($A19="","",SUMPRODUCT(--(ISNUMBER(SEARCH($A19,'Test &amp; Certificate Register'!$B$9:$B$38))),--('Test &amp; Certificate Register'!$N$9:$N$38="Fail")))</f>
        <v/>
      </c>
      <c r="M19" s="26">
        <f>IF($A19="","",SUMPRODUCT(--(ISNUMBER(SEARCH($A19,'Non-Conformance Register'!$D$9:$D$33))),--('Non-Conformance Register'!$A$9:$A$33&lt;&gt;""),--('Non-Conformance Register'!$T$9:$T$33&lt;&gt;"Closed")))</f>
        <v/>
      </c>
      <c r="N19" s="25">
        <f>IF($A19="","",IF($M19&gt;0,"Non-conforming",IF($L19&gt;0,"Non-conforming",IF(OR($I19=0,$J19&lt;$I19),"Incomplete","Conforming"))))</f>
        <v/>
      </c>
      <c r="O19" s="61" t="n"/>
      <c r="P19" s="26">
        <f>IF(OR($A19="",$E19=""),"",IF($O19="",TODAY()-$E19,$O19-$E19))</f>
        <v/>
      </c>
      <c r="Q19" s="28" t="n"/>
      <c r="R19" s="28" t="n"/>
    </row>
    <row r="20" ht="34" customHeight="1">
      <c r="A20" s="28" t="n"/>
      <c r="B20" s="28" t="n"/>
      <c r="C20" s="28" t="n"/>
      <c r="D20" s="28" t="n"/>
      <c r="E20" s="61" t="n"/>
      <c r="F20" s="39" t="n"/>
      <c r="G20" s="30" t="n"/>
      <c r="H20" s="28" t="n"/>
      <c r="I20" s="26">
        <f>IF($A20="","",SUMPRODUCT(--(ISNUMBER(SEARCH($A20,'Inspection &amp; Test Plan'!$B$9:$B$48)))))</f>
        <v/>
      </c>
      <c r="J20" s="26">
        <f>IF($A20="","",SUMPRODUCT(--(ISNUMBER(SEARCH($A20,'Inspection &amp; Test Plan'!$B$9:$B$48))),--('Inspection &amp; Test Plan'!$P$9:$P$48="Closed")))</f>
        <v/>
      </c>
      <c r="K20" s="26">
        <f>IF($A20="","",SUMPRODUCT(--(ISNUMBER(SEARCH($A20,'Test &amp; Certificate Register'!$B$9:$B$38))),--('Test &amp; Certificate Register'!$N$9:$N$38="Pass")))</f>
        <v/>
      </c>
      <c r="L20" s="26">
        <f>IF($A20="","",SUMPRODUCT(--(ISNUMBER(SEARCH($A20,'Test &amp; Certificate Register'!$B$9:$B$38))),--('Test &amp; Certificate Register'!$N$9:$N$38="Fail")))</f>
        <v/>
      </c>
      <c r="M20" s="26">
        <f>IF($A20="","",SUMPRODUCT(--(ISNUMBER(SEARCH($A20,'Non-Conformance Register'!$D$9:$D$33))),--('Non-Conformance Register'!$A$9:$A$33&lt;&gt;""),--('Non-Conformance Register'!$T$9:$T$33&lt;&gt;"Closed")))</f>
        <v/>
      </c>
      <c r="N20" s="25">
        <f>IF($A20="","",IF($M20&gt;0,"Non-conforming",IF($L20&gt;0,"Non-conforming",IF(OR($I20=0,$J20&lt;$I20),"Incomplete","Conforming"))))</f>
        <v/>
      </c>
      <c r="O20" s="61" t="n"/>
      <c r="P20" s="26">
        <f>IF(OR($A20="",$E20=""),"",IF($O20="",TODAY()-$E20,$O20-$E20))</f>
        <v/>
      </c>
      <c r="Q20" s="28" t="n"/>
      <c r="R20" s="28" t="n"/>
    </row>
    <row r="21" ht="34" customHeight="1">
      <c r="A21" s="28" t="n"/>
      <c r="B21" s="28" t="n"/>
      <c r="C21" s="28" t="n"/>
      <c r="D21" s="28" t="n"/>
      <c r="E21" s="61" t="n"/>
      <c r="F21" s="39" t="n"/>
      <c r="G21" s="30" t="n"/>
      <c r="H21" s="28" t="n"/>
      <c r="I21" s="26">
        <f>IF($A21="","",SUMPRODUCT(--(ISNUMBER(SEARCH($A21,'Inspection &amp; Test Plan'!$B$9:$B$48)))))</f>
        <v/>
      </c>
      <c r="J21" s="26">
        <f>IF($A21="","",SUMPRODUCT(--(ISNUMBER(SEARCH($A21,'Inspection &amp; Test Plan'!$B$9:$B$48))),--('Inspection &amp; Test Plan'!$P$9:$P$48="Closed")))</f>
        <v/>
      </c>
      <c r="K21" s="26">
        <f>IF($A21="","",SUMPRODUCT(--(ISNUMBER(SEARCH($A21,'Test &amp; Certificate Register'!$B$9:$B$38))),--('Test &amp; Certificate Register'!$N$9:$N$38="Pass")))</f>
        <v/>
      </c>
      <c r="L21" s="26">
        <f>IF($A21="","",SUMPRODUCT(--(ISNUMBER(SEARCH($A21,'Test &amp; Certificate Register'!$B$9:$B$38))),--('Test &amp; Certificate Register'!$N$9:$N$38="Fail")))</f>
        <v/>
      </c>
      <c r="M21" s="26">
        <f>IF($A21="","",SUMPRODUCT(--(ISNUMBER(SEARCH($A21,'Non-Conformance Register'!$D$9:$D$33))),--('Non-Conformance Register'!$A$9:$A$33&lt;&gt;""),--('Non-Conformance Register'!$T$9:$T$33&lt;&gt;"Closed")))</f>
        <v/>
      </c>
      <c r="N21" s="25">
        <f>IF($A21="","",IF($M21&gt;0,"Non-conforming",IF($L21&gt;0,"Non-conforming",IF(OR($I21=0,$J21&lt;$I21),"Incomplete","Conforming"))))</f>
        <v/>
      </c>
      <c r="O21" s="61" t="n"/>
      <c r="P21" s="26">
        <f>IF(OR($A21="",$E21=""),"",IF($O21="",TODAY()-$E21,$O21-$E21))</f>
        <v/>
      </c>
      <c r="Q21" s="28" t="n"/>
      <c r="R21" s="28" t="n"/>
    </row>
    <row r="22" ht="34" customHeight="1">
      <c r="A22" s="28" t="n"/>
      <c r="B22" s="28" t="n"/>
      <c r="C22" s="28" t="n"/>
      <c r="D22" s="28" t="n"/>
      <c r="E22" s="61" t="n"/>
      <c r="F22" s="39" t="n"/>
      <c r="G22" s="30" t="n"/>
      <c r="H22" s="28" t="n"/>
      <c r="I22" s="26">
        <f>IF($A22="","",SUMPRODUCT(--(ISNUMBER(SEARCH($A22,'Inspection &amp; Test Plan'!$B$9:$B$48)))))</f>
        <v/>
      </c>
      <c r="J22" s="26">
        <f>IF($A22="","",SUMPRODUCT(--(ISNUMBER(SEARCH($A22,'Inspection &amp; Test Plan'!$B$9:$B$48))),--('Inspection &amp; Test Plan'!$P$9:$P$48="Closed")))</f>
        <v/>
      </c>
      <c r="K22" s="26">
        <f>IF($A22="","",SUMPRODUCT(--(ISNUMBER(SEARCH($A22,'Test &amp; Certificate Register'!$B$9:$B$38))),--('Test &amp; Certificate Register'!$N$9:$N$38="Pass")))</f>
        <v/>
      </c>
      <c r="L22" s="26">
        <f>IF($A22="","",SUMPRODUCT(--(ISNUMBER(SEARCH($A22,'Test &amp; Certificate Register'!$B$9:$B$38))),--('Test &amp; Certificate Register'!$N$9:$N$38="Fail")))</f>
        <v/>
      </c>
      <c r="M22" s="26">
        <f>IF($A22="","",SUMPRODUCT(--(ISNUMBER(SEARCH($A22,'Non-Conformance Register'!$D$9:$D$33))),--('Non-Conformance Register'!$A$9:$A$33&lt;&gt;""),--('Non-Conformance Register'!$T$9:$T$33&lt;&gt;"Closed")))</f>
        <v/>
      </c>
      <c r="N22" s="25">
        <f>IF($A22="","",IF($M22&gt;0,"Non-conforming",IF($L22&gt;0,"Non-conforming",IF(OR($I22=0,$J22&lt;$I22),"Incomplete","Conforming"))))</f>
        <v/>
      </c>
      <c r="O22" s="61" t="n"/>
      <c r="P22" s="26">
        <f>IF(OR($A22="",$E22=""),"",IF($O22="",TODAY()-$E22,$O22-$E22))</f>
        <v/>
      </c>
      <c r="Q22" s="28" t="n"/>
      <c r="R22" s="28" t="n"/>
    </row>
    <row r="23" ht="34" customHeight="1">
      <c r="A23" s="28" t="n"/>
      <c r="B23" s="28" t="n"/>
      <c r="C23" s="28" t="n"/>
      <c r="D23" s="28" t="n"/>
      <c r="E23" s="61" t="n"/>
      <c r="F23" s="39" t="n"/>
      <c r="G23" s="30" t="n"/>
      <c r="H23" s="28" t="n"/>
      <c r="I23" s="26">
        <f>IF($A23="","",SUMPRODUCT(--(ISNUMBER(SEARCH($A23,'Inspection &amp; Test Plan'!$B$9:$B$48)))))</f>
        <v/>
      </c>
      <c r="J23" s="26">
        <f>IF($A23="","",SUMPRODUCT(--(ISNUMBER(SEARCH($A23,'Inspection &amp; Test Plan'!$B$9:$B$48))),--('Inspection &amp; Test Plan'!$P$9:$P$48="Closed")))</f>
        <v/>
      </c>
      <c r="K23" s="26">
        <f>IF($A23="","",SUMPRODUCT(--(ISNUMBER(SEARCH($A23,'Test &amp; Certificate Register'!$B$9:$B$38))),--('Test &amp; Certificate Register'!$N$9:$N$38="Pass")))</f>
        <v/>
      </c>
      <c r="L23" s="26">
        <f>IF($A23="","",SUMPRODUCT(--(ISNUMBER(SEARCH($A23,'Test &amp; Certificate Register'!$B$9:$B$38))),--('Test &amp; Certificate Register'!$N$9:$N$38="Fail")))</f>
        <v/>
      </c>
      <c r="M23" s="26">
        <f>IF($A23="","",SUMPRODUCT(--(ISNUMBER(SEARCH($A23,'Non-Conformance Register'!$D$9:$D$33))),--('Non-Conformance Register'!$A$9:$A$33&lt;&gt;""),--('Non-Conformance Register'!$T$9:$T$33&lt;&gt;"Closed")))</f>
        <v/>
      </c>
      <c r="N23" s="25">
        <f>IF($A23="","",IF($M23&gt;0,"Non-conforming",IF($L23&gt;0,"Non-conforming",IF(OR($I23=0,$J23&lt;$I23),"Incomplete","Conforming"))))</f>
        <v/>
      </c>
      <c r="O23" s="61" t="n"/>
      <c r="P23" s="26">
        <f>IF(OR($A23="",$E23=""),"",IF($O23="",TODAY()-$E23,$O23-$E23))</f>
        <v/>
      </c>
      <c r="Q23" s="28" t="n"/>
      <c r="R23" s="28" t="n"/>
    </row>
    <row r="24" ht="34" customHeight="1">
      <c r="A24" s="28" t="n"/>
      <c r="B24" s="28" t="n"/>
      <c r="C24" s="28" t="n"/>
      <c r="D24" s="28" t="n"/>
      <c r="E24" s="61" t="n"/>
      <c r="F24" s="39" t="n"/>
      <c r="G24" s="30" t="n"/>
      <c r="H24" s="28" t="n"/>
      <c r="I24" s="26">
        <f>IF($A24="","",SUMPRODUCT(--(ISNUMBER(SEARCH($A24,'Inspection &amp; Test Plan'!$B$9:$B$48)))))</f>
        <v/>
      </c>
      <c r="J24" s="26">
        <f>IF($A24="","",SUMPRODUCT(--(ISNUMBER(SEARCH($A24,'Inspection &amp; Test Plan'!$B$9:$B$48))),--('Inspection &amp; Test Plan'!$P$9:$P$48="Closed")))</f>
        <v/>
      </c>
      <c r="K24" s="26">
        <f>IF($A24="","",SUMPRODUCT(--(ISNUMBER(SEARCH($A24,'Test &amp; Certificate Register'!$B$9:$B$38))),--('Test &amp; Certificate Register'!$N$9:$N$38="Pass")))</f>
        <v/>
      </c>
      <c r="L24" s="26">
        <f>IF($A24="","",SUMPRODUCT(--(ISNUMBER(SEARCH($A24,'Test &amp; Certificate Register'!$B$9:$B$38))),--('Test &amp; Certificate Register'!$N$9:$N$38="Fail")))</f>
        <v/>
      </c>
      <c r="M24" s="26">
        <f>IF($A24="","",SUMPRODUCT(--(ISNUMBER(SEARCH($A24,'Non-Conformance Register'!$D$9:$D$33))),--('Non-Conformance Register'!$A$9:$A$33&lt;&gt;""),--('Non-Conformance Register'!$T$9:$T$33&lt;&gt;"Closed")))</f>
        <v/>
      </c>
      <c r="N24" s="25">
        <f>IF($A24="","",IF($M24&gt;0,"Non-conforming",IF($L24&gt;0,"Non-conforming",IF(OR($I24=0,$J24&lt;$I24),"Incomplete","Conforming"))))</f>
        <v/>
      </c>
      <c r="O24" s="61" t="n"/>
      <c r="P24" s="26">
        <f>IF(OR($A24="",$E24=""),"",IF($O24="",TODAY()-$E24,$O24-$E24))</f>
        <v/>
      </c>
      <c r="Q24" s="28" t="n"/>
      <c r="R24" s="28" t="n"/>
    </row>
    <row r="25" ht="34" customHeight="1">
      <c r="A25" s="28" t="n"/>
      <c r="B25" s="28" t="n"/>
      <c r="C25" s="28" t="n"/>
      <c r="D25" s="28" t="n"/>
      <c r="E25" s="61" t="n"/>
      <c r="F25" s="39" t="n"/>
      <c r="G25" s="30" t="n"/>
      <c r="H25" s="28" t="n"/>
      <c r="I25" s="26">
        <f>IF($A25="","",SUMPRODUCT(--(ISNUMBER(SEARCH($A25,'Inspection &amp; Test Plan'!$B$9:$B$48)))))</f>
        <v/>
      </c>
      <c r="J25" s="26">
        <f>IF($A25="","",SUMPRODUCT(--(ISNUMBER(SEARCH($A25,'Inspection &amp; Test Plan'!$B$9:$B$48))),--('Inspection &amp; Test Plan'!$P$9:$P$48="Closed")))</f>
        <v/>
      </c>
      <c r="K25" s="26">
        <f>IF($A25="","",SUMPRODUCT(--(ISNUMBER(SEARCH($A25,'Test &amp; Certificate Register'!$B$9:$B$38))),--('Test &amp; Certificate Register'!$N$9:$N$38="Pass")))</f>
        <v/>
      </c>
      <c r="L25" s="26">
        <f>IF($A25="","",SUMPRODUCT(--(ISNUMBER(SEARCH($A25,'Test &amp; Certificate Register'!$B$9:$B$38))),--('Test &amp; Certificate Register'!$N$9:$N$38="Fail")))</f>
        <v/>
      </c>
      <c r="M25" s="26">
        <f>IF($A25="","",SUMPRODUCT(--(ISNUMBER(SEARCH($A25,'Non-Conformance Register'!$D$9:$D$33))),--('Non-Conformance Register'!$A$9:$A$33&lt;&gt;""),--('Non-Conformance Register'!$T$9:$T$33&lt;&gt;"Closed")))</f>
        <v/>
      </c>
      <c r="N25" s="25">
        <f>IF($A25="","",IF($M25&gt;0,"Non-conforming",IF($L25&gt;0,"Non-conforming",IF(OR($I25=0,$J25&lt;$I25),"Incomplete","Conforming"))))</f>
        <v/>
      </c>
      <c r="O25" s="61" t="n"/>
      <c r="P25" s="26">
        <f>IF(OR($A25="",$E25=""),"",IF($O25="",TODAY()-$E25,$O25-$E25))</f>
        <v/>
      </c>
      <c r="Q25" s="28" t="n"/>
      <c r="R25" s="28" t="n"/>
    </row>
    <row r="26" ht="34" customHeight="1">
      <c r="A26" s="28" t="n"/>
      <c r="B26" s="28" t="n"/>
      <c r="C26" s="28" t="n"/>
      <c r="D26" s="28" t="n"/>
      <c r="E26" s="61" t="n"/>
      <c r="F26" s="39" t="n"/>
      <c r="G26" s="30" t="n"/>
      <c r="H26" s="28" t="n"/>
      <c r="I26" s="26">
        <f>IF($A26="","",SUMPRODUCT(--(ISNUMBER(SEARCH($A26,'Inspection &amp; Test Plan'!$B$9:$B$48)))))</f>
        <v/>
      </c>
      <c r="J26" s="26">
        <f>IF($A26="","",SUMPRODUCT(--(ISNUMBER(SEARCH($A26,'Inspection &amp; Test Plan'!$B$9:$B$48))),--('Inspection &amp; Test Plan'!$P$9:$P$48="Closed")))</f>
        <v/>
      </c>
      <c r="K26" s="26">
        <f>IF($A26="","",SUMPRODUCT(--(ISNUMBER(SEARCH($A26,'Test &amp; Certificate Register'!$B$9:$B$38))),--('Test &amp; Certificate Register'!$N$9:$N$38="Pass")))</f>
        <v/>
      </c>
      <c r="L26" s="26">
        <f>IF($A26="","",SUMPRODUCT(--(ISNUMBER(SEARCH($A26,'Test &amp; Certificate Register'!$B$9:$B$38))),--('Test &amp; Certificate Register'!$N$9:$N$38="Fail")))</f>
        <v/>
      </c>
      <c r="M26" s="26">
        <f>IF($A26="","",SUMPRODUCT(--(ISNUMBER(SEARCH($A26,'Non-Conformance Register'!$D$9:$D$33))),--('Non-Conformance Register'!$A$9:$A$33&lt;&gt;""),--('Non-Conformance Register'!$T$9:$T$33&lt;&gt;"Closed")))</f>
        <v/>
      </c>
      <c r="N26" s="25">
        <f>IF($A26="","",IF($M26&gt;0,"Non-conforming",IF($L26&gt;0,"Non-conforming",IF(OR($I26=0,$J26&lt;$I26),"Incomplete","Conforming"))))</f>
        <v/>
      </c>
      <c r="O26" s="61" t="n"/>
      <c r="P26" s="26">
        <f>IF(OR($A26="",$E26=""),"",IF($O26="",TODAY()-$E26,$O26-$E26))</f>
        <v/>
      </c>
      <c r="Q26" s="28" t="n"/>
      <c r="R26" s="28" t="n"/>
    </row>
    <row r="27" ht="34" customHeight="1">
      <c r="A27" s="28" t="n"/>
      <c r="B27" s="28" t="n"/>
      <c r="C27" s="28" t="n"/>
      <c r="D27" s="28" t="n"/>
      <c r="E27" s="61" t="n"/>
      <c r="F27" s="39" t="n"/>
      <c r="G27" s="30" t="n"/>
      <c r="H27" s="28" t="n"/>
      <c r="I27" s="26">
        <f>IF($A27="","",SUMPRODUCT(--(ISNUMBER(SEARCH($A27,'Inspection &amp; Test Plan'!$B$9:$B$48)))))</f>
        <v/>
      </c>
      <c r="J27" s="26">
        <f>IF($A27="","",SUMPRODUCT(--(ISNUMBER(SEARCH($A27,'Inspection &amp; Test Plan'!$B$9:$B$48))),--('Inspection &amp; Test Plan'!$P$9:$P$48="Closed")))</f>
        <v/>
      </c>
      <c r="K27" s="26">
        <f>IF($A27="","",SUMPRODUCT(--(ISNUMBER(SEARCH($A27,'Test &amp; Certificate Register'!$B$9:$B$38))),--('Test &amp; Certificate Register'!$N$9:$N$38="Pass")))</f>
        <v/>
      </c>
      <c r="L27" s="26">
        <f>IF($A27="","",SUMPRODUCT(--(ISNUMBER(SEARCH($A27,'Test &amp; Certificate Register'!$B$9:$B$38))),--('Test &amp; Certificate Register'!$N$9:$N$38="Fail")))</f>
        <v/>
      </c>
      <c r="M27" s="26">
        <f>IF($A27="","",SUMPRODUCT(--(ISNUMBER(SEARCH($A27,'Non-Conformance Register'!$D$9:$D$33))),--('Non-Conformance Register'!$A$9:$A$33&lt;&gt;""),--('Non-Conformance Register'!$T$9:$T$33&lt;&gt;"Closed")))</f>
        <v/>
      </c>
      <c r="N27" s="25">
        <f>IF($A27="","",IF($M27&gt;0,"Non-conforming",IF($L27&gt;0,"Non-conforming",IF(OR($I27=0,$J27&lt;$I27),"Incomplete","Conforming"))))</f>
        <v/>
      </c>
      <c r="O27" s="61" t="n"/>
      <c r="P27" s="26">
        <f>IF(OR($A27="",$E27=""),"",IF($O27="",TODAY()-$E27,$O27-$E27))</f>
        <v/>
      </c>
      <c r="Q27" s="28" t="n"/>
      <c r="R27" s="28" t="n"/>
    </row>
    <row r="28" ht="34" customHeight="1">
      <c r="A28" s="28" t="n"/>
      <c r="B28" s="28" t="n"/>
      <c r="C28" s="28" t="n"/>
      <c r="D28" s="28" t="n"/>
      <c r="E28" s="61" t="n"/>
      <c r="F28" s="39" t="n"/>
      <c r="G28" s="30" t="n"/>
      <c r="H28" s="28" t="n"/>
      <c r="I28" s="26">
        <f>IF($A28="","",SUMPRODUCT(--(ISNUMBER(SEARCH($A28,'Inspection &amp; Test Plan'!$B$9:$B$48)))))</f>
        <v/>
      </c>
      <c r="J28" s="26">
        <f>IF($A28="","",SUMPRODUCT(--(ISNUMBER(SEARCH($A28,'Inspection &amp; Test Plan'!$B$9:$B$48))),--('Inspection &amp; Test Plan'!$P$9:$P$48="Closed")))</f>
        <v/>
      </c>
      <c r="K28" s="26">
        <f>IF($A28="","",SUMPRODUCT(--(ISNUMBER(SEARCH($A28,'Test &amp; Certificate Register'!$B$9:$B$38))),--('Test &amp; Certificate Register'!$N$9:$N$38="Pass")))</f>
        <v/>
      </c>
      <c r="L28" s="26">
        <f>IF($A28="","",SUMPRODUCT(--(ISNUMBER(SEARCH($A28,'Test &amp; Certificate Register'!$B$9:$B$38))),--('Test &amp; Certificate Register'!$N$9:$N$38="Fail")))</f>
        <v/>
      </c>
      <c r="M28" s="26">
        <f>IF($A28="","",SUMPRODUCT(--(ISNUMBER(SEARCH($A28,'Non-Conformance Register'!$D$9:$D$33))),--('Non-Conformance Register'!$A$9:$A$33&lt;&gt;""),--('Non-Conformance Register'!$T$9:$T$33&lt;&gt;"Closed")))</f>
        <v/>
      </c>
      <c r="N28" s="25">
        <f>IF($A28="","",IF($M28&gt;0,"Non-conforming",IF($L28&gt;0,"Non-conforming",IF(OR($I28=0,$J28&lt;$I28),"Incomplete","Conforming"))))</f>
        <v/>
      </c>
      <c r="O28" s="61" t="n"/>
      <c r="P28" s="26">
        <f>IF(OR($A28="",$E28=""),"",IF($O28="",TODAY()-$E28,$O28-$E28))</f>
        <v/>
      </c>
      <c r="Q28" s="28" t="n"/>
      <c r="R28" s="28" t="n"/>
    </row>
    <row r="29" ht="34" customHeight="1">
      <c r="A29" s="28" t="n"/>
      <c r="B29" s="28" t="n"/>
      <c r="C29" s="28" t="n"/>
      <c r="D29" s="28" t="n"/>
      <c r="E29" s="61" t="n"/>
      <c r="F29" s="39" t="n"/>
      <c r="G29" s="30" t="n"/>
      <c r="H29" s="28" t="n"/>
      <c r="I29" s="26">
        <f>IF($A29="","",SUMPRODUCT(--(ISNUMBER(SEARCH($A29,'Inspection &amp; Test Plan'!$B$9:$B$48)))))</f>
        <v/>
      </c>
      <c r="J29" s="26">
        <f>IF($A29="","",SUMPRODUCT(--(ISNUMBER(SEARCH($A29,'Inspection &amp; Test Plan'!$B$9:$B$48))),--('Inspection &amp; Test Plan'!$P$9:$P$48="Closed")))</f>
        <v/>
      </c>
      <c r="K29" s="26">
        <f>IF($A29="","",SUMPRODUCT(--(ISNUMBER(SEARCH($A29,'Test &amp; Certificate Register'!$B$9:$B$38))),--('Test &amp; Certificate Register'!$N$9:$N$38="Pass")))</f>
        <v/>
      </c>
      <c r="L29" s="26">
        <f>IF($A29="","",SUMPRODUCT(--(ISNUMBER(SEARCH($A29,'Test &amp; Certificate Register'!$B$9:$B$38))),--('Test &amp; Certificate Register'!$N$9:$N$38="Fail")))</f>
        <v/>
      </c>
      <c r="M29" s="26">
        <f>IF($A29="","",SUMPRODUCT(--(ISNUMBER(SEARCH($A29,'Non-Conformance Register'!$D$9:$D$33))),--('Non-Conformance Register'!$A$9:$A$33&lt;&gt;""),--('Non-Conformance Register'!$T$9:$T$33&lt;&gt;"Closed")))</f>
        <v/>
      </c>
      <c r="N29" s="25">
        <f>IF($A29="","",IF($M29&gt;0,"Non-conforming",IF($L29&gt;0,"Non-conforming",IF(OR($I29=0,$J29&lt;$I29),"Incomplete","Conforming"))))</f>
        <v/>
      </c>
      <c r="O29" s="61" t="n"/>
      <c r="P29" s="26">
        <f>IF(OR($A29="",$E29=""),"",IF($O29="",TODAY()-$E29,$O29-$E29))</f>
        <v/>
      </c>
      <c r="Q29" s="28" t="n"/>
      <c r="R29" s="28" t="n"/>
    </row>
    <row r="30" ht="34" customHeight="1">
      <c r="A30" s="28" t="n"/>
      <c r="B30" s="28" t="n"/>
      <c r="C30" s="28" t="n"/>
      <c r="D30" s="28" t="n"/>
      <c r="E30" s="61" t="n"/>
      <c r="F30" s="39" t="n"/>
      <c r="G30" s="30" t="n"/>
      <c r="H30" s="28" t="n"/>
      <c r="I30" s="26">
        <f>IF($A30="","",SUMPRODUCT(--(ISNUMBER(SEARCH($A30,'Inspection &amp; Test Plan'!$B$9:$B$48)))))</f>
        <v/>
      </c>
      <c r="J30" s="26">
        <f>IF($A30="","",SUMPRODUCT(--(ISNUMBER(SEARCH($A30,'Inspection &amp; Test Plan'!$B$9:$B$48))),--('Inspection &amp; Test Plan'!$P$9:$P$48="Closed")))</f>
        <v/>
      </c>
      <c r="K30" s="26">
        <f>IF($A30="","",SUMPRODUCT(--(ISNUMBER(SEARCH($A30,'Test &amp; Certificate Register'!$B$9:$B$38))),--('Test &amp; Certificate Register'!$N$9:$N$38="Pass")))</f>
        <v/>
      </c>
      <c r="L30" s="26">
        <f>IF($A30="","",SUMPRODUCT(--(ISNUMBER(SEARCH($A30,'Test &amp; Certificate Register'!$B$9:$B$38))),--('Test &amp; Certificate Register'!$N$9:$N$38="Fail")))</f>
        <v/>
      </c>
      <c r="M30" s="26">
        <f>IF($A30="","",SUMPRODUCT(--(ISNUMBER(SEARCH($A30,'Non-Conformance Register'!$D$9:$D$33))),--('Non-Conformance Register'!$A$9:$A$33&lt;&gt;""),--('Non-Conformance Register'!$T$9:$T$33&lt;&gt;"Closed")))</f>
        <v/>
      </c>
      <c r="N30" s="25">
        <f>IF($A30="","",IF($M30&gt;0,"Non-conforming",IF($L30&gt;0,"Non-conforming",IF(OR($I30=0,$J30&lt;$I30),"Incomplete","Conforming"))))</f>
        <v/>
      </c>
      <c r="O30" s="61" t="n"/>
      <c r="P30" s="26">
        <f>IF(OR($A30="",$E30=""),"",IF($O30="",TODAY()-$E30,$O30-$E30))</f>
        <v/>
      </c>
      <c r="Q30" s="28" t="n"/>
      <c r="R30" s="28" t="n"/>
    </row>
    <row r="31" ht="34" customHeight="1">
      <c r="A31" s="28" t="n"/>
      <c r="B31" s="28" t="n"/>
      <c r="C31" s="28" t="n"/>
      <c r="D31" s="28" t="n"/>
      <c r="E31" s="61" t="n"/>
      <c r="F31" s="39" t="n"/>
      <c r="G31" s="30" t="n"/>
      <c r="H31" s="28" t="n"/>
      <c r="I31" s="26">
        <f>IF($A31="","",SUMPRODUCT(--(ISNUMBER(SEARCH($A31,'Inspection &amp; Test Plan'!$B$9:$B$48)))))</f>
        <v/>
      </c>
      <c r="J31" s="26">
        <f>IF($A31="","",SUMPRODUCT(--(ISNUMBER(SEARCH($A31,'Inspection &amp; Test Plan'!$B$9:$B$48))),--('Inspection &amp; Test Plan'!$P$9:$P$48="Closed")))</f>
        <v/>
      </c>
      <c r="K31" s="26">
        <f>IF($A31="","",SUMPRODUCT(--(ISNUMBER(SEARCH($A31,'Test &amp; Certificate Register'!$B$9:$B$38))),--('Test &amp; Certificate Register'!$N$9:$N$38="Pass")))</f>
        <v/>
      </c>
      <c r="L31" s="26">
        <f>IF($A31="","",SUMPRODUCT(--(ISNUMBER(SEARCH($A31,'Test &amp; Certificate Register'!$B$9:$B$38))),--('Test &amp; Certificate Register'!$N$9:$N$38="Fail")))</f>
        <v/>
      </c>
      <c r="M31" s="26">
        <f>IF($A31="","",SUMPRODUCT(--(ISNUMBER(SEARCH($A31,'Non-Conformance Register'!$D$9:$D$33))),--('Non-Conformance Register'!$A$9:$A$33&lt;&gt;""),--('Non-Conformance Register'!$T$9:$T$33&lt;&gt;"Closed")))</f>
        <v/>
      </c>
      <c r="N31" s="25">
        <f>IF($A31="","",IF($M31&gt;0,"Non-conforming",IF($L31&gt;0,"Non-conforming",IF(OR($I31=0,$J31&lt;$I31),"Incomplete","Conforming"))))</f>
        <v/>
      </c>
      <c r="O31" s="61" t="n"/>
      <c r="P31" s="26">
        <f>IF(OR($A31="",$E31=""),"",IF($O31="",TODAY()-$E31,$O31-$E31))</f>
        <v/>
      </c>
      <c r="Q31" s="28" t="n"/>
      <c r="R31" s="28" t="n"/>
    </row>
    <row r="32" ht="34" customHeight="1">
      <c r="A32" s="28" t="n"/>
      <c r="B32" s="28" t="n"/>
      <c r="C32" s="28" t="n"/>
      <c r="D32" s="28" t="n"/>
      <c r="E32" s="61" t="n"/>
      <c r="F32" s="39" t="n"/>
      <c r="G32" s="30" t="n"/>
      <c r="H32" s="28" t="n"/>
      <c r="I32" s="26">
        <f>IF($A32="","",SUMPRODUCT(--(ISNUMBER(SEARCH($A32,'Inspection &amp; Test Plan'!$B$9:$B$48)))))</f>
        <v/>
      </c>
      <c r="J32" s="26">
        <f>IF($A32="","",SUMPRODUCT(--(ISNUMBER(SEARCH($A32,'Inspection &amp; Test Plan'!$B$9:$B$48))),--('Inspection &amp; Test Plan'!$P$9:$P$48="Closed")))</f>
        <v/>
      </c>
      <c r="K32" s="26">
        <f>IF($A32="","",SUMPRODUCT(--(ISNUMBER(SEARCH($A32,'Test &amp; Certificate Register'!$B$9:$B$38))),--('Test &amp; Certificate Register'!$N$9:$N$38="Pass")))</f>
        <v/>
      </c>
      <c r="L32" s="26">
        <f>IF($A32="","",SUMPRODUCT(--(ISNUMBER(SEARCH($A32,'Test &amp; Certificate Register'!$B$9:$B$38))),--('Test &amp; Certificate Register'!$N$9:$N$38="Fail")))</f>
        <v/>
      </c>
      <c r="M32" s="26">
        <f>IF($A32="","",SUMPRODUCT(--(ISNUMBER(SEARCH($A32,'Non-Conformance Register'!$D$9:$D$33))),--('Non-Conformance Register'!$A$9:$A$33&lt;&gt;""),--('Non-Conformance Register'!$T$9:$T$33&lt;&gt;"Closed")))</f>
        <v/>
      </c>
      <c r="N32" s="25">
        <f>IF($A32="","",IF($M32&gt;0,"Non-conforming",IF($L32&gt;0,"Non-conforming",IF(OR($I32=0,$J32&lt;$I32),"Incomplete","Conforming"))))</f>
        <v/>
      </c>
      <c r="O32" s="61" t="n"/>
      <c r="P32" s="26">
        <f>IF(OR($A32="",$E32=""),"",IF($O32="",TODAY()-$E32,$O32-$E32))</f>
        <v/>
      </c>
      <c r="Q32" s="28" t="n"/>
      <c r="R32" s="28" t="n"/>
    </row>
    <row r="33" ht="34" customHeight="1">
      <c r="A33" s="28" t="n"/>
      <c r="B33" s="28" t="n"/>
      <c r="C33" s="28" t="n"/>
      <c r="D33" s="28" t="n"/>
      <c r="E33" s="61" t="n"/>
      <c r="F33" s="39" t="n"/>
      <c r="G33" s="30" t="n"/>
      <c r="H33" s="28" t="n"/>
      <c r="I33" s="26">
        <f>IF($A33="","",SUMPRODUCT(--(ISNUMBER(SEARCH($A33,'Inspection &amp; Test Plan'!$B$9:$B$48)))))</f>
        <v/>
      </c>
      <c r="J33" s="26">
        <f>IF($A33="","",SUMPRODUCT(--(ISNUMBER(SEARCH($A33,'Inspection &amp; Test Plan'!$B$9:$B$48))),--('Inspection &amp; Test Plan'!$P$9:$P$48="Closed")))</f>
        <v/>
      </c>
      <c r="K33" s="26">
        <f>IF($A33="","",SUMPRODUCT(--(ISNUMBER(SEARCH($A33,'Test &amp; Certificate Register'!$B$9:$B$38))),--('Test &amp; Certificate Register'!$N$9:$N$38="Pass")))</f>
        <v/>
      </c>
      <c r="L33" s="26">
        <f>IF($A33="","",SUMPRODUCT(--(ISNUMBER(SEARCH($A33,'Test &amp; Certificate Register'!$B$9:$B$38))),--('Test &amp; Certificate Register'!$N$9:$N$38="Fail")))</f>
        <v/>
      </c>
      <c r="M33" s="26">
        <f>IF($A33="","",SUMPRODUCT(--(ISNUMBER(SEARCH($A33,'Non-Conformance Register'!$D$9:$D$33))),--('Non-Conformance Register'!$A$9:$A$33&lt;&gt;""),--('Non-Conformance Register'!$T$9:$T$33&lt;&gt;"Closed")))</f>
        <v/>
      </c>
      <c r="N33" s="25">
        <f>IF($A33="","",IF($M33&gt;0,"Non-conforming",IF($L33&gt;0,"Non-conforming",IF(OR($I33=0,$J33&lt;$I33),"Incomplete","Conforming"))))</f>
        <v/>
      </c>
      <c r="O33" s="61" t="n"/>
      <c r="P33" s="26">
        <f>IF(OR($A33="",$E33=""),"",IF($O33="",TODAY()-$E33,$O33-$E33))</f>
        <v/>
      </c>
      <c r="Q33" s="28" t="n"/>
      <c r="R33" s="28" t="n"/>
    </row>
    <row r="36" ht="19.5" customHeight="1">
      <c r="A36" s="4" t="inlineStr">
        <is>
          <t>SUMMARY — CALCULATED FROM THE ROWS ABOVE</t>
        </is>
      </c>
    </row>
    <row r="37" ht="15" customHeight="1">
      <c r="A37" s="12" t="inlineStr">
        <is>
          <t>A lot closed while it is still Non-conforming or Incomplete is flagged red above. That is the single most common way a conformance record loses its value.</t>
        </is>
      </c>
    </row>
    <row r="38" ht="15.75" customHeight="1">
      <c r="A38" s="13" t="inlineStr">
        <is>
          <t>Lots opened</t>
        </is>
      </c>
      <c r="D38" s="31">
        <f>SUMPRODUCT(--($A$9:$A$33&lt;&gt;""))</f>
        <v/>
      </c>
    </row>
    <row r="39" ht="15.75" customHeight="1">
      <c r="A39" s="13" t="inlineStr">
        <is>
          <t>Lots closed</t>
        </is>
      </c>
      <c r="D39" s="31">
        <f>SUMPRODUCT(--($A$9:$A$33&lt;&gt;""),--($O$9:$O$33&lt;&gt;""))</f>
        <v/>
      </c>
    </row>
    <row r="40" ht="15.75" customHeight="1">
      <c r="A40" s="13" t="inlineStr">
        <is>
          <t>Lots conforming</t>
        </is>
      </c>
      <c r="D40" s="31">
        <f>COUNTIF($N$9:$N$33,"Conforming")</f>
        <v/>
      </c>
    </row>
    <row r="41" ht="15.75" customHeight="1">
      <c r="A41" s="13" t="inlineStr">
        <is>
          <t>Lots non-conforming</t>
        </is>
      </c>
      <c r="D41" s="31">
        <f>COUNTIF($N$9:$N$33,"Non-conforming")</f>
        <v/>
      </c>
    </row>
    <row r="42" ht="15.75" customHeight="1">
      <c r="A42" s="13" t="inlineStr">
        <is>
          <t>Lots incomplete</t>
        </is>
      </c>
      <c r="D42" s="31">
        <f>COUNTIF($N$9:$N$33,"Incomplete")</f>
        <v/>
      </c>
    </row>
    <row r="43" ht="15.75" customHeight="1">
      <c r="A43" s="13" t="inlineStr">
        <is>
          <t>Lots closed while not conforming</t>
        </is>
      </c>
      <c r="D43" s="31">
        <f>SUMPRODUCT(--($O$9:$O$33&lt;&gt;""),--($N$9:$N$33&lt;&gt;"Conforming"),--($N$9:$N$33&lt;&gt;""))</f>
        <v/>
      </c>
    </row>
    <row r="44" ht="15.75" customHeight="1">
      <c r="A44" s="13" t="inlineStr">
        <is>
          <t>Lots with no matching ITP row found</t>
        </is>
      </c>
      <c r="D44" s="31">
        <f>SUMPRODUCT(--($A$9:$A$33&lt;&gt;""),--($I$9:$I$33=0))</f>
        <v/>
      </c>
    </row>
    <row r="45" ht="15.75" customHeight="1">
      <c r="A45" s="13" t="inlineStr">
        <is>
          <t>Average days a lot stays open</t>
        </is>
      </c>
      <c r="D45" s="63">
        <f>IF(SUMPRODUCT(--(ISNUMBER($P$9:$P$33)))=0,"",ROUND(SUMPRODUCT($P$9:$P$33,--(ISNUMBER($P$9:$P$33)))/SUMPRODUCT(--(ISNUMBER($P$9:$P$33))),1))</f>
        <v/>
      </c>
    </row>
    <row r="47" ht="40" customHeight="1">
      <c r="A47" s="13" t="inlineStr">
        <is>
          <t>Size lots so that rejecting one is survivable. A lot that covers a whole level of slab means a single failed cylinder puts the whole level in question; a lot that covers one pour keeps the consequence proportionate to the failure. Uniformity matters more than size: one kind of work, one location, one set of conditions, one crew. Rows shown in grey italic are worked examples from Northbank Health Precinct — Stage 2 — delete them before use.</t>
        </is>
      </c>
    </row>
    <row r="49" ht="16.5" customHeight="1">
      <c r="A49" s="66" t="inlineStr">
        <is>
          <t>Mastt template  ·  mastt.com  ·  © 2026 Mastt</t>
        </is>
      </c>
      <c r="B49" s="59" t="n"/>
      <c r="C49" s="59" t="n"/>
      <c r="D49" s="59" t="n"/>
      <c r="E49" s="59" t="n"/>
      <c r="F49" s="59" t="n"/>
      <c r="G49" s="59" t="n"/>
      <c r="H49" s="59" t="n"/>
      <c r="I49" s="59" t="n"/>
      <c r="J49" s="59" t="n"/>
      <c r="K49" s="59" t="n"/>
      <c r="L49" s="59" t="n"/>
      <c r="M49" s="59" t="n"/>
      <c r="N49" s="59" t="n"/>
      <c r="O49" s="59" t="n"/>
      <c r="P49" s="59" t="n"/>
      <c r="Q49" s="59" t="n"/>
      <c r="R49" s="59" t="n"/>
    </row>
  </sheetData>
  <mergeCells count="16">
    <mergeCell ref="A42:C42"/>
    <mergeCell ref="C2:R2"/>
    <mergeCell ref="A41:C41"/>
    <mergeCell ref="A36:C36"/>
    <mergeCell ref="A7:L7"/>
    <mergeCell ref="A44:C44"/>
    <mergeCell ref="A45:C45"/>
    <mergeCell ref="A49:R49"/>
    <mergeCell ref="A47:L47"/>
    <mergeCell ref="C3:R3"/>
    <mergeCell ref="A37:L37"/>
    <mergeCell ref="A40:C40"/>
    <mergeCell ref="A39:C39"/>
    <mergeCell ref="M7:R7"/>
    <mergeCell ref="A43:C43"/>
    <mergeCell ref="A38:C38"/>
  </mergeCells>
  <conditionalFormatting sqref="N9:N33">
    <cfRule type="expression" priority="1" dxfId="2" stopIfTrue="0">
      <formula>$N9="Conforming"</formula>
    </cfRule>
    <cfRule type="expression" priority="2" dxfId="0" stopIfTrue="0">
      <formula>$N9="Non-conforming"</formula>
    </cfRule>
    <cfRule type="expression" priority="3" dxfId="4" stopIfTrue="0">
      <formula>$N9="Incomplete"</formula>
    </cfRule>
  </conditionalFormatting>
  <conditionalFormatting sqref="A9:D33">
    <cfRule type="expression" priority="4" dxfId="3" stopIfTrue="0">
      <formula>$N9="Non-conforming"</formula>
    </cfRule>
  </conditionalFormatting>
  <conditionalFormatting sqref="L9:M33">
    <cfRule type="expression" priority="5" dxfId="3" stopIfTrue="0">
      <formula>AND(ISNUMBER($L9),$L9&gt;0)</formula>
    </cfRule>
  </conditionalFormatting>
  <conditionalFormatting sqref="M9:M33">
    <cfRule type="expression" priority="6" dxfId="0" stopIfTrue="0">
      <formula>AND(ISNUMBER($M9),$M9&gt;0)</formula>
    </cfRule>
  </conditionalFormatting>
  <conditionalFormatting sqref="O9:Q33">
    <cfRule type="expression" priority="7" dxfId="0" stopIfTrue="0">
      <formula>AND($O9&lt;&gt;"",$N9&lt;&gt;"Conforming")</formula>
    </cfRule>
  </conditionalFormatting>
  <conditionalFormatting sqref="J9:J33">
    <cfRule type="expression" priority="8" dxfId="4" stopIfTrue="0">
      <formula>AND(ISNUMBER($I9),$I9&gt;0,$J9&lt;$I9)</formula>
    </cfRule>
  </conditionalFormatting>
  <conditionalFormatting sqref="I9:I33">
    <cfRule type="expression" priority="9" dxfId="4" stopIfTrue="0">
      <formula>AND($A9&lt;&gt;"",$I9=0)</formula>
    </cfRule>
  </conditionalFormatting>
  <conditionalFormatting sqref="P9:P33">
    <cfRule type="expression" priority="10" dxfId="4" stopIfTrue="0">
      <formula>AND($O9="",ISNUMBER($P9),$P9&gt;60)</formula>
    </cfRule>
  </conditionalFormatting>
  <conditionalFormatting sqref="D41">
    <cfRule type="expression" priority="11" dxfId="0" stopIfTrue="0">
      <formula>$D$41&gt;0</formula>
    </cfRule>
  </conditionalFormatting>
  <conditionalFormatting sqref="D43">
    <cfRule type="expression" priority="12" dxfId="0" stopIfTrue="0">
      <formula>$D$43&gt;0</formula>
    </cfRule>
  </conditionalFormatting>
  <conditionalFormatting sqref="D42">
    <cfRule type="expression" priority="13" dxfId="4" stopIfTrue="0">
      <formula>$D$42&gt;0</formula>
    </cfRule>
  </conditionalFormatting>
  <conditionalFormatting sqref="D44">
    <cfRule type="expression" priority="14" dxfId="4" stopIfTrue="0">
      <formula>$D$44&gt;0</formula>
    </cfRule>
  </conditionalFormatting>
  <dataValidations count="2">
    <dataValidation sqref="B9:B33" showDropDown="0" showInputMessage="0" showErrorMessage="0" allowBlank="1" type="list">
      <formula1>Lists!$J$23:$J$53</formula1>
    </dataValidation>
    <dataValidation sqref="G9:G33" showDropDown="0" showInputMessage="0" showErrorMessage="0" allowBlank="1" type="list">
      <formula1>Lists!$K$23:$K$40</formula1>
    </dataValidation>
  </dataValidations>
  <hyperlinks>
    <hyperlink xmlns:r="http://schemas.openxmlformats.org/officeDocument/2006/relationships" ref="A49" r:id="rId1"/>
  </hyperlinks>
  <printOptions horizontalCentered="0"/>
  <pageMargins left="0.3" right="0.3" top="0.5" bottom="0.5" header="0.2" footer="0.3"/>
  <pageSetup orientation="landscape" paperSize="8" fitToHeight="0" fitToWidth="2"/>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5.xml><?xml version="1.0" encoding="utf-8"?>
<worksheet xmlns="http://schemas.openxmlformats.org/spreadsheetml/2006/main">
  <sheetPr>
    <outlinePr summaryBelow="1" summaryRight="1"/>
    <pageSetUpPr fitToPage="1"/>
  </sheetPr>
  <dimension ref="A2:V55"/>
  <sheetViews>
    <sheetView showGridLines="0" workbookViewId="0">
      <pane xSplit="2" ySplit="8" topLeftCell="C9"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12" customWidth="1" min="2" max="2"/>
    <col width="20" customWidth="1" min="3" max="3"/>
    <col width="28" customWidth="1" min="4" max="4"/>
    <col width="22" customWidth="1" min="5" max="5"/>
    <col width="46" customWidth="1" min="6" max="6"/>
    <col width="20" customWidth="1" min="7" max="7"/>
    <col width="12" customWidth="1" min="8" max="8"/>
    <col width="26" customWidth="1" min="9" max="9"/>
    <col width="22" customWidth="1" min="10" max="10"/>
    <col width="22" customWidth="1" min="11" max="11"/>
    <col width="13" customWidth="1" min="12" max="12"/>
    <col width="44" customWidth="1" min="13" max="13"/>
    <col width="40" customWidth="1" min="14" max="14"/>
    <col width="13" customWidth="1" min="15" max="15"/>
    <col width="18" customWidth="1" min="16" max="16"/>
    <col width="13" customWidth="1" min="17" max="17"/>
    <col width="12" customWidth="1" min="18" max="18"/>
    <col width="10" customWidth="1" min="19" max="19"/>
    <col width="12" customWidth="1" min="20" max="20"/>
    <col width="20" customWidth="1" min="21" max="21"/>
    <col width="32" customWidth="1" min="22" max="22"/>
  </cols>
  <sheetData>
    <row r="1" ht="3.75" customHeight="1"/>
    <row r="2" ht="27.75" customHeight="1">
      <c r="A2" s="1" t="inlineStr">
        <is>
          <t xml:space="preserve"> </t>
        </is>
      </c>
      <c r="B2" s="1" t="n"/>
      <c r="C2" s="1" t="n"/>
      <c r="D2" s="2" t="inlineStr">
        <is>
          <t>Construction Quality Control Checklist / Inspection &amp; Test Plan</t>
        </is>
      </c>
    </row>
    <row r="3" ht="12.75" customHeight="1">
      <c r="A3" s="1" t="n"/>
      <c r="B3" s="1" t="n"/>
      <c r="C3" s="1" t="n"/>
      <c r="D3" s="3" t="inlineStr">
        <is>
          <t>Non-Conformance Register  ·  ISO 9001:2015 cl. 8.7 and 10.2  ·  control of nonconforming output, correction and prevention of recurrence</t>
        </is>
      </c>
    </row>
    <row r="4" ht="6" customHeight="1"/>
    <row r="6">
      <c r="A6" s="20">
        <f>IF(Proj_Name="","Project: —  |  complete the Cover sheet","Project:  "&amp;Proj_Name&amp;IF(Proj_Number="",""," |  No. "&amp;Proj_Number)&amp;IF(Proj_Client=""," "," |  "&amp;Proj_Client))</f>
        <v/>
      </c>
    </row>
    <row r="7" ht="27" customHeight="1">
      <c r="A7" s="12" t="inlineStr">
        <is>
          <t>Raise a non-conformance the moment work does not meet its acceptance criteria — not at the end of the month, and not only when someone else finds it. Record the root cause honestly: if every entry says 'workmanship', the register is not being used to prevent recurrence, which is the whole purpose of clause 10.2. Target close-out dates are calculated from the severity and the targets on the Lists sheet.</t>
        </is>
      </c>
      <c r="P7" s="21" t="inlineStr">
        <is>
          <t>Shaded = your input.   Tinted = auto-calculated — do not overtype.</t>
        </is>
      </c>
    </row>
    <row r="8" ht="62" customHeight="1">
      <c r="A8" s="22" t="inlineStr">
        <is>
          <t>NCR No.</t>
        </is>
      </c>
      <c r="B8" s="22" t="inlineStr">
        <is>
          <t>Date Raised</t>
        </is>
      </c>
      <c r="C8" s="22" t="inlineStr">
        <is>
          <t>Raised By</t>
        </is>
      </c>
      <c r="D8" s="22" t="inlineStr">
        <is>
          <t>Element / Lot</t>
        </is>
      </c>
      <c r="E8" s="22" t="inlineStr">
        <is>
          <t>Location</t>
        </is>
      </c>
      <c r="F8" s="22" t="inlineStr">
        <is>
          <t>Description of the Non-conformance</t>
        </is>
      </c>
      <c r="G8" s="22" t="inlineStr">
        <is>
          <t>Specification Clause Breached</t>
        </is>
      </c>
      <c r="H8" s="22" t="inlineStr">
        <is>
          <t>Severity</t>
        </is>
      </c>
      <c r="I8" s="22" t="inlineStr">
        <is>
          <t>Root Cause Category</t>
        </is>
      </c>
      <c r="J8" s="22" t="inlineStr">
        <is>
          <t>Disposition</t>
        </is>
      </c>
      <c r="K8" s="22" t="inlineStr">
        <is>
          <t>Disposition Approved By</t>
        </is>
      </c>
      <c r="L8" s="22" t="inlineStr">
        <is>
          <t>Design Consultant Concurrence Required</t>
        </is>
      </c>
      <c r="M8" s="22" t="inlineStr">
        <is>
          <t>Corrective Action  (fix this occurrence)</t>
        </is>
      </c>
      <c r="N8" s="22" t="inlineStr">
        <is>
          <t>Preventive Action  (stop it recurring)</t>
        </is>
      </c>
      <c r="O8" s="22">
        <f>"Cost Impact  ("&amp;IF(Proj_Currency="","[CUR]",Proj_Currency)&amp;")"</f>
        <v/>
      </c>
      <c r="P8" s="22" t="inlineStr">
        <is>
          <t>Responsible Party</t>
        </is>
      </c>
      <c r="Q8" s="22" t="inlineStr">
        <is>
          <t>Target Close Date  (calculated)</t>
        </is>
      </c>
      <c r="R8" s="22" t="inlineStr">
        <is>
          <t>Actual Close Date</t>
        </is>
      </c>
      <c r="S8" s="22" t="inlineStr">
        <is>
          <t>Days Open  (calculated)</t>
        </is>
      </c>
      <c r="T8" s="22" t="inlineStr">
        <is>
          <t>Status  (calculated)</t>
        </is>
      </c>
      <c r="U8" s="22" t="inlineStr">
        <is>
          <t>Verified Closed By</t>
        </is>
      </c>
      <c r="V8" s="22" t="inlineStr">
        <is>
          <t>Comments</t>
        </is>
      </c>
    </row>
    <row r="9" ht="68" customHeight="1">
      <c r="A9" s="23" t="inlineStr">
        <is>
          <t>NCR-014</t>
        </is>
      </c>
      <c r="B9" s="60" t="n">
        <v>46224</v>
      </c>
      <c r="C9" s="23" t="inlineStr">
        <is>
          <t>M. Haddad, Steel Inspector</t>
        </is>
      </c>
      <c r="D9" s="23" t="inlineStr">
        <is>
          <t>Structural steel frame Levels 1–4 — Lot SS-03</t>
        </is>
      </c>
      <c r="E9" s="23" t="inlineStr">
        <is>
          <t>Level 2, grid C/3</t>
        </is>
      </c>
      <c r="F9" s="23" t="inlineStr">
        <is>
          <t>Four M24 bolts in the beam-to-column connection at grid C/3 found below the minimum shank tension during the 10% verification check.</t>
        </is>
      </c>
      <c r="G9" s="23" t="inlineStr">
        <is>
          <t>Spec 05120 cl. 3.7</t>
        </is>
      </c>
      <c r="H9" s="27" t="inlineStr">
        <is>
          <t>Major</t>
        </is>
      </c>
      <c r="I9" s="23" t="inlineStr">
        <is>
          <t>Procedure not followed</t>
        </is>
      </c>
      <c r="J9" s="23" t="inlineStr">
        <is>
          <t>Rework</t>
        </is>
      </c>
      <c r="K9" s="23" t="inlineStr">
        <is>
          <t>H. Vasquez, Superintendent</t>
        </is>
      </c>
      <c r="L9" s="27" t="inlineStr">
        <is>
          <t>No</t>
        </is>
      </c>
      <c r="M9" s="23" t="inlineStr">
        <is>
          <t>Connection de-tensioned, bolts replaced and the whole connection re-tensioned in the specified sequence; 100% of bolts of that connection type re-verified on Levels 1–4.</t>
        </is>
      </c>
      <c r="N9" s="23" t="inlineStr">
        <is>
          <t>Tensioning sequence added to the daily pre-start briefing; torque wrench calibration verified weekly and the record filed with the lot.</t>
        </is>
      </c>
      <c r="O9" s="45" t="n">
        <v>4200</v>
      </c>
      <c r="P9" s="23" t="inlineStr">
        <is>
          <t>Subcontractor</t>
        </is>
      </c>
      <c r="Q9" s="64">
        <f>IFERROR(IF(OR($B9="",$H9=""),"",$B9+IF($H9="Critical",NCR_Target_Critical,IF($H9="Major",NCR_Target_Major,IF($H9="Minor",NCR_Target_Minor,IF($H9="Observation",NCR_Target_Observation,""))))),"")</f>
        <v/>
      </c>
      <c r="R9" s="60" t="n">
        <v>46227</v>
      </c>
      <c r="S9" s="26">
        <f>IF(OR($A9="",$B9=""),"",IF($R9="",TODAY()-$B9,$R9-$B9))</f>
        <v/>
      </c>
      <c r="T9" s="47">
        <f>IF($A9="","",IF($R9&lt;&gt;"","Closed",IF(AND(ISNUMBER($Q9),TODAY()&gt;$Q9),"OVERDUE","Open")))</f>
        <v/>
      </c>
      <c r="U9" s="23" t="inlineStr">
        <is>
          <t>L. Marchetti, Quality Manager</t>
        </is>
      </c>
      <c r="V9" s="23" t="inlineStr">
        <is>
          <t>Closed after re-verification of 62 bolts with no further exceedance.  ·  EXAMPLE — delete before use</t>
        </is>
      </c>
    </row>
    <row r="10" ht="68" customHeight="1">
      <c r="A10" s="23" t="inlineStr">
        <is>
          <t>NCR-016</t>
        </is>
      </c>
      <c r="B10" s="60" t="n">
        <v>46231</v>
      </c>
      <c r="C10" s="23" t="inlineStr">
        <is>
          <t>P. Nkemdirim, NDT Level 2</t>
        </is>
      </c>
      <c r="D10" s="23" t="inlineStr">
        <is>
          <t>Structural steel frame Levels 1–4 — Lot SS-03</t>
        </is>
      </c>
      <c r="E10" s="23" t="inlineStr">
        <is>
          <t>Level 2 transfer beam, grids C–D</t>
        </is>
      </c>
      <c r="F10" s="23" t="inlineStr">
        <is>
          <t>Lack of fusion over 140 mm in full-penetration butt weld W-204, outside ISO 5817 quality level B.</t>
        </is>
      </c>
      <c r="G10" s="23" t="inlineStr">
        <is>
          <t>Spec 05120 cl. 3.9</t>
        </is>
      </c>
      <c r="H10" s="27" t="inlineStr">
        <is>
          <t>Critical</t>
        </is>
      </c>
      <c r="I10" s="23" t="inlineStr">
        <is>
          <t>Workmanship</t>
        </is>
      </c>
      <c r="J10" s="23" t="inlineStr">
        <is>
          <t>Repair</t>
        </is>
      </c>
      <c r="K10" s="23" t="inlineStr">
        <is>
          <t>Awaiting design consultant</t>
        </is>
      </c>
      <c r="L10" s="27" t="inlineStr">
        <is>
          <t>Yes</t>
        </is>
      </c>
      <c r="M10" s="23" t="inlineStr">
        <is>
          <t>Weld gouged out to sound metal and re-welded to repair procedure WPS-R04, with 100% ultrasonic re-examination of the repaired length plus 200 mm either side.</t>
        </is>
      </c>
      <c r="N10" s="23" t="inlineStr">
        <is>
          <t>Welder re-qualified for the position; a hold point added before any load is applied to the transfer beams.</t>
        </is>
      </c>
      <c r="O10" s="45" t="n">
        <v>18600</v>
      </c>
      <c r="P10" s="23" t="inlineStr">
        <is>
          <t>Subcontractor</t>
        </is>
      </c>
      <c r="Q10" s="64">
        <f>IFERROR(IF(OR($B10="",$H10=""),"",$B10+IF($H10="Critical",NCR_Target_Critical,IF($H10="Major",NCR_Target_Major,IF($H10="Minor",NCR_Target_Minor,IF($H10="Observation",NCR_Target_Observation,""))))),"")</f>
        <v/>
      </c>
      <c r="R10" s="61" t="n"/>
      <c r="S10" s="26">
        <f>IF(OR($A10="",$B10=""),"",IF($R10="",TODAY()-$B10,$R10-$B10))</f>
        <v/>
      </c>
      <c r="T10" s="47">
        <f>IF($A10="","",IF($R10&lt;&gt;"","Closed",IF(AND(ISNUMBER($Q10),TODAY()&gt;$Q10),"OVERDUE","Open")))</f>
        <v/>
      </c>
      <c r="U10" s="28" t="n"/>
      <c r="V10" s="23" t="inlineStr">
        <is>
          <t>Past its close-out target. Transfer beam remains unloaded and the deck above is not to be propped off it until the repair is accepted.  ·  EXAMPLE — delete before use</t>
        </is>
      </c>
    </row>
    <row r="11" ht="68" customHeight="1">
      <c r="A11" s="23" t="inlineStr">
        <is>
          <t>NCR-021</t>
        </is>
      </c>
      <c r="B11" s="60" t="n">
        <v>46248</v>
      </c>
      <c r="C11" s="23" t="inlineStr">
        <is>
          <t>D. Sørensen, Services Coordinator</t>
        </is>
      </c>
      <c r="D11" s="23" t="inlineStr">
        <is>
          <t>Level 1 electrical rough-in — Lot EL-05</t>
        </is>
      </c>
      <c r="E11" s="23" t="inlineStr">
        <is>
          <t>Level 1 north ceiling void</t>
        </is>
      </c>
      <c r="F11" s="23" t="inlineStr">
        <is>
          <t>Data cabling installed within 120 mm of an unshielded power circuit over a 6 m run, against the 300 mm separation required.</t>
        </is>
      </c>
      <c r="G11" s="23" t="inlineStr">
        <is>
          <t>Spec 16100 cl. 3.4</t>
        </is>
      </c>
      <c r="H11" s="27" t="inlineStr">
        <is>
          <t>Minor</t>
        </is>
      </c>
      <c r="I11" s="23" t="inlineStr">
        <is>
          <t>Sequence or coordination clash</t>
        </is>
      </c>
      <c r="J11" s="23" t="inlineStr">
        <is>
          <t>Rework</t>
        </is>
      </c>
      <c r="K11" s="23" t="inlineStr">
        <is>
          <t>A. Bianchi, Services Engineer</t>
        </is>
      </c>
      <c r="L11" s="27" t="inlineStr">
        <is>
          <t>No</t>
        </is>
      </c>
      <c r="M11" s="23" t="inlineStr">
        <is>
          <t>Cable tray re-routed to achieve 300 mm separation; a metallic barrier installed at the one crossing that cannot be avoided.</t>
        </is>
      </c>
      <c r="N11" s="23" t="inlineStr">
        <is>
          <t>Segregation added to the ceiling-void close-up checklist and to the weekly surveillance round.</t>
        </is>
      </c>
      <c r="O11" s="45" t="n">
        <v>1150</v>
      </c>
      <c r="P11" s="23" t="inlineStr">
        <is>
          <t>Subcontractor</t>
        </is>
      </c>
      <c r="Q11" s="64">
        <f>IFERROR(IF(OR($B11="",$H11=""),"",$B11+IF($H11="Critical",NCR_Target_Critical,IF($H11="Major",NCR_Target_Major,IF($H11="Minor",NCR_Target_Minor,IF($H11="Observation",NCR_Target_Observation,""))))),"")</f>
        <v/>
      </c>
      <c r="R11" s="61" t="n"/>
      <c r="S11" s="26">
        <f>IF(OR($A11="",$B11=""),"",IF($R11="",TODAY()-$B11,$R11-$B11))</f>
        <v/>
      </c>
      <c r="T11" s="47">
        <f>IF($A11="","",IF($R11&lt;&gt;"","Closed",IF(AND(ISNUMBER($Q11),TODAY()&gt;$Q11),"OVERDUE","Open")))</f>
        <v/>
      </c>
      <c r="U11" s="28" t="n"/>
      <c r="V11" s="23" t="inlineStr">
        <is>
          <t>Open and within target. Ceiling close-up in that zone is held until the re-route is inspected.  ·  EXAMPLE — delete before use</t>
        </is>
      </c>
    </row>
    <row r="12" ht="68" customHeight="1">
      <c r="A12" s="23" t="inlineStr">
        <is>
          <t>NCR-023</t>
        </is>
      </c>
      <c r="B12" s="60" t="n">
        <v>46251</v>
      </c>
      <c r="C12" s="23" t="inlineStr">
        <is>
          <t>L. Marchetti, Quality Manager</t>
        </is>
      </c>
      <c r="D12" s="23" t="inlineStr">
        <is>
          <t>Waterproofing to basement lift pit — Lot WP-01</t>
        </is>
      </c>
      <c r="E12" s="23" t="inlineStr">
        <is>
          <t>Basement B2 lift pit</t>
        </is>
      </c>
      <c r="F12" s="23" t="inlineStr">
        <is>
          <t>Wet-film thickness readings recorded on a loose sheet rather than the controlled record form. The values themselves met the specification.</t>
        </is>
      </c>
      <c r="G12" s="23" t="inlineStr">
        <is>
          <t>ISO 9001 cl. 7.5.3</t>
        </is>
      </c>
      <c r="H12" s="27" t="inlineStr">
        <is>
          <t>Observation</t>
        </is>
      </c>
      <c r="I12" s="23" t="inlineStr">
        <is>
          <t>Procedure inadequate</t>
        </is>
      </c>
      <c r="J12" s="23" t="inlineStr">
        <is>
          <t>Use as is with concession</t>
        </is>
      </c>
      <c r="K12" s="23" t="inlineStr">
        <is>
          <t>L. Marchetti, Quality Manager</t>
        </is>
      </c>
      <c r="L12" s="27" t="inlineStr">
        <is>
          <t>No</t>
        </is>
      </c>
      <c r="M12" s="23" t="inlineStr">
        <is>
          <t>Readings transcribed onto the controlled form, with the original loose sheet retained as the source record.</t>
        </is>
      </c>
      <c r="N12" s="23" t="inlineStr">
        <is>
          <t>Controlled record forms issued to the applicator and included in the pre-start briefing for every wet trade.</t>
        </is>
      </c>
      <c r="O12" s="45" t="n">
        <v>0</v>
      </c>
      <c r="P12" s="23" t="inlineStr">
        <is>
          <t>Contractor</t>
        </is>
      </c>
      <c r="Q12" s="64">
        <f>IFERROR(IF(OR($B12="",$H12=""),"",$B12+IF($H12="Critical",NCR_Target_Critical,IF($H12="Major",NCR_Target_Major,IF($H12="Minor",NCR_Target_Minor,IF($H12="Observation",NCR_Target_Observation,""))))),"")</f>
        <v/>
      </c>
      <c r="R12" s="60" t="n">
        <v>46252</v>
      </c>
      <c r="S12" s="26">
        <f>IF(OR($A12="",$B12=""),"",IF($R12="",TODAY()-$B12,$R12-$B12))</f>
        <v/>
      </c>
      <c r="T12" s="47">
        <f>IF($A12="","",IF($R12&lt;&gt;"","Closed",IF(AND(ISNUMBER($Q12),TODAY()&gt;$Q12),"OVERDUE","Open")))</f>
        <v/>
      </c>
      <c r="U12" s="23" t="inlineStr">
        <is>
          <t>H. Vasquez, Superintendent</t>
        </is>
      </c>
      <c r="V12" s="23" t="inlineStr">
        <is>
          <t>Recorded as an observation to prevent recurrence — the work itself conformed.  ·  EXAMPLE — delete before use</t>
        </is>
      </c>
    </row>
    <row r="13" ht="34" customHeight="1">
      <c r="A13" s="28" t="n"/>
      <c r="B13" s="61" t="n"/>
      <c r="C13" s="28" t="n"/>
      <c r="D13" s="28" t="n"/>
      <c r="E13" s="28" t="n"/>
      <c r="F13" s="28" t="n"/>
      <c r="G13" s="28" t="n"/>
      <c r="H13" s="30" t="n"/>
      <c r="I13" s="28" t="n"/>
      <c r="J13" s="28" t="n"/>
      <c r="K13" s="28" t="n"/>
      <c r="L13" s="30" t="n"/>
      <c r="M13" s="28" t="n"/>
      <c r="N13" s="28" t="n"/>
      <c r="O13" s="48" t="n"/>
      <c r="P13" s="28" t="n"/>
      <c r="Q13" s="64">
        <f>IFERROR(IF(OR($B13="",$H13=""),"",$B13+IF($H13="Critical",NCR_Target_Critical,IF($H13="Major",NCR_Target_Major,IF($H13="Minor",NCR_Target_Minor,IF($H13="Observation",NCR_Target_Observation,""))))),"")</f>
        <v/>
      </c>
      <c r="R13" s="61" t="n"/>
      <c r="S13" s="26">
        <f>IF(OR($A13="",$B13=""),"",IF($R13="",TODAY()-$B13,$R13-$B13))</f>
        <v/>
      </c>
      <c r="T13" s="47">
        <f>IF($A13="","",IF($R13&lt;&gt;"","Closed",IF(AND(ISNUMBER($Q13),TODAY()&gt;$Q13),"OVERDUE","Open")))</f>
        <v/>
      </c>
      <c r="U13" s="28" t="n"/>
      <c r="V13" s="28" t="n"/>
    </row>
    <row r="14" ht="34" customHeight="1">
      <c r="A14" s="28" t="n"/>
      <c r="B14" s="61" t="n"/>
      <c r="C14" s="28" t="n"/>
      <c r="D14" s="28" t="n"/>
      <c r="E14" s="28" t="n"/>
      <c r="F14" s="28" t="n"/>
      <c r="G14" s="28" t="n"/>
      <c r="H14" s="30" t="n"/>
      <c r="I14" s="28" t="n"/>
      <c r="J14" s="28" t="n"/>
      <c r="K14" s="28" t="n"/>
      <c r="L14" s="30" t="n"/>
      <c r="M14" s="28" t="n"/>
      <c r="N14" s="28" t="n"/>
      <c r="O14" s="48" t="n"/>
      <c r="P14" s="28" t="n"/>
      <c r="Q14" s="64">
        <f>IFERROR(IF(OR($B14="",$H14=""),"",$B14+IF($H14="Critical",NCR_Target_Critical,IF($H14="Major",NCR_Target_Major,IF($H14="Minor",NCR_Target_Minor,IF($H14="Observation",NCR_Target_Observation,""))))),"")</f>
        <v/>
      </c>
      <c r="R14" s="61" t="n"/>
      <c r="S14" s="26">
        <f>IF(OR($A14="",$B14=""),"",IF($R14="",TODAY()-$B14,$R14-$B14))</f>
        <v/>
      </c>
      <c r="T14" s="47">
        <f>IF($A14="","",IF($R14&lt;&gt;"","Closed",IF(AND(ISNUMBER($Q14),TODAY()&gt;$Q14),"OVERDUE","Open")))</f>
        <v/>
      </c>
      <c r="U14" s="28" t="n"/>
      <c r="V14" s="28" t="n"/>
    </row>
    <row r="15" ht="34" customHeight="1">
      <c r="A15" s="28" t="n"/>
      <c r="B15" s="61" t="n"/>
      <c r="C15" s="28" t="n"/>
      <c r="D15" s="28" t="n"/>
      <c r="E15" s="28" t="n"/>
      <c r="F15" s="28" t="n"/>
      <c r="G15" s="28" t="n"/>
      <c r="H15" s="30" t="n"/>
      <c r="I15" s="28" t="n"/>
      <c r="J15" s="28" t="n"/>
      <c r="K15" s="28" t="n"/>
      <c r="L15" s="30" t="n"/>
      <c r="M15" s="28" t="n"/>
      <c r="N15" s="28" t="n"/>
      <c r="O15" s="48" t="n"/>
      <c r="P15" s="28" t="n"/>
      <c r="Q15" s="64">
        <f>IFERROR(IF(OR($B15="",$H15=""),"",$B15+IF($H15="Critical",NCR_Target_Critical,IF($H15="Major",NCR_Target_Major,IF($H15="Minor",NCR_Target_Minor,IF($H15="Observation",NCR_Target_Observation,""))))),"")</f>
        <v/>
      </c>
      <c r="R15" s="61" t="n"/>
      <c r="S15" s="26">
        <f>IF(OR($A15="",$B15=""),"",IF($R15="",TODAY()-$B15,$R15-$B15))</f>
        <v/>
      </c>
      <c r="T15" s="47">
        <f>IF($A15="","",IF($R15&lt;&gt;"","Closed",IF(AND(ISNUMBER($Q15),TODAY()&gt;$Q15),"OVERDUE","Open")))</f>
        <v/>
      </c>
      <c r="U15" s="28" t="n"/>
      <c r="V15" s="28" t="n"/>
    </row>
    <row r="16" ht="34" customHeight="1">
      <c r="A16" s="28" t="n"/>
      <c r="B16" s="61" t="n"/>
      <c r="C16" s="28" t="n"/>
      <c r="D16" s="28" t="n"/>
      <c r="E16" s="28" t="n"/>
      <c r="F16" s="28" t="n"/>
      <c r="G16" s="28" t="n"/>
      <c r="H16" s="30" t="n"/>
      <c r="I16" s="28" t="n"/>
      <c r="J16" s="28" t="n"/>
      <c r="K16" s="28" t="n"/>
      <c r="L16" s="30" t="n"/>
      <c r="M16" s="28" t="n"/>
      <c r="N16" s="28" t="n"/>
      <c r="O16" s="48" t="n"/>
      <c r="P16" s="28" t="n"/>
      <c r="Q16" s="64">
        <f>IFERROR(IF(OR($B16="",$H16=""),"",$B16+IF($H16="Critical",NCR_Target_Critical,IF($H16="Major",NCR_Target_Major,IF($H16="Minor",NCR_Target_Minor,IF($H16="Observation",NCR_Target_Observation,""))))),"")</f>
        <v/>
      </c>
      <c r="R16" s="61" t="n"/>
      <c r="S16" s="26">
        <f>IF(OR($A16="",$B16=""),"",IF($R16="",TODAY()-$B16,$R16-$B16))</f>
        <v/>
      </c>
      <c r="T16" s="47">
        <f>IF($A16="","",IF($R16&lt;&gt;"","Closed",IF(AND(ISNUMBER($Q16),TODAY()&gt;$Q16),"OVERDUE","Open")))</f>
        <v/>
      </c>
      <c r="U16" s="28" t="n"/>
      <c r="V16" s="28" t="n"/>
    </row>
    <row r="17" ht="34" customHeight="1">
      <c r="A17" s="28" t="n"/>
      <c r="B17" s="61" t="n"/>
      <c r="C17" s="28" t="n"/>
      <c r="D17" s="28" t="n"/>
      <c r="E17" s="28" t="n"/>
      <c r="F17" s="28" t="n"/>
      <c r="G17" s="28" t="n"/>
      <c r="H17" s="30" t="n"/>
      <c r="I17" s="28" t="n"/>
      <c r="J17" s="28" t="n"/>
      <c r="K17" s="28" t="n"/>
      <c r="L17" s="30" t="n"/>
      <c r="M17" s="28" t="n"/>
      <c r="N17" s="28" t="n"/>
      <c r="O17" s="48" t="n"/>
      <c r="P17" s="28" t="n"/>
      <c r="Q17" s="64">
        <f>IFERROR(IF(OR($B17="",$H17=""),"",$B17+IF($H17="Critical",NCR_Target_Critical,IF($H17="Major",NCR_Target_Major,IF($H17="Minor",NCR_Target_Minor,IF($H17="Observation",NCR_Target_Observation,""))))),"")</f>
        <v/>
      </c>
      <c r="R17" s="61" t="n"/>
      <c r="S17" s="26">
        <f>IF(OR($A17="",$B17=""),"",IF($R17="",TODAY()-$B17,$R17-$B17))</f>
        <v/>
      </c>
      <c r="T17" s="47">
        <f>IF($A17="","",IF($R17&lt;&gt;"","Closed",IF(AND(ISNUMBER($Q17),TODAY()&gt;$Q17),"OVERDUE","Open")))</f>
        <v/>
      </c>
      <c r="U17" s="28" t="n"/>
      <c r="V17" s="28" t="n"/>
    </row>
    <row r="18" ht="34" customHeight="1">
      <c r="A18" s="28" t="n"/>
      <c r="B18" s="61" t="n"/>
      <c r="C18" s="28" t="n"/>
      <c r="D18" s="28" t="n"/>
      <c r="E18" s="28" t="n"/>
      <c r="F18" s="28" t="n"/>
      <c r="G18" s="28" t="n"/>
      <c r="H18" s="30" t="n"/>
      <c r="I18" s="28" t="n"/>
      <c r="J18" s="28" t="n"/>
      <c r="K18" s="28" t="n"/>
      <c r="L18" s="30" t="n"/>
      <c r="M18" s="28" t="n"/>
      <c r="N18" s="28" t="n"/>
      <c r="O18" s="48" t="n"/>
      <c r="P18" s="28" t="n"/>
      <c r="Q18" s="64">
        <f>IFERROR(IF(OR($B18="",$H18=""),"",$B18+IF($H18="Critical",NCR_Target_Critical,IF($H18="Major",NCR_Target_Major,IF($H18="Minor",NCR_Target_Minor,IF($H18="Observation",NCR_Target_Observation,""))))),"")</f>
        <v/>
      </c>
      <c r="R18" s="61" t="n"/>
      <c r="S18" s="26">
        <f>IF(OR($A18="",$B18=""),"",IF($R18="",TODAY()-$B18,$R18-$B18))</f>
        <v/>
      </c>
      <c r="T18" s="47">
        <f>IF($A18="","",IF($R18&lt;&gt;"","Closed",IF(AND(ISNUMBER($Q18),TODAY()&gt;$Q18),"OVERDUE","Open")))</f>
        <v/>
      </c>
      <c r="U18" s="28" t="n"/>
      <c r="V18" s="28" t="n"/>
    </row>
    <row r="19" ht="34" customHeight="1">
      <c r="A19" s="28" t="n"/>
      <c r="B19" s="61" t="n"/>
      <c r="C19" s="28" t="n"/>
      <c r="D19" s="28" t="n"/>
      <c r="E19" s="28" t="n"/>
      <c r="F19" s="28" t="n"/>
      <c r="G19" s="28" t="n"/>
      <c r="H19" s="30" t="n"/>
      <c r="I19" s="28" t="n"/>
      <c r="J19" s="28" t="n"/>
      <c r="K19" s="28" t="n"/>
      <c r="L19" s="30" t="n"/>
      <c r="M19" s="28" t="n"/>
      <c r="N19" s="28" t="n"/>
      <c r="O19" s="48" t="n"/>
      <c r="P19" s="28" t="n"/>
      <c r="Q19" s="64">
        <f>IFERROR(IF(OR($B19="",$H19=""),"",$B19+IF($H19="Critical",NCR_Target_Critical,IF($H19="Major",NCR_Target_Major,IF($H19="Minor",NCR_Target_Minor,IF($H19="Observation",NCR_Target_Observation,""))))),"")</f>
        <v/>
      </c>
      <c r="R19" s="61" t="n"/>
      <c r="S19" s="26">
        <f>IF(OR($A19="",$B19=""),"",IF($R19="",TODAY()-$B19,$R19-$B19))</f>
        <v/>
      </c>
      <c r="T19" s="47">
        <f>IF($A19="","",IF($R19&lt;&gt;"","Closed",IF(AND(ISNUMBER($Q19),TODAY()&gt;$Q19),"OVERDUE","Open")))</f>
        <v/>
      </c>
      <c r="U19" s="28" t="n"/>
      <c r="V19" s="28" t="n"/>
    </row>
    <row r="20" ht="34" customHeight="1">
      <c r="A20" s="28" t="n"/>
      <c r="B20" s="61" t="n"/>
      <c r="C20" s="28" t="n"/>
      <c r="D20" s="28" t="n"/>
      <c r="E20" s="28" t="n"/>
      <c r="F20" s="28" t="n"/>
      <c r="G20" s="28" t="n"/>
      <c r="H20" s="30" t="n"/>
      <c r="I20" s="28" t="n"/>
      <c r="J20" s="28" t="n"/>
      <c r="K20" s="28" t="n"/>
      <c r="L20" s="30" t="n"/>
      <c r="M20" s="28" t="n"/>
      <c r="N20" s="28" t="n"/>
      <c r="O20" s="48" t="n"/>
      <c r="P20" s="28" t="n"/>
      <c r="Q20" s="64">
        <f>IFERROR(IF(OR($B20="",$H20=""),"",$B20+IF($H20="Critical",NCR_Target_Critical,IF($H20="Major",NCR_Target_Major,IF($H20="Minor",NCR_Target_Minor,IF($H20="Observation",NCR_Target_Observation,""))))),"")</f>
        <v/>
      </c>
      <c r="R20" s="61" t="n"/>
      <c r="S20" s="26">
        <f>IF(OR($A20="",$B20=""),"",IF($R20="",TODAY()-$B20,$R20-$B20))</f>
        <v/>
      </c>
      <c r="T20" s="47">
        <f>IF($A20="","",IF($R20&lt;&gt;"","Closed",IF(AND(ISNUMBER($Q20),TODAY()&gt;$Q20),"OVERDUE","Open")))</f>
        <v/>
      </c>
      <c r="U20" s="28" t="n"/>
      <c r="V20" s="28" t="n"/>
    </row>
    <row r="21" ht="34" customHeight="1">
      <c r="A21" s="28" t="n"/>
      <c r="B21" s="61" t="n"/>
      <c r="C21" s="28" t="n"/>
      <c r="D21" s="28" t="n"/>
      <c r="E21" s="28" t="n"/>
      <c r="F21" s="28" t="n"/>
      <c r="G21" s="28" t="n"/>
      <c r="H21" s="30" t="n"/>
      <c r="I21" s="28" t="n"/>
      <c r="J21" s="28" t="n"/>
      <c r="K21" s="28" t="n"/>
      <c r="L21" s="30" t="n"/>
      <c r="M21" s="28" t="n"/>
      <c r="N21" s="28" t="n"/>
      <c r="O21" s="48" t="n"/>
      <c r="P21" s="28" t="n"/>
      <c r="Q21" s="64">
        <f>IFERROR(IF(OR($B21="",$H21=""),"",$B21+IF($H21="Critical",NCR_Target_Critical,IF($H21="Major",NCR_Target_Major,IF($H21="Minor",NCR_Target_Minor,IF($H21="Observation",NCR_Target_Observation,""))))),"")</f>
        <v/>
      </c>
      <c r="R21" s="61" t="n"/>
      <c r="S21" s="26">
        <f>IF(OR($A21="",$B21=""),"",IF($R21="",TODAY()-$B21,$R21-$B21))</f>
        <v/>
      </c>
      <c r="T21" s="47">
        <f>IF($A21="","",IF($R21&lt;&gt;"","Closed",IF(AND(ISNUMBER($Q21),TODAY()&gt;$Q21),"OVERDUE","Open")))</f>
        <v/>
      </c>
      <c r="U21" s="28" t="n"/>
      <c r="V21" s="28" t="n"/>
    </row>
    <row r="22" ht="34" customHeight="1">
      <c r="A22" s="28" t="n"/>
      <c r="B22" s="61" t="n"/>
      <c r="C22" s="28" t="n"/>
      <c r="D22" s="28" t="n"/>
      <c r="E22" s="28" t="n"/>
      <c r="F22" s="28" t="n"/>
      <c r="G22" s="28" t="n"/>
      <c r="H22" s="30" t="n"/>
      <c r="I22" s="28" t="n"/>
      <c r="J22" s="28" t="n"/>
      <c r="K22" s="28" t="n"/>
      <c r="L22" s="30" t="n"/>
      <c r="M22" s="28" t="n"/>
      <c r="N22" s="28" t="n"/>
      <c r="O22" s="48" t="n"/>
      <c r="P22" s="28" t="n"/>
      <c r="Q22" s="64">
        <f>IFERROR(IF(OR($B22="",$H22=""),"",$B22+IF($H22="Critical",NCR_Target_Critical,IF($H22="Major",NCR_Target_Major,IF($H22="Minor",NCR_Target_Minor,IF($H22="Observation",NCR_Target_Observation,""))))),"")</f>
        <v/>
      </c>
      <c r="R22" s="61" t="n"/>
      <c r="S22" s="26">
        <f>IF(OR($A22="",$B22=""),"",IF($R22="",TODAY()-$B22,$R22-$B22))</f>
        <v/>
      </c>
      <c r="T22" s="47">
        <f>IF($A22="","",IF($R22&lt;&gt;"","Closed",IF(AND(ISNUMBER($Q22),TODAY()&gt;$Q22),"OVERDUE","Open")))</f>
        <v/>
      </c>
      <c r="U22" s="28" t="n"/>
      <c r="V22" s="28" t="n"/>
    </row>
    <row r="23" ht="34" customHeight="1">
      <c r="A23" s="28" t="n"/>
      <c r="B23" s="61" t="n"/>
      <c r="C23" s="28" t="n"/>
      <c r="D23" s="28" t="n"/>
      <c r="E23" s="28" t="n"/>
      <c r="F23" s="28" t="n"/>
      <c r="G23" s="28" t="n"/>
      <c r="H23" s="30" t="n"/>
      <c r="I23" s="28" t="n"/>
      <c r="J23" s="28" t="n"/>
      <c r="K23" s="28" t="n"/>
      <c r="L23" s="30" t="n"/>
      <c r="M23" s="28" t="n"/>
      <c r="N23" s="28" t="n"/>
      <c r="O23" s="48" t="n"/>
      <c r="P23" s="28" t="n"/>
      <c r="Q23" s="64">
        <f>IFERROR(IF(OR($B23="",$H23=""),"",$B23+IF($H23="Critical",NCR_Target_Critical,IF($H23="Major",NCR_Target_Major,IF($H23="Minor",NCR_Target_Minor,IF($H23="Observation",NCR_Target_Observation,""))))),"")</f>
        <v/>
      </c>
      <c r="R23" s="61" t="n"/>
      <c r="S23" s="26">
        <f>IF(OR($A23="",$B23=""),"",IF($R23="",TODAY()-$B23,$R23-$B23))</f>
        <v/>
      </c>
      <c r="T23" s="47">
        <f>IF($A23="","",IF($R23&lt;&gt;"","Closed",IF(AND(ISNUMBER($Q23),TODAY()&gt;$Q23),"OVERDUE","Open")))</f>
        <v/>
      </c>
      <c r="U23" s="28" t="n"/>
      <c r="V23" s="28" t="n"/>
    </row>
    <row r="24" ht="34" customHeight="1">
      <c r="A24" s="28" t="n"/>
      <c r="B24" s="61" t="n"/>
      <c r="C24" s="28" t="n"/>
      <c r="D24" s="28" t="n"/>
      <c r="E24" s="28" t="n"/>
      <c r="F24" s="28" t="n"/>
      <c r="G24" s="28" t="n"/>
      <c r="H24" s="30" t="n"/>
      <c r="I24" s="28" t="n"/>
      <c r="J24" s="28" t="n"/>
      <c r="K24" s="28" t="n"/>
      <c r="L24" s="30" t="n"/>
      <c r="M24" s="28" t="n"/>
      <c r="N24" s="28" t="n"/>
      <c r="O24" s="48" t="n"/>
      <c r="P24" s="28" t="n"/>
      <c r="Q24" s="64">
        <f>IFERROR(IF(OR($B24="",$H24=""),"",$B24+IF($H24="Critical",NCR_Target_Critical,IF($H24="Major",NCR_Target_Major,IF($H24="Minor",NCR_Target_Minor,IF($H24="Observation",NCR_Target_Observation,""))))),"")</f>
        <v/>
      </c>
      <c r="R24" s="61" t="n"/>
      <c r="S24" s="26">
        <f>IF(OR($A24="",$B24=""),"",IF($R24="",TODAY()-$B24,$R24-$B24))</f>
        <v/>
      </c>
      <c r="T24" s="47">
        <f>IF($A24="","",IF($R24&lt;&gt;"","Closed",IF(AND(ISNUMBER($Q24),TODAY()&gt;$Q24),"OVERDUE","Open")))</f>
        <v/>
      </c>
      <c r="U24" s="28" t="n"/>
      <c r="V24" s="28" t="n"/>
    </row>
    <row r="25" ht="34" customHeight="1">
      <c r="A25" s="28" t="n"/>
      <c r="B25" s="61" t="n"/>
      <c r="C25" s="28" t="n"/>
      <c r="D25" s="28" t="n"/>
      <c r="E25" s="28" t="n"/>
      <c r="F25" s="28" t="n"/>
      <c r="G25" s="28" t="n"/>
      <c r="H25" s="30" t="n"/>
      <c r="I25" s="28" t="n"/>
      <c r="J25" s="28" t="n"/>
      <c r="K25" s="28" t="n"/>
      <c r="L25" s="30" t="n"/>
      <c r="M25" s="28" t="n"/>
      <c r="N25" s="28" t="n"/>
      <c r="O25" s="48" t="n"/>
      <c r="P25" s="28" t="n"/>
      <c r="Q25" s="64">
        <f>IFERROR(IF(OR($B25="",$H25=""),"",$B25+IF($H25="Critical",NCR_Target_Critical,IF($H25="Major",NCR_Target_Major,IF($H25="Minor",NCR_Target_Minor,IF($H25="Observation",NCR_Target_Observation,""))))),"")</f>
        <v/>
      </c>
      <c r="R25" s="61" t="n"/>
      <c r="S25" s="26">
        <f>IF(OR($A25="",$B25=""),"",IF($R25="",TODAY()-$B25,$R25-$B25))</f>
        <v/>
      </c>
      <c r="T25" s="47">
        <f>IF($A25="","",IF($R25&lt;&gt;"","Closed",IF(AND(ISNUMBER($Q25),TODAY()&gt;$Q25),"OVERDUE","Open")))</f>
        <v/>
      </c>
      <c r="U25" s="28" t="n"/>
      <c r="V25" s="28" t="n"/>
    </row>
    <row r="26" ht="34" customHeight="1">
      <c r="A26" s="28" t="n"/>
      <c r="B26" s="61" t="n"/>
      <c r="C26" s="28" t="n"/>
      <c r="D26" s="28" t="n"/>
      <c r="E26" s="28" t="n"/>
      <c r="F26" s="28" t="n"/>
      <c r="G26" s="28" t="n"/>
      <c r="H26" s="30" t="n"/>
      <c r="I26" s="28" t="n"/>
      <c r="J26" s="28" t="n"/>
      <c r="K26" s="28" t="n"/>
      <c r="L26" s="30" t="n"/>
      <c r="M26" s="28" t="n"/>
      <c r="N26" s="28" t="n"/>
      <c r="O26" s="48" t="n"/>
      <c r="P26" s="28" t="n"/>
      <c r="Q26" s="64">
        <f>IFERROR(IF(OR($B26="",$H26=""),"",$B26+IF($H26="Critical",NCR_Target_Critical,IF($H26="Major",NCR_Target_Major,IF($H26="Minor",NCR_Target_Minor,IF($H26="Observation",NCR_Target_Observation,""))))),"")</f>
        <v/>
      </c>
      <c r="R26" s="61" t="n"/>
      <c r="S26" s="26">
        <f>IF(OR($A26="",$B26=""),"",IF($R26="",TODAY()-$B26,$R26-$B26))</f>
        <v/>
      </c>
      <c r="T26" s="47">
        <f>IF($A26="","",IF($R26&lt;&gt;"","Closed",IF(AND(ISNUMBER($Q26),TODAY()&gt;$Q26),"OVERDUE","Open")))</f>
        <v/>
      </c>
      <c r="U26" s="28" t="n"/>
      <c r="V26" s="28" t="n"/>
    </row>
    <row r="27" ht="34" customHeight="1">
      <c r="A27" s="28" t="n"/>
      <c r="B27" s="61" t="n"/>
      <c r="C27" s="28" t="n"/>
      <c r="D27" s="28" t="n"/>
      <c r="E27" s="28" t="n"/>
      <c r="F27" s="28" t="n"/>
      <c r="G27" s="28" t="n"/>
      <c r="H27" s="30" t="n"/>
      <c r="I27" s="28" t="n"/>
      <c r="J27" s="28" t="n"/>
      <c r="K27" s="28" t="n"/>
      <c r="L27" s="30" t="n"/>
      <c r="M27" s="28" t="n"/>
      <c r="N27" s="28" t="n"/>
      <c r="O27" s="48" t="n"/>
      <c r="P27" s="28" t="n"/>
      <c r="Q27" s="64">
        <f>IFERROR(IF(OR($B27="",$H27=""),"",$B27+IF($H27="Critical",NCR_Target_Critical,IF($H27="Major",NCR_Target_Major,IF($H27="Minor",NCR_Target_Minor,IF($H27="Observation",NCR_Target_Observation,""))))),"")</f>
        <v/>
      </c>
      <c r="R27" s="61" t="n"/>
      <c r="S27" s="26">
        <f>IF(OR($A27="",$B27=""),"",IF($R27="",TODAY()-$B27,$R27-$B27))</f>
        <v/>
      </c>
      <c r="T27" s="47">
        <f>IF($A27="","",IF($R27&lt;&gt;"","Closed",IF(AND(ISNUMBER($Q27),TODAY()&gt;$Q27),"OVERDUE","Open")))</f>
        <v/>
      </c>
      <c r="U27" s="28" t="n"/>
      <c r="V27" s="28" t="n"/>
    </row>
    <row r="28" ht="34" customHeight="1">
      <c r="A28" s="28" t="n"/>
      <c r="B28" s="61" t="n"/>
      <c r="C28" s="28" t="n"/>
      <c r="D28" s="28" t="n"/>
      <c r="E28" s="28" t="n"/>
      <c r="F28" s="28" t="n"/>
      <c r="G28" s="28" t="n"/>
      <c r="H28" s="30" t="n"/>
      <c r="I28" s="28" t="n"/>
      <c r="J28" s="28" t="n"/>
      <c r="K28" s="28" t="n"/>
      <c r="L28" s="30" t="n"/>
      <c r="M28" s="28" t="n"/>
      <c r="N28" s="28" t="n"/>
      <c r="O28" s="48" t="n"/>
      <c r="P28" s="28" t="n"/>
      <c r="Q28" s="64">
        <f>IFERROR(IF(OR($B28="",$H28=""),"",$B28+IF($H28="Critical",NCR_Target_Critical,IF($H28="Major",NCR_Target_Major,IF($H28="Minor",NCR_Target_Minor,IF($H28="Observation",NCR_Target_Observation,""))))),"")</f>
        <v/>
      </c>
      <c r="R28" s="61" t="n"/>
      <c r="S28" s="26">
        <f>IF(OR($A28="",$B28=""),"",IF($R28="",TODAY()-$B28,$R28-$B28))</f>
        <v/>
      </c>
      <c r="T28" s="47">
        <f>IF($A28="","",IF($R28&lt;&gt;"","Closed",IF(AND(ISNUMBER($Q28),TODAY()&gt;$Q28),"OVERDUE","Open")))</f>
        <v/>
      </c>
      <c r="U28" s="28" t="n"/>
      <c r="V28" s="28" t="n"/>
    </row>
    <row r="29" ht="34" customHeight="1">
      <c r="A29" s="28" t="n"/>
      <c r="B29" s="61" t="n"/>
      <c r="C29" s="28" t="n"/>
      <c r="D29" s="28" t="n"/>
      <c r="E29" s="28" t="n"/>
      <c r="F29" s="28" t="n"/>
      <c r="G29" s="28" t="n"/>
      <c r="H29" s="30" t="n"/>
      <c r="I29" s="28" t="n"/>
      <c r="J29" s="28" t="n"/>
      <c r="K29" s="28" t="n"/>
      <c r="L29" s="30" t="n"/>
      <c r="M29" s="28" t="n"/>
      <c r="N29" s="28" t="n"/>
      <c r="O29" s="48" t="n"/>
      <c r="P29" s="28" t="n"/>
      <c r="Q29" s="64">
        <f>IFERROR(IF(OR($B29="",$H29=""),"",$B29+IF($H29="Critical",NCR_Target_Critical,IF($H29="Major",NCR_Target_Major,IF($H29="Minor",NCR_Target_Minor,IF($H29="Observation",NCR_Target_Observation,""))))),"")</f>
        <v/>
      </c>
      <c r="R29" s="61" t="n"/>
      <c r="S29" s="26">
        <f>IF(OR($A29="",$B29=""),"",IF($R29="",TODAY()-$B29,$R29-$B29))</f>
        <v/>
      </c>
      <c r="T29" s="47">
        <f>IF($A29="","",IF($R29&lt;&gt;"","Closed",IF(AND(ISNUMBER($Q29),TODAY()&gt;$Q29),"OVERDUE","Open")))</f>
        <v/>
      </c>
      <c r="U29" s="28" t="n"/>
      <c r="V29" s="28" t="n"/>
    </row>
    <row r="30" ht="34" customHeight="1">
      <c r="A30" s="28" t="n"/>
      <c r="B30" s="61" t="n"/>
      <c r="C30" s="28" t="n"/>
      <c r="D30" s="28" t="n"/>
      <c r="E30" s="28" t="n"/>
      <c r="F30" s="28" t="n"/>
      <c r="G30" s="28" t="n"/>
      <c r="H30" s="30" t="n"/>
      <c r="I30" s="28" t="n"/>
      <c r="J30" s="28" t="n"/>
      <c r="K30" s="28" t="n"/>
      <c r="L30" s="30" t="n"/>
      <c r="M30" s="28" t="n"/>
      <c r="N30" s="28" t="n"/>
      <c r="O30" s="48" t="n"/>
      <c r="P30" s="28" t="n"/>
      <c r="Q30" s="64">
        <f>IFERROR(IF(OR($B30="",$H30=""),"",$B30+IF($H30="Critical",NCR_Target_Critical,IF($H30="Major",NCR_Target_Major,IF($H30="Minor",NCR_Target_Minor,IF($H30="Observation",NCR_Target_Observation,""))))),"")</f>
        <v/>
      </c>
      <c r="R30" s="61" t="n"/>
      <c r="S30" s="26">
        <f>IF(OR($A30="",$B30=""),"",IF($R30="",TODAY()-$B30,$R30-$B30))</f>
        <v/>
      </c>
      <c r="T30" s="47">
        <f>IF($A30="","",IF($R30&lt;&gt;"","Closed",IF(AND(ISNUMBER($Q30),TODAY()&gt;$Q30),"OVERDUE","Open")))</f>
        <v/>
      </c>
      <c r="U30" s="28" t="n"/>
      <c r="V30" s="28" t="n"/>
    </row>
    <row r="31" ht="34" customHeight="1">
      <c r="A31" s="28" t="n"/>
      <c r="B31" s="61" t="n"/>
      <c r="C31" s="28" t="n"/>
      <c r="D31" s="28" t="n"/>
      <c r="E31" s="28" t="n"/>
      <c r="F31" s="28" t="n"/>
      <c r="G31" s="28" t="n"/>
      <c r="H31" s="30" t="n"/>
      <c r="I31" s="28" t="n"/>
      <c r="J31" s="28" t="n"/>
      <c r="K31" s="28" t="n"/>
      <c r="L31" s="30" t="n"/>
      <c r="M31" s="28" t="n"/>
      <c r="N31" s="28" t="n"/>
      <c r="O31" s="48" t="n"/>
      <c r="P31" s="28" t="n"/>
      <c r="Q31" s="64">
        <f>IFERROR(IF(OR($B31="",$H31=""),"",$B31+IF($H31="Critical",NCR_Target_Critical,IF($H31="Major",NCR_Target_Major,IF($H31="Minor",NCR_Target_Minor,IF($H31="Observation",NCR_Target_Observation,""))))),"")</f>
        <v/>
      </c>
      <c r="R31" s="61" t="n"/>
      <c r="S31" s="26">
        <f>IF(OR($A31="",$B31=""),"",IF($R31="",TODAY()-$B31,$R31-$B31))</f>
        <v/>
      </c>
      <c r="T31" s="47">
        <f>IF($A31="","",IF($R31&lt;&gt;"","Closed",IF(AND(ISNUMBER($Q31),TODAY()&gt;$Q31),"OVERDUE","Open")))</f>
        <v/>
      </c>
      <c r="U31" s="28" t="n"/>
      <c r="V31" s="28" t="n"/>
    </row>
    <row r="32" ht="34" customHeight="1">
      <c r="A32" s="28" t="n"/>
      <c r="B32" s="61" t="n"/>
      <c r="C32" s="28" t="n"/>
      <c r="D32" s="28" t="n"/>
      <c r="E32" s="28" t="n"/>
      <c r="F32" s="28" t="n"/>
      <c r="G32" s="28" t="n"/>
      <c r="H32" s="30" t="n"/>
      <c r="I32" s="28" t="n"/>
      <c r="J32" s="28" t="n"/>
      <c r="K32" s="28" t="n"/>
      <c r="L32" s="30" t="n"/>
      <c r="M32" s="28" t="n"/>
      <c r="N32" s="28" t="n"/>
      <c r="O32" s="48" t="n"/>
      <c r="P32" s="28" t="n"/>
      <c r="Q32" s="64">
        <f>IFERROR(IF(OR($B32="",$H32=""),"",$B32+IF($H32="Critical",NCR_Target_Critical,IF($H32="Major",NCR_Target_Major,IF($H32="Minor",NCR_Target_Minor,IF($H32="Observation",NCR_Target_Observation,""))))),"")</f>
        <v/>
      </c>
      <c r="R32" s="61" t="n"/>
      <c r="S32" s="26">
        <f>IF(OR($A32="",$B32=""),"",IF($R32="",TODAY()-$B32,$R32-$B32))</f>
        <v/>
      </c>
      <c r="T32" s="47">
        <f>IF($A32="","",IF($R32&lt;&gt;"","Closed",IF(AND(ISNUMBER($Q32),TODAY()&gt;$Q32),"OVERDUE","Open")))</f>
        <v/>
      </c>
      <c r="U32" s="28" t="n"/>
      <c r="V32" s="28" t="n"/>
    </row>
    <row r="33" ht="34" customHeight="1">
      <c r="A33" s="28" t="n"/>
      <c r="B33" s="61" t="n"/>
      <c r="C33" s="28" t="n"/>
      <c r="D33" s="28" t="n"/>
      <c r="E33" s="28" t="n"/>
      <c r="F33" s="28" t="n"/>
      <c r="G33" s="28" t="n"/>
      <c r="H33" s="30" t="n"/>
      <c r="I33" s="28" t="n"/>
      <c r="J33" s="28" t="n"/>
      <c r="K33" s="28" t="n"/>
      <c r="L33" s="30" t="n"/>
      <c r="M33" s="28" t="n"/>
      <c r="N33" s="28" t="n"/>
      <c r="O33" s="48" t="n"/>
      <c r="P33" s="28" t="n"/>
      <c r="Q33" s="64">
        <f>IFERROR(IF(OR($B33="",$H33=""),"",$B33+IF($H33="Critical",NCR_Target_Critical,IF($H33="Major",NCR_Target_Major,IF($H33="Minor",NCR_Target_Minor,IF($H33="Observation",NCR_Target_Observation,""))))),"")</f>
        <v/>
      </c>
      <c r="R33" s="61" t="n"/>
      <c r="S33" s="26">
        <f>IF(OR($A33="",$B33=""),"",IF($R33="",TODAY()-$B33,$R33-$B33))</f>
        <v/>
      </c>
      <c r="T33" s="47">
        <f>IF($A33="","",IF($R33&lt;&gt;"","Closed",IF(AND(ISNUMBER($Q33),TODAY()&gt;$Q33),"OVERDUE","Open")))</f>
        <v/>
      </c>
      <c r="U33" s="28" t="n"/>
      <c r="V33" s="28" t="n"/>
    </row>
    <row r="36" ht="19.5" customHeight="1">
      <c r="A36" s="4" t="inlineStr">
        <is>
          <t>SUMMARY — CALCULATED FROM THE ROWS ABOVE</t>
        </is>
      </c>
    </row>
    <row r="37" ht="15" customHeight="1">
      <c r="A37" s="12" t="inlineStr">
        <is>
          <t>A falling number of non-conformances is only good news if the inspection effort has stayed the same. Read this block beside the inspection counts on the Quality Dashboard.</t>
        </is>
      </c>
    </row>
    <row r="38" ht="15.75" customHeight="1">
      <c r="A38" s="13" t="inlineStr">
        <is>
          <t>Non-conformances raised</t>
        </is>
      </c>
      <c r="D38" s="31">
        <f>SUMPRODUCT(--($A$9:$A$33&lt;&gt;""))</f>
        <v/>
      </c>
    </row>
    <row r="39" ht="15.75" customHeight="1">
      <c r="A39" s="13" t="inlineStr">
        <is>
          <t>Severity — Critical</t>
        </is>
      </c>
      <c r="D39" s="31">
        <f>COUNTIF($H$9:$H$33,"Critical")</f>
        <v/>
      </c>
    </row>
    <row r="40" ht="15.75" customHeight="1">
      <c r="A40" s="13" t="inlineStr">
        <is>
          <t>Severity — Major</t>
        </is>
      </c>
      <c r="D40" s="31">
        <f>COUNTIF($H$9:$H$33,"Major")</f>
        <v/>
      </c>
    </row>
    <row r="41" ht="15.75" customHeight="1">
      <c r="A41" s="13" t="inlineStr">
        <is>
          <t>Severity — Minor</t>
        </is>
      </c>
      <c r="D41" s="31">
        <f>COUNTIF($H$9:$H$33,"Minor")</f>
        <v/>
      </c>
    </row>
    <row r="42" ht="15.75" customHeight="1">
      <c r="A42" s="13" t="inlineStr">
        <is>
          <t>Severity — Observation</t>
        </is>
      </c>
      <c r="D42" s="31">
        <f>COUNTIF($H$9:$H$33,"Observation")</f>
        <v/>
      </c>
    </row>
    <row r="43" ht="15.75" customHeight="1">
      <c r="A43" s="13" t="inlineStr">
        <is>
          <t>Open</t>
        </is>
      </c>
      <c r="D43" s="31">
        <f>COUNTIF($T$9:$T$33,"Open")</f>
        <v/>
      </c>
    </row>
    <row r="44" ht="15.75" customHeight="1">
      <c r="A44" s="13" t="inlineStr">
        <is>
          <t>OVERDUE against the calculated target</t>
        </is>
      </c>
      <c r="D44" s="31">
        <f>COUNTIF($T$9:$T$33,"OVERDUE")</f>
        <v/>
      </c>
    </row>
    <row r="45" ht="15.75" customHeight="1">
      <c r="A45" s="13" t="inlineStr">
        <is>
          <t>Closed</t>
        </is>
      </c>
      <c r="D45" s="31">
        <f>COUNTIF($T$9:$T$33,"Closed")</f>
        <v/>
      </c>
    </row>
    <row r="46" ht="15.75" customHeight="1">
      <c r="A46" s="13" t="inlineStr">
        <is>
          <t>Closed with no verification recorded</t>
        </is>
      </c>
      <c r="D46" s="31">
        <f>SUMPRODUCT(--($R$9:$R$33&lt;&gt;""),--($U$9:$U$33=""))</f>
        <v/>
      </c>
    </row>
    <row r="47" ht="15.75" customHeight="1">
      <c r="A47" s="13" t="inlineStr">
        <is>
          <t>Dispositions using a concession or a regrade</t>
        </is>
      </c>
      <c r="D47" s="31">
        <f>COUNTIF($J$9:$J$33,"Use as is with concession")+COUNTIF($J$9:$J$33,"Regrade")</f>
        <v/>
      </c>
    </row>
    <row r="48" ht="15.75" customHeight="1">
      <c r="A48" s="13" t="inlineStr">
        <is>
          <t>Rows with no preventive action recorded</t>
        </is>
      </c>
      <c r="D48" s="31">
        <f>SUMPRODUCT(--($A$9:$A$33&lt;&gt;""),--($N$9:$N$33=""))</f>
        <v/>
      </c>
    </row>
    <row r="49" ht="15.75" customHeight="1">
      <c r="A49" s="13" t="inlineStr">
        <is>
          <t>Average days to close (closed rows only)</t>
        </is>
      </c>
      <c r="D49" s="63">
        <f>IF(SUMPRODUCT(--($R$9:$R$33&lt;&gt;""),--(ISNUMBER($S$9:$S$33)))=0,"",ROUND(SUMPRODUCT($S$9:$S$33,--($R$9:$R$33&lt;&gt;""),--(ISNUMBER($S$9:$S$33)))/SUMPRODUCT(--($R$9:$R$33&lt;&gt;""),--(ISNUMBER($S$9:$S$33))),1))</f>
        <v/>
      </c>
    </row>
    <row r="50" ht="15.75" customHeight="1">
      <c r="A50" s="13" t="inlineStr">
        <is>
          <t>Total cost impact recorded</t>
        </is>
      </c>
      <c r="D50" s="49">
        <f>IF(COUNT($O$9:$O$33)=0,"",SUM($O$9:$O$33))</f>
        <v/>
      </c>
    </row>
    <row r="52" ht="40" customHeight="1">
      <c r="A52" s="13" t="inlineStr">
        <is>
          <t>Correction is not corrective action. Replacing four bolts corrects the occurrence; changing the tensioning sequence, the briefing and the calibration regime is what stops it happening on the next four hundred. ISO 9001 clause 10.2 asks for both, and it asks whether the same non-conformance exists elsewhere — so before you close a row, look for it on the levels you have already covered up.</t>
        </is>
      </c>
    </row>
    <row r="53" ht="40" customHeight="1">
      <c r="A53" s="13" t="inlineStr">
        <is>
          <t>'Use as is with concession' and 'Regrade' are decisions of the party that owns the requirement — normally the designer and the Client, not the Contractor. Record who approved the departure and on what basis; an unapproved concession is simply an unrepaired non-conformance with better paperwork. Rows shown in grey italic are worked examples from Northbank Health Precinct — Stage 2 — delete them before use.</t>
        </is>
      </c>
    </row>
    <row r="55" ht="16.5" customHeight="1">
      <c r="A55" s="66" t="inlineStr">
        <is>
          <t>Mastt template  ·  mastt.com  ·  © 2026 Mastt</t>
        </is>
      </c>
      <c r="B55" s="59" t="n"/>
      <c r="C55" s="59" t="n"/>
      <c r="D55" s="59" t="n"/>
      <c r="E55" s="59" t="n"/>
      <c r="F55" s="59" t="n"/>
      <c r="G55" s="59" t="n"/>
      <c r="H55" s="59" t="n"/>
      <c r="I55" s="59" t="n"/>
      <c r="J55" s="59" t="n"/>
      <c r="K55" s="59" t="n"/>
      <c r="L55" s="59" t="n"/>
      <c r="M55" s="59" t="n"/>
      <c r="N55" s="59" t="n"/>
      <c r="O55" s="59" t="n"/>
      <c r="P55" s="59" t="n"/>
      <c r="Q55" s="59" t="n"/>
      <c r="R55" s="59" t="n"/>
      <c r="S55" s="59" t="n"/>
      <c r="T55" s="59" t="n"/>
      <c r="U55" s="59" t="n"/>
      <c r="V55" s="59" t="n"/>
    </row>
  </sheetData>
  <mergeCells count="22">
    <mergeCell ref="A41:C41"/>
    <mergeCell ref="A7:L7"/>
    <mergeCell ref="A46:C46"/>
    <mergeCell ref="A37:L37"/>
    <mergeCell ref="D3:V3"/>
    <mergeCell ref="A50:C50"/>
    <mergeCell ref="A42:C42"/>
    <mergeCell ref="A47:C47"/>
    <mergeCell ref="A43:C43"/>
    <mergeCell ref="A53:L53"/>
    <mergeCell ref="A38:C38"/>
    <mergeCell ref="A52:L52"/>
    <mergeCell ref="A44:C44"/>
    <mergeCell ref="A40:C40"/>
    <mergeCell ref="A39:C39"/>
    <mergeCell ref="A48:C48"/>
    <mergeCell ref="D2:V2"/>
    <mergeCell ref="A36:C36"/>
    <mergeCell ref="A49:C49"/>
    <mergeCell ref="A45:C45"/>
    <mergeCell ref="P7:V7"/>
    <mergeCell ref="A55:V55"/>
  </mergeCells>
  <conditionalFormatting sqref="H9:H33">
    <cfRule type="expression" priority="1" dxfId="0" stopIfTrue="0">
      <formula>$H9="Critical"</formula>
    </cfRule>
    <cfRule type="expression" priority="2" dxfId="7" stopIfTrue="0">
      <formula>$H9="Major"</formula>
    </cfRule>
    <cfRule type="expression" priority="3" dxfId="5" stopIfTrue="0">
      <formula>$H9="Minor"</formula>
    </cfRule>
    <cfRule type="expression" priority="4" dxfId="6" stopIfTrue="0">
      <formula>$H9="Observation"</formula>
    </cfRule>
  </conditionalFormatting>
  <conditionalFormatting sqref="T9:T33">
    <cfRule type="expression" priority="5" dxfId="2" stopIfTrue="0">
      <formula>$T9="Closed"</formula>
    </cfRule>
    <cfRule type="expression" priority="6" dxfId="4" stopIfTrue="0">
      <formula>$T9="Open"</formula>
    </cfRule>
    <cfRule type="expression" priority="7" dxfId="0" stopIfTrue="0">
      <formula>$T9="OVERDUE"</formula>
    </cfRule>
  </conditionalFormatting>
  <conditionalFormatting sqref="A9:F33">
    <cfRule type="expression" priority="8" dxfId="0" stopIfTrue="0">
      <formula>$T9="OVERDUE"</formula>
    </cfRule>
    <cfRule type="expression" priority="9" dxfId="0" stopIfTrue="0">
      <formula>AND($H9="Critical",$T9&lt;&gt;"Closed")</formula>
    </cfRule>
  </conditionalFormatting>
  <conditionalFormatting sqref="S9:S33">
    <cfRule type="expression" priority="10" dxfId="0" stopIfTrue="0">
      <formula>AND(ISNUMBER($S9),$R9="",ISNUMBER($Q9),TODAY()&gt;$Q9)</formula>
    </cfRule>
  </conditionalFormatting>
  <conditionalFormatting sqref="U9:U33">
    <cfRule type="expression" priority="11" dxfId="3" stopIfTrue="0">
      <formula>AND($R9&lt;&gt;"",$U9="")</formula>
    </cfRule>
  </conditionalFormatting>
  <conditionalFormatting sqref="K9:K33">
    <cfRule type="expression" priority="12" dxfId="4" stopIfTrue="0">
      <formula>AND(OR($J9="Use as is with concession",$J9="Regrade"),OR($K9="",$L9&lt;&gt;"Yes"))</formula>
    </cfRule>
  </conditionalFormatting>
  <conditionalFormatting sqref="I9:I33">
    <cfRule type="expression" priority="13" dxfId="4" stopIfTrue="0">
      <formula>$I9="Not yet determined"</formula>
    </cfRule>
  </conditionalFormatting>
  <conditionalFormatting sqref="N9:N33">
    <cfRule type="expression" priority="14" dxfId="4" stopIfTrue="0">
      <formula>AND($A9&lt;&gt;"",$N9="")</formula>
    </cfRule>
  </conditionalFormatting>
  <conditionalFormatting sqref="D39">
    <cfRule type="expression" priority="15" dxfId="0" stopIfTrue="0">
      <formula>$D$39&gt;0</formula>
    </cfRule>
  </conditionalFormatting>
  <conditionalFormatting sqref="D44">
    <cfRule type="expression" priority="16" dxfId="0" stopIfTrue="0">
      <formula>$D$44&gt;0</formula>
    </cfRule>
  </conditionalFormatting>
  <conditionalFormatting sqref="D46">
    <cfRule type="expression" priority="17" dxfId="0" stopIfTrue="0">
      <formula>$D$46&gt;0</formula>
    </cfRule>
  </conditionalFormatting>
  <conditionalFormatting sqref="D40">
    <cfRule type="expression" priority="18" dxfId="4" stopIfTrue="0">
      <formula>$D$40&gt;0</formula>
    </cfRule>
  </conditionalFormatting>
  <conditionalFormatting sqref="D43">
    <cfRule type="expression" priority="19" dxfId="4" stopIfTrue="0">
      <formula>$D$43&gt;0</formula>
    </cfRule>
  </conditionalFormatting>
  <conditionalFormatting sqref="D47">
    <cfRule type="expression" priority="20" dxfId="4" stopIfTrue="0">
      <formula>$D$47&gt;0</formula>
    </cfRule>
  </conditionalFormatting>
  <conditionalFormatting sqref="D48">
    <cfRule type="expression" priority="21" dxfId="4" stopIfTrue="0">
      <formula>$D$48&gt;0</formula>
    </cfRule>
  </conditionalFormatting>
  <dataValidations count="5">
    <dataValidation sqref="H9:H33" showDropDown="0" showInputMessage="0" showErrorMessage="0" allowBlank="1" type="list">
      <formula1>Lists!$L$23:$L$26</formula1>
    </dataValidation>
    <dataValidation sqref="I9:I33" showDropDown="0" showInputMessage="0" showErrorMessage="0" allowBlank="1" type="list">
      <formula1>Lists!$M$23:$M$38</formula1>
    </dataValidation>
    <dataValidation sqref="J9:J33" showDropDown="0" showInputMessage="0" showErrorMessage="0" allowBlank="1" type="list">
      <formula1>Lists!$N$23:$N$27</formula1>
    </dataValidation>
    <dataValidation sqref="L9:L33" showDropDown="0" showInputMessage="0" showErrorMessage="0" allowBlank="1" type="list">
      <formula1>Lists!$B$23:$B$24</formula1>
    </dataValidation>
    <dataValidation sqref="P9:P33" showDropDown="0" showInputMessage="0" showErrorMessage="0" allowBlank="1" type="list">
      <formula1>Lists!$F$23:$F$27</formula1>
    </dataValidation>
  </dataValidations>
  <hyperlinks>
    <hyperlink xmlns:r="http://schemas.openxmlformats.org/officeDocument/2006/relationships" ref="A55" r:id="rId1"/>
  </hyperlinks>
  <printOptions horizontalCentered="0"/>
  <pageMargins left="0.3" right="0.3" top="0.5" bottom="0.5" header="0.2" footer="0.3"/>
  <pageSetup orientation="landscape" paperSize="8" fitToHeight="0" fitToWidth="2"/>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6.xml><?xml version="1.0" encoding="utf-8"?>
<worksheet xmlns="http://schemas.openxmlformats.org/spreadsheetml/2006/main">
  <sheetPr>
    <outlinePr summaryBelow="1" summaryRight="1"/>
    <pageSetUpPr fitToPage="1"/>
  </sheetPr>
  <dimension ref="A2:R55"/>
  <sheetViews>
    <sheetView showGridLines="0" workbookViewId="0">
      <pane xSplit="2" ySplit="8" topLeftCell="C9" activePane="bottomRight" state="frozen"/>
      <selection pane="topRight" activeCell="A1" sqref="A1"/>
      <selection pane="bottomLeft" activeCell="A1" sqref="A1"/>
      <selection pane="bottomRight" activeCell="A1" sqref="A1"/>
    </sheetView>
  </sheetViews>
  <sheetFormatPr baseColWidth="8" defaultRowHeight="15"/>
  <cols>
    <col width="12" customWidth="1" min="1" max="1"/>
    <col width="28" customWidth="1" min="2" max="2"/>
    <col width="24" customWidth="1" min="3" max="3"/>
    <col width="22" customWidth="1" min="4" max="4"/>
    <col width="26" customWidth="1" min="5" max="5"/>
    <col width="22" customWidth="1" min="6" max="6"/>
    <col width="12" customWidth="1" min="7" max="7"/>
    <col width="12" customWidth="1" min="8" max="8"/>
    <col width="13" customWidth="1" min="9" max="9"/>
    <col width="13" customWidth="1" min="10" max="10"/>
    <col width="11" customWidth="1" min="11" max="11"/>
    <col width="12" customWidth="1" min="12" max="12"/>
    <col width="13" customWidth="1" min="13" max="13"/>
    <col width="13" customWidth="1" min="14" max="14"/>
    <col width="12" customWidth="1" min="15" max="15"/>
    <col width="22" customWidth="1" min="16" max="16"/>
    <col width="11" customWidth="1" min="17" max="17"/>
    <col width="34" customWidth="1" min="18" max="18"/>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Test &amp; Certificate Register  ·  the Result column does the comparison for you  ·  a result without its certificate is not yet evidence</t>
        </is>
      </c>
    </row>
    <row r="4" ht="6" customHeight="1"/>
    <row r="6">
      <c r="A6" s="20">
        <f>IF(Proj_Name="","Project: —  |  complete the Cover sheet","Project:  "&amp;Proj_Name&amp;IF(Proj_Number="",""," |  No. "&amp;Proj_Number)&amp;IF(Proj_Client=""," "," |  "&amp;Proj_Client))</f>
        <v/>
      </c>
    </row>
    <row r="7" ht="27" customHeight="1">
      <c r="A7" s="12" t="inlineStr">
        <is>
          <t>Enter the specified value, the units, the result and the operator, and the Result column decides Pass or Fail — so nobody has to remember which way the limit runs. Use the lower limit column alone for ≥, ≤ and =; use both limit columns for 'between'. Record the laboratory's accreditation: under ISO/IEC 17025 an unaccredited result carries far less weight in an audit, and in many contracts none at all.</t>
        </is>
      </c>
      <c r="N7" s="21" t="inlineStr">
        <is>
          <t>Shaded = your input.   Tinted = auto-calculated — do not overtype.</t>
        </is>
      </c>
    </row>
    <row r="8" ht="62" customHeight="1">
      <c r="A8" s="22" t="inlineStr">
        <is>
          <t>Ref</t>
        </is>
      </c>
      <c r="B8" s="22" t="inlineStr">
        <is>
          <t>Element / Lot</t>
        </is>
      </c>
      <c r="C8" s="22" t="inlineStr">
        <is>
          <t>Test Type</t>
        </is>
      </c>
      <c r="D8" s="22" t="inlineStr">
        <is>
          <t>Sampling Reference</t>
        </is>
      </c>
      <c r="E8" s="22" t="inlineStr">
        <is>
          <t>Laboratory / Tester</t>
        </is>
      </c>
      <c r="F8" s="22" t="inlineStr">
        <is>
          <t>Accreditation Reference</t>
        </is>
      </c>
      <c r="G8" s="22" t="inlineStr">
        <is>
          <t>Date Sampled</t>
        </is>
      </c>
      <c r="H8" s="22" t="inlineStr">
        <is>
          <t>Date Tested</t>
        </is>
      </c>
      <c r="I8" s="22" t="inlineStr">
        <is>
          <t>Specified Value / Lower Limit</t>
        </is>
      </c>
      <c r="J8" s="22" t="inlineStr">
        <is>
          <t>Upper Limit  (only for 'between')</t>
        </is>
      </c>
      <c r="K8" s="22" t="inlineStr">
        <is>
          <t>Units</t>
        </is>
      </c>
      <c r="L8" s="22" t="inlineStr">
        <is>
          <t>Result Value</t>
        </is>
      </c>
      <c r="M8" s="22" t="inlineStr">
        <is>
          <t>Pass Criterion Operator</t>
        </is>
      </c>
      <c r="N8" s="22" t="inlineStr">
        <is>
          <t>Result  (calculated)</t>
        </is>
      </c>
      <c r="O8" s="22" t="inlineStr">
        <is>
          <t>Certificate Received</t>
        </is>
      </c>
      <c r="P8" s="22" t="inlineStr">
        <is>
          <t>Certificate Reference</t>
        </is>
      </c>
      <c r="Q8" s="22" t="inlineStr">
        <is>
          <t>Retest Required  (calculated)</t>
        </is>
      </c>
      <c r="R8" s="22" t="inlineStr">
        <is>
          <t>Comments</t>
        </is>
      </c>
    </row>
    <row r="9" ht="56" customHeight="1">
      <c r="A9" s="23" t="inlineStr">
        <is>
          <t>TST-C-031</t>
        </is>
      </c>
      <c r="B9" s="23" t="inlineStr">
        <is>
          <t>Basement raft slab pour 3 — Lot CN-07</t>
        </is>
      </c>
      <c r="C9" s="23" t="inlineStr">
        <is>
          <t>Concrete compressive strength</t>
        </is>
      </c>
      <c r="D9" s="23" t="inlineStr">
        <is>
          <t>Sample set 3 of 7, truck 6</t>
        </is>
      </c>
      <c r="E9" s="23" t="inlineStr">
        <is>
          <t>Meridian Materials Laboratory</t>
        </is>
      </c>
      <c r="F9" s="23" t="inlineStr">
        <is>
          <t>ISO/IEC 17025, ILAC MRA cert. 4412</t>
        </is>
      </c>
      <c r="G9" s="60" t="n">
        <v>46181</v>
      </c>
      <c r="H9" s="60" t="n">
        <v>46209</v>
      </c>
      <c r="I9" s="41" t="n">
        <v>40</v>
      </c>
      <c r="J9" s="39" t="n"/>
      <c r="K9" s="27" t="inlineStr">
        <is>
          <t>MPa</t>
        </is>
      </c>
      <c r="L9" s="41" t="n">
        <v>46.5</v>
      </c>
      <c r="M9" s="27" t="inlineStr">
        <is>
          <t>≥</t>
        </is>
      </c>
      <c r="N9" s="47">
        <f>IF(OR($L9="",$M9=""),"",IF(NOT(ISNUMBER($L9)),"Check value",IF($M9="between",IF(OR(NOT(ISNUMBER($I9)),NOT(ISNUMBER($J9))),"Set limits",IF(AND($L9&gt;=$I9,$L9&lt;=$J9),"Pass","Fail")),IF(NOT(ISNUMBER($I9)),"Set limits",IF($M9="≥",IF($L9&gt;=$I9,"Pass","Fail"),IF($M9="≤",IF($L9&lt;=$I9,"Pass","Fail"),IF($M9="=",IF($L9=$I9,"Pass","Fail"),"Check operator")))))))</f>
        <v/>
      </c>
      <c r="O9" s="27" t="inlineStr">
        <is>
          <t>Yes</t>
        </is>
      </c>
      <c r="P9" s="23" t="inlineStr">
        <is>
          <t>MML-26-04871</t>
        </is>
      </c>
      <c r="Q9" s="50">
        <f>IF($N9="","",IF($N9="Fail","Yes",IF($N9="Pass","No","")))</f>
        <v/>
      </c>
      <c r="R9" s="23" t="inlineStr">
        <is>
          <t>Mean of two cylinders; lowest individual result 45.2 MPa, so both the sample average and the individual limit are met.  ·  EXAMPLE — delete before use</t>
        </is>
      </c>
    </row>
    <row r="10" ht="56" customHeight="1">
      <c r="A10" s="23" t="inlineStr">
        <is>
          <t>TST-C-032</t>
        </is>
      </c>
      <c r="B10" s="23" t="inlineStr">
        <is>
          <t>Basement raft slab pour 3 — Lot CN-07</t>
        </is>
      </c>
      <c r="C10" s="23" t="inlineStr">
        <is>
          <t>Slump</t>
        </is>
      </c>
      <c r="D10" s="23" t="inlineStr">
        <is>
          <t>Truck 3 of 14, at the point of discharge</t>
        </is>
      </c>
      <c r="E10" s="23" t="inlineStr">
        <is>
          <t>Site — R. Okafor, Site Engineer</t>
        </is>
      </c>
      <c r="F10" s="23" t="inlineStr">
        <is>
          <t>Operator verification of competency 2026-114</t>
        </is>
      </c>
      <c r="G10" s="60" t="n">
        <v>46181</v>
      </c>
      <c r="H10" s="60" t="n">
        <v>46181</v>
      </c>
      <c r="I10" s="41" t="n">
        <v>75</v>
      </c>
      <c r="J10" s="41" t="n">
        <v>125</v>
      </c>
      <c r="K10" s="27" t="inlineStr">
        <is>
          <t>mm</t>
        </is>
      </c>
      <c r="L10" s="41" t="n">
        <v>105</v>
      </c>
      <c r="M10" s="27" t="inlineStr">
        <is>
          <t>between</t>
        </is>
      </c>
      <c r="N10" s="47">
        <f>IF(OR($L10="",$M10=""),"",IF(NOT(ISNUMBER($L10)),"Check value",IF($M10="between",IF(OR(NOT(ISNUMBER($I10)),NOT(ISNUMBER($J10))),"Set limits",IF(AND($L10&gt;=$I10,$L10&lt;=$J10),"Pass","Fail")),IF(NOT(ISNUMBER($I10)),"Set limits",IF($M10="≥",IF($L10&gt;=$I10,"Pass","Fail"),IF($M10="≤",IF($L10&lt;=$I10,"Pass","Fail"),IF($M10="=",IF($L10=$I10,"Pass","Fail"),"Check operator")))))))</f>
        <v/>
      </c>
      <c r="O10" s="27" t="inlineStr">
        <is>
          <t>Yes</t>
        </is>
      </c>
      <c r="P10" s="23" t="inlineStr">
        <is>
          <t>Site record CN-07/S3</t>
        </is>
      </c>
      <c r="Q10" s="50">
        <f>IF($N10="","",IF($N10="Fail","Yes",IF($N10="Pass","No","")))</f>
        <v/>
      </c>
      <c r="R10" s="23" t="inlineStr">
        <is>
          <t>Specified 100 mm ±25 mm, so the limits are entered as 75 and 125 and the operator is 'between'.  ·  EXAMPLE — delete before use</t>
        </is>
      </c>
    </row>
    <row r="11" ht="56" customHeight="1">
      <c r="A11" s="23" t="inlineStr">
        <is>
          <t>TST-E-014</t>
        </is>
      </c>
      <c r="B11" s="23" t="inlineStr">
        <is>
          <t>Bulk excavation to Basement B2 — Lot EW-04</t>
        </is>
      </c>
      <c r="C11" s="23" t="inlineStr">
        <is>
          <t>Soil compaction</t>
        </is>
      </c>
      <c r="D11" s="23" t="inlineStr">
        <is>
          <t>Layer 4, chainage 20 m, grid C/3</t>
        </is>
      </c>
      <c r="E11" s="23" t="inlineStr">
        <is>
          <t>Northbank Geotechnical</t>
        </is>
      </c>
      <c r="F11" s="23" t="inlineStr">
        <is>
          <t>ISO/IEC 17025 cert. 2287</t>
        </is>
      </c>
      <c r="G11" s="60" t="n">
        <v>46154</v>
      </c>
      <c r="H11" s="60" t="n">
        <v>46156</v>
      </c>
      <c r="I11" s="41" t="n">
        <v>98</v>
      </c>
      <c r="J11" s="39" t="n"/>
      <c r="K11" s="27" t="inlineStr">
        <is>
          <t>%</t>
        </is>
      </c>
      <c r="L11" s="41" t="n">
        <v>98.59999999999999</v>
      </c>
      <c r="M11" s="27" t="inlineStr">
        <is>
          <t>≥</t>
        </is>
      </c>
      <c r="N11" s="47">
        <f>IF(OR($L11="",$M11=""),"",IF(NOT(ISNUMBER($L11)),"Check value",IF($M11="between",IF(OR(NOT(ISNUMBER($I11)),NOT(ISNUMBER($J11))),"Set limits",IF(AND($L11&gt;=$I11,$L11&lt;=$J11),"Pass","Fail")),IF(NOT(ISNUMBER($I11)),"Set limits",IF($M11="≥",IF($L11&gt;=$I11,"Pass","Fail"),IF($M11="≤",IF($L11&lt;=$I11,"Pass","Fail"),IF($M11="=",IF($L11=$I11,"Pass","Fail"),"Check operator")))))))</f>
        <v/>
      </c>
      <c r="O11" s="27" t="inlineStr">
        <is>
          <t>Yes</t>
        </is>
      </c>
      <c r="P11" s="23" t="inlineStr">
        <is>
          <t>NG-26-1188</t>
        </is>
      </c>
      <c r="Q11" s="50">
        <f>IF($N11="","",IF($N11="Fail","Yes",IF($N11="Pass","No","")))</f>
        <v/>
      </c>
      <c r="R11" s="23" t="inlineStr">
        <is>
          <t>One of nine tests on layer 4; all nine above 98% of standard maximum dry density.  ·  EXAMPLE — delete before use</t>
        </is>
      </c>
    </row>
    <row r="12" ht="56" customHeight="1">
      <c r="A12" s="23" t="inlineStr">
        <is>
          <t>TST-S-007</t>
        </is>
      </c>
      <c r="B12" s="23" t="inlineStr">
        <is>
          <t>Structural steel frame Levels 1–4 — Lot SS-03</t>
        </is>
      </c>
      <c r="C12" s="23" t="inlineStr">
        <is>
          <t>Coating DFT</t>
        </is>
      </c>
      <c r="D12" s="23" t="inlineStr">
        <is>
          <t>Level 2 transfer beam, ten readings</t>
        </is>
      </c>
      <c r="E12" s="23" t="inlineStr">
        <is>
          <t>Site — M. Haddad, Steel Inspector</t>
        </is>
      </c>
      <c r="F12" s="23" t="inlineStr">
        <is>
          <t>Gauge calibration certificate GC-9921</t>
        </is>
      </c>
      <c r="G12" s="60" t="n">
        <v>46225</v>
      </c>
      <c r="H12" s="60" t="n">
        <v>46225</v>
      </c>
      <c r="I12" s="41" t="n">
        <v>125</v>
      </c>
      <c r="J12" s="39" t="n"/>
      <c r="K12" s="27" t="inlineStr">
        <is>
          <t>µm</t>
        </is>
      </c>
      <c r="L12" s="41" t="n">
        <v>118</v>
      </c>
      <c r="M12" s="27" t="inlineStr">
        <is>
          <t>≥</t>
        </is>
      </c>
      <c r="N12" s="47">
        <f>IF(OR($L12="",$M12=""),"",IF(NOT(ISNUMBER($L12)),"Check value",IF($M12="between",IF(OR(NOT(ISNUMBER($I12)),NOT(ISNUMBER($J12))),"Set limits",IF(AND($L12&gt;=$I12,$L12&lt;=$J12),"Pass","Fail")),IF(NOT(ISNUMBER($I12)),"Set limits",IF($M12="≥",IF($L12&gt;=$I12,"Pass","Fail"),IF($M12="≤",IF($L12&lt;=$I12,"Pass","Fail"),IF($M12="=",IF($L12=$I12,"Pass","Fail"),"Check operator")))))))</f>
        <v/>
      </c>
      <c r="O12" s="27" t="inlineStr">
        <is>
          <t>No</t>
        </is>
      </c>
      <c r="P12" s="28" t="n"/>
      <c r="Q12" s="50">
        <f>IF($N12="","",IF($N12="Fail","Yes",IF($N12="Pass","No","")))</f>
        <v/>
      </c>
      <c r="R12" s="23" t="inlineStr">
        <is>
          <t>Mean dry film thickness below the specified minimum. Area to be prepared and re-coated, then re-tested; tracked as a retest.  ·  EXAMPLE — delete before use</t>
        </is>
      </c>
    </row>
    <row r="13" ht="56" customHeight="1">
      <c r="A13" s="23" t="inlineStr">
        <is>
          <t>TST-M-002</t>
        </is>
      </c>
      <c r="B13" s="23" t="inlineStr">
        <is>
          <t>Level 3 medical gas reticulation — Lot ME-02</t>
        </is>
      </c>
      <c r="C13" s="23" t="inlineStr">
        <is>
          <t>Hydrostatic pressure</t>
        </is>
      </c>
      <c r="D13" s="23" t="inlineStr">
        <is>
          <t>Zone 3E, 46 outlets</t>
        </is>
      </c>
      <c r="E13" s="23" t="inlineStr">
        <is>
          <t>Aurora Mechanical Testing</t>
        </is>
      </c>
      <c r="F13" s="23" t="inlineStr">
        <is>
          <t>ISO/IEC 17025 cert. 5109</t>
        </is>
      </c>
      <c r="G13" s="60" t="n">
        <v>46246</v>
      </c>
      <c r="H13" s="60" t="n">
        <v>46247</v>
      </c>
      <c r="I13" s="41" t="n">
        <v>1050</v>
      </c>
      <c r="J13" s="39" t="n"/>
      <c r="K13" s="27" t="inlineStr">
        <is>
          <t>kPa</t>
        </is>
      </c>
      <c r="L13" s="41" t="n">
        <v>1050</v>
      </c>
      <c r="M13" s="27" t="inlineStr">
        <is>
          <t>≥</t>
        </is>
      </c>
      <c r="N13" s="47">
        <f>IF(OR($L13="",$M13=""),"",IF(NOT(ISNUMBER($L13)),"Check value",IF($M13="between",IF(OR(NOT(ISNUMBER($I13)),NOT(ISNUMBER($J13))),"Set limits",IF(AND($L13&gt;=$I13,$L13&lt;=$J13),"Pass","Fail")),IF(NOT(ISNUMBER($I13)),"Set limits",IF($M13="≥",IF($L13&gt;=$I13,"Pass","Fail"),IF($M13="≤",IF($L13&lt;=$I13,"Pass","Fail"),IF($M13="=",IF($L13=$I13,"Pass","Fail"),"Check operator")))))))</f>
        <v/>
      </c>
      <c r="O13" s="27" t="inlineStr">
        <is>
          <t>No</t>
        </is>
      </c>
      <c r="P13" s="28" t="n"/>
      <c r="Q13" s="50">
        <f>IF($N13="","",IF($N13="Fail","Yes",IF($N13="Pass","No","")))</f>
        <v/>
      </c>
      <c r="R13" s="23" t="inlineStr">
        <is>
          <t>Held 24 hours at 1.5 × working pressure with no measurable loss. The certificate has not been issued, so the result is not yet evidence and the hold point stays closed.  ·  EXAMPLE — delete before use</t>
        </is>
      </c>
    </row>
    <row r="14" ht="56" customHeight="1">
      <c r="A14" s="23" t="inlineStr">
        <is>
          <t>TST-M-003</t>
        </is>
      </c>
      <c r="B14" s="23" t="inlineStr">
        <is>
          <t>Level 3 medical gas reticulation — Lot ME-02</t>
        </is>
      </c>
      <c r="C14" s="23" t="inlineStr">
        <is>
          <t>Other</t>
        </is>
      </c>
      <c r="D14" s="23" t="inlineStr">
        <is>
          <t>Anti-confusion test, 46 outlets</t>
        </is>
      </c>
      <c r="E14" s="23" t="inlineStr">
        <is>
          <t>Aurora Mechanical Testing with the hospital's authorised person</t>
        </is>
      </c>
      <c r="F14" s="23" t="inlineStr">
        <is>
          <t>ISO/IEC 17025 cert. 5109</t>
        </is>
      </c>
      <c r="G14" s="60" t="n">
        <v>46247</v>
      </c>
      <c r="H14" s="60" t="n">
        <v>46247</v>
      </c>
      <c r="I14" s="41" t="n">
        <v>100</v>
      </c>
      <c r="J14" s="39" t="n"/>
      <c r="K14" s="27" t="inlineStr">
        <is>
          <t>%</t>
        </is>
      </c>
      <c r="L14" s="41" t="n">
        <v>100</v>
      </c>
      <c r="M14" s="27" t="inlineStr">
        <is>
          <t>=</t>
        </is>
      </c>
      <c r="N14" s="47">
        <f>IF(OR($L14="",$M14=""),"",IF(NOT(ISNUMBER($L14)),"Check value",IF($M14="between",IF(OR(NOT(ISNUMBER($I14)),NOT(ISNUMBER($J14))),"Set limits",IF(AND($L14&gt;=$I14,$L14&lt;=$J14),"Pass","Fail")),IF(NOT(ISNUMBER($I14)),"Set limits",IF($M14="≥",IF($L14&gt;=$I14,"Pass","Fail"),IF($M14="≤",IF($L14&lt;=$I14,"Pass","Fail"),IF($M14="=",IF($L14=$I14,"Pass","Fail"),"Check operator")))))))</f>
        <v/>
      </c>
      <c r="O14" s="27" t="inlineStr">
        <is>
          <t>No</t>
        </is>
      </c>
      <c r="P14" s="28" t="n"/>
      <c r="Q14" s="50">
        <f>IF($N14="","",IF($N14="Fail","Yes",IF($N14="Pass","No","")))</f>
        <v/>
      </c>
      <c r="R14" s="23" t="inlineStr">
        <is>
          <t>Every outlet proven to deliver the correct gas — 100% required, so the operator is '='. Awaiting the authorised person's certificate.  ·  EXAMPLE — delete before use</t>
        </is>
      </c>
    </row>
    <row r="15" ht="56" customHeight="1">
      <c r="A15" s="23" t="inlineStr">
        <is>
          <t>TST-F-004</t>
        </is>
      </c>
      <c r="B15" s="23" t="inlineStr">
        <is>
          <t>Facade sample bay Level 2 east — Lot FA-01</t>
        </is>
      </c>
      <c r="C15" s="23" t="inlineStr">
        <is>
          <t>Airtightness</t>
        </is>
      </c>
      <c r="D15" s="23" t="inlineStr">
        <is>
          <t>Sample bay, Level 2 east</t>
        </is>
      </c>
      <c r="E15" s="23" t="inlineStr">
        <is>
          <t>Envelope Performance Group</t>
        </is>
      </c>
      <c r="F15" s="23" t="inlineStr">
        <is>
          <t>ISO/IEC 17025 cert. 3765</t>
        </is>
      </c>
      <c r="G15" s="60" t="n">
        <v>46239</v>
      </c>
      <c r="H15" s="60" t="n">
        <v>46240</v>
      </c>
      <c r="I15" s="41" t="n">
        <v>1.5</v>
      </c>
      <c r="J15" s="39" t="n"/>
      <c r="K15" s="27" t="inlineStr">
        <is>
          <t>m³/h.m²</t>
        </is>
      </c>
      <c r="L15" s="41" t="n">
        <v>1.9</v>
      </c>
      <c r="M15" s="27" t="inlineStr">
        <is>
          <t>≤</t>
        </is>
      </c>
      <c r="N15" s="47">
        <f>IF(OR($L15="",$M15=""),"",IF(NOT(ISNUMBER($L15)),"Check value",IF($M15="between",IF(OR(NOT(ISNUMBER($I15)),NOT(ISNUMBER($J15))),"Set limits",IF(AND($L15&gt;=$I15,$L15&lt;=$J15),"Pass","Fail")),IF(NOT(ISNUMBER($I15)),"Set limits",IF($M15="≥",IF($L15&gt;=$I15,"Pass","Fail"),IF($M15="≤",IF($L15&lt;=$I15,"Pass","Fail"),IF($M15="=",IF($L15=$I15,"Pass","Fail"),"Check operator")))))))</f>
        <v/>
      </c>
      <c r="O15" s="27" t="inlineStr">
        <is>
          <t>Yes</t>
        </is>
      </c>
      <c r="P15" s="23" t="inlineStr">
        <is>
          <t>EPG-26-0442</t>
        </is>
      </c>
      <c r="Q15" s="50">
        <f>IF($N15="","",IF($N15="Fail","Yes",IF($N15="Pass","No","")))</f>
        <v/>
      </c>
      <c r="R15" s="23" t="inlineStr">
        <is>
          <t>Above the specified maximum at 50 Pa. Leakage traced to unsealed cavity barrier laps; re-test required after rectification.  ·  EXAMPLE — delete before use</t>
        </is>
      </c>
    </row>
    <row r="16" ht="34" customHeight="1">
      <c r="A16" s="28" t="n"/>
      <c r="B16" s="28" t="n"/>
      <c r="C16" s="28" t="n"/>
      <c r="D16" s="28" t="n"/>
      <c r="E16" s="28" t="n"/>
      <c r="F16" s="28" t="n"/>
      <c r="G16" s="61" t="n"/>
      <c r="H16" s="61" t="n"/>
      <c r="I16" s="39" t="n"/>
      <c r="J16" s="39" t="n"/>
      <c r="K16" s="30" t="n"/>
      <c r="L16" s="39" t="n"/>
      <c r="M16" s="30" t="n"/>
      <c r="N16" s="47">
        <f>IF(OR($L16="",$M16=""),"",IF(NOT(ISNUMBER($L16)),"Check value",IF($M16="between",IF(OR(NOT(ISNUMBER($I16)),NOT(ISNUMBER($J16))),"Set limits",IF(AND($L16&gt;=$I16,$L16&lt;=$J16),"Pass","Fail")),IF(NOT(ISNUMBER($I16)),"Set limits",IF($M16="≥",IF($L16&gt;=$I16,"Pass","Fail"),IF($M16="≤",IF($L16&lt;=$I16,"Pass","Fail"),IF($M16="=",IF($L16=$I16,"Pass","Fail"),"Check operator")))))))</f>
        <v/>
      </c>
      <c r="O16" s="30" t="n"/>
      <c r="P16" s="28" t="n"/>
      <c r="Q16" s="50">
        <f>IF($N16="","",IF($N16="Fail","Yes",IF($N16="Pass","No","")))</f>
        <v/>
      </c>
      <c r="R16" s="28" t="n"/>
    </row>
    <row r="17" ht="34" customHeight="1">
      <c r="A17" s="28" t="n"/>
      <c r="B17" s="28" t="n"/>
      <c r="C17" s="28" t="n"/>
      <c r="D17" s="28" t="n"/>
      <c r="E17" s="28" t="n"/>
      <c r="F17" s="28" t="n"/>
      <c r="G17" s="61" t="n"/>
      <c r="H17" s="61" t="n"/>
      <c r="I17" s="39" t="n"/>
      <c r="J17" s="39" t="n"/>
      <c r="K17" s="30" t="n"/>
      <c r="L17" s="39" t="n"/>
      <c r="M17" s="30" t="n"/>
      <c r="N17" s="47">
        <f>IF(OR($L17="",$M17=""),"",IF(NOT(ISNUMBER($L17)),"Check value",IF($M17="between",IF(OR(NOT(ISNUMBER($I17)),NOT(ISNUMBER($J17))),"Set limits",IF(AND($L17&gt;=$I17,$L17&lt;=$J17),"Pass","Fail")),IF(NOT(ISNUMBER($I17)),"Set limits",IF($M17="≥",IF($L17&gt;=$I17,"Pass","Fail"),IF($M17="≤",IF($L17&lt;=$I17,"Pass","Fail"),IF($M17="=",IF($L17=$I17,"Pass","Fail"),"Check operator")))))))</f>
        <v/>
      </c>
      <c r="O17" s="30" t="n"/>
      <c r="P17" s="28" t="n"/>
      <c r="Q17" s="50">
        <f>IF($N17="","",IF($N17="Fail","Yes",IF($N17="Pass","No","")))</f>
        <v/>
      </c>
      <c r="R17" s="28" t="n"/>
    </row>
    <row r="18" ht="34" customHeight="1">
      <c r="A18" s="28" t="n"/>
      <c r="B18" s="28" t="n"/>
      <c r="C18" s="28" t="n"/>
      <c r="D18" s="28" t="n"/>
      <c r="E18" s="28" t="n"/>
      <c r="F18" s="28" t="n"/>
      <c r="G18" s="61" t="n"/>
      <c r="H18" s="61" t="n"/>
      <c r="I18" s="39" t="n"/>
      <c r="J18" s="39" t="n"/>
      <c r="K18" s="30" t="n"/>
      <c r="L18" s="39" t="n"/>
      <c r="M18" s="30" t="n"/>
      <c r="N18" s="47">
        <f>IF(OR($L18="",$M18=""),"",IF(NOT(ISNUMBER($L18)),"Check value",IF($M18="between",IF(OR(NOT(ISNUMBER($I18)),NOT(ISNUMBER($J18))),"Set limits",IF(AND($L18&gt;=$I18,$L18&lt;=$J18),"Pass","Fail")),IF(NOT(ISNUMBER($I18)),"Set limits",IF($M18="≥",IF($L18&gt;=$I18,"Pass","Fail"),IF($M18="≤",IF($L18&lt;=$I18,"Pass","Fail"),IF($M18="=",IF($L18=$I18,"Pass","Fail"),"Check operator")))))))</f>
        <v/>
      </c>
      <c r="O18" s="30" t="n"/>
      <c r="P18" s="28" t="n"/>
      <c r="Q18" s="50">
        <f>IF($N18="","",IF($N18="Fail","Yes",IF($N18="Pass","No","")))</f>
        <v/>
      </c>
      <c r="R18" s="28" t="n"/>
    </row>
    <row r="19" ht="34" customHeight="1">
      <c r="A19" s="28" t="n"/>
      <c r="B19" s="28" t="n"/>
      <c r="C19" s="28" t="n"/>
      <c r="D19" s="28" t="n"/>
      <c r="E19" s="28" t="n"/>
      <c r="F19" s="28" t="n"/>
      <c r="G19" s="61" t="n"/>
      <c r="H19" s="61" t="n"/>
      <c r="I19" s="39" t="n"/>
      <c r="J19" s="39" t="n"/>
      <c r="K19" s="30" t="n"/>
      <c r="L19" s="39" t="n"/>
      <c r="M19" s="30" t="n"/>
      <c r="N19" s="47">
        <f>IF(OR($L19="",$M19=""),"",IF(NOT(ISNUMBER($L19)),"Check value",IF($M19="between",IF(OR(NOT(ISNUMBER($I19)),NOT(ISNUMBER($J19))),"Set limits",IF(AND($L19&gt;=$I19,$L19&lt;=$J19),"Pass","Fail")),IF(NOT(ISNUMBER($I19)),"Set limits",IF($M19="≥",IF($L19&gt;=$I19,"Pass","Fail"),IF($M19="≤",IF($L19&lt;=$I19,"Pass","Fail"),IF($M19="=",IF($L19=$I19,"Pass","Fail"),"Check operator")))))))</f>
        <v/>
      </c>
      <c r="O19" s="30" t="n"/>
      <c r="P19" s="28" t="n"/>
      <c r="Q19" s="50">
        <f>IF($N19="","",IF($N19="Fail","Yes",IF($N19="Pass","No","")))</f>
        <v/>
      </c>
      <c r="R19" s="28" t="n"/>
    </row>
    <row r="20" ht="34" customHeight="1">
      <c r="A20" s="28" t="n"/>
      <c r="B20" s="28" t="n"/>
      <c r="C20" s="28" t="n"/>
      <c r="D20" s="28" t="n"/>
      <c r="E20" s="28" t="n"/>
      <c r="F20" s="28" t="n"/>
      <c r="G20" s="61" t="n"/>
      <c r="H20" s="61" t="n"/>
      <c r="I20" s="39" t="n"/>
      <c r="J20" s="39" t="n"/>
      <c r="K20" s="30" t="n"/>
      <c r="L20" s="39" t="n"/>
      <c r="M20" s="30" t="n"/>
      <c r="N20" s="47">
        <f>IF(OR($L20="",$M20=""),"",IF(NOT(ISNUMBER($L20)),"Check value",IF($M20="between",IF(OR(NOT(ISNUMBER($I20)),NOT(ISNUMBER($J20))),"Set limits",IF(AND($L20&gt;=$I20,$L20&lt;=$J20),"Pass","Fail")),IF(NOT(ISNUMBER($I20)),"Set limits",IF($M20="≥",IF($L20&gt;=$I20,"Pass","Fail"),IF($M20="≤",IF($L20&lt;=$I20,"Pass","Fail"),IF($M20="=",IF($L20=$I20,"Pass","Fail"),"Check operator")))))))</f>
        <v/>
      </c>
      <c r="O20" s="30" t="n"/>
      <c r="P20" s="28" t="n"/>
      <c r="Q20" s="50">
        <f>IF($N20="","",IF($N20="Fail","Yes",IF($N20="Pass","No","")))</f>
        <v/>
      </c>
      <c r="R20" s="28" t="n"/>
    </row>
    <row r="21" ht="34" customHeight="1">
      <c r="A21" s="28" t="n"/>
      <c r="B21" s="28" t="n"/>
      <c r="C21" s="28" t="n"/>
      <c r="D21" s="28" t="n"/>
      <c r="E21" s="28" t="n"/>
      <c r="F21" s="28" t="n"/>
      <c r="G21" s="61" t="n"/>
      <c r="H21" s="61" t="n"/>
      <c r="I21" s="39" t="n"/>
      <c r="J21" s="39" t="n"/>
      <c r="K21" s="30" t="n"/>
      <c r="L21" s="39" t="n"/>
      <c r="M21" s="30" t="n"/>
      <c r="N21" s="47">
        <f>IF(OR($L21="",$M21=""),"",IF(NOT(ISNUMBER($L21)),"Check value",IF($M21="between",IF(OR(NOT(ISNUMBER($I21)),NOT(ISNUMBER($J21))),"Set limits",IF(AND($L21&gt;=$I21,$L21&lt;=$J21),"Pass","Fail")),IF(NOT(ISNUMBER($I21)),"Set limits",IF($M21="≥",IF($L21&gt;=$I21,"Pass","Fail"),IF($M21="≤",IF($L21&lt;=$I21,"Pass","Fail"),IF($M21="=",IF($L21=$I21,"Pass","Fail"),"Check operator")))))))</f>
        <v/>
      </c>
      <c r="O21" s="30" t="n"/>
      <c r="P21" s="28" t="n"/>
      <c r="Q21" s="50">
        <f>IF($N21="","",IF($N21="Fail","Yes",IF($N21="Pass","No","")))</f>
        <v/>
      </c>
      <c r="R21" s="28" t="n"/>
    </row>
    <row r="22" ht="34" customHeight="1">
      <c r="A22" s="28" t="n"/>
      <c r="B22" s="28" t="n"/>
      <c r="C22" s="28" t="n"/>
      <c r="D22" s="28" t="n"/>
      <c r="E22" s="28" t="n"/>
      <c r="F22" s="28" t="n"/>
      <c r="G22" s="61" t="n"/>
      <c r="H22" s="61" t="n"/>
      <c r="I22" s="39" t="n"/>
      <c r="J22" s="39" t="n"/>
      <c r="K22" s="30" t="n"/>
      <c r="L22" s="39" t="n"/>
      <c r="M22" s="30" t="n"/>
      <c r="N22" s="47">
        <f>IF(OR($L22="",$M22=""),"",IF(NOT(ISNUMBER($L22)),"Check value",IF($M22="between",IF(OR(NOT(ISNUMBER($I22)),NOT(ISNUMBER($J22))),"Set limits",IF(AND($L22&gt;=$I22,$L22&lt;=$J22),"Pass","Fail")),IF(NOT(ISNUMBER($I22)),"Set limits",IF($M22="≥",IF($L22&gt;=$I22,"Pass","Fail"),IF($M22="≤",IF($L22&lt;=$I22,"Pass","Fail"),IF($M22="=",IF($L22=$I22,"Pass","Fail"),"Check operator")))))))</f>
        <v/>
      </c>
      <c r="O22" s="30" t="n"/>
      <c r="P22" s="28" t="n"/>
      <c r="Q22" s="50">
        <f>IF($N22="","",IF($N22="Fail","Yes",IF($N22="Pass","No","")))</f>
        <v/>
      </c>
      <c r="R22" s="28" t="n"/>
    </row>
    <row r="23" ht="34" customHeight="1">
      <c r="A23" s="28" t="n"/>
      <c r="B23" s="28" t="n"/>
      <c r="C23" s="28" t="n"/>
      <c r="D23" s="28" t="n"/>
      <c r="E23" s="28" t="n"/>
      <c r="F23" s="28" t="n"/>
      <c r="G23" s="61" t="n"/>
      <c r="H23" s="61" t="n"/>
      <c r="I23" s="39" t="n"/>
      <c r="J23" s="39" t="n"/>
      <c r="K23" s="30" t="n"/>
      <c r="L23" s="39" t="n"/>
      <c r="M23" s="30" t="n"/>
      <c r="N23" s="47">
        <f>IF(OR($L23="",$M23=""),"",IF(NOT(ISNUMBER($L23)),"Check value",IF($M23="between",IF(OR(NOT(ISNUMBER($I23)),NOT(ISNUMBER($J23))),"Set limits",IF(AND($L23&gt;=$I23,$L23&lt;=$J23),"Pass","Fail")),IF(NOT(ISNUMBER($I23)),"Set limits",IF($M23="≥",IF($L23&gt;=$I23,"Pass","Fail"),IF($M23="≤",IF($L23&lt;=$I23,"Pass","Fail"),IF($M23="=",IF($L23=$I23,"Pass","Fail"),"Check operator")))))))</f>
        <v/>
      </c>
      <c r="O23" s="30" t="n"/>
      <c r="P23" s="28" t="n"/>
      <c r="Q23" s="50">
        <f>IF($N23="","",IF($N23="Fail","Yes",IF($N23="Pass","No","")))</f>
        <v/>
      </c>
      <c r="R23" s="28" t="n"/>
    </row>
    <row r="24" ht="34" customHeight="1">
      <c r="A24" s="28" t="n"/>
      <c r="B24" s="28" t="n"/>
      <c r="C24" s="28" t="n"/>
      <c r="D24" s="28" t="n"/>
      <c r="E24" s="28" t="n"/>
      <c r="F24" s="28" t="n"/>
      <c r="G24" s="61" t="n"/>
      <c r="H24" s="61" t="n"/>
      <c r="I24" s="39" t="n"/>
      <c r="J24" s="39" t="n"/>
      <c r="K24" s="30" t="n"/>
      <c r="L24" s="39" t="n"/>
      <c r="M24" s="30" t="n"/>
      <c r="N24" s="47">
        <f>IF(OR($L24="",$M24=""),"",IF(NOT(ISNUMBER($L24)),"Check value",IF($M24="between",IF(OR(NOT(ISNUMBER($I24)),NOT(ISNUMBER($J24))),"Set limits",IF(AND($L24&gt;=$I24,$L24&lt;=$J24),"Pass","Fail")),IF(NOT(ISNUMBER($I24)),"Set limits",IF($M24="≥",IF($L24&gt;=$I24,"Pass","Fail"),IF($M24="≤",IF($L24&lt;=$I24,"Pass","Fail"),IF($M24="=",IF($L24=$I24,"Pass","Fail"),"Check operator")))))))</f>
        <v/>
      </c>
      <c r="O24" s="30" t="n"/>
      <c r="P24" s="28" t="n"/>
      <c r="Q24" s="50">
        <f>IF($N24="","",IF($N24="Fail","Yes",IF($N24="Pass","No","")))</f>
        <v/>
      </c>
      <c r="R24" s="28" t="n"/>
    </row>
    <row r="25" ht="34" customHeight="1">
      <c r="A25" s="28" t="n"/>
      <c r="B25" s="28" t="n"/>
      <c r="C25" s="28" t="n"/>
      <c r="D25" s="28" t="n"/>
      <c r="E25" s="28" t="n"/>
      <c r="F25" s="28" t="n"/>
      <c r="G25" s="61" t="n"/>
      <c r="H25" s="61" t="n"/>
      <c r="I25" s="39" t="n"/>
      <c r="J25" s="39" t="n"/>
      <c r="K25" s="30" t="n"/>
      <c r="L25" s="39" t="n"/>
      <c r="M25" s="30" t="n"/>
      <c r="N25" s="47">
        <f>IF(OR($L25="",$M25=""),"",IF(NOT(ISNUMBER($L25)),"Check value",IF($M25="between",IF(OR(NOT(ISNUMBER($I25)),NOT(ISNUMBER($J25))),"Set limits",IF(AND($L25&gt;=$I25,$L25&lt;=$J25),"Pass","Fail")),IF(NOT(ISNUMBER($I25)),"Set limits",IF($M25="≥",IF($L25&gt;=$I25,"Pass","Fail"),IF($M25="≤",IF($L25&lt;=$I25,"Pass","Fail"),IF($M25="=",IF($L25=$I25,"Pass","Fail"),"Check operator")))))))</f>
        <v/>
      </c>
      <c r="O25" s="30" t="n"/>
      <c r="P25" s="28" t="n"/>
      <c r="Q25" s="50">
        <f>IF($N25="","",IF($N25="Fail","Yes",IF($N25="Pass","No","")))</f>
        <v/>
      </c>
      <c r="R25" s="28" t="n"/>
    </row>
    <row r="26" ht="34" customHeight="1">
      <c r="A26" s="28" t="n"/>
      <c r="B26" s="28" t="n"/>
      <c r="C26" s="28" t="n"/>
      <c r="D26" s="28" t="n"/>
      <c r="E26" s="28" t="n"/>
      <c r="F26" s="28" t="n"/>
      <c r="G26" s="61" t="n"/>
      <c r="H26" s="61" t="n"/>
      <c r="I26" s="39" t="n"/>
      <c r="J26" s="39" t="n"/>
      <c r="K26" s="30" t="n"/>
      <c r="L26" s="39" t="n"/>
      <c r="M26" s="30" t="n"/>
      <c r="N26" s="47">
        <f>IF(OR($L26="",$M26=""),"",IF(NOT(ISNUMBER($L26)),"Check value",IF($M26="between",IF(OR(NOT(ISNUMBER($I26)),NOT(ISNUMBER($J26))),"Set limits",IF(AND($L26&gt;=$I26,$L26&lt;=$J26),"Pass","Fail")),IF(NOT(ISNUMBER($I26)),"Set limits",IF($M26="≥",IF($L26&gt;=$I26,"Pass","Fail"),IF($M26="≤",IF($L26&lt;=$I26,"Pass","Fail"),IF($M26="=",IF($L26=$I26,"Pass","Fail"),"Check operator")))))))</f>
        <v/>
      </c>
      <c r="O26" s="30" t="n"/>
      <c r="P26" s="28" t="n"/>
      <c r="Q26" s="50">
        <f>IF($N26="","",IF($N26="Fail","Yes",IF($N26="Pass","No","")))</f>
        <v/>
      </c>
      <c r="R26" s="28" t="n"/>
    </row>
    <row r="27" ht="34" customHeight="1">
      <c r="A27" s="28" t="n"/>
      <c r="B27" s="28" t="n"/>
      <c r="C27" s="28" t="n"/>
      <c r="D27" s="28" t="n"/>
      <c r="E27" s="28" t="n"/>
      <c r="F27" s="28" t="n"/>
      <c r="G27" s="61" t="n"/>
      <c r="H27" s="61" t="n"/>
      <c r="I27" s="39" t="n"/>
      <c r="J27" s="39" t="n"/>
      <c r="K27" s="30" t="n"/>
      <c r="L27" s="39" t="n"/>
      <c r="M27" s="30" t="n"/>
      <c r="N27" s="47">
        <f>IF(OR($L27="",$M27=""),"",IF(NOT(ISNUMBER($L27)),"Check value",IF($M27="between",IF(OR(NOT(ISNUMBER($I27)),NOT(ISNUMBER($J27))),"Set limits",IF(AND($L27&gt;=$I27,$L27&lt;=$J27),"Pass","Fail")),IF(NOT(ISNUMBER($I27)),"Set limits",IF($M27="≥",IF($L27&gt;=$I27,"Pass","Fail"),IF($M27="≤",IF($L27&lt;=$I27,"Pass","Fail"),IF($M27="=",IF($L27=$I27,"Pass","Fail"),"Check operator")))))))</f>
        <v/>
      </c>
      <c r="O27" s="30" t="n"/>
      <c r="P27" s="28" t="n"/>
      <c r="Q27" s="50">
        <f>IF($N27="","",IF($N27="Fail","Yes",IF($N27="Pass","No","")))</f>
        <v/>
      </c>
      <c r="R27" s="28" t="n"/>
    </row>
    <row r="28" ht="34" customHeight="1">
      <c r="A28" s="28" t="n"/>
      <c r="B28" s="28" t="n"/>
      <c r="C28" s="28" t="n"/>
      <c r="D28" s="28" t="n"/>
      <c r="E28" s="28" t="n"/>
      <c r="F28" s="28" t="n"/>
      <c r="G28" s="61" t="n"/>
      <c r="H28" s="61" t="n"/>
      <c r="I28" s="39" t="n"/>
      <c r="J28" s="39" t="n"/>
      <c r="K28" s="30" t="n"/>
      <c r="L28" s="39" t="n"/>
      <c r="M28" s="30" t="n"/>
      <c r="N28" s="47">
        <f>IF(OR($L28="",$M28=""),"",IF(NOT(ISNUMBER($L28)),"Check value",IF($M28="between",IF(OR(NOT(ISNUMBER($I28)),NOT(ISNUMBER($J28))),"Set limits",IF(AND($L28&gt;=$I28,$L28&lt;=$J28),"Pass","Fail")),IF(NOT(ISNUMBER($I28)),"Set limits",IF($M28="≥",IF($L28&gt;=$I28,"Pass","Fail"),IF($M28="≤",IF($L28&lt;=$I28,"Pass","Fail"),IF($M28="=",IF($L28=$I28,"Pass","Fail"),"Check operator")))))))</f>
        <v/>
      </c>
      <c r="O28" s="30" t="n"/>
      <c r="P28" s="28" t="n"/>
      <c r="Q28" s="50">
        <f>IF($N28="","",IF($N28="Fail","Yes",IF($N28="Pass","No","")))</f>
        <v/>
      </c>
      <c r="R28" s="28" t="n"/>
    </row>
    <row r="29" ht="34" customHeight="1">
      <c r="A29" s="28" t="n"/>
      <c r="B29" s="28" t="n"/>
      <c r="C29" s="28" t="n"/>
      <c r="D29" s="28" t="n"/>
      <c r="E29" s="28" t="n"/>
      <c r="F29" s="28" t="n"/>
      <c r="G29" s="61" t="n"/>
      <c r="H29" s="61" t="n"/>
      <c r="I29" s="39" t="n"/>
      <c r="J29" s="39" t="n"/>
      <c r="K29" s="30" t="n"/>
      <c r="L29" s="39" t="n"/>
      <c r="M29" s="30" t="n"/>
      <c r="N29" s="47">
        <f>IF(OR($L29="",$M29=""),"",IF(NOT(ISNUMBER($L29)),"Check value",IF($M29="between",IF(OR(NOT(ISNUMBER($I29)),NOT(ISNUMBER($J29))),"Set limits",IF(AND($L29&gt;=$I29,$L29&lt;=$J29),"Pass","Fail")),IF(NOT(ISNUMBER($I29)),"Set limits",IF($M29="≥",IF($L29&gt;=$I29,"Pass","Fail"),IF($M29="≤",IF($L29&lt;=$I29,"Pass","Fail"),IF($M29="=",IF($L29=$I29,"Pass","Fail"),"Check operator")))))))</f>
        <v/>
      </c>
      <c r="O29" s="30" t="n"/>
      <c r="P29" s="28" t="n"/>
      <c r="Q29" s="50">
        <f>IF($N29="","",IF($N29="Fail","Yes",IF($N29="Pass","No","")))</f>
        <v/>
      </c>
      <c r="R29" s="28" t="n"/>
    </row>
    <row r="30" ht="34" customHeight="1">
      <c r="A30" s="28" t="n"/>
      <c r="B30" s="28" t="n"/>
      <c r="C30" s="28" t="n"/>
      <c r="D30" s="28" t="n"/>
      <c r="E30" s="28" t="n"/>
      <c r="F30" s="28" t="n"/>
      <c r="G30" s="61" t="n"/>
      <c r="H30" s="61" t="n"/>
      <c r="I30" s="39" t="n"/>
      <c r="J30" s="39" t="n"/>
      <c r="K30" s="30" t="n"/>
      <c r="L30" s="39" t="n"/>
      <c r="M30" s="30" t="n"/>
      <c r="N30" s="47">
        <f>IF(OR($L30="",$M30=""),"",IF(NOT(ISNUMBER($L30)),"Check value",IF($M30="between",IF(OR(NOT(ISNUMBER($I30)),NOT(ISNUMBER($J30))),"Set limits",IF(AND($L30&gt;=$I30,$L30&lt;=$J30),"Pass","Fail")),IF(NOT(ISNUMBER($I30)),"Set limits",IF($M30="≥",IF($L30&gt;=$I30,"Pass","Fail"),IF($M30="≤",IF($L30&lt;=$I30,"Pass","Fail"),IF($M30="=",IF($L30=$I30,"Pass","Fail"),"Check operator")))))))</f>
        <v/>
      </c>
      <c r="O30" s="30" t="n"/>
      <c r="P30" s="28" t="n"/>
      <c r="Q30" s="50">
        <f>IF($N30="","",IF($N30="Fail","Yes",IF($N30="Pass","No","")))</f>
        <v/>
      </c>
      <c r="R30" s="28" t="n"/>
    </row>
    <row r="31" ht="34" customHeight="1">
      <c r="A31" s="28" t="n"/>
      <c r="B31" s="28" t="n"/>
      <c r="C31" s="28" t="n"/>
      <c r="D31" s="28" t="n"/>
      <c r="E31" s="28" t="n"/>
      <c r="F31" s="28" t="n"/>
      <c r="G31" s="61" t="n"/>
      <c r="H31" s="61" t="n"/>
      <c r="I31" s="39" t="n"/>
      <c r="J31" s="39" t="n"/>
      <c r="K31" s="30" t="n"/>
      <c r="L31" s="39" t="n"/>
      <c r="M31" s="30" t="n"/>
      <c r="N31" s="47">
        <f>IF(OR($L31="",$M31=""),"",IF(NOT(ISNUMBER($L31)),"Check value",IF($M31="between",IF(OR(NOT(ISNUMBER($I31)),NOT(ISNUMBER($J31))),"Set limits",IF(AND($L31&gt;=$I31,$L31&lt;=$J31),"Pass","Fail")),IF(NOT(ISNUMBER($I31)),"Set limits",IF($M31="≥",IF($L31&gt;=$I31,"Pass","Fail"),IF($M31="≤",IF($L31&lt;=$I31,"Pass","Fail"),IF($M31="=",IF($L31=$I31,"Pass","Fail"),"Check operator")))))))</f>
        <v/>
      </c>
      <c r="O31" s="30" t="n"/>
      <c r="P31" s="28" t="n"/>
      <c r="Q31" s="50">
        <f>IF($N31="","",IF($N31="Fail","Yes",IF($N31="Pass","No","")))</f>
        <v/>
      </c>
      <c r="R31" s="28" t="n"/>
    </row>
    <row r="32" ht="34" customHeight="1">
      <c r="A32" s="28" t="n"/>
      <c r="B32" s="28" t="n"/>
      <c r="C32" s="28" t="n"/>
      <c r="D32" s="28" t="n"/>
      <c r="E32" s="28" t="n"/>
      <c r="F32" s="28" t="n"/>
      <c r="G32" s="61" t="n"/>
      <c r="H32" s="61" t="n"/>
      <c r="I32" s="39" t="n"/>
      <c r="J32" s="39" t="n"/>
      <c r="K32" s="30" t="n"/>
      <c r="L32" s="39" t="n"/>
      <c r="M32" s="30" t="n"/>
      <c r="N32" s="47">
        <f>IF(OR($L32="",$M32=""),"",IF(NOT(ISNUMBER($L32)),"Check value",IF($M32="between",IF(OR(NOT(ISNUMBER($I32)),NOT(ISNUMBER($J32))),"Set limits",IF(AND($L32&gt;=$I32,$L32&lt;=$J32),"Pass","Fail")),IF(NOT(ISNUMBER($I32)),"Set limits",IF($M32="≥",IF($L32&gt;=$I32,"Pass","Fail"),IF($M32="≤",IF($L32&lt;=$I32,"Pass","Fail"),IF($M32="=",IF($L32=$I32,"Pass","Fail"),"Check operator")))))))</f>
        <v/>
      </c>
      <c r="O32" s="30" t="n"/>
      <c r="P32" s="28" t="n"/>
      <c r="Q32" s="50">
        <f>IF($N32="","",IF($N32="Fail","Yes",IF($N32="Pass","No","")))</f>
        <v/>
      </c>
      <c r="R32" s="28" t="n"/>
    </row>
    <row r="33" ht="34" customHeight="1">
      <c r="A33" s="28" t="n"/>
      <c r="B33" s="28" t="n"/>
      <c r="C33" s="28" t="n"/>
      <c r="D33" s="28" t="n"/>
      <c r="E33" s="28" t="n"/>
      <c r="F33" s="28" t="n"/>
      <c r="G33" s="61" t="n"/>
      <c r="H33" s="61" t="n"/>
      <c r="I33" s="39" t="n"/>
      <c r="J33" s="39" t="n"/>
      <c r="K33" s="30" t="n"/>
      <c r="L33" s="39" t="n"/>
      <c r="M33" s="30" t="n"/>
      <c r="N33" s="47">
        <f>IF(OR($L33="",$M33=""),"",IF(NOT(ISNUMBER($L33)),"Check value",IF($M33="between",IF(OR(NOT(ISNUMBER($I33)),NOT(ISNUMBER($J33))),"Set limits",IF(AND($L33&gt;=$I33,$L33&lt;=$J33),"Pass","Fail")),IF(NOT(ISNUMBER($I33)),"Set limits",IF($M33="≥",IF($L33&gt;=$I33,"Pass","Fail"),IF($M33="≤",IF($L33&lt;=$I33,"Pass","Fail"),IF($M33="=",IF($L33=$I33,"Pass","Fail"),"Check operator")))))))</f>
        <v/>
      </c>
      <c r="O33" s="30" t="n"/>
      <c r="P33" s="28" t="n"/>
      <c r="Q33" s="50">
        <f>IF($N33="","",IF($N33="Fail","Yes",IF($N33="Pass","No","")))</f>
        <v/>
      </c>
      <c r="R33" s="28" t="n"/>
    </row>
    <row r="34" ht="34" customHeight="1">
      <c r="A34" s="28" t="n"/>
      <c r="B34" s="28" t="n"/>
      <c r="C34" s="28" t="n"/>
      <c r="D34" s="28" t="n"/>
      <c r="E34" s="28" t="n"/>
      <c r="F34" s="28" t="n"/>
      <c r="G34" s="61" t="n"/>
      <c r="H34" s="61" t="n"/>
      <c r="I34" s="39" t="n"/>
      <c r="J34" s="39" t="n"/>
      <c r="K34" s="30" t="n"/>
      <c r="L34" s="39" t="n"/>
      <c r="M34" s="30" t="n"/>
      <c r="N34" s="47">
        <f>IF(OR($L34="",$M34=""),"",IF(NOT(ISNUMBER($L34)),"Check value",IF($M34="between",IF(OR(NOT(ISNUMBER($I34)),NOT(ISNUMBER($J34))),"Set limits",IF(AND($L34&gt;=$I34,$L34&lt;=$J34),"Pass","Fail")),IF(NOT(ISNUMBER($I34)),"Set limits",IF($M34="≥",IF($L34&gt;=$I34,"Pass","Fail"),IF($M34="≤",IF($L34&lt;=$I34,"Pass","Fail"),IF($M34="=",IF($L34=$I34,"Pass","Fail"),"Check operator")))))))</f>
        <v/>
      </c>
      <c r="O34" s="30" t="n"/>
      <c r="P34" s="28" t="n"/>
      <c r="Q34" s="50">
        <f>IF($N34="","",IF($N34="Fail","Yes",IF($N34="Pass","No","")))</f>
        <v/>
      </c>
      <c r="R34" s="28" t="n"/>
    </row>
    <row r="35" ht="34" customHeight="1">
      <c r="A35" s="28" t="n"/>
      <c r="B35" s="28" t="n"/>
      <c r="C35" s="28" t="n"/>
      <c r="D35" s="28" t="n"/>
      <c r="E35" s="28" t="n"/>
      <c r="F35" s="28" t="n"/>
      <c r="G35" s="61" t="n"/>
      <c r="H35" s="61" t="n"/>
      <c r="I35" s="39" t="n"/>
      <c r="J35" s="39" t="n"/>
      <c r="K35" s="30" t="n"/>
      <c r="L35" s="39" t="n"/>
      <c r="M35" s="30" t="n"/>
      <c r="N35" s="47">
        <f>IF(OR($L35="",$M35=""),"",IF(NOT(ISNUMBER($L35)),"Check value",IF($M35="between",IF(OR(NOT(ISNUMBER($I35)),NOT(ISNUMBER($J35))),"Set limits",IF(AND($L35&gt;=$I35,$L35&lt;=$J35),"Pass","Fail")),IF(NOT(ISNUMBER($I35)),"Set limits",IF($M35="≥",IF($L35&gt;=$I35,"Pass","Fail"),IF($M35="≤",IF($L35&lt;=$I35,"Pass","Fail"),IF($M35="=",IF($L35=$I35,"Pass","Fail"),"Check operator")))))))</f>
        <v/>
      </c>
      <c r="O35" s="30" t="n"/>
      <c r="P35" s="28" t="n"/>
      <c r="Q35" s="50">
        <f>IF($N35="","",IF($N35="Fail","Yes",IF($N35="Pass","No","")))</f>
        <v/>
      </c>
      <c r="R35" s="28" t="n"/>
    </row>
    <row r="36" ht="34" customHeight="1">
      <c r="A36" s="28" t="n"/>
      <c r="B36" s="28" t="n"/>
      <c r="C36" s="28" t="n"/>
      <c r="D36" s="28" t="n"/>
      <c r="E36" s="28" t="n"/>
      <c r="F36" s="28" t="n"/>
      <c r="G36" s="61" t="n"/>
      <c r="H36" s="61" t="n"/>
      <c r="I36" s="39" t="n"/>
      <c r="J36" s="39" t="n"/>
      <c r="K36" s="30" t="n"/>
      <c r="L36" s="39" t="n"/>
      <c r="M36" s="30" t="n"/>
      <c r="N36" s="47">
        <f>IF(OR($L36="",$M36=""),"",IF(NOT(ISNUMBER($L36)),"Check value",IF($M36="between",IF(OR(NOT(ISNUMBER($I36)),NOT(ISNUMBER($J36))),"Set limits",IF(AND($L36&gt;=$I36,$L36&lt;=$J36),"Pass","Fail")),IF(NOT(ISNUMBER($I36)),"Set limits",IF($M36="≥",IF($L36&gt;=$I36,"Pass","Fail"),IF($M36="≤",IF($L36&lt;=$I36,"Pass","Fail"),IF($M36="=",IF($L36=$I36,"Pass","Fail"),"Check operator")))))))</f>
        <v/>
      </c>
      <c r="O36" s="30" t="n"/>
      <c r="P36" s="28" t="n"/>
      <c r="Q36" s="50">
        <f>IF($N36="","",IF($N36="Fail","Yes",IF($N36="Pass","No","")))</f>
        <v/>
      </c>
      <c r="R36" s="28" t="n"/>
    </row>
    <row r="37" ht="34" customHeight="1">
      <c r="A37" s="28" t="n"/>
      <c r="B37" s="28" t="n"/>
      <c r="C37" s="28" t="n"/>
      <c r="D37" s="28" t="n"/>
      <c r="E37" s="28" t="n"/>
      <c r="F37" s="28" t="n"/>
      <c r="G37" s="61" t="n"/>
      <c r="H37" s="61" t="n"/>
      <c r="I37" s="39" t="n"/>
      <c r="J37" s="39" t="n"/>
      <c r="K37" s="30" t="n"/>
      <c r="L37" s="39" t="n"/>
      <c r="M37" s="30" t="n"/>
      <c r="N37" s="47">
        <f>IF(OR($L37="",$M37=""),"",IF(NOT(ISNUMBER($L37)),"Check value",IF($M37="between",IF(OR(NOT(ISNUMBER($I37)),NOT(ISNUMBER($J37))),"Set limits",IF(AND($L37&gt;=$I37,$L37&lt;=$J37),"Pass","Fail")),IF(NOT(ISNUMBER($I37)),"Set limits",IF($M37="≥",IF($L37&gt;=$I37,"Pass","Fail"),IF($M37="≤",IF($L37&lt;=$I37,"Pass","Fail"),IF($M37="=",IF($L37=$I37,"Pass","Fail"),"Check operator")))))))</f>
        <v/>
      </c>
      <c r="O37" s="30" t="n"/>
      <c r="P37" s="28" t="n"/>
      <c r="Q37" s="50">
        <f>IF($N37="","",IF($N37="Fail","Yes",IF($N37="Pass","No","")))</f>
        <v/>
      </c>
      <c r="R37" s="28" t="n"/>
    </row>
    <row r="38" ht="34" customHeight="1">
      <c r="A38" s="28" t="n"/>
      <c r="B38" s="28" t="n"/>
      <c r="C38" s="28" t="n"/>
      <c r="D38" s="28" t="n"/>
      <c r="E38" s="28" t="n"/>
      <c r="F38" s="28" t="n"/>
      <c r="G38" s="61" t="n"/>
      <c r="H38" s="61" t="n"/>
      <c r="I38" s="39" t="n"/>
      <c r="J38" s="39" t="n"/>
      <c r="K38" s="30" t="n"/>
      <c r="L38" s="39" t="n"/>
      <c r="M38" s="30" t="n"/>
      <c r="N38" s="47">
        <f>IF(OR($L38="",$M38=""),"",IF(NOT(ISNUMBER($L38)),"Check value",IF($M38="between",IF(OR(NOT(ISNUMBER($I38)),NOT(ISNUMBER($J38))),"Set limits",IF(AND($L38&gt;=$I38,$L38&lt;=$J38),"Pass","Fail")),IF(NOT(ISNUMBER($I38)),"Set limits",IF($M38="≥",IF($L38&gt;=$I38,"Pass","Fail"),IF($M38="≤",IF($L38&lt;=$I38,"Pass","Fail"),IF($M38="=",IF($L38=$I38,"Pass","Fail"),"Check operator")))))))</f>
        <v/>
      </c>
      <c r="O38" s="30" t="n"/>
      <c r="P38" s="28" t="n"/>
      <c r="Q38" s="50">
        <f>IF($N38="","",IF($N38="Fail","Yes",IF($N38="Pass","No","")))</f>
        <v/>
      </c>
      <c r="R38" s="28" t="n"/>
    </row>
    <row r="41" ht="19.5" customHeight="1">
      <c r="A41" s="4" t="inlineStr">
        <is>
          <t>SUMMARY — CALCULATED FROM THE ROWS ABOVE</t>
        </is>
      </c>
    </row>
    <row r="42" ht="15" customHeight="1">
      <c r="A42" s="12" t="inlineStr">
        <is>
          <t>The gap between 'tested' and 'certificated' is where handover packages fall over. Both numbers are shown for that reason.</t>
        </is>
      </c>
    </row>
    <row r="43" ht="15.75" customHeight="1">
      <c r="A43" s="13" t="inlineStr">
        <is>
          <t>Tests and certificates recorded</t>
        </is>
      </c>
      <c r="D43" s="31">
        <f>SUMPRODUCT(--($A$9:$A$38&lt;&gt;""))</f>
        <v/>
      </c>
    </row>
    <row r="44" ht="15.75" customHeight="1">
      <c r="A44" s="13" t="inlineStr">
        <is>
          <t>Results compared by formula</t>
        </is>
      </c>
      <c r="D44" s="31">
        <f>SUMPRODUCT(--(($N$9:$N$38="Pass")+($N$9:$N$38="Fail")&gt;0))</f>
        <v/>
      </c>
    </row>
    <row r="45" ht="15.75" customHeight="1">
      <c r="A45" s="13" t="inlineStr">
        <is>
          <t>Passed</t>
        </is>
      </c>
      <c r="D45" s="31">
        <f>COUNTIF($N$9:$N$38,"Pass")</f>
        <v/>
      </c>
    </row>
    <row r="46" ht="15.75" customHeight="1">
      <c r="A46" s="13" t="inlineStr">
        <is>
          <t>Failed</t>
        </is>
      </c>
      <c r="D46" s="31">
        <f>COUNTIF($N$9:$N$38,"Fail")</f>
        <v/>
      </c>
    </row>
    <row r="47" ht="15.75" customHeight="1">
      <c r="A47" s="13" t="inlineStr">
        <is>
          <t>Pass rate</t>
        </is>
      </c>
      <c r="D47" s="62">
        <f>IF(SUMPRODUCT(--(($N$9:$N$38="Pass")+($N$9:$N$38="Fail")&gt;0))=0,"",COUNTIF($N$9:$N$38,"Pass")/SUMPRODUCT(--(($N$9:$N$38="Pass")+($N$9:$N$38="Fail")&gt;0)))</f>
        <v/>
      </c>
    </row>
    <row r="48" ht="15.75" customHeight="1">
      <c r="A48" s="13" t="inlineStr">
        <is>
          <t>Retests required</t>
        </is>
      </c>
      <c r="D48" s="31">
        <f>COUNTIF($Q$9:$Q$38,"Yes")</f>
        <v/>
      </c>
    </row>
    <row r="49" ht="15.75" customHeight="1">
      <c r="A49" s="13" t="inlineStr">
        <is>
          <t>Awaiting certificate</t>
        </is>
      </c>
      <c r="D49" s="31">
        <f>SUMPRODUCT(--($A$9:$A$38&lt;&gt;""),--($O$9:$O$38&lt;&gt;"Yes"))</f>
        <v/>
      </c>
    </row>
    <row r="50" ht="15.75" customHeight="1">
      <c r="A50" s="13" t="inlineStr">
        <is>
          <t>Rows the formula could not judge (limits or operator missing)</t>
        </is>
      </c>
      <c r="D50" s="31">
        <f>SUMPRODUCT(--($A$9:$A$38&lt;&gt;""),--(($N$9:$N$38="Set limits")+($N$9:$N$38="Check value")+($N$9:$N$38="Check operator")&gt;0))</f>
        <v/>
      </c>
    </row>
    <row r="51" ht="15.75" customHeight="1">
      <c r="A51" s="13" t="inlineStr">
        <is>
          <t>Rows with no laboratory accreditation recorded</t>
        </is>
      </c>
      <c r="D51" s="31">
        <f>SUMPRODUCT(--($A$9:$A$38&lt;&gt;""),--($F$9:$F$38=""))</f>
        <v/>
      </c>
    </row>
    <row r="53" ht="40" customHeight="1">
      <c r="A53" s="13" t="inlineStr">
        <is>
          <t>A test proves the sample, not the works. It is evidence of conformity only if the sample was taken at the right frequency, from the right place, identified so it can be traced back to the element, tested by a competent and accredited laboratory to a named method, and reported on a certificate that is filed. Break any link in that chain and the number on the page proves nothing. Rows shown in grey italic are worked examples from Northbank Health Precinct — Stage 2 — delete them before use.</t>
        </is>
      </c>
    </row>
    <row r="55" ht="16.5" customHeight="1">
      <c r="A55" s="66" t="inlineStr">
        <is>
          <t>Mastt template  ·  mastt.com  ·  © 2026 Mastt</t>
        </is>
      </c>
      <c r="B55" s="59" t="n"/>
      <c r="C55" s="59" t="n"/>
      <c r="D55" s="59" t="n"/>
      <c r="E55" s="59" t="n"/>
      <c r="F55" s="59" t="n"/>
      <c r="G55" s="59" t="n"/>
      <c r="H55" s="59" t="n"/>
      <c r="I55" s="59" t="n"/>
      <c r="J55" s="59" t="n"/>
      <c r="K55" s="59" t="n"/>
      <c r="L55" s="59" t="n"/>
      <c r="M55" s="59" t="n"/>
      <c r="N55" s="59" t="n"/>
      <c r="O55" s="59" t="n"/>
      <c r="P55" s="59" t="n"/>
      <c r="Q55" s="59" t="n"/>
      <c r="R55" s="59" t="n"/>
    </row>
  </sheetData>
  <mergeCells count="17">
    <mergeCell ref="C2:R2"/>
    <mergeCell ref="A41:C41"/>
    <mergeCell ref="A55:R55"/>
    <mergeCell ref="A7:L7"/>
    <mergeCell ref="A42:L42"/>
    <mergeCell ref="A44:C44"/>
    <mergeCell ref="A45:C45"/>
    <mergeCell ref="A46:C46"/>
    <mergeCell ref="A47:C47"/>
    <mergeCell ref="A49:C49"/>
    <mergeCell ref="A53:L53"/>
    <mergeCell ref="N7:R7"/>
    <mergeCell ref="C3:R3"/>
    <mergeCell ref="A50:C50"/>
    <mergeCell ref="A48:C48"/>
    <mergeCell ref="A43:C43"/>
    <mergeCell ref="A51:C51"/>
  </mergeCells>
  <conditionalFormatting sqref="N9:N38">
    <cfRule type="expression" priority="1" dxfId="2" stopIfTrue="0">
      <formula>$N9="Pass"</formula>
    </cfRule>
    <cfRule type="expression" priority="2" dxfId="0" stopIfTrue="0">
      <formula>$N9="Fail"</formula>
    </cfRule>
    <cfRule type="expression" priority="3" dxfId="4" stopIfTrue="0">
      <formula>$N9="Set limits"</formula>
    </cfRule>
    <cfRule type="expression" priority="4" dxfId="4" stopIfTrue="0">
      <formula>$N9="Check value"</formula>
    </cfRule>
    <cfRule type="expression" priority="5" dxfId="4" stopIfTrue="0">
      <formula>$N9="Check operator"</formula>
    </cfRule>
  </conditionalFormatting>
  <conditionalFormatting sqref="A9:C38">
    <cfRule type="expression" priority="6" dxfId="0" stopIfTrue="0">
      <formula>$N9="Fail"</formula>
    </cfRule>
  </conditionalFormatting>
  <conditionalFormatting sqref="Q9:Q38">
    <cfRule type="expression" priority="7" dxfId="0" stopIfTrue="0">
      <formula>$Q9="Yes"</formula>
    </cfRule>
    <cfRule type="expression" priority="8" dxfId="2" stopIfTrue="0">
      <formula>$Q9="No"</formula>
    </cfRule>
  </conditionalFormatting>
  <conditionalFormatting sqref="O9:P38">
    <cfRule type="expression" priority="9" dxfId="4" stopIfTrue="0">
      <formula>AND($N9&lt;&gt;"",$O9&lt;&gt;"Yes")</formula>
    </cfRule>
  </conditionalFormatting>
  <conditionalFormatting sqref="F9:F38">
    <cfRule type="expression" priority="10" dxfId="4" stopIfTrue="0">
      <formula>AND($A9&lt;&gt;"",$F9="")</formula>
    </cfRule>
  </conditionalFormatting>
  <conditionalFormatting sqref="J9:J38">
    <cfRule type="expression" priority="11" dxfId="3" stopIfTrue="0">
      <formula>AND($M9="between",NOT(ISNUMBER($J9)))</formula>
    </cfRule>
  </conditionalFormatting>
  <conditionalFormatting sqref="D46">
    <cfRule type="expression" priority="12" dxfId="0" stopIfTrue="0">
      <formula>$D$46&gt;0</formula>
    </cfRule>
  </conditionalFormatting>
  <conditionalFormatting sqref="D48">
    <cfRule type="expression" priority="13" dxfId="0" stopIfTrue="0">
      <formula>$D$48&gt;0</formula>
    </cfRule>
  </conditionalFormatting>
  <conditionalFormatting sqref="D49">
    <cfRule type="expression" priority="14" dxfId="4" stopIfTrue="0">
      <formula>$D$49&gt;0</formula>
    </cfRule>
  </conditionalFormatting>
  <conditionalFormatting sqref="D50">
    <cfRule type="expression" priority="15" dxfId="4" stopIfTrue="0">
      <formula>$D$50&gt;0</formula>
    </cfRule>
  </conditionalFormatting>
  <conditionalFormatting sqref="D51">
    <cfRule type="expression" priority="16" dxfId="4" stopIfTrue="0">
      <formula>$D$51&gt;0</formula>
    </cfRule>
  </conditionalFormatting>
  <dataValidations count="4">
    <dataValidation sqref="C9:C38" showDropDown="0" showInputMessage="0" showErrorMessage="0" allowBlank="1" type="list">
      <formula1>Lists!$O$23:$O$48</formula1>
    </dataValidation>
    <dataValidation sqref="K9:K38" showDropDown="0" showInputMessage="0" showErrorMessage="0" allowBlank="1" type="list">
      <formula1>Lists!$Q$23:$Q$46</formula1>
    </dataValidation>
    <dataValidation sqref="M9:M38" showDropDown="0" showInputMessage="0" showErrorMessage="0" allowBlank="1" type="list">
      <formula1>Lists!$P$23:$P$26</formula1>
    </dataValidation>
    <dataValidation sqref="O9:O38" showDropDown="0" showInputMessage="0" showErrorMessage="0" allowBlank="1" type="list">
      <formula1>Lists!$B$23:$B$24</formula1>
    </dataValidation>
  </dataValidations>
  <hyperlinks>
    <hyperlink xmlns:r="http://schemas.openxmlformats.org/officeDocument/2006/relationships" ref="A55" r:id="rId1"/>
  </hyperlinks>
  <printOptions horizontalCentered="0"/>
  <pageMargins left="0.3" right="0.3" top="0.5" bottom="0.5" header="0.2" footer="0.3"/>
  <pageSetup orientation="landscape" paperSize="8" fitToHeight="0" fitToWidth="2"/>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7.xml><?xml version="1.0" encoding="utf-8"?>
<worksheet xmlns="http://schemas.openxmlformats.org/spreadsheetml/2006/main">
  <sheetPr>
    <outlinePr summaryBelow="1" summaryRight="1"/>
    <pageSetUpPr fitToPage="1"/>
  </sheetPr>
  <dimension ref="A2:F92"/>
  <sheetViews>
    <sheetView showGridLines="0" workbookViewId="0">
      <pane xSplit="1" ySplit="9" topLeftCell="B10" activePane="bottomRight" state="frozen"/>
      <selection pane="topRight" activeCell="A1" sqref="A1"/>
      <selection pane="bottomLeft" activeCell="A1" sqref="A1"/>
      <selection pane="bottomRight" activeCell="A1" sqref="A1"/>
    </sheetView>
  </sheetViews>
  <sheetFormatPr baseColWidth="8" defaultRowHeight="15"/>
  <cols>
    <col width="2.5" customWidth="1" min="1" max="1"/>
    <col width="62" customWidth="1" min="2" max="2"/>
    <col width="22" customWidth="1" min="3" max="3"/>
    <col width="13" customWidth="1" min="4" max="4"/>
    <col width="86" customWidth="1" min="5" max="5"/>
    <col width="2.5" customWidth="1" min="6" max="6"/>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Quality Dashboard  ·  one screen  ·  every figure calculated from the registers in this workbook</t>
        </is>
      </c>
    </row>
    <row r="4" ht="6" customHeight="1"/>
    <row r="7">
      <c r="A7" s="20">
        <f>IF(Proj_Name="","Project: —  |  complete the Cover sheet","Project:  "&amp;Proj_Name&amp;IF(Proj_Number="",""," |  No. "&amp;Proj_Number)&amp;IF(Proj_Client=""," "," |  "&amp;Proj_Client))</f>
        <v/>
      </c>
    </row>
    <row r="8" ht="15" customHeight="1">
      <c r="A8" s="12" t="inlineStr">
        <is>
          <t>Nothing on this sheet is typed. Every figure is a formula over the registers, and the last column names the sheet and the column it comes from — so a figure that looks wrong means the register behind it needs correcting, not that this cell needs overtyping.</t>
        </is>
      </c>
    </row>
    <row r="10" ht="19.5" customHeight="1">
      <c r="B10" s="4" t="inlineStr">
        <is>
          <t>THE PACKAGE</t>
        </is>
      </c>
      <c r="C10" s="5" t="inlineStr">
        <is>
          <t>VALUE</t>
        </is>
      </c>
      <c r="D10" s="5" t="inlineStr">
        <is>
          <t>UNIT</t>
        </is>
      </c>
      <c r="E10" s="5" t="inlineStr">
        <is>
          <t>WHERE TO LOOK</t>
        </is>
      </c>
    </row>
    <row r="11" ht="16.5" customHeight="1">
      <c r="B11" s="13" t="inlineStr">
        <is>
          <t>Project</t>
        </is>
      </c>
      <c r="C11" s="51">
        <f>IF(Proj_Name="","",Proj_Name)</f>
        <v/>
      </c>
      <c r="D11" s="7" t="n"/>
      <c r="E11" s="12" t="inlineStr">
        <is>
          <t>Cover</t>
        </is>
      </c>
    </row>
    <row r="12" ht="16.5" customHeight="1">
      <c r="B12" s="13" t="inlineStr">
        <is>
          <t>Checklist / ITP number</t>
        </is>
      </c>
      <c r="C12" s="51">
        <f>IF(Proj_ChecklistNo="","",Proj_ChecklistNo)</f>
        <v/>
      </c>
      <c r="D12" s="7" t="n"/>
      <c r="E12" s="12" t="inlineStr">
        <is>
          <t>Cover</t>
        </is>
      </c>
    </row>
    <row r="13" ht="16.5" customHeight="1">
      <c r="B13" s="13" t="inlineStr">
        <is>
          <t>Revision</t>
        </is>
      </c>
      <c r="C13" s="51">
        <f>IF(Proj_Revision="","",Proj_Revision)</f>
        <v/>
      </c>
      <c r="D13" s="7" t="n"/>
      <c r="E13" s="12" t="inlineStr">
        <is>
          <t>Cover</t>
        </is>
      </c>
    </row>
    <row r="14" ht="16.5" customHeight="1">
      <c r="B14" s="13" t="inlineStr">
        <is>
          <t>Date of this revision</t>
        </is>
      </c>
      <c r="C14" s="65">
        <f>IF(Proj_Date="","",Proj_Date)</f>
        <v/>
      </c>
      <c r="D14" s="7" t="n"/>
      <c r="E14" s="12" t="inlineStr">
        <is>
          <t>Cover</t>
        </is>
      </c>
    </row>
    <row r="15" ht="16.5" customHeight="1">
      <c r="B15" s="13" t="inlineStr">
        <is>
          <t>Governing quality standard</t>
        </is>
      </c>
      <c r="C15" s="51">
        <f>IF(Proj_Standard="","",Proj_Standard)</f>
        <v/>
      </c>
      <c r="D15" s="7" t="n"/>
      <c r="E15" s="12" t="inlineStr">
        <is>
          <t>Cover</t>
        </is>
      </c>
    </row>
    <row r="16" ht="16.5" customHeight="1">
      <c r="B16" s="13" t="inlineStr">
        <is>
          <t>Days since this revision was issued</t>
        </is>
      </c>
      <c r="C16" s="63">
        <f>IF(Proj_Date="","",TODAY()-Proj_Date)</f>
        <v/>
      </c>
      <c r="D16" s="5" t="inlineStr">
        <is>
          <t>days</t>
        </is>
      </c>
      <c r="E16" s="12" t="inlineStr">
        <is>
          <t>Cover</t>
        </is>
      </c>
    </row>
    <row r="18" ht="19.5" customHeight="1">
      <c r="B18" s="4" t="inlineStr">
        <is>
          <t>INSPECTION AND TEST PLAN</t>
        </is>
      </c>
      <c r="C18" s="5" t="inlineStr">
        <is>
          <t>VALUE</t>
        </is>
      </c>
      <c r="D18" s="5" t="inlineStr">
        <is>
          <t>UNIT</t>
        </is>
      </c>
      <c r="E18" s="5" t="inlineStr">
        <is>
          <t>WHERE TO LOOK</t>
        </is>
      </c>
    </row>
    <row r="19" ht="16.5" customHeight="1">
      <c r="B19" s="13" t="inlineStr">
        <is>
          <t>ITP items in the plan</t>
        </is>
      </c>
      <c r="C19" s="31">
        <f>SUMPRODUCT(--('Inspection &amp; Test Plan'!$C$9:$C$48&lt;&gt;""))</f>
        <v/>
      </c>
      <c r="D19" s="5" t="inlineStr">
        <is>
          <t>no.</t>
        </is>
      </c>
      <c r="E19" s="12" t="inlineStr">
        <is>
          <t>Inspection &amp; Test Plan, Activity column</t>
        </is>
      </c>
    </row>
    <row r="20" ht="16.5" customHeight="1">
      <c r="B20" s="13" t="inlineStr">
        <is>
          <t>Inspections carried out</t>
        </is>
      </c>
      <c r="C20" s="31">
        <f>SUMPRODUCT(--('Inspection &amp; Test Plan'!$C$9:$C$48&lt;&gt;""),--('Inspection &amp; Test Plan'!$O$9:$O$48&lt;&gt;""),--('Inspection &amp; Test Plan'!$O$9:$O$48&lt;&gt;"Not yet inspected"))</f>
        <v/>
      </c>
      <c r="D20" s="5" t="inlineStr">
        <is>
          <t>no.</t>
        </is>
      </c>
      <c r="E20" s="12" t="inlineStr">
        <is>
          <t>Inspection &amp; Test Plan, Result column</t>
        </is>
      </c>
    </row>
    <row r="21" ht="16.5" customHeight="1">
      <c r="B21" s="13" t="inlineStr">
        <is>
          <t>Passed</t>
        </is>
      </c>
      <c r="C21" s="31">
        <f>COUNTIF('Inspection &amp; Test Plan'!$O$9:$O$48,"Pass")</f>
        <v/>
      </c>
      <c r="D21" s="5" t="inlineStr">
        <is>
          <t>no.</t>
        </is>
      </c>
      <c r="E21" s="12" t="inlineStr">
        <is>
          <t>Inspection &amp; Test Plan, Result column</t>
        </is>
      </c>
    </row>
    <row r="22" ht="16.5" customHeight="1">
      <c r="B22" s="13" t="inlineStr">
        <is>
          <t>Conditional passes</t>
        </is>
      </c>
      <c r="C22" s="31">
        <f>COUNTIF('Inspection &amp; Test Plan'!$O$9:$O$48,"Conditional pass")</f>
        <v/>
      </c>
      <c r="D22" s="5" t="inlineStr">
        <is>
          <t>no.</t>
        </is>
      </c>
      <c r="E22" s="12" t="inlineStr">
        <is>
          <t>Inspection &amp; Test Plan, Result column</t>
        </is>
      </c>
    </row>
    <row r="23" ht="16.5" customHeight="1">
      <c r="B23" s="13" t="inlineStr">
        <is>
          <t>Failed</t>
        </is>
      </c>
      <c r="C23" s="31">
        <f>COUNTIF('Inspection &amp; Test Plan'!$O$9:$O$48,"Fail")</f>
        <v/>
      </c>
      <c r="D23" s="5" t="inlineStr">
        <is>
          <t>no.</t>
        </is>
      </c>
      <c r="E23" s="12" t="inlineStr">
        <is>
          <t>Inspection &amp; Test Plan, Result column</t>
        </is>
      </c>
    </row>
    <row r="24" ht="16.5" customHeight="1">
      <c r="B24" s="13" t="inlineStr">
        <is>
          <t>Not yet inspected</t>
        </is>
      </c>
      <c r="C24" s="31">
        <f>SUMPRODUCT(--('Inspection &amp; Test Plan'!$C$9:$C$48&lt;&gt;""),--(('Inspection &amp; Test Plan'!$O$9:$O$48="")+('Inspection &amp; Test Plan'!$O$9:$O$48="Not yet inspected")&gt;0))</f>
        <v/>
      </c>
      <c r="D24" s="5" t="inlineStr">
        <is>
          <t>no.</t>
        </is>
      </c>
      <c r="E24" s="12" t="inlineStr">
        <is>
          <t>Inspection &amp; Test Plan, Result column</t>
        </is>
      </c>
    </row>
    <row r="25" ht="16.5" customHeight="1">
      <c r="B25" s="13" t="inlineStr">
        <is>
          <t>Overdue against the planned date</t>
        </is>
      </c>
      <c r="C25" s="31">
        <f>COUNTIF('Inspection &amp; Test Plan'!$P$9:$P$48,"Overdue")</f>
        <v/>
      </c>
      <c r="D25" s="5" t="inlineStr">
        <is>
          <t>no.</t>
        </is>
      </c>
      <c r="E25" s="12" t="inlineStr">
        <is>
          <t>Inspection &amp; Test Plan, Status column</t>
        </is>
      </c>
    </row>
    <row r="26" ht="16.5" customHeight="1">
      <c r="B26" s="13" t="inlineStr">
        <is>
          <t>Awaiting Client sign-off</t>
        </is>
      </c>
      <c r="C26" s="31">
        <f>COUNTIF('Inspection &amp; Test Plan'!$P$9:$P$48,"Awaiting client")</f>
        <v/>
      </c>
      <c r="D26" s="5" t="inlineStr">
        <is>
          <t>no.</t>
        </is>
      </c>
      <c r="E26" s="12" t="inlineStr">
        <is>
          <t>Inspection &amp; Test Plan, Status column</t>
        </is>
      </c>
    </row>
    <row r="27" ht="16.5" customHeight="1">
      <c r="B27" s="13" t="inlineStr">
        <is>
          <t>Closed (inspected, passed and signed off)</t>
        </is>
      </c>
      <c r="C27" s="31">
        <f>COUNTIF('Inspection &amp; Test Plan'!$P$9:$P$48,"Closed")</f>
        <v/>
      </c>
      <c r="D27" s="5" t="inlineStr">
        <is>
          <t>no.</t>
        </is>
      </c>
      <c r="E27" s="12" t="inlineStr">
        <is>
          <t>Inspection &amp; Test Plan, Status column</t>
        </is>
      </c>
    </row>
    <row r="28" ht="16.5" customHeight="1">
      <c r="B28" s="13" t="inlineStr">
        <is>
          <t>First-time-pass rate</t>
        </is>
      </c>
      <c r="C28" s="62">
        <f>IF(SUMPRODUCT(--('Inspection &amp; Test Plan'!$C$9:$C$48&lt;&gt;""),--('Inspection &amp; Test Plan'!$O$9:$O$48&lt;&gt;""),--('Inspection &amp; Test Plan'!$O$9:$O$48&lt;&gt;"Not yet inspected"))=0,"",COUNTIF('Inspection &amp; Test Plan'!$O$9:$O$48,"Pass")/SUMPRODUCT(--('Inspection &amp; Test Plan'!$C$9:$C$48&lt;&gt;""),--('Inspection &amp; Test Plan'!$O$9:$O$48&lt;&gt;""),--('Inspection &amp; Test Plan'!$O$9:$O$48&lt;&gt;"Not yet inspected")))</f>
        <v/>
      </c>
      <c r="D28" s="5" t="inlineStr">
        <is>
          <t>%</t>
        </is>
      </c>
      <c r="E28" s="12" t="inlineStr">
        <is>
          <t>Inspection &amp; Test Plan — passed ÷ inspected. Target set on Lists</t>
        </is>
      </c>
    </row>
    <row r="29" ht="16.5" customHeight="1">
      <c r="B29" s="13" t="inlineStr">
        <is>
          <t>First-time-pass target</t>
        </is>
      </c>
      <c r="C29" s="62">
        <f>IF(FTP_Target="","",FTP_Target)</f>
        <v/>
      </c>
      <c r="D29" s="5" t="inlineStr">
        <is>
          <t>%</t>
        </is>
      </c>
      <c r="E29" s="12" t="inlineStr">
        <is>
          <t>Lists, settings block</t>
        </is>
      </c>
    </row>
    <row r="30" ht="16.5" customHeight="1">
      <c r="B30" s="13" t="inlineStr">
        <is>
          <t>Rows with no measurable acceptance criteria</t>
        </is>
      </c>
      <c r="C30" s="31">
        <f>SUMPRODUCT(--('Inspection &amp; Test Plan'!$C$9:$C$48&lt;&gt;""),--('Inspection &amp; Test Plan'!$G$9:$G$48=""))</f>
        <v/>
      </c>
      <c r="D30" s="5" t="inlineStr">
        <is>
          <t>no.</t>
        </is>
      </c>
      <c r="E30" s="12" t="inlineStr">
        <is>
          <t>Inspection &amp; Test Plan, Acceptance Criteria column</t>
        </is>
      </c>
    </row>
    <row r="31" ht="16.5" customHeight="1">
      <c r="B31" s="13" t="inlineStr">
        <is>
          <t>Non-conformances raised from the plan</t>
        </is>
      </c>
      <c r="C31" s="31">
        <f>COUNTIF('Inspection &amp; Test Plan'!$R$9:$R$48,"Yes")</f>
        <v/>
      </c>
      <c r="D31" s="5" t="inlineStr">
        <is>
          <t>no.</t>
        </is>
      </c>
      <c r="E31" s="12" t="inlineStr">
        <is>
          <t>Inspection &amp; Test Plan, NCR Raised column</t>
        </is>
      </c>
    </row>
    <row r="33" ht="19.5" customHeight="1">
      <c r="B33" s="4" t="inlineStr">
        <is>
          <t>HOLD POINTS — THE REGIME THAT STOPS THE WORK</t>
        </is>
      </c>
      <c r="C33" s="5" t="inlineStr">
        <is>
          <t>VALUE</t>
        </is>
      </c>
      <c r="D33" s="5" t="inlineStr">
        <is>
          <t>UNIT</t>
        </is>
      </c>
      <c r="E33" s="5" t="inlineStr">
        <is>
          <t>WHERE TO LOOK</t>
        </is>
      </c>
    </row>
    <row r="34" ht="16.5" customHeight="1">
      <c r="B34" s="13" t="inlineStr">
        <is>
          <t>Hold points in the plan</t>
        </is>
      </c>
      <c r="C34" s="31">
        <f>COUNTIF('Inspection &amp; Test Plan'!$H$9:$H$48,"Hold Point")</f>
        <v/>
      </c>
      <c r="D34" s="5" t="inlineStr">
        <is>
          <t>no.</t>
        </is>
      </c>
      <c r="E34" s="12" t="inlineStr">
        <is>
          <t>Inspection &amp; Test Plan, Inspection Type column</t>
        </is>
      </c>
    </row>
    <row r="35" ht="16.5" customHeight="1">
      <c r="B35" s="13" t="inlineStr">
        <is>
          <t>Hold points released (signed off)</t>
        </is>
      </c>
      <c r="C35" s="31">
        <f>SUMPRODUCT(--('Inspection &amp; Test Plan'!$H$9:$H$48="Hold Point"),--('Inspection &amp; Test Plan'!$P$9:$P$48="Closed"))</f>
        <v/>
      </c>
      <c r="D35" s="5" t="inlineStr">
        <is>
          <t>no.</t>
        </is>
      </c>
      <c r="E35" s="12" t="inlineStr">
        <is>
          <t>Inspection &amp; Test Plan, Status column</t>
        </is>
      </c>
    </row>
    <row r="36" ht="16.5" customHeight="1">
      <c r="B36" s="13" t="inlineStr">
        <is>
          <t>HOLD POINTS OUTSTANDING — work must not proceed past these</t>
        </is>
      </c>
      <c r="C36" s="31">
        <f>SUMPRODUCT(--('Inspection &amp; Test Plan'!$C$9:$C$48&lt;&gt;""),--('Inspection &amp; Test Plan'!$H$9:$H$48="Hold Point"),--('Inspection &amp; Test Plan'!$P$9:$P$48&lt;&gt;"Closed"))</f>
        <v/>
      </c>
      <c r="D36" s="5" t="inlineStr">
        <is>
          <t>no.</t>
        </is>
      </c>
      <c r="E36" s="12" t="inlineStr">
        <is>
          <t>Inspection &amp; Test Plan, red banner at the top of the sheet</t>
        </is>
      </c>
    </row>
    <row r="37" ht="16.5" customHeight="1">
      <c r="B37" s="13" t="inlineStr">
        <is>
          <t>Hold points outstanding and already past their planned date</t>
        </is>
      </c>
      <c r="C37" s="31">
        <f>SUMPRODUCT(--('Inspection &amp; Test Plan'!$H$9:$H$48="Hold Point"),--('Inspection &amp; Test Plan'!$P$9:$P$48="Overdue"))</f>
        <v/>
      </c>
      <c r="D37" s="5" t="inlineStr">
        <is>
          <t>no.</t>
        </is>
      </c>
      <c r="E37" s="12" t="inlineStr">
        <is>
          <t>Inspection &amp; Test Plan — escalate after Hold_Escalation_Days (Lists)</t>
        </is>
      </c>
    </row>
    <row r="38" ht="16.5" customHeight="1">
      <c r="B38" s="13" t="inlineStr">
        <is>
          <t>Witness points in the plan</t>
        </is>
      </c>
      <c r="C38" s="31">
        <f>COUNTIF('Inspection &amp; Test Plan'!$H$9:$H$48,"Witness Point")</f>
        <v/>
      </c>
      <c r="D38" s="5" t="inlineStr">
        <is>
          <t>no.</t>
        </is>
      </c>
      <c r="E38" s="12" t="inlineStr">
        <is>
          <t>Inspection &amp; Test Plan, Inspection Type column</t>
        </is>
      </c>
    </row>
    <row r="39" ht="16.5" customHeight="1">
      <c r="B39" s="13" t="inlineStr">
        <is>
          <t>Surveillance and record-review items</t>
        </is>
      </c>
      <c r="C39" s="31">
        <f>COUNTIF('Inspection &amp; Test Plan'!$H$9:$H$48,"Surveillance")+COUNTIF('Inspection &amp; Test Plan'!$H$9:$H$48,"Review of records")</f>
        <v/>
      </c>
      <c r="D39" s="5" t="inlineStr">
        <is>
          <t>no.</t>
        </is>
      </c>
      <c r="E39" s="12" t="inlineStr">
        <is>
          <t>Inspection &amp; Test Plan, Inspection Type column</t>
        </is>
      </c>
    </row>
    <row r="41" ht="19.5" customHeight="1">
      <c r="B41" s="4" t="inlineStr">
        <is>
          <t>CHECKLIST BY ELEMENT</t>
        </is>
      </c>
      <c r="C41" s="5" t="inlineStr">
        <is>
          <t>VALUE</t>
        </is>
      </c>
      <c r="D41" s="5" t="inlineStr">
        <is>
          <t>UNIT</t>
        </is>
      </c>
      <c r="E41" s="5" t="inlineStr">
        <is>
          <t>WHERE TO LOOK</t>
        </is>
      </c>
    </row>
    <row r="42" ht="16.5" customHeight="1">
      <c r="B42" s="13" t="inlineStr">
        <is>
          <t>Checklist items in the workbook</t>
        </is>
      </c>
      <c r="C42" s="31">
        <f>SUMPRODUCT(--(ISNUMBER('Checklist by Element'!$A$9:$A$177)))</f>
        <v/>
      </c>
      <c r="D42" s="5" t="inlineStr">
        <is>
          <t>no.</t>
        </is>
      </c>
      <c r="E42" s="12" t="inlineStr">
        <is>
          <t>Checklist by Element, Item No. column</t>
        </is>
      </c>
    </row>
    <row r="43" ht="16.5" customHeight="1">
      <c r="B43" s="13" t="inlineStr">
        <is>
          <t>Items checked</t>
        </is>
      </c>
      <c r="C43" s="31">
        <f>SUMPRODUCT(--(ISNUMBER('Checklist by Element'!$A$9:$A$177)),--('Checklist by Element'!$F$9:$F$177&lt;&gt;""))</f>
        <v/>
      </c>
      <c r="D43" s="5" t="inlineStr">
        <is>
          <t>no.</t>
        </is>
      </c>
      <c r="E43" s="12" t="inlineStr">
        <is>
          <t>Checklist by Element, Checked column</t>
        </is>
      </c>
    </row>
    <row r="44" ht="16.5" customHeight="1">
      <c r="B44" s="13" t="inlineStr">
        <is>
          <t>Checklist completion — overall</t>
        </is>
      </c>
      <c r="C44" s="62">
        <f>IF(SUMPRODUCT(--(ISNUMBER('Checklist by Element'!$A$9:$A$177)))=0,"",SUMPRODUCT(--(ISNUMBER('Checklist by Element'!$A$9:$A$177)),--('Checklist by Element'!$F$9:$F$177&lt;&gt;""))/SUMPRODUCT(--(ISNUMBER('Checklist by Element'!$A$9:$A$177))))</f>
        <v/>
      </c>
      <c r="D44" s="5" t="inlineStr">
        <is>
          <t>%</t>
        </is>
      </c>
      <c r="E44" s="12" t="inlineStr">
        <is>
          <t>Checklist by Element, total strip at the foot of the sheet</t>
        </is>
      </c>
    </row>
    <row r="45" ht="16.5" customHeight="1">
      <c r="B45" s="13" t="inlineStr">
        <is>
          <t>Checklist completion target</t>
        </is>
      </c>
      <c r="C45" s="62">
        <f>IF(Checklist_Target="","",Checklist_Target)</f>
        <v/>
      </c>
      <c r="D45" s="5" t="inlineStr">
        <is>
          <t>%</t>
        </is>
      </c>
      <c r="E45" s="12" t="inlineStr">
        <is>
          <t>Lists, settings block</t>
        </is>
      </c>
    </row>
    <row r="46" ht="16.5" customHeight="1">
      <c r="B46" s="13" t="inlineStr">
        <is>
          <t>Checklist completion — Substructure, earthworks and foundations</t>
        </is>
      </c>
      <c r="C46" s="62">
        <f>IF(SUMPRODUCT(--(ISNUMBER('Checklist by Element'!$A$10:$A$37)))=0,"",SUMPRODUCT(--(ISNUMBER('Checklist by Element'!$A$10:$A$37)),--('Checklist by Element'!$F$10:$F$37&lt;&gt;""))/SUMPRODUCT(--(ISNUMBER('Checklist by Element'!$A$10:$A$37))))</f>
        <v/>
      </c>
      <c r="D46" s="5" t="inlineStr">
        <is>
          <t>%</t>
        </is>
      </c>
      <c r="E46" s="12" t="inlineStr">
        <is>
          <t>Checklist by Element, rows 10–37</t>
        </is>
      </c>
    </row>
    <row r="47" ht="16.5" customHeight="1">
      <c r="B47" s="13" t="inlineStr">
        <is>
          <t>Checklist completion — Concrete and structural frame</t>
        </is>
      </c>
      <c r="C47" s="62">
        <f>IF(SUMPRODUCT(--(ISNUMBER('Checklist by Element'!$A$39:$A$70)))=0,"",SUMPRODUCT(--(ISNUMBER('Checklist by Element'!$A$39:$A$70)),--('Checklist by Element'!$F$39:$F$70&lt;&gt;""))/SUMPRODUCT(--(ISNUMBER('Checklist by Element'!$A$39:$A$70))))</f>
        <v/>
      </c>
      <c r="D47" s="5" t="inlineStr">
        <is>
          <t>%</t>
        </is>
      </c>
      <c r="E47" s="12" t="inlineStr">
        <is>
          <t>Checklist by Element, rows 39–70</t>
        </is>
      </c>
    </row>
    <row r="48" ht="16.5" customHeight="1">
      <c r="B48" s="13" t="inlineStr">
        <is>
          <t>Checklist completion — Building envelope</t>
        </is>
      </c>
      <c r="C48" s="62">
        <f>IF(SUMPRODUCT(--(ISNUMBER('Checklist by Element'!$A$72:$A$97)))=0,"",SUMPRODUCT(--(ISNUMBER('Checklist by Element'!$A$72:$A$97)),--('Checklist by Element'!$F$72:$F$97&lt;&gt;""))/SUMPRODUCT(--(ISNUMBER('Checklist by Element'!$A$72:$A$97))))</f>
        <v/>
      </c>
      <c r="D48" s="5" t="inlineStr">
        <is>
          <t>%</t>
        </is>
      </c>
      <c r="E48" s="12" t="inlineStr">
        <is>
          <t>Checklist by Element, rows 72–97</t>
        </is>
      </c>
    </row>
    <row r="49" ht="16.5" customHeight="1">
      <c r="B49" s="13" t="inlineStr">
        <is>
          <t>Checklist completion — Internal fabric and finishes</t>
        </is>
      </c>
      <c r="C49" s="62">
        <f>IF(SUMPRODUCT(--(ISNUMBER('Checklist by Element'!$A$99:$A$132)))=0,"",SUMPRODUCT(--(ISNUMBER('Checklist by Element'!$A$99:$A$132)),--('Checklist by Element'!$F$99:$F$132&lt;&gt;""))/SUMPRODUCT(--(ISNUMBER('Checklist by Element'!$A$99:$A$132))))</f>
        <v/>
      </c>
      <c r="D49" s="5" t="inlineStr">
        <is>
          <t>%</t>
        </is>
      </c>
      <c r="E49" s="12" t="inlineStr">
        <is>
          <t>Checklist by Element, rows 99–132</t>
        </is>
      </c>
    </row>
    <row r="50" ht="16.5" customHeight="1">
      <c r="B50" s="13" t="inlineStr">
        <is>
          <t>Checklist completion — Building services</t>
        </is>
      </c>
      <c r="C50" s="62">
        <f>IF(SUMPRODUCT(--(ISNUMBER('Checklist by Element'!$A$134:$A$160)))=0,"",SUMPRODUCT(--(ISNUMBER('Checklist by Element'!$A$134:$A$160)),--('Checklist by Element'!$F$134:$F$160&lt;&gt;""))/SUMPRODUCT(--(ISNUMBER('Checklist by Element'!$A$134:$A$160))))</f>
        <v/>
      </c>
      <c r="D50" s="5" t="inlineStr">
        <is>
          <t>%</t>
        </is>
      </c>
      <c r="E50" s="12" t="inlineStr">
        <is>
          <t>Checklist by Element, rows 134–160</t>
        </is>
      </c>
    </row>
    <row r="51" ht="16.5" customHeight="1">
      <c r="B51" s="13" t="inlineStr">
        <is>
          <t>Checklist completion — Commissioning, external works and handover</t>
        </is>
      </c>
      <c r="C51" s="62">
        <f>IF(SUMPRODUCT(--(ISNUMBER('Checklist by Element'!$A$162:$A$177)))=0,"",SUMPRODUCT(--(ISNUMBER('Checklist by Element'!$A$162:$A$177)),--('Checklist by Element'!$F$162:$F$177&lt;&gt;""))/SUMPRODUCT(--(ISNUMBER('Checklist by Element'!$A$162:$A$177))))</f>
        <v/>
      </c>
      <c r="D51" s="5" t="inlineStr">
        <is>
          <t>%</t>
        </is>
      </c>
      <c r="E51" s="12" t="inlineStr">
        <is>
          <t>Checklist by Element, rows 162–177</t>
        </is>
      </c>
    </row>
    <row r="52" ht="16.5" customHeight="1">
      <c r="B52" s="13" t="inlineStr">
        <is>
          <t>Items recorded as Pass</t>
        </is>
      </c>
      <c r="C52" s="31">
        <f>COUNTIF('Checklist by Element'!$G$9:$G$177,"Pass")</f>
        <v/>
      </c>
      <c r="D52" s="5" t="inlineStr">
        <is>
          <t>no.</t>
        </is>
      </c>
      <c r="E52" s="12" t="inlineStr">
        <is>
          <t>Checklist by Element, Result column</t>
        </is>
      </c>
    </row>
    <row r="53" ht="16.5" customHeight="1">
      <c r="B53" s="13" t="inlineStr">
        <is>
          <t>Items recorded as Fail</t>
        </is>
      </c>
      <c r="C53" s="31">
        <f>COUNTIF('Checklist by Element'!$G$9:$G$177,"Fail")</f>
        <v/>
      </c>
      <c r="D53" s="5" t="inlineStr">
        <is>
          <t>no.</t>
        </is>
      </c>
      <c r="E53" s="12" t="inlineStr">
        <is>
          <t>Checklist by Element, Result column</t>
        </is>
      </c>
    </row>
    <row r="54" ht="16.5" customHeight="1">
      <c r="B54" s="13" t="inlineStr">
        <is>
          <t>Measurements outside tolerance</t>
        </is>
      </c>
      <c r="C54" s="31">
        <f>COUNTIF('Checklist by Element'!$L$9:$L$177,"Outside")</f>
        <v/>
      </c>
      <c r="D54" s="5" t="inlineStr">
        <is>
          <t>no.</t>
        </is>
      </c>
      <c r="E54" s="12" t="inlineStr">
        <is>
          <t>Checklist by Element, Within Tolerance column</t>
        </is>
      </c>
    </row>
    <row r="56" ht="19.5" customHeight="1">
      <c r="B56" s="4" t="inlineStr">
        <is>
          <t>LOT CONFORMANCE</t>
        </is>
      </c>
      <c r="C56" s="5" t="inlineStr">
        <is>
          <t>VALUE</t>
        </is>
      </c>
      <c r="D56" s="5" t="inlineStr">
        <is>
          <t>UNIT</t>
        </is>
      </c>
      <c r="E56" s="5" t="inlineStr">
        <is>
          <t>WHERE TO LOOK</t>
        </is>
      </c>
    </row>
    <row r="57" ht="16.5" customHeight="1">
      <c r="B57" s="13" t="inlineStr">
        <is>
          <t>Lots opened</t>
        </is>
      </c>
      <c r="C57" s="31">
        <f>SUMPRODUCT(--('Lot Register'!$A$9:$A$33&lt;&gt;""))</f>
        <v/>
      </c>
      <c r="D57" s="5" t="inlineStr">
        <is>
          <t>no.</t>
        </is>
      </c>
      <c r="E57" s="12" t="inlineStr">
        <is>
          <t>Lot Register, Lot No. column</t>
        </is>
      </c>
    </row>
    <row r="58" ht="16.5" customHeight="1">
      <c r="B58" s="13" t="inlineStr">
        <is>
          <t>Lots closed</t>
        </is>
      </c>
      <c r="C58" s="31">
        <f>SUMPRODUCT(--('Lot Register'!$A$9:$A$33&lt;&gt;""),--('Lot Register'!$O$9:$O$33&lt;&gt;""))</f>
        <v/>
      </c>
      <c r="D58" s="5" t="inlineStr">
        <is>
          <t>no.</t>
        </is>
      </c>
      <c r="E58" s="12" t="inlineStr">
        <is>
          <t>Lot Register, Lot Closed column</t>
        </is>
      </c>
    </row>
    <row r="59" ht="16.5" customHeight="1">
      <c r="B59" s="13" t="inlineStr">
        <is>
          <t>Lots conforming</t>
        </is>
      </c>
      <c r="C59" s="31">
        <f>COUNTIF('Lot Register'!$N$9:$N$33,"Conforming")</f>
        <v/>
      </c>
      <c r="D59" s="5" t="inlineStr">
        <is>
          <t>no.</t>
        </is>
      </c>
      <c r="E59" s="12" t="inlineStr">
        <is>
          <t>Lot Register, Conformance Status column</t>
        </is>
      </c>
    </row>
    <row r="60" ht="16.5" customHeight="1">
      <c r="B60" s="13" t="inlineStr">
        <is>
          <t>Lots non-conforming</t>
        </is>
      </c>
      <c r="C60" s="31">
        <f>COUNTIF('Lot Register'!$N$9:$N$33,"Non-conforming")</f>
        <v/>
      </c>
      <c r="D60" s="5" t="inlineStr">
        <is>
          <t>no.</t>
        </is>
      </c>
      <c r="E60" s="12" t="inlineStr">
        <is>
          <t>Lot Register, Conformance Status column</t>
        </is>
      </c>
    </row>
    <row r="61" ht="16.5" customHeight="1">
      <c r="B61" s="13" t="inlineStr">
        <is>
          <t>Lots incomplete</t>
        </is>
      </c>
      <c r="C61" s="31">
        <f>COUNTIF('Lot Register'!$N$9:$N$33,"Incomplete")</f>
        <v/>
      </c>
      <c r="D61" s="5" t="inlineStr">
        <is>
          <t>no.</t>
        </is>
      </c>
      <c r="E61" s="12" t="inlineStr">
        <is>
          <t>Lot Register, Conformance Status column</t>
        </is>
      </c>
    </row>
    <row r="62" ht="16.5" customHeight="1">
      <c r="B62" s="13" t="inlineStr">
        <is>
          <t>Lots closed while not conforming</t>
        </is>
      </c>
      <c r="C62" s="31">
        <f>SUMPRODUCT(--('Lot Register'!$O$9:$O$33&lt;&gt;""),--('Lot Register'!$N$9:$N$33&lt;&gt;"Conforming"),--('Lot Register'!$N$9:$N$33&lt;&gt;""))</f>
        <v/>
      </c>
      <c r="D62" s="5" t="inlineStr">
        <is>
          <t>no.</t>
        </is>
      </c>
      <c r="E62" s="12" t="inlineStr">
        <is>
          <t>Lot Register — a closed lot must be conforming</t>
        </is>
      </c>
    </row>
    <row r="63" ht="16.5" customHeight="1">
      <c r="B63" s="13" t="inlineStr">
        <is>
          <t>Average days a lot stays open</t>
        </is>
      </c>
      <c r="C63" s="63">
        <f>IF(SUMPRODUCT(--(ISNUMBER('Lot Register'!$P$9:$P$33)))=0,"",ROUND(SUMPRODUCT('Lot Register'!$P$9:$P$33,--(ISNUMBER('Lot Register'!$P$9:$P$33)))/SUMPRODUCT(--(ISNUMBER('Lot Register'!$P$9:$P$33))),1))</f>
        <v/>
      </c>
      <c r="D63" s="5" t="inlineStr">
        <is>
          <t>days</t>
        </is>
      </c>
      <c r="E63" s="12" t="inlineStr">
        <is>
          <t>Lot Register, Days Open column</t>
        </is>
      </c>
    </row>
    <row r="65" ht="19.5" customHeight="1">
      <c r="B65" s="4" t="inlineStr">
        <is>
          <t>NON-CONFORMANCES</t>
        </is>
      </c>
      <c r="C65" s="5" t="inlineStr">
        <is>
          <t>VALUE</t>
        </is>
      </c>
      <c r="D65" s="5" t="inlineStr">
        <is>
          <t>UNIT</t>
        </is>
      </c>
      <c r="E65" s="5" t="inlineStr">
        <is>
          <t>WHERE TO LOOK</t>
        </is>
      </c>
    </row>
    <row r="66" ht="16.5" customHeight="1">
      <c r="B66" s="13" t="inlineStr">
        <is>
          <t>Non-conformances raised</t>
        </is>
      </c>
      <c r="C66" s="31">
        <f>SUMPRODUCT(--('Non-Conformance Register'!$A$9:$A$33&lt;&gt;""))</f>
        <v/>
      </c>
      <c r="D66" s="5" t="inlineStr">
        <is>
          <t>no.</t>
        </is>
      </c>
      <c r="E66" s="12" t="inlineStr">
        <is>
          <t>Non-Conformance Register, NCR No. column</t>
        </is>
      </c>
    </row>
    <row r="67" ht="16.5" customHeight="1">
      <c r="B67" s="13" t="inlineStr">
        <is>
          <t>Severity — Critical</t>
        </is>
      </c>
      <c r="C67" s="31">
        <f>COUNTIF('Non-Conformance Register'!$H$9:$H$33,"Critical")</f>
        <v/>
      </c>
      <c r="D67" s="5" t="inlineStr">
        <is>
          <t>no.</t>
        </is>
      </c>
      <c r="E67" s="12" t="inlineStr">
        <is>
          <t>Non-Conformance Register, Severity column</t>
        </is>
      </c>
    </row>
    <row r="68" ht="16.5" customHeight="1">
      <c r="B68" s="13" t="inlineStr">
        <is>
          <t>Severity — Major</t>
        </is>
      </c>
      <c r="C68" s="31">
        <f>COUNTIF('Non-Conformance Register'!$H$9:$H$33,"Major")</f>
        <v/>
      </c>
      <c r="D68" s="5" t="inlineStr">
        <is>
          <t>no.</t>
        </is>
      </c>
      <c r="E68" s="12" t="inlineStr">
        <is>
          <t>Non-Conformance Register, Severity column</t>
        </is>
      </c>
    </row>
    <row r="69" ht="16.5" customHeight="1">
      <c r="B69" s="13" t="inlineStr">
        <is>
          <t>Severity — Minor</t>
        </is>
      </c>
      <c r="C69" s="31">
        <f>COUNTIF('Non-Conformance Register'!$H$9:$H$33,"Minor")</f>
        <v/>
      </c>
      <c r="D69" s="5" t="inlineStr">
        <is>
          <t>no.</t>
        </is>
      </c>
      <c r="E69" s="12" t="inlineStr">
        <is>
          <t>Non-Conformance Register, Severity column</t>
        </is>
      </c>
    </row>
    <row r="70" ht="16.5" customHeight="1">
      <c r="B70" s="13" t="inlineStr">
        <is>
          <t>Severity — Observation</t>
        </is>
      </c>
      <c r="C70" s="31">
        <f>COUNTIF('Non-Conformance Register'!$H$9:$H$33,"Observation")</f>
        <v/>
      </c>
      <c r="D70" s="5" t="inlineStr">
        <is>
          <t>no.</t>
        </is>
      </c>
      <c r="E70" s="12" t="inlineStr">
        <is>
          <t>Non-Conformance Register, Severity column</t>
        </is>
      </c>
    </row>
    <row r="71" ht="16.5" customHeight="1">
      <c r="B71" s="13" t="inlineStr">
        <is>
          <t>Open</t>
        </is>
      </c>
      <c r="C71" s="31">
        <f>COUNTIF('Non-Conformance Register'!$T$9:$T$33,"Open")</f>
        <v/>
      </c>
      <c r="D71" s="5" t="inlineStr">
        <is>
          <t>no.</t>
        </is>
      </c>
      <c r="E71" s="12" t="inlineStr">
        <is>
          <t>Non-Conformance Register, Status column</t>
        </is>
      </c>
    </row>
    <row r="72" ht="16.5" customHeight="1">
      <c r="B72" s="13" t="inlineStr">
        <is>
          <t>OVERDUE against the calculated target</t>
        </is>
      </c>
      <c r="C72" s="31">
        <f>COUNTIF('Non-Conformance Register'!$T$9:$T$33,"OVERDUE")</f>
        <v/>
      </c>
      <c r="D72" s="5" t="inlineStr">
        <is>
          <t>no.</t>
        </is>
      </c>
      <c r="E72" s="12" t="inlineStr">
        <is>
          <t>Non-Conformance Register, Status column — targets set on Lists</t>
        </is>
      </c>
    </row>
    <row r="73" ht="16.5" customHeight="1">
      <c r="B73" s="13" t="inlineStr">
        <is>
          <t>Closed</t>
        </is>
      </c>
      <c r="C73" s="31">
        <f>COUNTIF('Non-Conformance Register'!$T$9:$T$33,"Closed")</f>
        <v/>
      </c>
      <c r="D73" s="5" t="inlineStr">
        <is>
          <t>no.</t>
        </is>
      </c>
      <c r="E73" s="12" t="inlineStr">
        <is>
          <t>Non-Conformance Register, Status column</t>
        </is>
      </c>
    </row>
    <row r="74" ht="16.5" customHeight="1">
      <c r="B74" s="13" t="inlineStr">
        <is>
          <t>Closed with no verification recorded</t>
        </is>
      </c>
      <c r="C74" s="31">
        <f>SUMPRODUCT(--('Non-Conformance Register'!$R$9:$R$33&lt;&gt;""),--('Non-Conformance Register'!$U$9:$U$33=""))</f>
        <v/>
      </c>
      <c r="D74" s="5" t="inlineStr">
        <is>
          <t>no.</t>
        </is>
      </c>
      <c r="E74" s="12" t="inlineStr">
        <is>
          <t>Non-Conformance Register, Verified Closed By column</t>
        </is>
      </c>
    </row>
    <row r="75" ht="16.5" customHeight="1">
      <c r="B75" s="13" t="inlineStr">
        <is>
          <t>Average days to close (closed rows only)</t>
        </is>
      </c>
      <c r="C75" s="63">
        <f>IF(SUMPRODUCT(--('Non-Conformance Register'!$R$9:$R$33&lt;&gt;""),--(ISNUMBER('Non-Conformance Register'!$S$9:$S$33)))=0,"",ROUND(SUMPRODUCT('Non-Conformance Register'!$S$9:$S$33,--('Non-Conformance Register'!$R$9:$R$33&lt;&gt;""),--(ISNUMBER('Non-Conformance Register'!$S$9:$S$33)))/SUMPRODUCT(--('Non-Conformance Register'!$R$9:$R$33&lt;&gt;""),--(ISNUMBER('Non-Conformance Register'!$S$9:$S$33))),1))</f>
        <v/>
      </c>
      <c r="D75" s="5" t="inlineStr">
        <is>
          <t>days</t>
        </is>
      </c>
      <c r="E75" s="12" t="inlineStr">
        <is>
          <t>Non-Conformance Register, Days Open column</t>
        </is>
      </c>
    </row>
    <row r="76" ht="16.5" customHeight="1">
      <c r="B76" s="13" t="inlineStr">
        <is>
          <t>Dispositions using a concession or a regrade</t>
        </is>
      </c>
      <c r="C76" s="31">
        <f>COUNTIF('Non-Conformance Register'!$J$9:$J$33,"Use as is with concession")+COUNTIF('Non-Conformance Register'!$J$9:$J$33,"Regrade")</f>
        <v/>
      </c>
      <c r="D76" s="5" t="inlineStr">
        <is>
          <t>no.</t>
        </is>
      </c>
      <c r="E76" s="12" t="inlineStr">
        <is>
          <t>Non-Conformance Register, Disposition column</t>
        </is>
      </c>
    </row>
    <row r="77" ht="16.5" customHeight="1">
      <c r="B77" s="13" t="inlineStr">
        <is>
          <t>Total cost impact recorded</t>
        </is>
      </c>
      <c r="C77" s="49">
        <f>IF(COUNT('Non-Conformance Register'!$O$9:$O$33)=0,"",SUM('Non-Conformance Register'!$O$9:$O$33))</f>
        <v/>
      </c>
      <c r="D77" s="53">
        <f>IF(Proj_Currency="","[CUR]",Proj_Currency)</f>
        <v/>
      </c>
      <c r="E77" s="12" t="inlineStr">
        <is>
          <t>Non-Conformance Register, Cost Impact column</t>
        </is>
      </c>
    </row>
    <row r="79" ht="19.5" customHeight="1">
      <c r="B79" s="4" t="inlineStr">
        <is>
          <t>TESTS AND CERTIFICATES</t>
        </is>
      </c>
      <c r="C79" s="5" t="inlineStr">
        <is>
          <t>VALUE</t>
        </is>
      </c>
      <c r="D79" s="5" t="inlineStr">
        <is>
          <t>UNIT</t>
        </is>
      </c>
      <c r="E79" s="5" t="inlineStr">
        <is>
          <t>WHERE TO LOOK</t>
        </is>
      </c>
    </row>
    <row r="80" ht="16.5" customHeight="1">
      <c r="B80" s="13" t="inlineStr">
        <is>
          <t>Tests and certificates recorded</t>
        </is>
      </c>
      <c r="C80" s="31">
        <f>SUMPRODUCT(--('Test &amp; Certificate Register'!$A$9:$A$38&lt;&gt;""))</f>
        <v/>
      </c>
      <c r="D80" s="5" t="inlineStr">
        <is>
          <t>no.</t>
        </is>
      </c>
      <c r="E80" s="12" t="inlineStr">
        <is>
          <t>Test &amp; Certificate Register, Ref column</t>
        </is>
      </c>
    </row>
    <row r="81" ht="16.5" customHeight="1">
      <c r="B81" s="13" t="inlineStr">
        <is>
          <t>Results judged by the comparison formula</t>
        </is>
      </c>
      <c r="C81" s="31">
        <f>SUMPRODUCT(--(('Test &amp; Certificate Register'!$N$9:$N$38="Pass")+('Test &amp; Certificate Register'!$N$9:$N$38="Fail")&gt;0))</f>
        <v/>
      </c>
      <c r="D81" s="5" t="inlineStr">
        <is>
          <t>no.</t>
        </is>
      </c>
      <c r="E81" s="12" t="inlineStr">
        <is>
          <t>Test &amp; Certificate Register, Result column</t>
        </is>
      </c>
    </row>
    <row r="82" ht="16.5" customHeight="1">
      <c r="B82" s="13" t="inlineStr">
        <is>
          <t>Passed</t>
        </is>
      </c>
      <c r="C82" s="31">
        <f>COUNTIF('Test &amp; Certificate Register'!$N$9:$N$38,"Pass")</f>
        <v/>
      </c>
      <c r="D82" s="5" t="inlineStr">
        <is>
          <t>no.</t>
        </is>
      </c>
      <c r="E82" s="12" t="inlineStr">
        <is>
          <t>Test &amp; Certificate Register, Result column</t>
        </is>
      </c>
    </row>
    <row r="83" ht="16.5" customHeight="1">
      <c r="B83" s="13" t="inlineStr">
        <is>
          <t>Failed</t>
        </is>
      </c>
      <c r="C83" s="31">
        <f>COUNTIF('Test &amp; Certificate Register'!$N$9:$N$38,"Fail")</f>
        <v/>
      </c>
      <c r="D83" s="5" t="inlineStr">
        <is>
          <t>no.</t>
        </is>
      </c>
      <c r="E83" s="12" t="inlineStr">
        <is>
          <t>Test &amp; Certificate Register, Result column</t>
        </is>
      </c>
    </row>
    <row r="84" ht="16.5" customHeight="1">
      <c r="B84" s="13" t="inlineStr">
        <is>
          <t>Test pass rate</t>
        </is>
      </c>
      <c r="C84" s="62">
        <f>IF(SUMPRODUCT(--(('Test &amp; Certificate Register'!$N$9:$N$38="Pass")+('Test &amp; Certificate Register'!$N$9:$N$38="Fail")&gt;0))=0,"",COUNTIF('Test &amp; Certificate Register'!$N$9:$N$38,"Pass")/SUMPRODUCT(--(('Test &amp; Certificate Register'!$N$9:$N$38="Pass")+('Test &amp; Certificate Register'!$N$9:$N$38="Fail")&gt;0)))</f>
        <v/>
      </c>
      <c r="D84" s="5" t="inlineStr">
        <is>
          <t>%</t>
        </is>
      </c>
      <c r="E84" s="12" t="inlineStr">
        <is>
          <t>Test &amp; Certificate Register — passed ÷ judged</t>
        </is>
      </c>
    </row>
    <row r="85" ht="16.5" customHeight="1">
      <c r="B85" s="13" t="inlineStr">
        <is>
          <t>Retests required</t>
        </is>
      </c>
      <c r="C85" s="31">
        <f>COUNTIF('Test &amp; Certificate Register'!$Q$9:$Q$38,"Yes")</f>
        <v/>
      </c>
      <c r="D85" s="5" t="inlineStr">
        <is>
          <t>no.</t>
        </is>
      </c>
      <c r="E85" s="12" t="inlineStr">
        <is>
          <t>Test &amp; Certificate Register, Retest Required column</t>
        </is>
      </c>
    </row>
    <row r="86" ht="16.5" customHeight="1">
      <c r="B86" s="13" t="inlineStr">
        <is>
          <t>Awaiting certificate</t>
        </is>
      </c>
      <c r="C86" s="31">
        <f>SUMPRODUCT(--('Test &amp; Certificate Register'!$A$9:$A$38&lt;&gt;""),--('Test &amp; Certificate Register'!$O$9:$O$38&lt;&gt;"Yes"))</f>
        <v/>
      </c>
      <c r="D86" s="5" t="inlineStr">
        <is>
          <t>no.</t>
        </is>
      </c>
      <c r="E86" s="12" t="inlineStr">
        <is>
          <t>Test &amp; Certificate Register, Certificate Received column</t>
        </is>
      </c>
    </row>
    <row r="87" ht="16.5" customHeight="1">
      <c r="B87" s="13" t="inlineStr">
        <is>
          <t>Rows the formula could not judge</t>
        </is>
      </c>
      <c r="C87" s="31">
        <f>SUMPRODUCT(--('Test &amp; Certificate Register'!$A$9:$A$38&lt;&gt;""),--(('Test &amp; Certificate Register'!$N$9:$N$38="Set limits")+('Test &amp; Certificate Register'!$N$9:$N$38="Check value")+('Test &amp; Certificate Register'!$N$9:$N$38="Check operator")&gt;0))</f>
        <v/>
      </c>
      <c r="D87" s="5" t="inlineStr">
        <is>
          <t>no.</t>
        </is>
      </c>
      <c r="E87" s="12" t="inlineStr">
        <is>
          <t>Test &amp; Certificate Register — a limit or the operator is missing</t>
        </is>
      </c>
    </row>
    <row r="89" ht="53" customHeight="1">
      <c r="B89" s="13" t="inlineStr">
        <is>
          <t>Read the dashboard as a set. A first-time-pass rate of 100% with two inspections carried out is not quality, it is a plan that is not being worked. A falling non-conformance count with a falling inspection count is not improvement, it is a register going quiet. And a single outstanding hold point outranks every other number on this sheet — it means work is either stopped, or it has proceeded when it should not have.</t>
        </is>
      </c>
    </row>
    <row r="90" ht="40" customHeight="1">
      <c r="B90" s="13" t="inlineStr">
        <is>
          <t>Before a progress claim, a handover offer or an audit, check four things: no hold point outstanding, no lot closed while non-conforming, no non-conformance closed without verification, and no test result relied on without its certificate. Each of those has its own line above.</t>
        </is>
      </c>
    </row>
    <row r="92" ht="16.5" customHeight="1">
      <c r="A92" s="66" t="inlineStr">
        <is>
          <t>Mastt template  ·  mastt.com  ·  © 2026 Mastt</t>
        </is>
      </c>
      <c r="B92" s="59" t="n"/>
      <c r="C92" s="59" t="n"/>
      <c r="D92" s="59" t="n"/>
      <c r="E92" s="59" t="n"/>
      <c r="F92" s="59" t="n"/>
    </row>
  </sheetData>
  <mergeCells count="11">
    <mergeCell ref="C12:D12"/>
    <mergeCell ref="C3:F3"/>
    <mergeCell ref="C15:D15"/>
    <mergeCell ref="C11:D11"/>
    <mergeCell ref="C14:D14"/>
    <mergeCell ref="B90:E90"/>
    <mergeCell ref="C13:D13"/>
    <mergeCell ref="A8:E8"/>
    <mergeCell ref="A92:F92"/>
    <mergeCell ref="C2:F2"/>
    <mergeCell ref="B89:E89"/>
  </mergeCells>
  <conditionalFormatting sqref="C22">
    <cfRule type="expression" priority="1" dxfId="7" stopIfTrue="0">
      <formula>AND(ISNUMBER($C$22),$C$22&gt;0)</formula>
    </cfRule>
  </conditionalFormatting>
  <conditionalFormatting sqref="C23">
    <cfRule type="expression" priority="2" dxfId="0" stopIfTrue="0">
      <formula>AND(ISNUMBER($C$23),$C$23&gt;0)</formula>
    </cfRule>
  </conditionalFormatting>
  <conditionalFormatting sqref="C24">
    <cfRule type="expression" priority="3" dxfId="7" stopIfTrue="0">
      <formula>AND(ISNUMBER($C$24),$C$24&gt;0)</formula>
    </cfRule>
  </conditionalFormatting>
  <conditionalFormatting sqref="C25">
    <cfRule type="expression" priority="4" dxfId="0" stopIfTrue="0">
      <formula>AND(ISNUMBER($C$25),$C$25&gt;0)</formula>
    </cfRule>
  </conditionalFormatting>
  <conditionalFormatting sqref="C26">
    <cfRule type="expression" priority="5" dxfId="7" stopIfTrue="0">
      <formula>AND(ISNUMBER($C$26),$C$26&gt;0)</formula>
    </cfRule>
  </conditionalFormatting>
  <conditionalFormatting sqref="C28">
    <cfRule type="expression" priority="6" dxfId="1" stopIfTrue="0">
      <formula>AND(ISNUMBER($C$28),$C$28&gt;=FTP_Target)</formula>
    </cfRule>
    <cfRule type="expression" priority="7" dxfId="7" stopIfTrue="0">
      <formula>AND(ISNUMBER($C$28),$C$28&lt;FTP_Target)</formula>
    </cfRule>
  </conditionalFormatting>
  <conditionalFormatting sqref="C30">
    <cfRule type="expression" priority="8" dxfId="0" stopIfTrue="0">
      <formula>AND(ISNUMBER($C$30),$C$30&gt;0)</formula>
    </cfRule>
  </conditionalFormatting>
  <conditionalFormatting sqref="C36">
    <cfRule type="expression" priority="9" dxfId="0" stopIfTrue="0">
      <formula>AND(ISNUMBER($C$36),$C$36&gt;0)</formula>
    </cfRule>
  </conditionalFormatting>
  <conditionalFormatting sqref="C37">
    <cfRule type="expression" priority="10" dxfId="0" stopIfTrue="0">
      <formula>AND(ISNUMBER($C$37),$C$37&gt;0)</formula>
    </cfRule>
  </conditionalFormatting>
  <conditionalFormatting sqref="C44">
    <cfRule type="expression" priority="11" dxfId="1" stopIfTrue="0">
      <formula>AND(ISNUMBER($C$44),$C$44&gt;=Checklist_Target)</formula>
    </cfRule>
    <cfRule type="expression" priority="12" dxfId="7" stopIfTrue="0">
      <formula>AND(ISNUMBER($C$44),$C$44&lt;Checklist_Target)</formula>
    </cfRule>
  </conditionalFormatting>
  <conditionalFormatting sqref="C46">
    <cfRule type="expression" priority="13" dxfId="1" stopIfTrue="0">
      <formula>AND(ISNUMBER($C$46),$C$46&gt;=Checklist_Target)</formula>
    </cfRule>
    <cfRule type="expression" priority="14" dxfId="7" stopIfTrue="0">
      <formula>AND(ISNUMBER($C$46),$C$46&lt;Checklist_Target)</formula>
    </cfRule>
  </conditionalFormatting>
  <conditionalFormatting sqref="C47">
    <cfRule type="expression" priority="15" dxfId="1" stopIfTrue="0">
      <formula>AND(ISNUMBER($C$47),$C$47&gt;=Checklist_Target)</formula>
    </cfRule>
    <cfRule type="expression" priority="16" dxfId="7" stopIfTrue="0">
      <formula>AND(ISNUMBER($C$47),$C$47&lt;Checklist_Target)</formula>
    </cfRule>
  </conditionalFormatting>
  <conditionalFormatting sqref="C48">
    <cfRule type="expression" priority="17" dxfId="1" stopIfTrue="0">
      <formula>AND(ISNUMBER($C$48),$C$48&gt;=Checklist_Target)</formula>
    </cfRule>
    <cfRule type="expression" priority="18" dxfId="7" stopIfTrue="0">
      <formula>AND(ISNUMBER($C$48),$C$48&lt;Checklist_Target)</formula>
    </cfRule>
  </conditionalFormatting>
  <conditionalFormatting sqref="C49">
    <cfRule type="expression" priority="19" dxfId="1" stopIfTrue="0">
      <formula>AND(ISNUMBER($C$49),$C$49&gt;=Checklist_Target)</formula>
    </cfRule>
    <cfRule type="expression" priority="20" dxfId="7" stopIfTrue="0">
      <formula>AND(ISNUMBER($C$49),$C$49&lt;Checklist_Target)</formula>
    </cfRule>
  </conditionalFormatting>
  <conditionalFormatting sqref="C50">
    <cfRule type="expression" priority="21" dxfId="1" stopIfTrue="0">
      <formula>AND(ISNUMBER($C$50),$C$50&gt;=Checklist_Target)</formula>
    </cfRule>
    <cfRule type="expression" priority="22" dxfId="7" stopIfTrue="0">
      <formula>AND(ISNUMBER($C$50),$C$50&lt;Checklist_Target)</formula>
    </cfRule>
  </conditionalFormatting>
  <conditionalFormatting sqref="C51">
    <cfRule type="expression" priority="23" dxfId="1" stopIfTrue="0">
      <formula>AND(ISNUMBER($C$51),$C$51&gt;=Checklist_Target)</formula>
    </cfRule>
    <cfRule type="expression" priority="24" dxfId="7" stopIfTrue="0">
      <formula>AND(ISNUMBER($C$51),$C$51&lt;Checklist_Target)</formula>
    </cfRule>
  </conditionalFormatting>
  <conditionalFormatting sqref="C53">
    <cfRule type="expression" priority="25" dxfId="0" stopIfTrue="0">
      <formula>AND(ISNUMBER($C$53),$C$53&gt;0)</formula>
    </cfRule>
  </conditionalFormatting>
  <conditionalFormatting sqref="C54">
    <cfRule type="expression" priority="26" dxfId="0" stopIfTrue="0">
      <formula>AND(ISNUMBER($C$54),$C$54&gt;0)</formula>
    </cfRule>
  </conditionalFormatting>
  <conditionalFormatting sqref="C60">
    <cfRule type="expression" priority="27" dxfId="0" stopIfTrue="0">
      <formula>AND(ISNUMBER($C$60),$C$60&gt;0)</formula>
    </cfRule>
  </conditionalFormatting>
  <conditionalFormatting sqref="C61">
    <cfRule type="expression" priority="28" dxfId="7" stopIfTrue="0">
      <formula>AND(ISNUMBER($C$61),$C$61&gt;0)</formula>
    </cfRule>
  </conditionalFormatting>
  <conditionalFormatting sqref="C62">
    <cfRule type="expression" priority="29" dxfId="0" stopIfTrue="0">
      <formula>AND(ISNUMBER($C$62),$C$62&gt;0)</formula>
    </cfRule>
  </conditionalFormatting>
  <conditionalFormatting sqref="C67">
    <cfRule type="expression" priority="30" dxfId="0" stopIfTrue="0">
      <formula>AND(ISNUMBER($C$67),$C$67&gt;0)</formula>
    </cfRule>
  </conditionalFormatting>
  <conditionalFormatting sqref="C68">
    <cfRule type="expression" priority="31" dxfId="7" stopIfTrue="0">
      <formula>AND(ISNUMBER($C$68),$C$68&gt;0)</formula>
    </cfRule>
  </conditionalFormatting>
  <conditionalFormatting sqref="C71">
    <cfRule type="expression" priority="32" dxfId="7" stopIfTrue="0">
      <formula>AND(ISNUMBER($C$71),$C$71&gt;0)</formula>
    </cfRule>
  </conditionalFormatting>
  <conditionalFormatting sqref="C72">
    <cfRule type="expression" priority="33" dxfId="0" stopIfTrue="0">
      <formula>AND(ISNUMBER($C$72),$C$72&gt;0)</formula>
    </cfRule>
  </conditionalFormatting>
  <conditionalFormatting sqref="C74">
    <cfRule type="expression" priority="34" dxfId="0" stopIfTrue="0">
      <formula>AND(ISNUMBER($C$74),$C$74&gt;0)</formula>
    </cfRule>
  </conditionalFormatting>
  <conditionalFormatting sqref="C76">
    <cfRule type="expression" priority="35" dxfId="7" stopIfTrue="0">
      <formula>AND(ISNUMBER($C$76),$C$76&gt;0)</formula>
    </cfRule>
  </conditionalFormatting>
  <conditionalFormatting sqref="C83">
    <cfRule type="expression" priority="36" dxfId="0" stopIfTrue="0">
      <formula>AND(ISNUMBER($C$83),$C$83&gt;0)</formula>
    </cfRule>
  </conditionalFormatting>
  <conditionalFormatting sqref="C85">
    <cfRule type="expression" priority="37" dxfId="0" stopIfTrue="0">
      <formula>AND(ISNUMBER($C$85),$C$85&gt;0)</formula>
    </cfRule>
  </conditionalFormatting>
  <conditionalFormatting sqref="C86">
    <cfRule type="expression" priority="38" dxfId="7" stopIfTrue="0">
      <formula>AND(ISNUMBER($C$86),$C$86&gt;0)</formula>
    </cfRule>
  </conditionalFormatting>
  <conditionalFormatting sqref="C87">
    <cfRule type="expression" priority="39" dxfId="7" stopIfTrue="0">
      <formula>AND(ISNUMBER($C$87),$C$87&gt;0)</formula>
    </cfRule>
  </conditionalFormatting>
  <hyperlinks>
    <hyperlink xmlns:r="http://schemas.openxmlformats.org/officeDocument/2006/relationships" ref="A92" r:id="rId1"/>
  </hyperlinks>
  <printOptions horizontalCentered="0"/>
  <pageMargins left="0.3" right="0.3" top="0.5" bottom="0.5" header="0.2" footer="0.3"/>
  <pageSetup orientation="landscape" paperSize="8" fitToHeight="0" fitToWidth="1"/>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8.xml><?xml version="1.0" encoding="utf-8"?>
<worksheet xmlns="http://schemas.openxmlformats.org/spreadsheetml/2006/main">
  <sheetPr>
    <outlinePr summaryBelow="1" summaryRight="1"/>
    <pageSetUpPr fitToPage="1"/>
  </sheetPr>
  <dimension ref="A2:U58"/>
  <sheetViews>
    <sheetView showGridLines="0" workbookViewId="0">
      <selection activeCell="A1" sqref="A1"/>
    </sheetView>
  </sheetViews>
  <sheetFormatPr baseColWidth="8" defaultRowHeight="15"/>
  <cols>
    <col width="2.5" customWidth="1" min="1" max="1"/>
    <col width="26" customWidth="1" min="2" max="2"/>
    <col width="18" customWidth="1" min="3" max="3"/>
    <col width="22" customWidth="1" min="4" max="4"/>
    <col width="28" customWidth="1" min="5" max="5"/>
    <col width="24" customWidth="1" min="6" max="6"/>
    <col width="20" customWidth="1" min="7" max="7"/>
    <col width="20" customWidth="1" min="8" max="8"/>
    <col width="16" customWidth="1" min="9" max="9"/>
    <col width="34" customWidth="1" min="10" max="10"/>
    <col width="14" customWidth="1" min="11" max="11"/>
    <col width="16" customWidth="1" min="12" max="12"/>
    <col width="34" customWidth="1" min="13" max="13"/>
    <col width="28" customWidth="1" min="14" max="14"/>
    <col width="30" customWidth="1" min="15" max="15"/>
    <col width="16" customWidth="1" min="16" max="16"/>
    <col width="14" customWidth="1" min="17" max="17"/>
    <col width="36" customWidth="1" min="18" max="18"/>
    <col width="30" customWidth="1" min="19" max="19"/>
    <col width="40" customWidth="1" min="20" max="20"/>
    <col width="2.5" customWidth="1" min="21" max="21"/>
  </cols>
  <sheetData>
    <row r="1" ht="3.75" customHeight="1"/>
    <row r="2" ht="27.75" customHeight="1">
      <c r="A2" s="1" t="inlineStr">
        <is>
          <t xml:space="preserve"> </t>
        </is>
      </c>
      <c r="B2" s="1" t="n"/>
      <c r="C2" s="2" t="inlineStr">
        <is>
          <t>Construction Quality Control Checklist / Inspection &amp; Test Plan</t>
        </is>
      </c>
    </row>
    <row r="3" ht="12.75" customHeight="1">
      <c r="A3" s="1" t="n"/>
      <c r="B3" s="1" t="n"/>
      <c r="C3" s="3" t="inlineStr">
        <is>
          <t>Lists  ·  settings, close-out targets and every dropdown source</t>
        </is>
      </c>
    </row>
    <row r="4" ht="6" customHeight="1"/>
    <row r="6" ht="19.5" customHeight="1">
      <c r="B6" s="4" t="inlineStr">
        <is>
          <t>SETTINGS — REFERENCED BY THE CALCULATED COLUMNS</t>
        </is>
      </c>
    </row>
    <row r="7" ht="15" customHeight="1">
      <c r="B7" s="12" t="inlineStr">
        <is>
          <t>Change a value in the shaded cell and every sheet that uses it updates. Do not move these cells — they are named ranges.</t>
        </is>
      </c>
    </row>
    <row r="9" ht="30" customHeight="1">
      <c r="B9" s="13" t="inlineStr">
        <is>
          <t>Inspection Overdue Warning (days)</t>
        </is>
      </c>
      <c r="C9" s="54" t="n">
        <v>3</v>
      </c>
      <c r="D9" s="12" t="inlineStr">
        <is>
          <t>An inspection whose planned date falls within this many days and which has no actual date is reported as due on the Quality Dashboard. Once the planned date has passed, the Inspection &amp; Test Plan counts the row as Overdue and reports the number of days. Set it to the notice period your contract requires for calling a Client-witnessed inspection.</t>
        </is>
      </c>
    </row>
    <row r="10" ht="30" customHeight="1">
      <c r="B10" s="13" t="inlineStr">
        <is>
          <t>Hold-Point Escalation (days)</t>
        </is>
      </c>
      <c r="C10" s="54" t="n">
        <v>2</v>
      </c>
      <c r="D10" s="12" t="inlineStr">
        <is>
          <t>Days a hold point may remain unreleased past its planned inspection date before it is escalated. A hold point stops the work: the point of this figure is that nobody waits quietly. Two days is a common site setting; shorten it where the following activity is on the critical path.</t>
        </is>
      </c>
    </row>
    <row r="11" ht="30" customHeight="1">
      <c r="B11" s="13" t="inlineStr">
        <is>
          <t>NCR Close-Out Target — Critical (days)</t>
        </is>
      </c>
      <c r="C11" s="54" t="n">
        <v>7</v>
      </c>
      <c r="D11" s="12" t="inlineStr">
        <is>
          <t>Calendar days from the date a Critical non-conformance is raised to the target close-out date, calculated for you on the Non-Conformance Register. Critical means the non-conformance affects structural adequacy, fire or life safety, or a clinical service.</t>
        </is>
      </c>
    </row>
    <row r="12" ht="30" customHeight="1">
      <c r="B12" s="13" t="inlineStr">
        <is>
          <t>NCR Close-Out Target — Major (days)</t>
        </is>
      </c>
      <c r="C12" s="54" t="n">
        <v>14</v>
      </c>
      <c r="D12" s="12" t="inlineStr">
        <is>
          <t>Target close-out period for a Major non-conformance — one that requires rework, a concession or a design decision before the work can be covered up or handed over.</t>
        </is>
      </c>
    </row>
    <row r="13" ht="30" customHeight="1">
      <c r="B13" s="13" t="inlineStr">
        <is>
          <t>NCR Close-Out Target — Minor (days)</t>
        </is>
      </c>
      <c r="C13" s="54" t="n">
        <v>30</v>
      </c>
      <c r="D13" s="12" t="inlineStr">
        <is>
          <t>Target close-out period for a Minor non-conformance — one that is readily rectified and does not hold following work.</t>
        </is>
      </c>
    </row>
    <row r="14" ht="30" customHeight="1">
      <c r="B14" s="13" t="inlineStr">
        <is>
          <t>NCR Close-Out Target — Observation (days)</t>
        </is>
      </c>
      <c r="C14" s="54" t="n">
        <v>60</v>
      </c>
      <c r="D14" s="12" t="inlineStr">
        <is>
          <t>Target close-out period for an Observation — a finding recorded to prevent recurrence rather than to require rectification of the work already done.</t>
        </is>
      </c>
    </row>
    <row r="15" ht="30" customHeight="1">
      <c r="B15" s="13" t="inlineStr">
        <is>
          <t>First-Time-Pass Target (%)</t>
        </is>
      </c>
      <c r="C15" s="55" t="n">
        <v>0.95</v>
      </c>
      <c r="D15" s="12" t="inlineStr">
        <is>
          <t>The proportion of inspections that should pass at the first attempt. The Quality Dashboard compares the actual rate against this figure. Read it with care: a first-time-pass rate of 100% usually means the inspections are being called late or scored generously, not that the work is perfect.</t>
        </is>
      </c>
    </row>
    <row r="16" ht="30" customHeight="1">
      <c r="B16" s="13" t="inlineStr">
        <is>
          <t>Checklist Completion Target (%)</t>
        </is>
      </c>
      <c r="C16" s="55" t="n">
        <v>1</v>
      </c>
      <c r="D16" s="12" t="inlineStr">
        <is>
          <t>The proportion of checklist items that must be signed off before the element is offered for handover. Anything short of 100% at handover is an open risk carried into the defects liability period.</t>
        </is>
      </c>
    </row>
    <row r="18" ht="19.5" customHeight="1">
      <c r="B18" s="4" t="inlineStr">
        <is>
          <t>DROPDOWN SOURCE LISTS</t>
        </is>
      </c>
    </row>
    <row r="19" ht="15" customHeight="1">
      <c r="B19" s="12" t="inlineStr">
        <is>
          <t>One list per column. To add an option, insert a row INSIDE a list (not below the last entry) so the validation range grows with it. The grey line under each heading says where the list is used.</t>
        </is>
      </c>
    </row>
    <row r="21" ht="27" customHeight="1">
      <c r="B21" s="22" t="inlineStr">
        <is>
          <t>Yes / No</t>
        </is>
      </c>
      <c r="C21" s="22" t="inlineStr">
        <is>
          <t>Yes / No / N/A</t>
        </is>
      </c>
      <c r="D21" s="22" t="inlineStr">
        <is>
          <t>Inspection Type</t>
        </is>
      </c>
      <c r="E21" s="22" t="inlineStr">
        <is>
          <t>Frequency</t>
        </is>
      </c>
      <c r="F21" s="22" t="inlineStr">
        <is>
          <t>Responsible Party</t>
        </is>
      </c>
      <c r="G21" s="22" t="inlineStr">
        <is>
          <t>Inspection Result</t>
        </is>
      </c>
      <c r="H21" s="22" t="inlineStr">
        <is>
          <t>Yes / No / Not required</t>
        </is>
      </c>
      <c r="I21" s="22" t="inlineStr">
        <is>
          <t>Checklist Result</t>
        </is>
      </c>
      <c r="J21" s="22" t="inlineStr">
        <is>
          <t>Work Element / Trade</t>
        </is>
      </c>
      <c r="K21" s="22" t="inlineStr">
        <is>
          <t>Unit of Measure</t>
        </is>
      </c>
      <c r="L21" s="22" t="inlineStr">
        <is>
          <t>NCR Severity</t>
        </is>
      </c>
      <c r="M21" s="22" t="inlineStr">
        <is>
          <t>Root Cause Category</t>
        </is>
      </c>
      <c r="N21" s="22" t="inlineStr">
        <is>
          <t>Disposition</t>
        </is>
      </c>
      <c r="O21" s="22" t="inlineStr">
        <is>
          <t>Test / Certificate Type</t>
        </is>
      </c>
      <c r="P21" s="22" t="inlineStr">
        <is>
          <t>Pass Criterion Operator</t>
        </is>
      </c>
      <c r="Q21" s="22" t="inlineStr">
        <is>
          <t>Test Units</t>
        </is>
      </c>
      <c r="R21" s="22" t="inlineStr">
        <is>
          <t>Verifying Document / Record</t>
        </is>
      </c>
      <c r="S21" s="22" t="inlineStr">
        <is>
          <t>Location / Level / Zone</t>
        </is>
      </c>
      <c r="T21" s="22" t="inlineStr">
        <is>
          <t>Test Method / Standard</t>
        </is>
      </c>
    </row>
    <row r="22" ht="105" customHeight="1">
      <c r="B22" s="12" t="inlineStr">
        <is>
          <t>Used by NCR raised, client sign-off required and received, certificate received, and design concurrence required.</t>
        </is>
      </c>
      <c r="C22" s="12" t="inlineStr">
        <is>
          <t>Used where the question may legitimately not apply to the row — the Checked column on the element checklist is the main user.</t>
        </is>
      </c>
      <c r="D22" s="12" t="inlineStr">
        <is>
          <t>The control the row imposes. A Hold Point stops the work; a Witness Point gives the other party the right to attend but does not stop the work if they do not; Surveillance is periodic observation; Review of records is a document check; Test is a measurement.</t>
        </is>
      </c>
      <c r="E22" s="12" t="inlineStr">
        <is>
          <t>How often the inspection or test is carried out. Write it so a stranger could apply it without asking you what you meant.</t>
        </is>
      </c>
      <c r="F22" s="12" t="inlineStr">
        <is>
          <t>Who carries out or witnesses the inspection. Name the party, not the individual, so the plan survives a change of personnel.</t>
        </is>
      </c>
      <c r="G22" s="12" t="inlineStr">
        <is>
          <t>The outcome of the inspection. 'Conditional pass' means the work may proceed only on a stated condition — record the condition in the comments and raise a non-conformance if rework is required.</t>
        </is>
      </c>
      <c r="H22" s="12" t="inlineStr">
        <is>
          <t>Used for client sign-off received. 'Not required' is what keeps a row out of the Awaiting client count — never use it to mean 'not yet'.</t>
        </is>
      </c>
      <c r="I22" s="12" t="inlineStr">
        <is>
          <t>The result of a single checklist item on the element tick sheet. Keep it to three states so the completion percentages stay meaningful.</t>
        </is>
      </c>
      <c r="J22" s="12" t="inlineStr">
        <is>
          <t>The work element the row belongs to. These are the same headings used on the Checklist by Element sheet, so the two sheets can be reconciled against each other.</t>
        </is>
      </c>
      <c r="K22" s="12" t="inlineStr">
        <is>
          <t>Unit for the lot quantity. Keep it identical to the unit in the schedule of rates or the lot cannot be reconciled against payment.</t>
        </is>
      </c>
      <c r="L22" s="12" t="inlineStr">
        <is>
          <t>How serious the non-conformance is. Critical means structural adequacy, fire or life safety, or a clinical or operational service is affected. Severity drives the close-out target above.</t>
        </is>
      </c>
      <c r="M22" s="12" t="inlineStr">
        <is>
          <t>Why it happened, not what happened. If every entry says 'workmanship' the register is not being used to prevent recurrence, which is the whole point of ISO 9001 clause 10.2.</t>
        </is>
      </c>
      <c r="N22" s="12" t="inlineStr">
        <is>
          <t>What will be done with the non-conforming work. 'Use as is with concession' and 'Regrade' both require the written agreement of the party with authority to accept the departure — usually the designer and the Client, not the Contractor.</t>
        </is>
      </c>
      <c r="O22" s="12" t="inlineStr">
        <is>
          <t>The kind of test or certificate the row records. Add your own — the list is a starting set for a building and civil project.</t>
        </is>
      </c>
      <c r="P22" s="12" t="inlineStr">
        <is>
          <t>How the result value is compared with the specified value. 'between' uses the lower and upper limit columns; the other three use the lower limit column only. The Result column does the comparison for you.</t>
        </is>
      </c>
      <c r="Q22" s="12" t="inlineStr">
        <is>
          <t>Units for the specified and result values. Record them — a strength of '46' means nothing without them.</t>
        </is>
      </c>
      <c r="R22" s="12" t="inlineStr">
        <is>
          <t>The objective evidence the inspection produces. ISO 9001 clause 8.6 requires retained documented information showing conformity — this column names it, and the record must be filed where the column says.</t>
        </is>
      </c>
      <c r="S22" s="12" t="inlineStr">
        <is>
          <t>Where the work is. Replace these with your own zone names on day one — location is what lets a record be found again three years later.</t>
        </is>
      </c>
      <c r="T22" s="12" t="inlineStr">
        <is>
          <t>The method the test is carried out to. Cite the method, not just the property — 'compressive strength' is not a method. Substitute your national adoptions of these standards where they apply.</t>
        </is>
      </c>
    </row>
    <row r="23">
      <c r="B23" s="10" t="inlineStr">
        <is>
          <t>Yes</t>
        </is>
      </c>
      <c r="C23" s="10" t="inlineStr">
        <is>
          <t>Yes</t>
        </is>
      </c>
      <c r="D23" s="10" t="inlineStr">
        <is>
          <t>Hold Point</t>
        </is>
      </c>
      <c r="E23" s="10" t="inlineStr">
        <is>
          <t>Each lot</t>
        </is>
      </c>
      <c r="F23" s="10" t="inlineStr">
        <is>
          <t>Contractor</t>
        </is>
      </c>
      <c r="G23" s="10" t="inlineStr">
        <is>
          <t>Pass</t>
        </is>
      </c>
      <c r="H23" s="10" t="inlineStr">
        <is>
          <t>Yes</t>
        </is>
      </c>
      <c r="I23" s="10" t="inlineStr">
        <is>
          <t>Pass</t>
        </is>
      </c>
      <c r="J23" s="10" t="inlineStr">
        <is>
          <t>Site establishment and set-out</t>
        </is>
      </c>
      <c r="K23" s="10" t="inlineStr">
        <is>
          <t>each</t>
        </is>
      </c>
      <c r="L23" s="10" t="inlineStr">
        <is>
          <t>Critical</t>
        </is>
      </c>
      <c r="M23" s="10" t="inlineStr">
        <is>
          <t>Design error or omission</t>
        </is>
      </c>
      <c r="N23" s="10" t="inlineStr">
        <is>
          <t>Rework</t>
        </is>
      </c>
      <c r="O23" s="10" t="inlineStr">
        <is>
          <t>Concrete compressive strength</t>
        </is>
      </c>
      <c r="P23" s="10" t="inlineStr">
        <is>
          <t>≥</t>
        </is>
      </c>
      <c r="Q23" s="10" t="inlineStr">
        <is>
          <t>MPa</t>
        </is>
      </c>
      <c r="R23" s="10" t="inlineStr">
        <is>
          <t>Signed ITP record</t>
        </is>
      </c>
      <c r="S23" s="10" t="inlineStr">
        <is>
          <t>Basement Level B2</t>
        </is>
      </c>
      <c r="T23" s="10" t="inlineStr">
        <is>
          <t>ISO 1920-2 (fresh concrete properties)</t>
        </is>
      </c>
    </row>
    <row r="24">
      <c r="B24" s="10" t="inlineStr">
        <is>
          <t>No</t>
        </is>
      </c>
      <c r="C24" s="10" t="inlineStr">
        <is>
          <t>No</t>
        </is>
      </c>
      <c r="D24" s="10" t="inlineStr">
        <is>
          <t>Witness Point</t>
        </is>
      </c>
      <c r="E24" s="10" t="inlineStr">
        <is>
          <t>Each pour</t>
        </is>
      </c>
      <c r="F24" s="10" t="inlineStr">
        <is>
          <t>Subcontractor</t>
        </is>
      </c>
      <c r="G24" s="10" t="inlineStr">
        <is>
          <t>Fail</t>
        </is>
      </c>
      <c r="H24" s="10" t="inlineStr">
        <is>
          <t>No</t>
        </is>
      </c>
      <c r="I24" s="10" t="inlineStr">
        <is>
          <t>Fail</t>
        </is>
      </c>
      <c r="J24" s="10" t="inlineStr">
        <is>
          <t>Earthworks and subgrade</t>
        </is>
      </c>
      <c r="K24" s="10" t="inlineStr">
        <is>
          <t>no.</t>
        </is>
      </c>
      <c r="L24" s="10" t="inlineStr">
        <is>
          <t>Major</t>
        </is>
      </c>
      <c r="M24" s="10" t="inlineStr">
        <is>
          <t>Incomplete or superseded information</t>
        </is>
      </c>
      <c r="N24" s="10" t="inlineStr">
        <is>
          <t>Repair</t>
        </is>
      </c>
      <c r="O24" s="10" t="inlineStr">
        <is>
          <t>Slump</t>
        </is>
      </c>
      <c r="P24" s="10" t="inlineStr">
        <is>
          <t>≤</t>
        </is>
      </c>
      <c r="Q24" s="10" t="inlineStr">
        <is>
          <t>kPa</t>
        </is>
      </c>
      <c r="R24" s="10" t="inlineStr">
        <is>
          <t>Signed checklist</t>
        </is>
      </c>
      <c r="S24" s="10" t="inlineStr">
        <is>
          <t>Basement Level B1</t>
        </is>
      </c>
      <c r="T24" s="10" t="inlineStr">
        <is>
          <t>ISO 1920-3 (making and curing test specimens)</t>
        </is>
      </c>
    </row>
    <row r="25">
      <c r="C25" s="10" t="inlineStr">
        <is>
          <t>N/A</t>
        </is>
      </c>
      <c r="D25" s="10" t="inlineStr">
        <is>
          <t>Surveillance</t>
        </is>
      </c>
      <c r="E25" s="10" t="inlineStr">
        <is>
          <t>Each level</t>
        </is>
      </c>
      <c r="F25" s="10" t="inlineStr">
        <is>
          <t>Client/Superintendent</t>
        </is>
      </c>
      <c r="G25" s="10" t="inlineStr">
        <is>
          <t>Conditional pass</t>
        </is>
      </c>
      <c r="H25" s="10" t="inlineStr">
        <is>
          <t>Not required</t>
        </is>
      </c>
      <c r="I25" s="10" t="inlineStr">
        <is>
          <t>N/A</t>
        </is>
      </c>
      <c r="J25" s="10" t="inlineStr">
        <is>
          <t>Shoring and ground support</t>
        </is>
      </c>
      <c r="K25" s="10" t="inlineStr">
        <is>
          <t>m</t>
        </is>
      </c>
      <c r="L25" s="10" t="inlineStr">
        <is>
          <t>Minor</t>
        </is>
      </c>
      <c r="M25" s="10" t="inlineStr">
        <is>
          <t>Workmanship</t>
        </is>
      </c>
      <c r="N25" s="10" t="inlineStr">
        <is>
          <t>Use as is with concession</t>
        </is>
      </c>
      <c r="O25" s="10" t="inlineStr">
        <is>
          <t>Air content</t>
        </is>
      </c>
      <c r="P25" s="10" t="inlineStr">
        <is>
          <t>=</t>
        </is>
      </c>
      <c r="Q25" s="10" t="inlineStr">
        <is>
          <t>mm</t>
        </is>
      </c>
      <c r="R25" s="10" t="inlineStr">
        <is>
          <t>Survey report / as-built survey</t>
        </is>
      </c>
      <c r="S25" s="10" t="inlineStr">
        <is>
          <t>Ground Floor</t>
        </is>
      </c>
      <c r="T25" s="10" t="inlineStr">
        <is>
          <t>ISO 1920-4 (concrete compressive strength)</t>
        </is>
      </c>
    </row>
    <row r="26">
      <c r="D26" s="10" t="inlineStr">
        <is>
          <t>Review of records</t>
        </is>
      </c>
      <c r="E26" s="10" t="inlineStr">
        <is>
          <t>Each zone</t>
        </is>
      </c>
      <c r="F26" s="10" t="inlineStr">
        <is>
          <t>Third-party certifier</t>
        </is>
      </c>
      <c r="G26" s="10" t="inlineStr">
        <is>
          <t>N/A</t>
        </is>
      </c>
      <c r="J26" s="10" t="inlineStr">
        <is>
          <t>Piling</t>
        </is>
      </c>
      <c r="K26" s="10" t="inlineStr">
        <is>
          <t>m2</t>
        </is>
      </c>
      <c r="L26" s="10" t="inlineStr">
        <is>
          <t>Observation</t>
        </is>
      </c>
      <c r="M26" s="10" t="inlineStr">
        <is>
          <t>Supervision</t>
        </is>
      </c>
      <c r="N26" s="10" t="inlineStr">
        <is>
          <t>Reject and replace</t>
        </is>
      </c>
      <c r="O26" s="10" t="inlineStr">
        <is>
          <t>Soil compaction</t>
        </is>
      </c>
      <c r="P26" s="10" t="inlineStr">
        <is>
          <t>between</t>
        </is>
      </c>
      <c r="Q26" s="10" t="inlineStr">
        <is>
          <t>m</t>
        </is>
      </c>
      <c r="R26" s="10" t="inlineStr">
        <is>
          <t>Laboratory test certificate</t>
        </is>
      </c>
      <c r="S26" s="10" t="inlineStr">
        <is>
          <t>Level 1</t>
        </is>
      </c>
      <c r="T26" s="10" t="inlineStr">
        <is>
          <t>ISO 22966 (execution of concrete structures)</t>
        </is>
      </c>
    </row>
    <row r="27">
      <c r="D27" s="10" t="inlineStr">
        <is>
          <t>Test</t>
        </is>
      </c>
      <c r="E27" s="10" t="inlineStr">
        <is>
          <t>Each anchor / each pile</t>
        </is>
      </c>
      <c r="F27" s="10" t="inlineStr">
        <is>
          <t>Design consultant</t>
        </is>
      </c>
      <c r="G27" s="10" t="inlineStr">
        <is>
          <t>Not yet inspected</t>
        </is>
      </c>
      <c r="J27" s="10" t="inlineStr">
        <is>
          <t>Footings and reinforcement</t>
        </is>
      </c>
      <c r="K27" s="10" t="inlineStr">
        <is>
          <t>m3</t>
        </is>
      </c>
      <c r="M27" s="10" t="inlineStr">
        <is>
          <t>Materials / product non-compliant</t>
        </is>
      </c>
      <c r="N27" s="10" t="inlineStr">
        <is>
          <t>Regrade</t>
        </is>
      </c>
      <c r="O27" s="10" t="inlineStr">
        <is>
          <t>CBR</t>
        </is>
      </c>
      <c r="Q27" s="10" t="inlineStr">
        <is>
          <t>m2</t>
        </is>
      </c>
      <c r="R27" s="10" t="inlineStr">
        <is>
          <t>Manufacturer's certificate of conformity</t>
        </is>
      </c>
      <c r="S27" s="10" t="inlineStr">
        <is>
          <t>Level 2</t>
        </is>
      </c>
      <c r="T27" s="10" t="inlineStr">
        <is>
          <t>ISO 17892 (soil laboratory testing)</t>
        </is>
      </c>
    </row>
    <row r="28">
      <c r="E28" s="10" t="inlineStr">
        <is>
          <t>Each item</t>
        </is>
      </c>
      <c r="J28" s="10" t="inlineStr">
        <is>
          <t>Formwork</t>
        </is>
      </c>
      <c r="K28" s="10" t="inlineStr">
        <is>
          <t>lin.m</t>
        </is>
      </c>
      <c r="M28" s="10" t="inlineStr">
        <is>
          <t>Plant or equipment</t>
        </is>
      </c>
      <c r="O28" s="10" t="inlineStr">
        <is>
          <t>Proctor</t>
        </is>
      </c>
      <c r="Q28" s="10" t="inlineStr">
        <is>
          <t>m3</t>
        </is>
      </c>
      <c r="R28" s="10" t="inlineStr">
        <is>
          <t>Batch / mill certificate</t>
        </is>
      </c>
      <c r="S28" s="10" t="inlineStr">
        <is>
          <t>Level 3</t>
        </is>
      </c>
      <c r="T28" s="10" t="inlineStr">
        <is>
          <t>ISO 22476 (field testing of soils)</t>
        </is>
      </c>
    </row>
    <row r="29">
      <c r="E29" s="10" t="inlineStr">
        <is>
          <t>Each joint / each weld</t>
        </is>
      </c>
      <c r="J29" s="10" t="inlineStr">
        <is>
          <t>Concrete placement and curing</t>
        </is>
      </c>
      <c r="K29" s="10" t="inlineStr">
        <is>
          <t>tonne</t>
        </is>
      </c>
      <c r="M29" s="10" t="inlineStr">
        <is>
          <t>Setting-out or survey error</t>
        </is>
      </c>
      <c r="O29" s="10" t="inlineStr">
        <is>
          <t>Weld NDT — UT</t>
        </is>
      </c>
      <c r="Q29" s="10" t="inlineStr">
        <is>
          <t>%</t>
        </is>
      </c>
      <c r="R29" s="10" t="inlineStr">
        <is>
          <t>Calibration certificate</t>
        </is>
      </c>
      <c r="S29" s="10" t="inlineStr">
        <is>
          <t>Level 4</t>
        </is>
      </c>
      <c r="T29" s="10" t="inlineStr">
        <is>
          <t>ISO 22477-5 (ground anchor testing)</t>
        </is>
      </c>
    </row>
    <row r="30">
      <c r="E30" s="10" t="inlineStr">
        <is>
          <t>First off, then sample</t>
        </is>
      </c>
      <c r="J30" s="10" t="inlineStr">
        <is>
          <t>Concrete finishes</t>
        </is>
      </c>
      <c r="K30" s="10" t="inlineStr">
        <is>
          <t>kg</t>
        </is>
      </c>
      <c r="M30" s="10" t="inlineStr">
        <is>
          <t>Sequence or coordination clash</t>
        </is>
      </c>
      <c r="O30" s="10" t="inlineStr">
        <is>
          <t>Weld NDT — MPI</t>
        </is>
      </c>
      <c r="Q30" s="10" t="inlineStr">
        <is>
          <t>µm</t>
        </is>
      </c>
      <c r="R30" s="10" t="inlineStr">
        <is>
          <t>Welding procedure and welder qualification</t>
        </is>
      </c>
      <c r="S30" s="10" t="inlineStr">
        <is>
          <t>Roof / plant deck</t>
        </is>
      </c>
      <c r="T30" s="10" t="inlineStr">
        <is>
          <t>ISO 17640 (weld ultrasonic testing)</t>
        </is>
      </c>
    </row>
    <row r="31">
      <c r="E31" s="10" t="inlineStr">
        <is>
          <t>100% of items</t>
        </is>
      </c>
      <c r="J31" s="10" t="inlineStr">
        <is>
          <t>Precast erection</t>
        </is>
      </c>
      <c r="K31" s="10" t="inlineStr">
        <is>
          <t>litre</t>
        </is>
      </c>
      <c r="M31" s="10" t="inlineStr">
        <is>
          <t>Damage by others / following trade</t>
        </is>
      </c>
      <c r="O31" s="10" t="inlineStr">
        <is>
          <t>Bolt tension</t>
        </is>
      </c>
      <c r="Q31" s="10" t="inlineStr">
        <is>
          <t>mm/m</t>
        </is>
      </c>
      <c r="R31" s="10" t="inlineStr">
        <is>
          <t>NDT report</t>
        </is>
      </c>
      <c r="S31" s="10" t="inlineStr">
        <is>
          <t>Podium / forecourt</t>
        </is>
      </c>
      <c r="T31" s="10" t="inlineStr">
        <is>
          <t>ISO 17638 (weld magnetic particle testing)</t>
        </is>
      </c>
    </row>
    <row r="32">
      <c r="E32" s="10" t="inlineStr">
        <is>
          <t>One in ten</t>
        </is>
      </c>
      <c r="J32" s="10" t="inlineStr">
        <is>
          <t>Structural steel and bolting</t>
        </is>
      </c>
      <c r="K32" s="10" t="inlineStr">
        <is>
          <t>lot</t>
        </is>
      </c>
      <c r="M32" s="10" t="inlineStr">
        <is>
          <t>Weather or site conditions</t>
        </is>
      </c>
      <c r="O32" s="10" t="inlineStr">
        <is>
          <t>Coating DFT</t>
        </is>
      </c>
      <c r="Q32" s="10" t="inlineStr">
        <is>
          <t>MΩ</t>
        </is>
      </c>
      <c r="R32" s="10" t="inlineStr">
        <is>
          <t>Commissioning data sheet</t>
        </is>
      </c>
      <c r="S32" s="10" t="inlineStr">
        <is>
          <t>External works &amp; landscaping</t>
        </is>
      </c>
      <c r="T32" s="10" t="inlineStr">
        <is>
          <t>ISO 5817 (weld quality levels)</t>
        </is>
      </c>
    </row>
    <row r="33">
      <c r="E33" s="10" t="inlineStr">
        <is>
          <t>Per 50 m³ of concrete</t>
        </is>
      </c>
      <c r="J33" s="10" t="inlineStr">
        <is>
          <t>Welding</t>
        </is>
      </c>
      <c r="K33" s="10" t="inlineStr">
        <is>
          <t>level</t>
        </is>
      </c>
      <c r="M33" s="10" t="inlineStr">
        <is>
          <t>Inadequate protection or storage</t>
        </is>
      </c>
      <c r="O33" s="10" t="inlineStr">
        <is>
          <t>Holiday detection</t>
        </is>
      </c>
      <c r="Q33" s="10" t="inlineStr">
        <is>
          <t>Ω</t>
        </is>
      </c>
      <c r="R33" s="10" t="inlineStr">
        <is>
          <t>Photographic record</t>
        </is>
      </c>
      <c r="S33" s="10" t="inlineStr">
        <is>
          <t>Site compound &amp; laydown</t>
        </is>
      </c>
      <c r="T33" s="10" t="inlineStr">
        <is>
          <t>ISO 2808 (paint and coating film thickness)</t>
        </is>
      </c>
    </row>
    <row r="34">
      <c r="E34" s="10" t="inlineStr">
        <is>
          <t>Per 500 m² per layer</t>
        </is>
      </c>
      <c r="J34" s="10" t="inlineStr">
        <is>
          <t>Waterproofing and tanking</t>
        </is>
      </c>
      <c r="K34" s="10" t="inlineStr">
        <is>
          <t>zone</t>
        </is>
      </c>
      <c r="M34" s="10" t="inlineStr">
        <is>
          <t>Competency or training</t>
        </is>
      </c>
      <c r="O34" s="10" t="inlineStr">
        <is>
          <t>Hydrostatic pressure</t>
        </is>
      </c>
      <c r="Q34" s="10" t="inlineStr">
        <is>
          <t>ms</t>
        </is>
      </c>
      <c r="R34" s="10" t="inlineStr">
        <is>
          <t>Site inspection report</t>
        </is>
      </c>
      <c r="S34" s="10" t="inlineStr">
        <is>
          <t>Live hospital interface</t>
        </is>
      </c>
      <c r="T34" s="10" t="inlineStr">
        <is>
          <t>ISO 8501 (surface preparation)</t>
        </is>
      </c>
    </row>
    <row r="35">
      <c r="E35" s="10" t="inlineStr">
        <is>
          <t>Daily</t>
        </is>
      </c>
      <c r="J35" s="10" t="inlineStr">
        <is>
          <t>Roofing</t>
        </is>
      </c>
      <c r="K35" s="10" t="inlineStr">
        <is>
          <t>pour</t>
        </is>
      </c>
      <c r="M35" s="10" t="inlineStr">
        <is>
          <t>Procedure not followed</t>
        </is>
      </c>
      <c r="O35" s="10" t="inlineStr">
        <is>
          <t>Air pressure</t>
        </is>
      </c>
      <c r="Q35" s="10" t="inlineStr">
        <is>
          <t>L/s</t>
        </is>
      </c>
      <c r="R35" s="10" t="inlineStr">
        <is>
          <t>Third-party certification</t>
        </is>
      </c>
      <c r="S35" s="10" t="inlineStr">
        <is>
          <t>Existing building interface</t>
        </is>
      </c>
      <c r="T35" s="10" t="inlineStr">
        <is>
          <t>ISO 7396-1 (medical gas pipeline systems)</t>
        </is>
      </c>
    </row>
    <row r="36">
      <c r="E36" s="10" t="inlineStr">
        <is>
          <t>Weekly while the activity is open</t>
        </is>
      </c>
      <c r="J36" s="10" t="inlineStr">
        <is>
          <t>Cladding and facade</t>
        </is>
      </c>
      <c r="K36" s="10" t="inlineStr">
        <is>
          <t>panel</t>
        </is>
      </c>
      <c r="M36" s="10" t="inlineStr">
        <is>
          <t>Procedure inadequate</t>
        </is>
      </c>
      <c r="O36" s="10" t="inlineStr">
        <is>
          <t>Duct leakage</t>
        </is>
      </c>
      <c r="Q36" s="10" t="inlineStr">
        <is>
          <t>L/min</t>
        </is>
      </c>
      <c r="R36" s="10" t="inlineStr">
        <is>
          <t>Design consultant's inspection report</t>
        </is>
      </c>
      <c r="S36" s="10" t="inlineStr">
        <is>
          <t>Off site / offsite fabrication</t>
        </is>
      </c>
      <c r="T36" s="10" t="inlineStr">
        <is>
          <t>IEC 60364-6 (electrical verification)</t>
        </is>
      </c>
    </row>
    <row r="37">
      <c r="E37" s="10" t="inlineStr">
        <is>
          <t>Monthly</t>
        </is>
      </c>
      <c r="J37" s="10" t="inlineStr">
        <is>
          <t>Windows and glazing</t>
        </is>
      </c>
      <c r="K37" s="10" t="inlineStr">
        <is>
          <t>joint</t>
        </is>
      </c>
      <c r="M37" s="10" t="inlineStr">
        <is>
          <t>Subcontractor management</t>
        </is>
      </c>
      <c r="O37" s="10" t="inlineStr">
        <is>
          <t>Insulation resistance</t>
        </is>
      </c>
      <c r="Q37" s="10" t="inlineStr">
        <is>
          <t>m³/h.m²</t>
        </is>
      </c>
      <c r="R37" s="10" t="inlineStr">
        <is>
          <t>Statutory / authority approval</t>
        </is>
      </c>
      <c r="T37" s="10" t="inlineStr">
        <is>
          <t>ISO 9972 (building airtightness)</t>
        </is>
      </c>
    </row>
    <row r="38">
      <c r="E38" s="10" t="inlineStr">
        <is>
          <t>Before each use</t>
        </is>
      </c>
      <c r="J38" s="10" t="inlineStr">
        <is>
          <t>Blockwork and masonry</t>
        </is>
      </c>
      <c r="K38" s="10" t="inlineStr">
        <is>
          <t>weld</t>
        </is>
      </c>
      <c r="M38" s="10" t="inlineStr">
        <is>
          <t>Not yet determined</t>
        </is>
      </c>
      <c r="O38" s="10" t="inlineStr">
        <is>
          <t>Earth continuity</t>
        </is>
      </c>
      <c r="Q38" s="10" t="inlineStr">
        <is>
          <t>dB</t>
        </is>
      </c>
      <c r="R38" s="10" t="inlineStr">
        <is>
          <t>Operation and maintenance manual</t>
        </is>
      </c>
      <c r="T38" s="10" t="inlineStr">
        <is>
          <t>ISO 16283 (acoustic field measurement)</t>
        </is>
      </c>
    </row>
    <row r="39">
      <c r="E39" s="10" t="inlineStr">
        <is>
          <t>At each hold point</t>
        </is>
      </c>
      <c r="J39" s="10" t="inlineStr">
        <is>
          <t>Partitions and linings</t>
        </is>
      </c>
      <c r="K39" s="10" t="inlineStr">
        <is>
          <t>circuit</t>
        </is>
      </c>
      <c r="O39" s="10" t="inlineStr">
        <is>
          <t>RCD trip</t>
        </is>
      </c>
      <c r="Q39" s="10" t="inlineStr">
        <is>
          <t>°C</t>
        </is>
      </c>
      <c r="T39" s="10" t="inlineStr">
        <is>
          <t>ISO 6781 (thermal imaging)</t>
        </is>
      </c>
    </row>
    <row r="40">
      <c r="E40" s="10" t="inlineStr">
        <is>
          <t>On completion of the activity</t>
        </is>
      </c>
      <c r="J40" s="10" t="inlineStr">
        <is>
          <t>Doors and hardware</t>
        </is>
      </c>
      <c r="K40" s="10" t="inlineStr">
        <is>
          <t>outlet</t>
        </is>
      </c>
      <c r="O40" s="10" t="inlineStr">
        <is>
          <t>Water quality</t>
        </is>
      </c>
      <c r="Q40" s="10" t="inlineStr">
        <is>
          <t>NTU</t>
        </is>
      </c>
      <c r="T40" s="10" t="inlineStr">
        <is>
          <t>ISO 14644 (cleanroom classification)</t>
        </is>
      </c>
    </row>
    <row r="41">
      <c r="E41" s="10" t="inlineStr">
        <is>
          <t>Once per contract</t>
        </is>
      </c>
      <c r="J41" s="10" t="inlineStr">
        <is>
          <t>Joinery</t>
        </is>
      </c>
      <c r="O41" s="10" t="inlineStr">
        <is>
          <t>Fire damper</t>
        </is>
      </c>
      <c r="Q41" s="10" t="inlineStr">
        <is>
          <t>ppm</t>
        </is>
      </c>
      <c r="T41" s="10" t="inlineStr">
        <is>
          <t>Manufacturer's installation instruction</t>
        </is>
      </c>
    </row>
    <row r="42">
      <c r="J42" s="10" t="inlineStr">
        <is>
          <t>Wet-area and tiling</t>
        </is>
      </c>
      <c r="O42" s="10" t="inlineStr">
        <is>
          <t>Fire alarm</t>
        </is>
      </c>
      <c r="Q42" s="10" t="inlineStr">
        <is>
          <t>N·m</t>
        </is>
      </c>
      <c r="T42" s="10" t="inlineStr">
        <is>
          <t>Project specification only</t>
        </is>
      </c>
    </row>
    <row r="43">
      <c r="J43" s="10" t="inlineStr">
        <is>
          <t>Painting and finishes</t>
        </is>
      </c>
      <c r="O43" s="10" t="inlineStr">
        <is>
          <t>Sprinkler flow</t>
        </is>
      </c>
      <c r="Q43" s="10" t="inlineStr">
        <is>
          <t>kN</t>
        </is>
      </c>
      <c r="T43" s="10" t="inlineStr">
        <is>
          <t>Other — state in comments</t>
        </is>
      </c>
    </row>
    <row r="44">
      <c r="J44" s="10" t="inlineStr">
        <is>
          <t>Floor coverings</t>
        </is>
      </c>
      <c r="O44" s="10" t="inlineStr">
        <is>
          <t>Acoustic</t>
        </is>
      </c>
      <c r="Q44" s="10" t="inlineStr">
        <is>
          <t>no.</t>
        </is>
      </c>
    </row>
    <row r="45">
      <c r="J45" s="10" t="inlineStr">
        <is>
          <t>Ceilings</t>
        </is>
      </c>
      <c r="O45" s="10" t="inlineStr">
        <is>
          <t>Thermal imaging</t>
        </is>
      </c>
      <c r="Q45" s="10" t="inlineStr">
        <is>
          <t>ratio</t>
        </is>
      </c>
    </row>
    <row r="46">
      <c r="J46" s="10" t="inlineStr">
        <is>
          <t>Mechanical services rough-in and final</t>
        </is>
      </c>
      <c r="O46" s="10" t="inlineStr">
        <is>
          <t>Airtightness</t>
        </is>
      </c>
      <c r="Q46" s="10" t="inlineStr">
        <is>
          <t>other</t>
        </is>
      </c>
    </row>
    <row r="47">
      <c r="J47" s="10" t="inlineStr">
        <is>
          <t>Electrical rough-in and final</t>
        </is>
      </c>
      <c r="O47" s="10" t="inlineStr">
        <is>
          <t>Survey as-built</t>
        </is>
      </c>
    </row>
    <row r="48">
      <c r="J48" s="10" t="inlineStr">
        <is>
          <t>Hydraulic services</t>
        </is>
      </c>
      <c r="O48" s="10" t="inlineStr">
        <is>
          <t>Other</t>
        </is>
      </c>
    </row>
    <row r="49">
      <c r="J49" s="10" t="inlineStr">
        <is>
          <t>Fire services</t>
        </is>
      </c>
    </row>
    <row r="50">
      <c r="J50" s="10" t="inlineStr">
        <is>
          <t>Vertical transportation</t>
        </is>
      </c>
    </row>
    <row r="51">
      <c r="J51" s="10" t="inlineStr">
        <is>
          <t>Commissioning</t>
        </is>
      </c>
    </row>
    <row r="52">
      <c r="J52" s="10" t="inlineStr">
        <is>
          <t>External works</t>
        </is>
      </c>
    </row>
    <row r="53">
      <c r="J53" s="10" t="inlineStr">
        <is>
          <t>Final clean and handover readiness</t>
        </is>
      </c>
    </row>
    <row r="56" ht="15" customHeight="1">
      <c r="B56" s="12" t="inlineStr">
        <is>
          <t>Nothing on this sheet is a legal or contractual requirement. The close-out targets, the first-time-pass target and the categories are a common industry configuration — replace them with the requirements of the specification and the quality plan you are actually working to.</t>
        </is>
      </c>
    </row>
    <row r="58" ht="16.5" customHeight="1">
      <c r="A58" s="66" t="inlineStr">
        <is>
          <t>Mastt template  ·  mastt.com  ·  © 2026 Mastt</t>
        </is>
      </c>
      <c r="B58" s="59" t="n"/>
      <c r="C58" s="59" t="n"/>
      <c r="D58" s="59" t="n"/>
      <c r="E58" s="59" t="n"/>
      <c r="F58" s="59" t="n"/>
      <c r="G58" s="59" t="n"/>
      <c r="H58" s="59" t="n"/>
      <c r="I58" s="59" t="n"/>
      <c r="J58" s="59" t="n"/>
      <c r="K58" s="59" t="n"/>
      <c r="L58" s="59" t="n"/>
      <c r="M58" s="59" t="n"/>
      <c r="N58" s="59" t="n"/>
      <c r="O58" s="59" t="n"/>
      <c r="P58" s="59" t="n"/>
      <c r="Q58" s="59" t="n"/>
      <c r="R58" s="59" t="n"/>
      <c r="S58" s="59" t="n"/>
      <c r="T58" s="59" t="n"/>
      <c r="U58" s="59" t="n"/>
    </row>
  </sheetData>
  <mergeCells count="22">
    <mergeCell ref="D13:L13"/>
    <mergeCell ref="B9"/>
    <mergeCell ref="D11:L11"/>
    <mergeCell ref="B7:L7"/>
    <mergeCell ref="B15"/>
    <mergeCell ref="B56:L56"/>
    <mergeCell ref="D16:L16"/>
    <mergeCell ref="C3:U3"/>
    <mergeCell ref="B16"/>
    <mergeCell ref="D9:L9"/>
    <mergeCell ref="D12:L12"/>
    <mergeCell ref="D15:L15"/>
    <mergeCell ref="B12"/>
    <mergeCell ref="D14:L14"/>
    <mergeCell ref="B11"/>
    <mergeCell ref="B19:L19"/>
    <mergeCell ref="A58:U58"/>
    <mergeCell ref="B14"/>
    <mergeCell ref="D10:L10"/>
    <mergeCell ref="B13"/>
    <mergeCell ref="B10"/>
    <mergeCell ref="C2:U2"/>
  </mergeCells>
  <hyperlinks>
    <hyperlink xmlns:r="http://schemas.openxmlformats.org/officeDocument/2006/relationships" ref="A58" r:id="rId1"/>
  </hyperlinks>
  <printOptions horizontalCentered="0"/>
  <pageMargins left="0.3" right="0.3" top="0.5" bottom="0.5" header="0.2" footer="0.3"/>
  <pageSetup orientation="landscape" paperSize="8" fitToHeight="0" fitToWidth="2"/>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xl/worksheets/sheet9.xml><?xml version="1.0" encoding="utf-8"?>
<worksheet xmlns="http://schemas.openxmlformats.org/spreadsheetml/2006/main">
  <sheetPr>
    <outlinePr summaryBelow="1" summaryRight="1"/>
    <pageSetUpPr fitToPage="1"/>
  </sheetPr>
  <dimension ref="A2:H88"/>
  <sheetViews>
    <sheetView showGridLines="0" workbookViewId="0">
      <selection activeCell="A1" sqref="A1"/>
    </sheetView>
  </sheetViews>
  <sheetFormatPr baseColWidth="8" defaultRowHeight="15"/>
  <cols>
    <col width="2.5" customWidth="1" min="1" max="1"/>
    <col width="22" customWidth="1" min="2" max="2"/>
    <col width="24" customWidth="1" min="3" max="3"/>
    <col width="24" customWidth="1" min="4" max="4"/>
    <col width="24" customWidth="1" min="5" max="5"/>
    <col width="24" customWidth="1" min="6" max="6"/>
    <col width="24" customWidth="1" min="7" max="7"/>
    <col width="2.5" customWidth="1" min="8" max="8"/>
  </cols>
  <sheetData>
    <row r="1" ht="3.75" customHeight="1"/>
    <row r="2" ht="27.75" customHeight="1">
      <c r="A2" s="1" t="inlineStr">
        <is>
          <t xml:space="preserve"> </t>
        </is>
      </c>
      <c r="B2" s="1" t="n"/>
      <c r="C2" s="1" t="n"/>
      <c r="D2" s="2" t="inlineStr">
        <is>
          <t>Construction Quality Control Checklist / Inspection &amp; Test Plan</t>
        </is>
      </c>
    </row>
    <row r="3" ht="12.75" customHeight="1">
      <c r="A3" s="1" t="n"/>
      <c r="B3" s="1" t="n"/>
      <c r="C3" s="1" t="n"/>
      <c r="D3" s="3" t="inlineStr">
        <is>
          <t>Notes &amp; Assumptions  ·  read before you issue this template</t>
        </is>
      </c>
    </row>
    <row r="4" ht="6" customHeight="1"/>
    <row r="6" ht="19.5" customHeight="1">
      <c r="B6" s="4" t="inlineStr">
        <is>
          <t>WHAT THIS WORKBOOK IS</t>
        </is>
      </c>
    </row>
    <row r="7" ht="53" customHeight="1">
      <c r="B7" s="13" t="inlineStr">
        <is>
          <t>This workbook is the quality record for a package of construction work. It holds an inspection and test plan, a trade-by-trade checklist for use on site, a lot register, a non-conformance register, a test and certificate register, and a dashboard that reads all of them. Together they are the evidence that the works conform to the specification — which is the only thing that matters when the work is covered up and the only person left is an auditor with a folder.</t>
        </is>
      </c>
    </row>
    <row r="8" ht="40" customHeight="1">
      <c r="B8" s="13" t="inlineStr">
        <is>
          <t>It is written to be used by a site engineer on a tablet and to survive a client audit. Those two purposes pull in opposite directions, so the checklist sheet is deliberately short-column and tick-driven while the inspection and test plan carries the full detail, the hold points and the sign-offs.</t>
        </is>
      </c>
    </row>
    <row r="9" ht="40" customHeight="1">
      <c r="B9" s="13" t="inlineStr">
        <is>
          <t>It is jurisdiction-neutral. Standards are cited generically — substitute your national adoptions and any client-specific standards. Where local law applies, the placeholder [insert applicable jurisdiction's building and occupancy approval requirements] appears instead of a statute name.</t>
        </is>
      </c>
    </row>
    <row r="11" ht="19.5" customHeight="1">
      <c r="B11" s="4" t="inlineStr">
        <is>
          <t>HOW THIS WORKBOOK IMPLEMENTS ISO 9001:2015</t>
        </is>
      </c>
    </row>
    <row r="12" ht="66" customHeight="1">
      <c r="B12" s="13" t="inlineStr">
        <is>
          <t>Clause 8.5 — Production and service provision. Clause 8.5.1 requires controlled conditions: the availability of documented information defining the characteristics of the product and the results to be achieved, suitable monitoring and measuring resources, the implementation of monitoring at appropriate stages to verify that acceptance criteria have been met, and the appointment of competent people. The Inspection &amp; Test Plan is that documented information: every row names the characteristic, the acceptance criterion, the stage, the frequency, the responsible party and the record. Clause 8.5.2 requires identification and traceability — the lot number is how this workbook provides it.</t>
        </is>
      </c>
    </row>
    <row r="13" ht="53" customHeight="1">
      <c r="B13" s="13" t="inlineStr">
        <is>
          <t>Clause 8.6 — Release of products and services. The organisation must not release the product until the planned arrangements have been satisfactorily completed, and must retain documented information on the release, including evidence of conformity with the acceptance criteria and traceability to the person authorising release. That is precisely what the hold-point regime, the Inspected By and Signature Date columns, and the Client sign-off columns exist to record. A lot that has not passed every applicable inspection has not been released, whatever the programme says.</t>
        </is>
      </c>
    </row>
    <row r="14" ht="53" customHeight="1">
      <c r="B14" s="13" t="inlineStr">
        <is>
          <t>Clause 8.7 — Control of nonconforming outputs. Nonconforming output must be identified and controlled to prevent unintended use or delivery, and the organisation must deal with it by correction, segregation, containment, return, suspension, informing the customer, or obtaining authorisation for acceptance under concession. The Non-Conformance Register's Disposition column carries exactly those options, and the register retains the description, the decision, the authority and the traceability that clause 8.7.2 requires.</t>
        </is>
      </c>
    </row>
    <row r="15" ht="40" customHeight="1">
      <c r="B15" s="13" t="inlineStr">
        <is>
          <t>Clause 9.1 — Monitoring, measurement, analysis and evaluation. The Quality Dashboard is the analysis and evaluation step. It is entirely formula-driven so the figures cannot be quietly improved, and each metric names its source so a reviewer can go and check it.</t>
        </is>
      </c>
    </row>
    <row r="16" ht="53" customHeight="1">
      <c r="B16" s="13" t="inlineStr">
        <is>
          <t>Clause 10.2 — Nonconformity and corrective action. The register asks for the root cause, the corrective action that fixes this occurrence, and the preventive action that stops recurrence — and prompts you in red when the preventive action is missing. Clause 10.2 also asks whether similar nonconformities exist, or could occur, elsewhere. That question is the reason the register records location and element: before you close a row, look for the same failure on the levels you have already covered up.</t>
        </is>
      </c>
    </row>
    <row r="17" ht="40" customHeight="1">
      <c r="B17" s="13" t="inlineStr">
        <is>
          <t>Clause 7.1.5 — Monitoring and measuring resources. Where a decision rests on a measurement, the instrument must be verifiable. The Test &amp; Certificate Register records the laboratory and its accreditation, and the checklist asks for the calibration reference where the reading matters.</t>
        </is>
      </c>
    </row>
    <row r="19" ht="19.5" customHeight="1">
      <c r="B19" s="4" t="inlineStr">
        <is>
          <t>WHAT A HOLD POINT IS, AND WHY IT MUST NOT BE PASSED</t>
        </is>
      </c>
    </row>
    <row r="20" ht="40" customHeight="1">
      <c r="B20" s="13" t="inlineStr">
        <is>
          <t>A hold point is a nominated stage in the work at which the work must stop until a specified inspection has been carried out and the result recorded as acceptable. The following activity does not start, and the work at the hold point is not covered up, backfilled, loaded, energised, pressurised or connected to a live service, until the point is released and the release is recorded.</t>
        </is>
      </c>
    </row>
    <row r="21" ht="53" customHeight="1">
      <c r="B21" s="13" t="inlineStr">
        <is>
          <t>The reason is simple and it is not bureaucratic. Almost every significant construction defect is one that became invisible. Reinforcement cover, compaction, a weld root, a membrane lap, a cable segregation, a fire stop, a bolt tension — each of them can be seen for a few hours and then not again for fifty years. A hold point is the last moment at which the truth is cheap. After that, verification means opening up finished work, and the cost of being wrong multiplies by orders of magnitude.</t>
        </is>
      </c>
    </row>
    <row r="22" ht="40" customHeight="1">
      <c r="B22" s="13" t="inlineStr">
        <is>
          <t>A witness point is different and weaker. It gives the other party the right to attend on notice, but the work may proceed if they choose not to attend. Record that the notice was given, and by what means — the notice, not the attendance, is what the Contractor controls.</t>
        </is>
      </c>
    </row>
    <row r="23" ht="40" customHeight="1">
      <c r="B23" s="13" t="inlineStr">
        <is>
          <t>Release a hold point in writing, on the row, by the person with authority to release it. A verbal release at the excavation edge is worth nothing three years later. If the Client's representative genuinely cannot attend, get the waiver in writing before you proceed; do not record a release that did not happen.</t>
        </is>
      </c>
    </row>
    <row r="24" ht="40" customHeight="1">
      <c r="B24" s="13" t="inlineStr">
        <is>
          <t>The banner at the top of the Inspection &amp; Test Plan counts unreleased hold points and turns red while any remain. It is a formula, not a note. If it is red, work is either stopped at those points or something has already gone past one — and the second case is a non-conformance in its own right, which should be raised against the process, not just the workmanship.</t>
        </is>
      </c>
    </row>
    <row r="26" ht="19.5" customHeight="1">
      <c r="B26" s="4" t="inlineStr">
        <is>
          <t>CHECKLIST, INSPECTION AND TEST PLAN, LOT — THREE DIFFERENT THINGS</t>
        </is>
      </c>
    </row>
    <row r="27" ht="27" customHeight="1">
      <c r="B27" s="13" t="inlineStr">
        <is>
          <t>A checklist is a list of things to look at. It is a memory aid for the person doing the work, it is filled in as the work proceeds, and its value is that nothing obvious is forgotten. The Checklist by Element sheet is that document.</t>
        </is>
      </c>
    </row>
    <row r="28" ht="53" customHeight="1">
      <c r="B28" s="13" t="inlineStr">
        <is>
          <t>An inspection and test plan is a contractual control document. It states, before the work starts, which characteristics will be verified, against what criteria, at what frequency, by whom, with what record, and which of those verifications stop the work. It is issued for acceptance and it is revised under document control. The Inspection &amp; Test Plan sheet is that document. A checklist cannot do this job because it carries no rights, no frequencies and no hold points.</t>
        </is>
      </c>
    </row>
    <row r="29" ht="40" customHeight="1">
      <c r="B29" s="13" t="inlineStr">
        <is>
          <t>A lot is a quantity of work that is accepted or rejected as a unit: one kind of work, in one location, produced under uniform conditions, of a size the project can afford to reject. The lot is what the conformance record is issued against, and it is the unit that ties inspection, test, non-conformance and payment together. The Lot Register sheet is the index.</t>
        </is>
      </c>
    </row>
    <row r="30" ht="27" customHeight="1">
      <c r="B30" s="13" t="inlineStr">
        <is>
          <t>Size lots so that rejecting one is survivable, and keep them uniform. A lot spanning a whole level means a single failed cylinder puts the level in question; a lot of one pour keeps the consequence proportionate to the failure.</t>
        </is>
      </c>
    </row>
    <row r="32" ht="19.5" customHeight="1">
      <c r="B32" s="4" t="inlineStr">
        <is>
          <t>WRITING ACCEPTANCE CRITERIA THAT CAN BE MEASURED</t>
        </is>
      </c>
    </row>
    <row r="33" ht="40" customHeight="1">
      <c r="B33" s="13" t="inlineStr">
        <is>
          <t>An acceptance criterion has four parts: the characteristic, the limit, the number and location of measurements, and the method. 'Cover 50 mm −0 / +10 mm, measured at ten random points per element with a calibrated cover meter' has all four and can be audited. 'Adequate cover' has none and cannot.</t>
        </is>
      </c>
    </row>
    <row r="34" ht="40" customHeight="1">
      <c r="B34" s="13" t="inlineStr">
        <is>
          <t>Avoid criteria that depend on an opinion held by a person who may not be there. 'To the satisfaction of the Superintendent' transfers the decision to a moment of goodwill; if the specification really does leave a judgement open, name the sample panel, the benchmark area or the photograph that fixes it.</t>
        </is>
      </c>
    </row>
    <row r="35" ht="40" customHeight="1">
      <c r="B35" s="13" t="inlineStr">
        <is>
          <t>State the tolerance in the direction it matters. A founding level tolerance of ±50 mm and one of +0 / −50 mm are different requirements and only one of them is what the designer meant. Where a limit is one-sided, enter only the Min or only the Max on the checklist and leave the other blank — the Within Tolerance formula handles it.</t>
        </is>
      </c>
    </row>
    <row r="36" ht="27" customHeight="1">
      <c r="B36" s="13" t="inlineStr">
        <is>
          <t>Say how many measurements and where. A single reading is an anecdote. Ten random readings with the worst value recorded is a measurement, and it is far harder to argue with.</t>
        </is>
      </c>
    </row>
    <row r="37" ht="27" customHeight="1">
      <c r="B37" s="13" t="inlineStr">
        <is>
          <t>Name the method or the standard, not just the property. 'Compressive strength' is not a method; 'ISO 1920-4' is. Where the method is a manufacturer's instruction, say which document and which revision.</t>
        </is>
      </c>
    </row>
    <row r="39" ht="19.5" customHeight="1">
      <c r="B39" s="4" t="inlineStr">
        <is>
          <t>EVIDENCE, RECORDS AND RETENTION</t>
        </is>
      </c>
    </row>
    <row r="40" ht="27" customHeight="1">
      <c r="B40" s="13" t="inlineStr">
        <is>
          <t>A quality record is only evidence if it is contemporaneous, attributable, complete, legible and retrievable. Filling in a week of checklists on a Friday afternoon destroys the first of those and, with it, most of the value of the other four.</t>
        </is>
      </c>
    </row>
    <row r="41" ht="40" customHeight="1">
      <c r="B41" s="13" t="inlineStr">
        <is>
          <t>Every row of the Inspection &amp; Test Plan names the verifying document the inspection must produce. File it where the row says and reference it on the row. A record that exists but cannot be found in an audit is, for practical purposes, a record that does not exist.</t>
        </is>
      </c>
    </row>
    <row r="42" ht="40" customHeight="1">
      <c r="B42" s="13" t="inlineStr">
        <is>
          <t>Photographs are evidence when they are dated, located and identifiable. A photograph of reinforcement with no grid reference and no scale proves that reinforcement existed somewhere. Include a survey mark, a level board, a tape or a printed grid card in the frame.</t>
        </is>
      </c>
    </row>
    <row r="43" ht="53" customHeight="1">
      <c r="B43" s="13" t="inlineStr">
        <is>
          <t>Retain the records for the period the contract and the applicable law require, whichever is longer. Structural, fire, waterproofing and services commissioning records commonly need to survive the whole design life of the element and any statutory limitation period, which is usually far longer than the defects liability period. Hand them over in the format the information requirements specify — see ISO 19650-3 for the operational phase.</t>
        </is>
      </c>
    </row>
    <row r="44" ht="27" customHeight="1">
      <c r="B44" s="13" t="inlineStr">
        <is>
          <t>Keep superseded revisions out of circulation but inside the project record. The current revision is what the crew works to; the superseded revisions are what explain, later, why something was built the way it was.</t>
        </is>
      </c>
    </row>
    <row r="46" ht="19.5" customHeight="1">
      <c r="B46" s="4" t="inlineStr">
        <is>
          <t>HOW THE CALCULATIONS WORK</t>
        </is>
      </c>
    </row>
    <row r="47" ht="53" customHeight="1">
      <c r="B47" s="13" t="inlineStr">
        <is>
          <t>Status on the Inspection &amp; Test Plan is a nested IF over the result, the planned date and the two sign-off columns. It returns Closed (inspected, acceptable and signed off where required), Awaiting client (passed but the required Client sign-off is not received), Open (failed or a conditional pass), Overdue (not inspected and past the planned date) or NOT INSPECTED. Days Overdue is TODAY() less the planned date, suppressed once an actual date is entered.</t>
        </is>
      </c>
    </row>
    <row r="48" ht="27" customHeight="1">
      <c r="B48" s="13" t="inlineStr">
        <is>
          <t>Within Tolerance on the checklist compares the recorded value against the Min and Max you enter. Leave either blank for a one-sided limit; leave both blank and the column reports 'No limit set' rather than pretending to judge.</t>
        </is>
      </c>
    </row>
    <row r="49" ht="40" customHeight="1">
      <c r="B49" s="13" t="inlineStr">
        <is>
          <t>Result on the Test &amp; Certificate Register is a nested IF driven by the operator column: ≥ and ≤ and = use the lower limit column alone, 'between' uses both. If a limit or the operator is missing the column says so rather than returning a false Pass — those rows are counted separately on the dashboard.</t>
        </is>
      </c>
    </row>
    <row r="50" ht="40" customHeight="1">
      <c r="B50" s="13" t="inlineStr">
        <is>
          <t>Conformance Status on the Lot Register is Non-conforming if any test has failed or any non-conformance is open, Incomplete if any applicable inspection is not yet Closed, and Conforming only when neither is true. The counts are found by searching for the lot number inside the Work Element / Lot text on the other registers, so the lot number must appear in that text — a lot with no match found is flagged.</t>
        </is>
      </c>
    </row>
    <row r="51" ht="27" customHeight="1">
      <c r="B51" s="13" t="inlineStr">
        <is>
          <t>Target close-out dates on the Non-Conformance Register are the date raised plus the number of days set for that severity on the Lists sheet. Status is Closed, Open or OVERDUE against that calculated date.</t>
        </is>
      </c>
    </row>
    <row r="52" ht="27" customHeight="1">
      <c r="B52" s="13" t="inlineStr">
        <is>
          <t>Every calculated cell returns an empty result when its inputs are blank, so an unused row stays clean instead of showing a zero or an error. Dates and durations are calendar days — there is no allowance for public holidays or shutdowns.</t>
        </is>
      </c>
    </row>
    <row r="53" ht="27" customHeight="1">
      <c r="B53" s="13" t="inlineStr">
        <is>
          <t>Nothing on the Quality Dashboard is typed. If a figure is wrong, the register behind it is wrong; each metric names its source sheet and column so you can go and fix the cause.</t>
        </is>
      </c>
    </row>
    <row r="55" ht="19.5" customHeight="1">
      <c r="B55" s="4" t="inlineStr">
        <is>
          <t>ASSUMPTIONS BUILT INTO THIS TEMPLATE</t>
        </is>
      </c>
    </row>
    <row r="56" ht="27" customHeight="1">
      <c r="B56" s="13" t="inlineStr">
        <is>
          <t>The close-out targets by severity, the first-time-pass target and the checklist completion target on the Lists sheet are a common industry configuration, not a standard. Replace them with the figures in your quality plan or the contract.</t>
        </is>
      </c>
    </row>
    <row r="57" ht="40" customHeight="1">
      <c r="B57" s="13" t="inlineStr">
        <is>
          <t>The checklist covers a building and civil project with a live-facility interface. It is a starting set, not a complete scope: add the elements your project actually contains, and delete the ones it does not. The completion percentages are only meaningful once the list matches the work.</t>
        </is>
      </c>
    </row>
    <row r="58" ht="27" customHeight="1">
      <c r="B58" s="13" t="inlineStr">
        <is>
          <t>Column C, D, E and I entries on the checklist are the template's own wording. Where the specification words a requirement differently, the specification wins — overtype the cell.</t>
        </is>
      </c>
    </row>
    <row r="59" ht="40" customHeight="1">
      <c r="B59" s="13" t="inlineStr">
        <is>
          <t>The tolerance column on the checklist carries guidance text; the Min and Max columns are deliberately left blank because the numeric limits come from the project specification, not from a template. Fill them in from the specification before the crew uses the sheet.</t>
        </is>
      </c>
    </row>
    <row r="60" ht="40" customHeight="1">
      <c r="B60" s="13" t="inlineStr">
        <is>
          <t>Standards are cited generically (ISO 9001, ISO 1920 series, ISO 22966, ISO 17892, ISO 22476, ISO 22477-5, ISO 5817, ISO 17640, ISO 2808, ISO 8501, ISO 12944, ISO 7396-1, ISO 7240, ISO 6182, ISO 8100, ISO 13007, IEC 60364, IEC 61439, ISO/IEC 17025, ISO 19650). Substitute the national adoptions and the client-specific standards that apply to your project.</t>
        </is>
      </c>
    </row>
    <row r="61" ht="40" customHeight="1">
      <c r="B61" s="13" t="inlineStr">
        <is>
          <t>The worked example is the Northbank Health Precinct — Stage 2 hospital precinct: deep basement excavation with anchored shoring, a concrete and structural steel frame, and services interfacing a live hospital. It is illustrative only. Every grey italic row and entry is an example and must be deleted before the workbook is issued.</t>
        </is>
      </c>
    </row>
    <row r="62" ht="40" customHeight="1">
      <c r="B62" s="13" t="inlineStr">
        <is>
          <t>The registers are sized for a single package — 40 ITP rows, 25 lots, 25 non-conformances, 30 tests. Insert rows inside the existing ranges rather than below them so the formulas and validation ranges grow with the insertion; check the summary ranges after any structural change.</t>
        </is>
      </c>
    </row>
    <row r="64" ht="19.5" customHeight="1">
      <c r="B64" s="4" t="inlineStr">
        <is>
          <t>REFERENCES</t>
        </is>
      </c>
    </row>
    <row r="65" ht="40" customHeight="1">
      <c r="B65" s="13" t="inlineStr">
        <is>
          <t>ISO 9001:2015 — Quality management systems: requirements. Clauses 8.5 (production and service provision), 8.6 (release of products and services), 8.7 (control of nonconforming outputs), 9.1 (monitoring, measurement, analysis and evaluation) and 10.2 (nonconformity and corrective action) are the clauses this workbook implements.</t>
        </is>
      </c>
    </row>
    <row r="66" ht="27" customHeight="1">
      <c r="B66" s="13" t="inlineStr">
        <is>
          <t>ISO 10005 — Quality management: guidelines for quality plans. The guidance for the project quality plan that an inspection and test plan sits under. This workbook is the verification layer of that plan, not the plan itself.</t>
        </is>
      </c>
    </row>
    <row r="67" ht="27" customHeight="1">
      <c r="B67" s="13" t="inlineStr">
        <is>
          <t>ISO 10006 — Quality management: guidelines for quality management in projects.</t>
        </is>
      </c>
    </row>
    <row r="68" ht="40" customHeight="1">
      <c r="B68" s="13" t="inlineStr">
        <is>
          <t>ISO 19650 series — Organisation and digitisation of information about buildings and civil engineering works, including building information modelling. Part 2 for the delivery phase and part 3 for the operational phase govern how these records are structured, named and handed over as information.</t>
        </is>
      </c>
    </row>
    <row r="69" ht="27" customHeight="1">
      <c r="B69" s="13" t="inlineStr">
        <is>
          <t>ISO/IEC 17025 — General requirements for the competence of testing and calibration laboratories. The basis on which a test certificate is credible. Record the accreditation reference on every test row.</t>
        </is>
      </c>
    </row>
    <row r="70" ht="27" customHeight="1">
      <c r="B70" s="13" t="inlineStr">
        <is>
          <t>ISO 9712 — Non-destructive testing: qualification and certification of NDT personnel. ISO 9606 and ISO 15614 for welder and procedure qualification. ISO 5817 for weld quality levels.</t>
        </is>
      </c>
    </row>
    <row r="71" ht="40" customHeight="1">
      <c r="B71" s="13" t="inlineStr">
        <is>
          <t>ISO 21500 / ISO 21502 and the PMBOK Guide for the surrounding project management framework; ISO 31000 for risk. Contract forms such as NEC, FIDIC and JCT each treat inspection, testing, uncovering and rejection differently — read the quality and testing clauses of the contract you are administering before you rely on this workbook's defaults.</t>
        </is>
      </c>
    </row>
    <row r="73" ht="19.5" customHeight="1">
      <c r="B73" s="4" t="inlineStr">
        <is>
          <t>WHAT THIS WORKBOOK DOES NOT DO</t>
        </is>
      </c>
    </row>
    <row r="74" ht="27" customHeight="1">
      <c r="B74" s="13" t="inlineStr">
        <is>
          <t>It is not a quality management system. It is one project's verification records. The system — the policy, the competence framework, the document control, the internal audit programme, the management review — sits above it.</t>
        </is>
      </c>
    </row>
    <row r="75" ht="27" customHeight="1">
      <c r="B75" s="13" t="inlineStr">
        <is>
          <t>It is not a design review or a design certification record. Verifying that the work matches the drawing says nothing about whether the drawing is right. Design verification belongs under ISO 9001 clause 8.3 and to the designer.</t>
        </is>
      </c>
    </row>
    <row r="76" ht="40" customHeight="1">
      <c r="B76" s="13" t="inlineStr">
        <is>
          <t>It does not manage documents, drawings, revisions, requests for information or the model. It records the drawing and specification references its rows rely on, and no more. If your drawing register and your ITP disagree, the drawing register wins and the ITP row is out of date.</t>
        </is>
      </c>
    </row>
    <row r="77" ht="27" customHeight="1">
      <c r="B77" s="13" t="inlineStr">
        <is>
          <t>It is not a defects or snagging system for the defects liability period, and it is not a punch list tool. It stops at practical completion; the final clean element points at the handover of any open items to the defects register.</t>
        </is>
      </c>
    </row>
    <row r="78" ht="27" customHeight="1">
      <c r="B78" s="13" t="inlineStr">
        <is>
          <t>It does not price, value or certify payment, and the cost impact column on the Non-Conformance Register is a management estimate for trend purposes only — not an entitlement, an admission or a measurement.</t>
        </is>
      </c>
    </row>
    <row r="79" ht="27" customHeight="1">
      <c r="B79" s="13" t="inlineStr">
        <is>
          <t>It does not decide safety. Where an inspection also has a safety purpose — temporary works, shoring, propping release, confined space, live services — the safe work method statement and the permit system govern, not this workbook.</t>
        </is>
      </c>
    </row>
    <row r="80" ht="27" customHeight="1">
      <c r="B80" s="13" t="inlineStr">
        <is>
          <t>It does not replace statutory or third-party certification. Where an authority, a certifier or an insurer must inspect, that inspection is recorded here as a row and its certificate is filed; the authority's process is not replaced by it.</t>
        </is>
      </c>
    </row>
    <row r="81" ht="27" customHeight="1">
      <c r="B81" s="13" t="inlineStr">
        <is>
          <t>It contains no macros, no dynamic arrays and no external links, so it opens and calculates identically in Excel, LibreOffice Calc and Google Sheets. That is deliberate: a quality record that only one person's software can open is not a record.</t>
        </is>
      </c>
    </row>
    <row r="83" ht="19.5" customHeight="1">
      <c r="B83" s="4" t="inlineStr">
        <is>
          <t>DISCLAIMER</t>
        </is>
      </c>
    </row>
    <row r="84" ht="40" customHeight="1">
      <c r="B84" s="13" t="inlineStr">
        <is>
          <t>This template is a starting framework for planning and recording the inspection and testing of construction work. It is not legal advice, contractual advice, engineering advice or safety advice, and it is not a substitute for competent professional judgement, for the project specification, or for the requirements of the contract and of the applicable law.</t>
        </is>
      </c>
    </row>
    <row r="85" ht="40" customHeight="1">
      <c r="B85" s="13" t="inlineStr">
        <is>
          <t>Mastt does not warrant that the content is complete or current for any jurisdiction, project, element or method of construction. The acceptance criteria, tolerances, standards, close-out targets and checklist items in this workbook are illustrative and must be checked against the project specification, the design documentation and the requirements that actually apply before they are used or relied upon.</t>
        </is>
      </c>
    </row>
    <row r="86" ht="40" customHeight="1">
      <c r="B86" s="13" t="inlineStr">
        <is>
          <t>Responsibility for planning inspection and testing, for setting acceptance criteria, for releasing hold points, for controlling nonconforming work and for complying with the contract and the law rests with the party carrying out the work. Use of this template does not transfer any of that responsibility to Mastt.</t>
        </is>
      </c>
    </row>
    <row r="88" ht="16.5" customHeight="1">
      <c r="A88" s="66" t="inlineStr">
        <is>
          <t>Mastt template  ·  mastt.com  ·  © 2026 Mastt</t>
        </is>
      </c>
      <c r="B88" s="59" t="n"/>
      <c r="C88" s="59" t="n"/>
      <c r="D88" s="59" t="n"/>
      <c r="E88" s="59" t="n"/>
      <c r="F88" s="59" t="n"/>
      <c r="G88" s="59" t="n"/>
      <c r="H88" s="59" t="n"/>
    </row>
  </sheetData>
  <mergeCells count="63">
    <mergeCell ref="B42:G42"/>
    <mergeCell ref="B60:G60"/>
    <mergeCell ref="B67:G67"/>
    <mergeCell ref="B14:G14"/>
    <mergeCell ref="B17:G17"/>
    <mergeCell ref="B23:G23"/>
    <mergeCell ref="B57:G57"/>
    <mergeCell ref="B8:G8"/>
    <mergeCell ref="B61:G61"/>
    <mergeCell ref="B13:G13"/>
    <mergeCell ref="B53:G53"/>
    <mergeCell ref="B44:G44"/>
    <mergeCell ref="B78:G78"/>
    <mergeCell ref="B29:G29"/>
    <mergeCell ref="B69:G69"/>
    <mergeCell ref="A88:H88"/>
    <mergeCell ref="B34:G34"/>
    <mergeCell ref="B28:G28"/>
    <mergeCell ref="B37:G37"/>
    <mergeCell ref="B84:G84"/>
    <mergeCell ref="D2:H2"/>
    <mergeCell ref="B9:G9"/>
    <mergeCell ref="B49:G49"/>
    <mergeCell ref="B65:G65"/>
    <mergeCell ref="B40:G40"/>
    <mergeCell ref="B74:G74"/>
    <mergeCell ref="B30:G30"/>
    <mergeCell ref="B68:G68"/>
    <mergeCell ref="B15:G15"/>
    <mergeCell ref="B33:G33"/>
    <mergeCell ref="B24:G24"/>
    <mergeCell ref="B51:G51"/>
    <mergeCell ref="B20:G20"/>
    <mergeCell ref="B80:G80"/>
    <mergeCell ref="B85:G85"/>
    <mergeCell ref="B36:G36"/>
    <mergeCell ref="B76:G76"/>
    <mergeCell ref="B41:G41"/>
    <mergeCell ref="B79:G79"/>
    <mergeCell ref="B35:G35"/>
    <mergeCell ref="B50:G50"/>
    <mergeCell ref="B75:G75"/>
    <mergeCell ref="B86:G86"/>
    <mergeCell ref="B70:G70"/>
    <mergeCell ref="B62:G62"/>
    <mergeCell ref="B7:G7"/>
    <mergeCell ref="D3:H3"/>
    <mergeCell ref="B47:G47"/>
    <mergeCell ref="B16:G16"/>
    <mergeCell ref="B81:G81"/>
    <mergeCell ref="B59:G59"/>
    <mergeCell ref="B22:G22"/>
    <mergeCell ref="B66:G66"/>
    <mergeCell ref="B27:G27"/>
    <mergeCell ref="B71:G71"/>
    <mergeCell ref="B43:G43"/>
    <mergeCell ref="B12:G12"/>
    <mergeCell ref="B56:G56"/>
    <mergeCell ref="B58:G58"/>
    <mergeCell ref="B52:G52"/>
    <mergeCell ref="B21:G21"/>
    <mergeCell ref="B48:G48"/>
    <mergeCell ref="B77:G77"/>
  </mergeCells>
  <hyperlinks>
    <hyperlink xmlns:r="http://schemas.openxmlformats.org/officeDocument/2006/relationships" ref="A88" r:id="rId1"/>
  </hyperlinks>
  <printOptions horizontalCentered="0"/>
  <pageMargins left="0.3" right="0.3" top="0.5" bottom="0.5" header="0.2" footer="0.3"/>
  <pageSetup orientation="landscape" paperSize="9" fitToHeight="0" fitToWidth="1"/>
  <headerFooter>
    <oddHeader/>
    <oddFooter>&amp;L&amp;"Arial,Regular"&amp;7 &amp;K8E98A2Mastt template  ·  mastt.com  ·  © 2026 Mastt&amp;R&amp;"Arial,Regular"&amp;7 &amp;K8E98A2&amp;A  ·  Page &amp;P of &amp;N</oddFooter>
    <evenHeader/>
    <evenFooter/>
    <firstHeader/>
    <firstFooter/>
  </headerFooter>
  <drawing xmlns:r="http://schemas.openxmlformats.org/officeDocument/2006/relationships" r:id="rId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Mastt</dc:creator>
  <dc:title xmlns:dc="http://purl.org/dc/elements/1.1/">Construction Quality Control Checklist / Inspection &amp; Test Plan</dc:title>
  <dc:description xmlns:dc="http://purl.org/dc/elements/1.1/">Mastt global template - https://www.mastt.com/  © 2026 Mastt. Framework only; not legal, safety or financial advice.</dc:description>
  <dc:subject xmlns:dc="http://purl.org/dc/elements/1.1/">Construction quality control checklist, inspection and test plan, lot and non-conformance registers - global template</dc:subject>
  <dcterms:created xmlns:dcterms="http://purl.org/dc/terms/" xmlns:xsi="http://www.w3.org/2001/XMLSchema-instance" xsi:type="dcterms:W3CDTF">2026-08-20T11:03:51Z</dcterms:created>
  <dcterms:modified xmlns:dcterms="http://purl.org/dc/terms/" xmlns:xsi="http://www.w3.org/2001/XMLSchema-instance" xsi:type="dcterms:W3CDTF">2026-08-21T03:05:00Z</dcterms:modified>
  <cp:lastModifiedBy>Mastt</cp:lastModifiedBy>
  <cp:category>Template</cp:category>
  <cp:keywords>Mastt; quality; ITP; inspection and test plan; hold point; non-conformance; NCR; lot; ISO 9001; construction; project controls; template</cp:keywords>
</cp:coreProperties>
</file>