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rojects" sheetId="1" state="visible" r:id="rId3"/>
    <sheet name="Portfolio" sheetId="2" state="visible" r:id="rId4"/>
    <sheet name="Reference" sheetId="3" state="visible" r:id="rId5"/>
    <sheet name="Notes &amp; Assumptions" sheetId="4" state="visible" r:id="rId6"/>
  </sheets>
  <definedNames>
    <definedName function="false" hidden="false" localSheetId="3" name="_xlnm.Print_Area" vbProcedure="false">'Notes &amp; Assumptions'!$A$1:$C$25</definedName>
    <definedName function="false" hidden="false" localSheetId="3" name="_xlnm.Print_Titles" vbProcedure="false">'Notes &amp; Assumptions'!$1:$2</definedName>
    <definedName function="false" hidden="false" localSheetId="1" name="_xlnm.Print_Area" vbProcedure="false">Portfolio!$A$1:$I$41</definedName>
    <definedName function="false" hidden="false" localSheetId="1" name="_xlnm.Print_Titles" vbProcedure="false">Portfolio!$1:$2</definedName>
    <definedName function="false" hidden="false" localSheetId="0" name="_xlnm.Print_Area" vbProcedure="false">Projects!$A$1:$S$31</definedName>
    <definedName function="false" hidden="false" localSheetId="0" name="_xlnm.Print_Titles" vbProcedure="false">Projects!$1:$2</definedName>
    <definedName function="false" hidden="false" localSheetId="2" name="_xlnm.Print_Area" vbProcedure="false">Reference!$A$1:$G$25</definedName>
    <definedName function="false" hidden="false" localSheetId="2" name="_xlnm.Print_Titles" vbProcedure="false">Reference!$1:$2</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<sst xmlns="http://schemas.openxmlformats.org/spreadsheetml/2006/main" count="214" uniqueCount="135">
  <si>
    <t xml:space="preserve">MULTIPLE PROJECT TRACKING</t>
  </si>
  <si>
    <t xml:space="preserve">One row per project. Type over the white cells; everything shaded is computed. 15 example projects, and they are deliberately not all healthy.</t>
  </si>
  <si>
    <t xml:space="preserve">RIDGEMONT COUNTY CAPITAL PROGRAM  ·  PROJECT TRACKER</t>
  </si>
  <si>
    <t xml:space="preserve">ID</t>
  </si>
  <si>
    <t xml:space="preserve">Project</t>
  </si>
  <si>
    <t xml:space="preserve">Program</t>
  </si>
  <si>
    <t xml:space="preserve">Phase</t>
  </si>
  <si>
    <t xml:space="preserve">Project
manager</t>
  </si>
  <si>
    <t xml:space="preserve">Approved</t>
  </si>
  <si>
    <t xml:space="preserve">Forecast</t>
  </si>
  <si>
    <t xml:space="preserve">Variance</t>
  </si>
  <si>
    <t xml:space="preserve">%
comp.</t>
  </si>
  <si>
    <t xml:space="preserve">Baseline
finish</t>
  </si>
  <si>
    <t xml:space="preserve">Forecast
finish</t>
  </si>
  <si>
    <t xml:space="preserve">Days
var.</t>
  </si>
  <si>
    <t xml:space="preserve">Cont.
drawn</t>
  </si>
  <si>
    <t xml:space="preserve">Open
risks</t>
  </si>
  <si>
    <t xml:space="preserve">Over-
due</t>
  </si>
  <si>
    <t xml:space="preserve">Last
updated</t>
  </si>
  <si>
    <t xml:space="preserve">Health</t>
  </si>
  <si>
    <t xml:space="preserve">CP-101</t>
  </si>
  <si>
    <t xml:space="preserve">Ridgemont Public Safety Building</t>
  </si>
  <si>
    <t xml:space="preserve">Public Safety</t>
  </si>
  <si>
    <t xml:space="preserve">Construction</t>
  </si>
  <si>
    <t xml:space="preserve">A. Whitfield</t>
  </si>
  <si>
    <t xml:space="preserve">CP-102</t>
  </si>
  <si>
    <t xml:space="preserve">Fairbrook Fire Station 7</t>
  </si>
  <si>
    <t xml:space="preserve">Commissioning</t>
  </si>
  <si>
    <t xml:space="preserve">R. Osei</t>
  </si>
  <si>
    <t xml:space="preserve">CP-103</t>
  </si>
  <si>
    <t xml:space="preserve">Wexler Park Aquatic Center</t>
  </si>
  <si>
    <t xml:space="preserve">Parks &amp; Rec</t>
  </si>
  <si>
    <t xml:space="preserve">Design</t>
  </si>
  <si>
    <t xml:space="preserve">D. Kaplan</t>
  </si>
  <si>
    <t xml:space="preserve">CP-104</t>
  </si>
  <si>
    <t xml:space="preserve">Halstead Avenue Bridge Rehab</t>
  </si>
  <si>
    <t xml:space="preserve">Transportation</t>
  </si>
  <si>
    <t xml:space="preserve">M. Trejo</t>
  </si>
  <si>
    <t xml:space="preserve">CP-105</t>
  </si>
  <si>
    <t xml:space="preserve">Northside Transit Hub</t>
  </si>
  <si>
    <t xml:space="preserve">Procurement</t>
  </si>
  <si>
    <t xml:space="preserve">CP-106</t>
  </si>
  <si>
    <t xml:space="preserve">County Courthouse HVAC Renewal</t>
  </si>
  <si>
    <t xml:space="preserve">Facilities</t>
  </si>
  <si>
    <t xml:space="preserve">S. Lindqvist</t>
  </si>
  <si>
    <t xml:space="preserve">CP-107</t>
  </si>
  <si>
    <t xml:space="preserve">Milbrook Water Treatment Upgrade</t>
  </si>
  <si>
    <t xml:space="preserve">Water &amp; Sewer</t>
  </si>
  <si>
    <t xml:space="preserve">CP-108</t>
  </si>
  <si>
    <t xml:space="preserve">Eastgate Library Renovation</t>
  </si>
  <si>
    <t xml:space="preserve">Closeout</t>
  </si>
  <si>
    <t xml:space="preserve">CP-109</t>
  </si>
  <si>
    <t xml:space="preserve">Sanders Creek Trail Extension</t>
  </si>
  <si>
    <t xml:space="preserve">CP-110</t>
  </si>
  <si>
    <t xml:space="preserve">Vale Street Sewer Replacement</t>
  </si>
  <si>
    <t xml:space="preserve">CP-111</t>
  </si>
  <si>
    <t xml:space="preserve">Ridgemont Animal Shelter</t>
  </si>
  <si>
    <t xml:space="preserve">CP-112</t>
  </si>
  <si>
    <t xml:space="preserve">Fleet Maintenance Facility</t>
  </si>
  <si>
    <t xml:space="preserve">On hold</t>
  </si>
  <si>
    <t xml:space="preserve">CP-113</t>
  </si>
  <si>
    <t xml:space="preserve">Grantham Elementary Field Lighting</t>
  </si>
  <si>
    <t xml:space="preserve">CP-114</t>
  </si>
  <si>
    <t xml:space="preserve">Interchange 40 Signal Upgrade</t>
  </si>
  <si>
    <t xml:space="preserve">CP-115</t>
  </si>
  <si>
    <t xml:space="preserve">Harlow Reservoir Liner</t>
  </si>
  <si>
    <t xml:space="preserve">Feasibility</t>
  </si>
  <si>
    <t xml:space="preserve">Insert rows inside the block above rather than typing below it, so the formulas and the portfolio ranking follow. Everything from Variance rightward is computed.</t>
  </si>
  <si>
    <t xml:space="preserve">Visit mastt.com</t>
  </si>
  <si>
    <t xml:space="preserve">Which projects need attention, ranked. Everything here is read off the Projects sheet - there is nothing to type on this page.</t>
  </si>
  <si>
    <t xml:space="preserve">PORTFOLIO FORECAST</t>
  </si>
  <si>
    <t xml:space="preserve">OVER APPROVED BUDGET</t>
  </si>
  <si>
    <t xml:space="preserve">BEHIND BASELINE</t>
  </si>
  <si>
    <t xml:space="preserve">STALE</t>
  </si>
  <si>
    <t xml:space="preserve">RANKED BY ATTENTION  ·  THE TOP EIGHT</t>
  </si>
  <si>
    <t xml:space="preserve">Rank</t>
  </si>
  <si>
    <t xml:space="preserve">Days</t>
  </si>
  <si>
    <t xml:space="preserve">Projects on hold are excluded from this ranking. A paused project failing a schedule test tells you nothing you did not already know.</t>
  </si>
  <si>
    <t xml:space="preserve">BY PROGRAM  ·  WHERE THE MONEY AND THE TROUBLE ARE</t>
  </si>
  <si>
    <t xml:space="preserve">Projects</t>
  </si>
  <si>
    <t xml:space="preserve">Need</t>
  </si>
  <si>
    <t xml:space="preserve">Position</t>
  </si>
  <si>
    <t xml:space="preserve">BY PROJECT MANAGER  ·  WHO IS CARRYING WHAT</t>
  </si>
  <si>
    <t xml:space="preserve">Active projects per manager before load is flagged</t>
  </si>
  <si>
    <t xml:space="preserve">Set it to how your program actually runs.</t>
  </si>
  <si>
    <t xml:space="preserve">Project manager</t>
  </si>
  <si>
    <t xml:space="preserve">Load</t>
  </si>
  <si>
    <t xml:space="preserve">A manager with two projects in trouble is a resourcing decision, not a project one - and it is the reading a per-program roll-up cannot give you, because trouble spread across three programs can still be one person.</t>
  </si>
  <si>
    <t xml:space="preserve">The six thresholds every project is scored against, and the dropdown sources. Change a number here and every row on the Projects sheet re-scores.</t>
  </si>
  <si>
    <t xml:space="preserve">THE SIX TESTS</t>
  </si>
  <si>
    <t xml:space="preserve">Test</t>
  </si>
  <si>
    <t xml:space="preserve">Value</t>
  </si>
  <si>
    <t xml:space="preserve">What it means</t>
  </si>
  <si>
    <t xml:space="preserve">Forecast over approved by more than</t>
  </si>
  <si>
    <t xml:space="preserve">%  ·  Cost variance. A forecast above the approved budget by more than this fails the test.</t>
  </si>
  <si>
    <t xml:space="preserve">Forecast finish behind baseline by more than</t>
  </si>
  <si>
    <t xml:space="preserve">days  ·  Schedule variance against the approved baseline, not against last month.</t>
  </si>
  <si>
    <t xml:space="preserve">Contingency drawn ahead of percent complete by</t>
  </si>
  <si>
    <t xml:space="preserve">points  ·  The earliest honest warning. Arithmetic, not judgment, so it moves before the forecast does.</t>
  </si>
  <si>
    <t xml:space="preserve">No status update in more than</t>
  </si>
  <si>
    <t xml:space="preserve">days  ·  STALE. A project nobody has touched is not green, it is unknown - see the notes.</t>
  </si>
  <si>
    <t xml:space="preserve">Open risks at or above</t>
  </si>
  <si>
    <t xml:space="preserve">risks  ·  Volume, not severity. Severity is the risk register's job; this is a load signal.</t>
  </si>
  <si>
    <t xml:space="preserve">Overdue actions at or above</t>
  </si>
  <si>
    <t xml:space="preserve">actions  ·  Actions past their due date on the project's own action log.</t>
  </si>
  <si>
    <t xml:space="preserve">DROPDOWN SOURCES</t>
  </si>
  <si>
    <t xml:space="preserve">Edit these lists and the Projects sheet dropdowns follow.</t>
  </si>
  <si>
    <t xml:space="preserve">How the scoring works, and where this file stops.</t>
  </si>
  <si>
    <t xml:space="preserve">HOW TO USE IT</t>
  </si>
  <si>
    <t xml:space="preserve">Replace the fifteen example projects and nothing else</t>
  </si>
  <si>
    <t xml:space="preserve">Every column to the right of Last updated is computed. Type over the white cells only; the shaded ones will recalculate.</t>
  </si>
  <si>
    <t xml:space="preserve">Update the whole portfolio on one day each month</t>
  </si>
  <si>
    <t xml:space="preserve">A tracker where half the rows are current and half are six weeks old is worse than no tracker, because the comparison between projects stops meaning anything. That is what Last updated is for and what the STALE flag catches.</t>
  </si>
  <si>
    <t xml:space="preserve">Attention is a count of signals, not an opinion</t>
  </si>
  <si>
    <t xml:space="preserve">Six objective tests run on every row. A project's score is how many it fails, and the portfolio sheet ranks on it. Nobody has to argue about whether something is amber.</t>
  </si>
  <si>
    <t xml:space="preserve">Projects on hold are excluded from the ranking, not from the list</t>
  </si>
  <si>
    <t xml:space="preserve">They keep their row and their budget and they drop out of the attention count, because a paused project failing a schedule test tells you nothing you did not already know.</t>
  </si>
  <si>
    <t xml:space="preserve">NOTES</t>
  </si>
  <si>
    <t xml:space="preserve">The six tests, and the numbers behind them</t>
  </si>
  <si>
    <t xml:space="preserve">Forecast above approved by more than 2%. Forecast finish more than 30 days behind baseline. Contingency drawn more than 15 points ahead of percent complete. No status update in 21 days. Open risks at 8 or more. Overdue actions at 3 or more. Change any of them on the Reference sheet and every row re-scores.</t>
  </si>
  <si>
    <t xml:space="preserve">STALE beats GREEN, and that is the whole point</t>
  </si>
  <si>
    <t xml:space="preserve">A project reporting green that nobody has touched in six weeks is not green, it is unknown. Every other multi-project template treats a blank update date as neutral. This one treats it as a finding, because the commonest way a portfolio surprises an owner is a project that stopped reporting rather than one that reported badly.</t>
  </si>
  <si>
    <t xml:space="preserve">Contingency ahead of progress is the earliest honest warning</t>
  </si>
  <si>
    <t xml:space="preserve">Cost variance shows up late, because a forecast is a judgment and judgments lag. Contingency drawn against percent complete is arithmetic and it moves first. A project 48% complete that has spent all of its contingency is in trouble whatever its forecast says - see CP-110.</t>
  </si>
  <si>
    <t xml:space="preserve">This is a tracker, not a list and not a report</t>
  </si>
  <si>
    <t xml:space="preserve">A directory of what projects exist, who runs them and what they are worth is a project list, and Mastt publishes a Construction Project List Template for that. The monthly narrative for a sponsor is a report, and Mastt publishes a Monthly Project Report Template. This file is the status layer between them.</t>
  </si>
  <si>
    <t xml:space="preserve">WHAT THIS FILE IS NOT</t>
  </si>
  <si>
    <t xml:space="preserve">One row per project, not per task</t>
  </si>
  <si>
    <t xml:space="preserve">This tracks a portfolio. Tasks, dependencies and the critical path belong in the project schedule, and a portfolio tracker that grows a task column stops being usable at about project six.</t>
  </si>
  <si>
    <t xml:space="preserve">It does not replace the individual project's controls</t>
  </si>
  <si>
    <t xml:space="preserve">Each project still needs its own schedule, risk register, change log and cost report. This file reads the top line off each of them; it is not a substitute for any of them.</t>
  </si>
  <si>
    <t xml:space="preserve">The money columns are a control total, not an accounting record</t>
  </si>
  <si>
    <t xml:space="preserve">Approved, committed and forecast here should reconcile to the finance system monthly. Where they disagree, the finance system governs and this file is corrected.</t>
  </si>
  <si>
    <t xml:space="preserve">IMPORTANT</t>
  </si>
  <si>
    <t xml:space="preserve">This is a template and a worked example, not advice. The portfolio, the projects, the people and every figure in it are invented and illustrative. The thresholds on the Reference sheet are starting points chosen to make the example demonstrate each test; set them to your own delegations and your own tolerance before you use this to make a decision. Figures here are a management summary and are not an accounting record - reconcile them to your finance system before reporting them externally, and have anything carrying financial or contractual consequence reviewed before you issue it.</t>
  </si>
</sst>
</file>

<file path=xl/styles.xml><?xml version="1.0" encoding="utf-8"?>
<styleSheet xmlns="http://schemas.openxmlformats.org/spreadsheetml/2006/main">
  <numFmts count="7">
    <numFmt numFmtId="164" formatCode="General"/>
    <numFmt numFmtId="165" formatCode="\$#,##0;&quot;-$&quot;#,##0;\-"/>
    <numFmt numFmtId="166" formatCode="&quot;+$&quot;#,##0;&quot;-$&quot;#,##0;\-"/>
    <numFmt numFmtId="167" formatCode="0%"/>
    <numFmt numFmtId="168" formatCode="mmm\ d&quot;, &quot;yyyy"/>
    <numFmt numFmtId="169" formatCode="\+0;\-0;\-"/>
    <numFmt numFmtId="170" formatCode="#,##0;;\-"/>
  </numFmts>
  <fonts count="22">
    <font>
      <sz val="11"/>
      <color theme="1"/>
      <name val="Calibri"/>
      <family val="2"/>
      <charset val="1"/>
    </font>
    <font>
      <sz val="10"/>
      <name val="Arial"/>
      <family val="0"/>
    </font>
    <font>
      <sz val="10"/>
      <name val="Arial"/>
      <family val="0"/>
    </font>
    <font>
      <sz val="10"/>
      <name val="Arial"/>
      <family val="0"/>
    </font>
    <font>
      <b val="true"/>
      <sz val="13"/>
      <color rgb="FFFFFFFF"/>
      <name val="Inter"/>
      <family val="0"/>
      <charset val="1"/>
    </font>
    <font>
      <b val="true"/>
      <sz val="11"/>
      <color rgb="FFFFFFFF"/>
      <name val="Inter"/>
      <family val="0"/>
      <charset val="1"/>
    </font>
    <font>
      <b val="true"/>
      <sz val="9.5"/>
      <color rgb="FF1D3245"/>
      <name val="Inter"/>
      <family val="0"/>
      <charset val="1"/>
    </font>
    <font>
      <i val="true"/>
      <sz val="9"/>
      <color rgb="FF8E98A2"/>
      <name val="Inter"/>
      <family val="0"/>
      <charset val="1"/>
    </font>
    <font>
      <b val="true"/>
      <sz val="8.5"/>
      <color rgb="FF0D3C61"/>
      <name val="Inter"/>
      <family val="0"/>
      <charset val="1"/>
    </font>
    <font>
      <sz val="10"/>
      <color rgb="FF0D3C61"/>
      <name val="Inter"/>
      <family val="0"/>
      <charset val="1"/>
    </font>
    <font>
      <sz val="10"/>
      <color rgb="FF1D3245"/>
      <name val="Inter"/>
      <family val="0"/>
      <charset val="1"/>
    </font>
    <font>
      <i val="true"/>
      <sz val="8.5"/>
      <color rgb="FF8E98A2"/>
      <name val="Inter"/>
      <family val="0"/>
      <charset val="1"/>
    </font>
    <font>
      <u val="single"/>
      <sz val="9.5"/>
      <color rgb="FF3480BC"/>
      <name val="Inter"/>
      <family val="0"/>
      <charset val="1"/>
    </font>
    <font>
      <b val="true"/>
      <sz val="12"/>
      <color rgb="FF1D3245"/>
      <name val="Inter"/>
      <family val="0"/>
      <charset val="1"/>
    </font>
    <font>
      <b val="true"/>
      <sz val="8"/>
      <color rgb="FF8E98A2"/>
      <name val="Inter"/>
      <family val="0"/>
      <charset val="1"/>
    </font>
    <font>
      <b val="true"/>
      <sz val="22"/>
      <color rgb="FF1D3245"/>
      <name val="Inter"/>
      <family val="0"/>
      <charset val="1"/>
    </font>
    <font>
      <i val="true"/>
      <sz val="8"/>
      <color rgb="FF8E98A2"/>
      <name val="Inter"/>
      <family val="0"/>
      <charset val="1"/>
    </font>
    <font>
      <b val="true"/>
      <sz val="9"/>
      <color rgb="FF0D3C61"/>
      <name val="Inter"/>
      <family val="0"/>
      <charset val="1"/>
    </font>
    <font>
      <b val="true"/>
      <sz val="9.5"/>
      <color rgb="FF0D3C61"/>
      <name val="Inter"/>
      <family val="0"/>
      <charset val="1"/>
    </font>
    <font>
      <sz val="9.5"/>
      <color rgb="FF1D3245"/>
      <name val="Inter"/>
      <family val="0"/>
      <charset val="1"/>
    </font>
    <font>
      <sz val="8.5"/>
      <color rgb="FF8E98A2"/>
      <name val="Inter"/>
      <family val="0"/>
      <charset val="1"/>
    </font>
    <font>
      <sz val="9"/>
      <color rgb="FF1D3245"/>
      <name val="Inter"/>
      <family val="0"/>
      <charset val="1"/>
    </font>
  </fonts>
  <fills count="9">
    <fill>
      <patternFill patternType="none"/>
    </fill>
    <fill>
      <patternFill patternType="gray125"/>
    </fill>
    <fill>
      <patternFill patternType="solid">
        <fgColor rgb="FF1D3245"/>
        <bgColor rgb="FF0D3C61"/>
      </patternFill>
    </fill>
    <fill>
      <patternFill patternType="solid">
        <fgColor rgb="FF3480BC"/>
        <bgColor rgb="FF339966"/>
      </patternFill>
    </fill>
    <fill>
      <patternFill patternType="solid">
        <fgColor rgb="FF0D3C61"/>
        <bgColor rgb="FF1D3245"/>
      </patternFill>
    </fill>
    <fill>
      <patternFill patternType="solid">
        <fgColor rgb="FFDCE9F4"/>
        <bgColor rgb="FFE3F0FA"/>
      </patternFill>
    </fill>
    <fill>
      <patternFill patternType="solid">
        <fgColor rgb="FFE3F0FA"/>
        <bgColor rgb="FFDCE9F4"/>
      </patternFill>
    </fill>
    <fill>
      <patternFill patternType="solid">
        <fgColor rgb="FFF6F9FC"/>
        <bgColor rgb="FFF5F5F5"/>
      </patternFill>
    </fill>
    <fill>
      <patternFill patternType="solid">
        <fgColor rgb="FFF5F5F5"/>
        <bgColor rgb="FFF6F9FC"/>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5"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left" vertical="top" textRotation="0" wrapText="true" indent="1" shrinkToFit="false"/>
      <protection locked="true" hidden="false"/>
    </xf>
    <xf numFmtId="164" fontId="5" fillId="4" borderId="0" xfId="0" applyFont="true" applyBorder="true" applyAlignment="true" applyProtection="false">
      <alignment horizontal="left" vertical="center" textRotation="0" wrapText="false" indent="1" shrinkToFit="false"/>
      <protection locked="true" hidden="false"/>
    </xf>
    <xf numFmtId="164" fontId="8" fillId="5" borderId="1" xfId="0" applyFont="true" applyBorder="true" applyAlignment="true" applyProtection="false">
      <alignment horizontal="center" vertical="center" textRotation="0" wrapText="true" indent="0" shrinkToFit="false"/>
      <protection locked="true" hidden="false"/>
    </xf>
    <xf numFmtId="164" fontId="9" fillId="6" borderId="2" xfId="0" applyFont="true" applyBorder="true" applyAlignment="true" applyProtection="false">
      <alignment horizontal="center" vertical="center" textRotation="0" wrapText="false" indent="1" shrinkToFit="false"/>
      <protection locked="true" hidden="false"/>
    </xf>
    <xf numFmtId="164" fontId="9" fillId="6" borderId="2" xfId="0" applyFont="true" applyBorder="true" applyAlignment="true" applyProtection="false">
      <alignment horizontal="left" vertical="center" textRotation="0" wrapText="true" indent="1" shrinkToFit="false"/>
      <protection locked="true" hidden="false"/>
    </xf>
    <xf numFmtId="164" fontId="9" fillId="6" borderId="2" xfId="0" applyFont="true" applyBorder="true" applyAlignment="true" applyProtection="false">
      <alignment horizontal="left" vertical="center" textRotation="0" wrapText="false" indent="1" shrinkToFit="false"/>
      <protection locked="true" hidden="false"/>
    </xf>
    <xf numFmtId="165" fontId="9" fillId="6" borderId="2" xfId="0" applyFont="true" applyBorder="true" applyAlignment="true" applyProtection="false">
      <alignment horizontal="right" vertical="center" textRotation="0" wrapText="false" indent="1" shrinkToFit="false"/>
      <protection locked="true" hidden="false"/>
    </xf>
    <xf numFmtId="166" fontId="10" fillId="7" borderId="2" xfId="0" applyFont="true" applyBorder="true" applyAlignment="true" applyProtection="false">
      <alignment horizontal="right" vertical="center" textRotation="0" wrapText="false" indent="1" shrinkToFit="false"/>
      <protection locked="true" hidden="false"/>
    </xf>
    <xf numFmtId="167" fontId="9" fillId="6" borderId="2" xfId="0" applyFont="true" applyBorder="true" applyAlignment="true" applyProtection="false">
      <alignment horizontal="center" vertical="center" textRotation="0" wrapText="false" indent="1" shrinkToFit="false"/>
      <protection locked="true" hidden="false"/>
    </xf>
    <xf numFmtId="168" fontId="9" fillId="6" borderId="2" xfId="0" applyFont="true" applyBorder="true" applyAlignment="true" applyProtection="false">
      <alignment horizontal="center" vertical="center" textRotation="0" wrapText="false" indent="1" shrinkToFit="false"/>
      <protection locked="true" hidden="false"/>
    </xf>
    <xf numFmtId="169" fontId="10" fillId="7" borderId="2" xfId="0" applyFont="true" applyBorder="true" applyAlignment="true" applyProtection="false">
      <alignment horizontal="center" vertical="center" textRotation="0" wrapText="false" indent="1" shrinkToFit="false"/>
      <protection locked="true" hidden="false"/>
    </xf>
    <xf numFmtId="170" fontId="9" fillId="6" borderId="2" xfId="0" applyFont="true" applyBorder="true" applyAlignment="true" applyProtection="false">
      <alignment horizontal="center" vertical="center" textRotation="0" wrapText="false" indent="1" shrinkToFit="false"/>
      <protection locked="true" hidden="false"/>
    </xf>
    <xf numFmtId="170" fontId="10" fillId="7" borderId="2" xfId="0" applyFont="true" applyBorder="true" applyAlignment="true" applyProtection="false">
      <alignment horizontal="center" vertical="center" textRotation="0" wrapText="false" indent="1" shrinkToFit="false"/>
      <protection locked="true" hidden="false"/>
    </xf>
    <xf numFmtId="164" fontId="10" fillId="7" borderId="2" xfId="0" applyFont="true" applyBorder="true" applyAlignment="true" applyProtection="false">
      <alignment horizontal="left" vertical="center" textRotation="0" wrapText="false" indent="1" shrinkToFit="false"/>
      <protection locked="true" hidden="false"/>
    </xf>
    <xf numFmtId="170" fontId="10" fillId="7" borderId="2"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true" applyAlignment="true" applyProtection="false">
      <alignment horizontal="left" vertical="top" textRotation="0" wrapText="true" indent="1" shrinkToFit="false"/>
      <protection locked="true" hidden="false"/>
    </xf>
    <xf numFmtId="164" fontId="12" fillId="0" borderId="0" xfId="0" applyFont="true" applyBorder="true" applyAlignment="true" applyProtection="false">
      <alignment horizontal="righ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14" fillId="8" borderId="0" xfId="0" applyFont="true" applyBorder="true" applyAlignment="true" applyProtection="false">
      <alignment horizontal="center" vertical="bottom" textRotation="0" wrapText="false" indent="0" shrinkToFit="false"/>
      <protection locked="true" hidden="false"/>
    </xf>
    <xf numFmtId="165" fontId="15" fillId="8" borderId="0" xfId="0" applyFont="true" applyBorder="true" applyAlignment="true" applyProtection="false">
      <alignment horizontal="center" vertical="center" textRotation="0" wrapText="false" indent="0" shrinkToFit="false"/>
      <protection locked="true" hidden="false"/>
    </xf>
    <xf numFmtId="170" fontId="15" fillId="8" borderId="0" xfId="0" applyFont="true" applyBorder="true" applyAlignment="true" applyProtection="false">
      <alignment horizontal="center" vertical="center" textRotation="0" wrapText="false" indent="0" shrinkToFit="false"/>
      <protection locked="true" hidden="false"/>
    </xf>
    <xf numFmtId="164" fontId="16" fillId="8" borderId="0" xfId="0" applyFont="true" applyBorder="true" applyAlignment="true" applyProtection="false">
      <alignment horizontal="center" vertical="top" textRotation="0" wrapText="true" indent="0" shrinkToFit="false"/>
      <protection locked="true" hidden="false"/>
    </xf>
    <xf numFmtId="164" fontId="17" fillId="5" borderId="1" xfId="0" applyFont="true" applyBorder="true" applyAlignment="true" applyProtection="false">
      <alignment horizontal="center" vertical="center" textRotation="0" wrapText="tru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5" fontId="10" fillId="7" borderId="2" xfId="0" applyFont="true" applyBorder="true" applyAlignment="true" applyProtection="false">
      <alignment horizontal="right" vertical="center" textRotation="0" wrapText="false" indent="1"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7" fillId="5" borderId="0" xfId="0" applyFont="true" applyBorder="false" applyAlignment="true" applyProtection="false">
      <alignment horizontal="left" vertical="center" textRotation="0" wrapText="false" indent="1" shrinkToFit="false"/>
      <protection locked="true" hidden="false"/>
    </xf>
    <xf numFmtId="164" fontId="17" fillId="5" borderId="0" xfId="0" applyFont="true" applyBorder="false" applyAlignment="true" applyProtection="false">
      <alignment horizontal="center" vertical="center" textRotation="0" wrapText="false" indent="0" shrinkToFit="false"/>
      <protection locked="true" hidden="false"/>
    </xf>
    <xf numFmtId="164" fontId="17" fillId="5" borderId="0" xfId="0" applyFont="true" applyBorder="true" applyAlignment="true" applyProtection="false">
      <alignment horizontal="left" vertical="center" textRotation="0" wrapText="false" indent="1" shrinkToFit="false"/>
      <protection locked="true" hidden="false"/>
    </xf>
    <xf numFmtId="164" fontId="19" fillId="0" borderId="0" xfId="0" applyFont="true" applyBorder="false" applyAlignment="true" applyProtection="false">
      <alignment horizontal="left" vertical="center" textRotation="0" wrapText="true" indent="1" shrinkToFit="false"/>
      <protection locked="true" hidden="false"/>
    </xf>
    <xf numFmtId="164" fontId="20" fillId="0" borderId="0" xfId="0" applyFont="true" applyBorder="true" applyAlignment="true" applyProtection="false">
      <alignment horizontal="left" vertical="center" textRotation="0" wrapText="true" indent="1" shrinkToFit="false"/>
      <protection locked="true" hidden="false"/>
    </xf>
    <xf numFmtId="164" fontId="7" fillId="0" borderId="0" xfId="0" applyFont="true" applyBorder="true" applyAlignment="true" applyProtection="false">
      <alignment horizontal="left" vertical="center" textRotation="0" wrapText="false" indent="1" shrinkToFit="false"/>
      <protection locked="true" hidden="false"/>
    </xf>
    <xf numFmtId="164" fontId="17" fillId="0" borderId="0" xfId="0" applyFont="true" applyBorder="false" applyAlignment="true" applyProtection="false">
      <alignment horizontal="left" vertical="center" textRotation="0" wrapText="false" indent="1" shrinkToFit="false"/>
      <protection locked="true" hidden="false"/>
    </xf>
    <xf numFmtId="164" fontId="19" fillId="0" borderId="0" xfId="0" applyFont="true" applyBorder="false" applyAlignment="true" applyProtection="false">
      <alignment horizontal="left" vertical="center" textRotation="0" wrapText="false" indent="1" shrinkToFit="false"/>
      <protection locked="true" hidden="false"/>
    </xf>
    <xf numFmtId="164" fontId="18" fillId="0" borderId="0" xfId="0" applyFont="true" applyBorder="false" applyAlignment="true" applyProtection="false">
      <alignment horizontal="left" vertical="top" textRotation="0" wrapText="true" indent="1" shrinkToFit="false"/>
      <protection locked="true" hidden="false"/>
    </xf>
    <xf numFmtId="164" fontId="21" fillId="0" borderId="0" xfId="0" applyFont="true" applyBorder="false" applyAlignment="true" applyProtection="false">
      <alignment horizontal="left" vertical="top" textRotation="0" wrapText="true" indent="1" shrinkToFit="false"/>
      <protection locked="true" hidden="false"/>
    </xf>
    <xf numFmtId="164" fontId="21" fillId="0" borderId="0"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bgColor rgb="FFFFF4E0"/>
        </patternFill>
      </fill>
    </dxf>
    <dxf>
      <fill>
        <patternFill>
          <bgColor rgb="FFFDEBE9"/>
        </patternFill>
      </fill>
    </dxf>
    <dxf>
      <fill>
        <patternFill>
          <bgColor rgb="FFE8F5E9"/>
        </patternFill>
      </fill>
    </dxf>
    <dxf>
      <fill>
        <patternFill>
          <bgColor rgb="FFF5F5F5"/>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6F9FC"/>
      <rgbColor rgb="FF808080"/>
      <rgbColor rgb="FF9999FF"/>
      <rgbColor rgb="FF993366"/>
      <rgbColor rgb="FFFFF4E0"/>
      <rgbColor rgb="FFE3F0FA"/>
      <rgbColor rgb="FF660066"/>
      <rgbColor rgb="FFFF8080"/>
      <rgbColor rgb="FF0066CC"/>
      <rgbColor rgb="FFE0E0E0"/>
      <rgbColor rgb="FF000080"/>
      <rgbColor rgb="FFFF00FF"/>
      <rgbColor rgb="FFFFFF00"/>
      <rgbColor rgb="FF00FFFF"/>
      <rgbColor rgb="FF800080"/>
      <rgbColor rgb="FF800000"/>
      <rgbColor rgb="FF008080"/>
      <rgbColor rgb="FF0000FF"/>
      <rgbColor rgb="FF00CCFF"/>
      <rgbColor rgb="FFE8F5E9"/>
      <rgbColor rgb="FFDCE9F4"/>
      <rgbColor rgb="FFFDEBE9"/>
      <rgbColor rgb="FF99CCFF"/>
      <rgbColor rgb="FFFF99CC"/>
      <rgbColor rgb="FFCC99FF"/>
      <rgbColor rgb="FFF5F5F5"/>
      <rgbColor rgb="FF3480BC"/>
      <rgbColor rgb="FF33CCCC"/>
      <rgbColor rgb="FF99CC00"/>
      <rgbColor rgb="FFFFCC00"/>
      <rgbColor rgb="FFFF9900"/>
      <rgbColor rgb="FFFF6600"/>
      <rgbColor rgb="FF666699"/>
      <rgbColor rgb="FF8E98A2"/>
      <rgbColor rgb="FF0D3C61"/>
      <rgbColor rgb="FF339966"/>
      <rgbColor rgb="FF003300"/>
      <rgbColor rgb="FF333300"/>
      <rgbColor rgb="FF993300"/>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317520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T3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3" ySplit="7" topLeftCell="D8" activePane="bottomRight" state="frozen"/>
      <selection pane="topLeft" activeCell="A1" activeCellId="0" sqref="A1"/>
      <selection pane="topRight" activeCell="D1" activeCellId="0" sqref="D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7"/>
    <col collapsed="false" customWidth="true" hidden="false" outlineLevel="0" max="3" min="3" style="0" width="21"/>
    <col collapsed="false" customWidth="true" hidden="false" outlineLevel="0" max="4" min="4" style="0" width="17"/>
    <col collapsed="false" customWidth="true" hidden="false" outlineLevel="0" max="6" min="5" style="0" width="15"/>
    <col collapsed="false" customWidth="true" hidden="false" outlineLevel="0" max="9" min="7" style="0" width="14"/>
    <col collapsed="false" customWidth="true" hidden="false" outlineLevel="0" max="10" min="10" style="0" width="8"/>
    <col collapsed="false" customWidth="true" hidden="false" outlineLevel="0" max="12" min="11" style="0" width="13"/>
    <col collapsed="false" customWidth="true" hidden="false" outlineLevel="0" max="14" min="13" style="0" width="8"/>
    <col collapsed="false" customWidth="true" hidden="false" outlineLevel="0" max="16" min="15" style="0" width="7"/>
    <col collapsed="false" customWidth="true" hidden="false" outlineLevel="0" max="17" min="17" style="0" width="13"/>
    <col collapsed="false" customWidth="true" hidden="true" outlineLevel="0" max="18" min="18" style="0" width="6"/>
    <col collapsed="false" customWidth="true" hidden="false" outlineLevel="0" max="19" min="19" style="0" width="22"/>
    <col collapsed="false" customWidth="true" hidden="true" outlineLevel="0" max="20" min="20" style="0" width="6"/>
  </cols>
  <sheetData>
    <row r="1" customFormat="false" ht="33.75" hidden="false" customHeight="true" outlineLevel="0" collapsed="false">
      <c r="B1" s="1" t="s">
        <v>0</v>
      </c>
      <c r="C1" s="1"/>
      <c r="D1" s="1"/>
      <c r="E1" s="1"/>
      <c r="F1" s="1"/>
      <c r="G1" s="1"/>
      <c r="H1" s="1"/>
      <c r="I1" s="1"/>
      <c r="J1" s="1"/>
      <c r="K1" s="1"/>
      <c r="L1" s="1"/>
      <c r="M1" s="1"/>
      <c r="N1" s="1"/>
      <c r="O1" s="1"/>
      <c r="P1" s="1"/>
      <c r="Q1" s="1"/>
      <c r="R1" s="1"/>
      <c r="S1" s="1"/>
    </row>
    <row r="2" customFormat="false" ht="4.5" hidden="false" customHeight="true" outlineLevel="0" collapsed="false">
      <c r="B2" s="2"/>
      <c r="C2" s="2"/>
      <c r="D2" s="2"/>
      <c r="E2" s="2"/>
      <c r="F2" s="2"/>
      <c r="G2" s="2"/>
      <c r="H2" s="2"/>
      <c r="I2" s="2"/>
      <c r="J2" s="2"/>
      <c r="K2" s="2"/>
      <c r="L2" s="2"/>
      <c r="M2" s="2"/>
      <c r="N2" s="2"/>
      <c r="O2" s="2"/>
      <c r="P2" s="2"/>
      <c r="Q2" s="2"/>
      <c r="R2" s="2"/>
      <c r="S2" s="2"/>
    </row>
    <row r="3" customFormat="false" ht="16.5" hidden="false" customHeight="true" outlineLevel="0" collapsed="false">
      <c r="B3" s="3" t="str">
        <f aca="false">""</f>
        <v/>
      </c>
      <c r="C3" s="3"/>
      <c r="D3" s="3"/>
      <c r="E3" s="3"/>
      <c r="F3" s="3"/>
      <c r="G3" s="3"/>
      <c r="H3" s="3"/>
      <c r="I3" s="3"/>
      <c r="J3" s="3"/>
      <c r="K3" s="3"/>
      <c r="L3" s="3"/>
      <c r="M3" s="3"/>
      <c r="N3" s="3"/>
      <c r="O3" s="3"/>
      <c r="P3" s="3"/>
      <c r="Q3" s="3"/>
      <c r="R3" s="3"/>
      <c r="S3" s="3"/>
    </row>
    <row r="4" customFormat="false" ht="25.5" hidden="false" customHeight="true" outlineLevel="0" collapsed="false">
      <c r="B4" s="4" t="s">
        <v>1</v>
      </c>
      <c r="C4" s="4"/>
      <c r="D4" s="4"/>
      <c r="E4" s="4"/>
      <c r="F4" s="4"/>
      <c r="G4" s="4"/>
      <c r="H4" s="4"/>
      <c r="I4" s="4"/>
      <c r="J4" s="4"/>
      <c r="K4" s="4"/>
      <c r="L4" s="4"/>
      <c r="M4" s="4"/>
      <c r="N4" s="4"/>
      <c r="O4" s="4"/>
      <c r="P4" s="4"/>
      <c r="Q4" s="4"/>
      <c r="R4" s="4"/>
      <c r="S4" s="4"/>
    </row>
    <row r="6" customFormat="false" ht="21.75" hidden="false" customHeight="true" outlineLevel="0" collapsed="false">
      <c r="B6" s="5" t="s">
        <v>2</v>
      </c>
      <c r="C6" s="5"/>
      <c r="D6" s="5"/>
      <c r="E6" s="5"/>
      <c r="F6" s="5"/>
      <c r="G6" s="5"/>
      <c r="H6" s="5"/>
      <c r="I6" s="5"/>
      <c r="J6" s="5"/>
      <c r="K6" s="5"/>
      <c r="L6" s="5"/>
      <c r="M6" s="5"/>
      <c r="N6" s="5"/>
      <c r="O6" s="5"/>
      <c r="P6" s="5"/>
      <c r="Q6" s="5"/>
      <c r="R6" s="5"/>
      <c r="S6" s="5"/>
    </row>
    <row r="7" customFormat="false" ht="47.25" hidden="false" customHeight="true" outlineLevel="0" collapsed="false">
      <c r="B7" s="6" t="s">
        <v>3</v>
      </c>
      <c r="C7" s="6" t="s">
        <v>4</v>
      </c>
      <c r="D7" s="6" t="s">
        <v>5</v>
      </c>
      <c r="E7" s="6" t="s">
        <v>6</v>
      </c>
      <c r="F7" s="6" t="s">
        <v>7</v>
      </c>
      <c r="G7" s="6" t="s">
        <v>8</v>
      </c>
      <c r="H7" s="6" t="s">
        <v>9</v>
      </c>
      <c r="I7" s="6" t="s">
        <v>10</v>
      </c>
      <c r="J7" s="6" t="s">
        <v>11</v>
      </c>
      <c r="K7" s="6" t="s">
        <v>12</v>
      </c>
      <c r="L7" s="6" t="s">
        <v>13</v>
      </c>
      <c r="M7" s="6" t="s">
        <v>14</v>
      </c>
      <c r="N7" s="6" t="s">
        <v>15</v>
      </c>
      <c r="O7" s="6" t="s">
        <v>16</v>
      </c>
      <c r="P7" s="6" t="s">
        <v>17</v>
      </c>
      <c r="Q7" s="6" t="s">
        <v>18</v>
      </c>
      <c r="R7" s="6"/>
      <c r="S7" s="6" t="s">
        <v>19</v>
      </c>
    </row>
    <row r="8" customFormat="false" ht="25.35" hidden="false" customHeight="false" outlineLevel="0" collapsed="false">
      <c r="B8" s="7" t="s">
        <v>20</v>
      </c>
      <c r="C8" s="8" t="s">
        <v>21</v>
      </c>
      <c r="D8" s="9" t="s">
        <v>22</v>
      </c>
      <c r="E8" s="9" t="s">
        <v>23</v>
      </c>
      <c r="F8" s="9" t="s">
        <v>24</v>
      </c>
      <c r="G8" s="10" t="n">
        <v>48000000</v>
      </c>
      <c r="H8" s="10" t="n">
        <v>49350000</v>
      </c>
      <c r="I8" s="11" t="n">
        <f aca="false">IF(OR($G8="",$H8=""),"",$H8-$G8)</f>
        <v>1350000</v>
      </c>
      <c r="J8" s="12" t="n">
        <v>0.62</v>
      </c>
      <c r="K8" s="13" t="n">
        <v>46507</v>
      </c>
      <c r="L8" s="13" t="n">
        <v>46556</v>
      </c>
      <c r="M8" s="14" t="n">
        <f aca="false">IF(OR($K8="",$L8=""),"",$L8-$K8)</f>
        <v>49</v>
      </c>
      <c r="N8" s="12" t="n">
        <v>0.71</v>
      </c>
      <c r="O8" s="15" t="n">
        <v>9</v>
      </c>
      <c r="P8" s="15" t="n">
        <v>2</v>
      </c>
      <c r="Q8" s="13" t="n">
        <f aca="true">TODAY()-4</f>
        <v>46256</v>
      </c>
      <c r="R8" s="16" t="n">
        <f aca="true">IF($C8="","",IF($E8="On hold","-",--(IFERROR(($H8-$G8)/$G8,0)&gt;Reference!$C$8/100)+--(IF($M8="",0,$M8)&gt;Reference!$C$9)+--((IF($N8="",0,$N8)-IF($J8="",0,$J8))*100&gt;Reference!$C$10)+--(IF($Q8="",1,TODAY()-$Q8)&gt;Reference!$C$11)+--(IF($O8="",0,$O8)&gt;=Reference!$C$12)+--(IF($P8="",0,$P8)&gt;=Reference!$C$13)))</f>
        <v>3</v>
      </c>
      <c r="S8" s="17" t="str">
        <f aca="true">IF($C8="","",IF($E8="On hold","ON HOLD",IF(--(IF($Q8="",1,TODAY()-$Q8)&gt;Reference!$C$11)=1,"STALE - "&amp;TEXT(TODAY()-$Q8,"0")&amp;" days",IF($R8&gt;=3,"ATTENTION - "&amp;$R8&amp;" signals",IF($R8&gt;=1,"WATCH - "&amp;$R8&amp;IF($R8&gt;1," signals"," signal"),"ON TRACK")))))</f>
        <v>ATTENTION - 3 signals</v>
      </c>
      <c r="T8" s="18" t="n">
        <f aca="false">IF(OR($C8="",$E8="On hold"),"",$R8*1000+(1000-ROW()))</f>
        <v>3992</v>
      </c>
    </row>
    <row r="9" customFormat="false" ht="25.35" hidden="false" customHeight="false" outlineLevel="0" collapsed="false">
      <c r="B9" s="7" t="s">
        <v>25</v>
      </c>
      <c r="C9" s="8" t="s">
        <v>26</v>
      </c>
      <c r="D9" s="9" t="s">
        <v>22</v>
      </c>
      <c r="E9" s="9" t="s">
        <v>27</v>
      </c>
      <c r="F9" s="9" t="s">
        <v>28</v>
      </c>
      <c r="G9" s="10" t="n">
        <v>12400000</v>
      </c>
      <c r="H9" s="10" t="n">
        <v>12310000</v>
      </c>
      <c r="I9" s="11" t="n">
        <f aca="false">IF(OR($G9="",$H9=""),"",$H9-$G9)</f>
        <v>-90000</v>
      </c>
      <c r="J9" s="12" t="n">
        <v>0.94</v>
      </c>
      <c r="K9" s="13" t="n">
        <v>46280</v>
      </c>
      <c r="L9" s="13" t="n">
        <v>46287</v>
      </c>
      <c r="M9" s="14" t="n">
        <f aca="false">IF(OR($K9="",$L9=""),"",$L9-$K9)</f>
        <v>7</v>
      </c>
      <c r="N9" s="12" t="n">
        <v>0.58</v>
      </c>
      <c r="O9" s="15" t="n">
        <v>3</v>
      </c>
      <c r="P9" s="15" t="n">
        <v>0</v>
      </c>
      <c r="Q9" s="13" t="n">
        <f aca="true">TODAY()-6</f>
        <v>46254</v>
      </c>
      <c r="R9" s="16" t="n">
        <f aca="true">IF($C9="","",IF($E9="On hold","-",--(IFERROR(($H9-$G9)/$G9,0)&gt;Reference!$C$8/100)+--(IF($M9="",0,$M9)&gt;Reference!$C$9)+--((IF($N9="",0,$N9)-IF($J9="",0,$J9))*100&gt;Reference!$C$10)+--(IF($Q9="",1,TODAY()-$Q9)&gt;Reference!$C$11)+--(IF($O9="",0,$O9)&gt;=Reference!$C$12)+--(IF($P9="",0,$P9)&gt;=Reference!$C$13)))</f>
        <v>0</v>
      </c>
      <c r="S9" s="17" t="str">
        <f aca="true">IF($C9="","",IF($E9="On hold","ON HOLD",IF(--(IF($Q9="",1,TODAY()-$Q9)&gt;Reference!$C$11)=1,"STALE - "&amp;TEXT(TODAY()-$Q9,"0")&amp;" days",IF($R9&gt;=3,"ATTENTION - "&amp;$R9&amp;" signals",IF($R9&gt;=1,"WATCH - "&amp;$R9&amp;IF($R9&gt;1," signals"," signal"),"ON TRACK")))))</f>
        <v>ON TRACK</v>
      </c>
      <c r="T9" s="18" t="n">
        <f aca="false">IF(OR($C9="",$E9="On hold"),"",$R9*1000+(1000-ROW()))</f>
        <v>991</v>
      </c>
    </row>
    <row r="10" customFormat="false" ht="25.35" hidden="false" customHeight="false" outlineLevel="0" collapsed="false">
      <c r="B10" s="7" t="s">
        <v>29</v>
      </c>
      <c r="C10" s="8" t="s">
        <v>30</v>
      </c>
      <c r="D10" s="9" t="s">
        <v>31</v>
      </c>
      <c r="E10" s="9" t="s">
        <v>32</v>
      </c>
      <c r="F10" s="9" t="s">
        <v>33</v>
      </c>
      <c r="G10" s="10" t="n">
        <v>21000000</v>
      </c>
      <c r="H10" s="10" t="n">
        <v>21000000</v>
      </c>
      <c r="I10" s="11" t="n">
        <f aca="false">IF(OR($G10="",$H10=""),"",$H10-$G10)</f>
        <v>0</v>
      </c>
      <c r="J10" s="12" t="n">
        <v>0.22</v>
      </c>
      <c r="K10" s="13" t="n">
        <v>46811</v>
      </c>
      <c r="L10" s="13" t="n">
        <v>46811</v>
      </c>
      <c r="M10" s="14" t="n">
        <f aca="false">IF(OR($K10="",$L10=""),"",$L10-$K10)</f>
        <v>0</v>
      </c>
      <c r="N10" s="12" t="n">
        <v>0.12</v>
      </c>
      <c r="O10" s="15" t="n">
        <v>6</v>
      </c>
      <c r="P10" s="15" t="n">
        <v>1</v>
      </c>
      <c r="Q10" s="13" t="n">
        <f aca="true">TODAY()-11</f>
        <v>46249</v>
      </c>
      <c r="R10" s="16" t="n">
        <f aca="true">IF($C10="","",IF($E10="On hold","-",--(IFERROR(($H10-$G10)/$G10,0)&gt;Reference!$C$8/100)+--(IF($M10="",0,$M10)&gt;Reference!$C$9)+--((IF($N10="",0,$N10)-IF($J10="",0,$J10))*100&gt;Reference!$C$10)+--(IF($Q10="",1,TODAY()-$Q10)&gt;Reference!$C$11)+--(IF($O10="",0,$O10)&gt;=Reference!$C$12)+--(IF($P10="",0,$P10)&gt;=Reference!$C$13)))</f>
        <v>0</v>
      </c>
      <c r="S10" s="17" t="str">
        <f aca="true">IF($C10="","",IF($E10="On hold","ON HOLD",IF(--(IF($Q10="",1,TODAY()-$Q10)&gt;Reference!$C$11)=1,"STALE - "&amp;TEXT(TODAY()-$Q10,"0")&amp;" days",IF($R10&gt;=3,"ATTENTION - "&amp;$R10&amp;" signals",IF($R10&gt;=1,"WATCH - "&amp;$R10&amp;IF($R10&gt;1," signals"," signal"),"ON TRACK")))))</f>
        <v>ON TRACK</v>
      </c>
      <c r="T10" s="18" t="n">
        <f aca="false">IF(OR($C10="",$E10="On hold"),"",$R10*1000+(1000-ROW()))</f>
        <v>990</v>
      </c>
    </row>
    <row r="11" customFormat="false" ht="25.35" hidden="false" customHeight="false" outlineLevel="0" collapsed="false">
      <c r="B11" s="7" t="s">
        <v>34</v>
      </c>
      <c r="C11" s="8" t="s">
        <v>35</v>
      </c>
      <c r="D11" s="9" t="s">
        <v>36</v>
      </c>
      <c r="E11" s="9" t="s">
        <v>23</v>
      </c>
      <c r="F11" s="9" t="s">
        <v>37</v>
      </c>
      <c r="G11" s="10" t="n">
        <v>9600000</v>
      </c>
      <c r="H11" s="10" t="n">
        <v>10480000</v>
      </c>
      <c r="I11" s="11" t="n">
        <f aca="false">IF(OR($G11="",$H11=""),"",$H11-$G11)</f>
        <v>880000</v>
      </c>
      <c r="J11" s="12" t="n">
        <v>0.55</v>
      </c>
      <c r="K11" s="13" t="n">
        <v>46356</v>
      </c>
      <c r="L11" s="13" t="n">
        <v>46431</v>
      </c>
      <c r="M11" s="14" t="n">
        <f aca="false">IF(OR($K11="",$L11=""),"",$L11-$K11)</f>
        <v>75</v>
      </c>
      <c r="N11" s="12" t="n">
        <v>0.96</v>
      </c>
      <c r="O11" s="15" t="n">
        <v>11</v>
      </c>
      <c r="P11" s="15" t="n">
        <v>4</v>
      </c>
      <c r="Q11" s="13" t="n">
        <f aca="true">TODAY()-3</f>
        <v>46257</v>
      </c>
      <c r="R11" s="16" t="n">
        <f aca="true">IF($C11="","",IF($E11="On hold","-",--(IFERROR(($H11-$G11)/$G11,0)&gt;Reference!$C$8/100)+--(IF($M11="",0,$M11)&gt;Reference!$C$9)+--((IF($N11="",0,$N11)-IF($J11="",0,$J11))*100&gt;Reference!$C$10)+--(IF($Q11="",1,TODAY()-$Q11)&gt;Reference!$C$11)+--(IF($O11="",0,$O11)&gt;=Reference!$C$12)+--(IF($P11="",0,$P11)&gt;=Reference!$C$13)))</f>
        <v>5</v>
      </c>
      <c r="S11" s="17" t="str">
        <f aca="true">IF($C11="","",IF($E11="On hold","ON HOLD",IF(--(IF($Q11="",1,TODAY()-$Q11)&gt;Reference!$C$11)=1,"STALE - "&amp;TEXT(TODAY()-$Q11,"0")&amp;" days",IF($R11&gt;=3,"ATTENTION - "&amp;$R11&amp;" signals",IF($R11&gt;=1,"WATCH - "&amp;$R11&amp;IF($R11&gt;1," signals"," signal"),"ON TRACK")))))</f>
        <v>ATTENTION - 5 signals</v>
      </c>
      <c r="T11" s="18" t="n">
        <f aca="false">IF(OR($C11="",$E11="On hold"),"",$R11*1000+(1000-ROW()))</f>
        <v>5989</v>
      </c>
    </row>
    <row r="12" customFormat="false" ht="15" hidden="false" customHeight="false" outlineLevel="0" collapsed="false">
      <c r="B12" s="7" t="s">
        <v>38</v>
      </c>
      <c r="C12" s="8" t="s">
        <v>39</v>
      </c>
      <c r="D12" s="9" t="s">
        <v>36</v>
      </c>
      <c r="E12" s="9" t="s">
        <v>40</v>
      </c>
      <c r="F12" s="9" t="s">
        <v>24</v>
      </c>
      <c r="G12" s="10" t="n">
        <v>33500000</v>
      </c>
      <c r="H12" s="10" t="n">
        <v>33500000</v>
      </c>
      <c r="I12" s="11" t="n">
        <f aca="false">IF(OR($G12="",$H12=""),"",$H12-$G12)</f>
        <v>0</v>
      </c>
      <c r="J12" s="12" t="n">
        <v>0.08</v>
      </c>
      <c r="K12" s="13" t="n">
        <v>47299</v>
      </c>
      <c r="L12" s="13" t="n">
        <v>47299</v>
      </c>
      <c r="M12" s="14" t="n">
        <f aca="false">IF(OR($K12="",$L12=""),"",$L12-$K12)</f>
        <v>0</v>
      </c>
      <c r="N12" s="12" t="n">
        <v>0.04</v>
      </c>
      <c r="O12" s="15" t="n">
        <v>7</v>
      </c>
      <c r="P12" s="15" t="n">
        <v>0</v>
      </c>
      <c r="Q12" s="13" t="n">
        <f aca="true">TODAY()-9</f>
        <v>46251</v>
      </c>
      <c r="R12" s="16" t="n">
        <f aca="true">IF($C12="","",IF($E12="On hold","-",--(IFERROR(($H12-$G12)/$G12,0)&gt;Reference!$C$8/100)+--(IF($M12="",0,$M12)&gt;Reference!$C$9)+--((IF($N12="",0,$N12)-IF($J12="",0,$J12))*100&gt;Reference!$C$10)+--(IF($Q12="",1,TODAY()-$Q12)&gt;Reference!$C$11)+--(IF($O12="",0,$O12)&gt;=Reference!$C$12)+--(IF($P12="",0,$P12)&gt;=Reference!$C$13)))</f>
        <v>0</v>
      </c>
      <c r="S12" s="17" t="str">
        <f aca="true">IF($C12="","",IF($E12="On hold","ON HOLD",IF(--(IF($Q12="",1,TODAY()-$Q12)&gt;Reference!$C$11)=1,"STALE - "&amp;TEXT(TODAY()-$Q12,"0")&amp;" days",IF($R12&gt;=3,"ATTENTION - "&amp;$R12&amp;" signals",IF($R12&gt;=1,"WATCH - "&amp;$R12&amp;IF($R12&gt;1," signals"," signal"),"ON TRACK")))))</f>
        <v>ON TRACK</v>
      </c>
      <c r="T12" s="18" t="n">
        <f aca="false">IF(OR($C12="",$E12="On hold"),"",$R12*1000+(1000-ROW()))</f>
        <v>988</v>
      </c>
    </row>
    <row r="13" customFormat="false" ht="25.35" hidden="false" customHeight="false" outlineLevel="0" collapsed="false">
      <c r="B13" s="7" t="s">
        <v>41</v>
      </c>
      <c r="C13" s="8" t="s">
        <v>42</v>
      </c>
      <c r="D13" s="9" t="s">
        <v>43</v>
      </c>
      <c r="E13" s="9" t="s">
        <v>23</v>
      </c>
      <c r="F13" s="9" t="s">
        <v>44</v>
      </c>
      <c r="G13" s="10" t="n">
        <v>6800000</v>
      </c>
      <c r="H13" s="10" t="n">
        <v>6735000</v>
      </c>
      <c r="I13" s="11" t="n">
        <f aca="false">IF(OR($G13="",$H13=""),"",$H13-$G13)</f>
        <v>-65000</v>
      </c>
      <c r="J13" s="12" t="n">
        <v>0.78</v>
      </c>
      <c r="K13" s="13" t="n">
        <v>46326</v>
      </c>
      <c r="L13" s="13" t="n">
        <v>46333</v>
      </c>
      <c r="M13" s="14" t="n">
        <f aca="false">IF(OR($K13="",$L13=""),"",$L13-$K13)</f>
        <v>7</v>
      </c>
      <c r="N13" s="12" t="n">
        <v>0.64</v>
      </c>
      <c r="O13" s="15" t="n">
        <v>2</v>
      </c>
      <c r="P13" s="15" t="n">
        <v>1</v>
      </c>
      <c r="Q13" s="13" t="n">
        <f aca="true">TODAY()-5</f>
        <v>46255</v>
      </c>
      <c r="R13" s="16" t="n">
        <f aca="true">IF($C13="","",IF($E13="On hold","-",--(IFERROR(($H13-$G13)/$G13,0)&gt;Reference!$C$8/100)+--(IF($M13="",0,$M13)&gt;Reference!$C$9)+--((IF($N13="",0,$N13)-IF($J13="",0,$J13))*100&gt;Reference!$C$10)+--(IF($Q13="",1,TODAY()-$Q13)&gt;Reference!$C$11)+--(IF($O13="",0,$O13)&gt;=Reference!$C$12)+--(IF($P13="",0,$P13)&gt;=Reference!$C$13)))</f>
        <v>0</v>
      </c>
      <c r="S13" s="17" t="str">
        <f aca="true">IF($C13="","",IF($E13="On hold","ON HOLD",IF(--(IF($Q13="",1,TODAY()-$Q13)&gt;Reference!$C$11)=1,"STALE - "&amp;TEXT(TODAY()-$Q13,"0")&amp;" days",IF($R13&gt;=3,"ATTENTION - "&amp;$R13&amp;" signals",IF($R13&gt;=1,"WATCH - "&amp;$R13&amp;IF($R13&gt;1," signals"," signal"),"ON TRACK")))))</f>
        <v>ON TRACK</v>
      </c>
      <c r="T13" s="18" t="n">
        <f aca="false">IF(OR($C13="",$E13="On hold"),"",$R13*1000+(1000-ROW()))</f>
        <v>987</v>
      </c>
    </row>
    <row r="14" customFormat="false" ht="25.35" hidden="false" customHeight="false" outlineLevel="0" collapsed="false">
      <c r="B14" s="7" t="s">
        <v>45</v>
      </c>
      <c r="C14" s="8" t="s">
        <v>46</v>
      </c>
      <c r="D14" s="9" t="s">
        <v>47</v>
      </c>
      <c r="E14" s="9" t="s">
        <v>23</v>
      </c>
      <c r="F14" s="9" t="s">
        <v>28</v>
      </c>
      <c r="G14" s="10" t="n">
        <v>54200000</v>
      </c>
      <c r="H14" s="10" t="n">
        <v>53930000</v>
      </c>
      <c r="I14" s="11" t="n">
        <f aca="false">IF(OR($G14="",$H14=""),"",$H14-$G14)</f>
        <v>-270000</v>
      </c>
      <c r="J14" s="12" t="n">
        <v>0.71</v>
      </c>
      <c r="K14" s="13" t="n">
        <v>46630</v>
      </c>
      <c r="L14" s="13" t="n">
        <v>46630</v>
      </c>
      <c r="M14" s="14" t="n">
        <f aca="false">IF(OR($K14="",$L14=""),"",$L14-$K14)</f>
        <v>0</v>
      </c>
      <c r="N14" s="12" t="n">
        <v>0.66</v>
      </c>
      <c r="O14" s="15" t="n">
        <v>8</v>
      </c>
      <c r="P14" s="15" t="n">
        <v>0</v>
      </c>
      <c r="Q14" s="13" t="n">
        <f aca="true">TODAY()-49</f>
        <v>46211</v>
      </c>
      <c r="R14" s="16" t="n">
        <f aca="true">IF($C14="","",IF($E14="On hold","-",--(IFERROR(($H14-$G14)/$G14,0)&gt;Reference!$C$8/100)+--(IF($M14="",0,$M14)&gt;Reference!$C$9)+--((IF($N14="",0,$N14)-IF($J14="",0,$J14))*100&gt;Reference!$C$10)+--(IF($Q14="",1,TODAY()-$Q14)&gt;Reference!$C$11)+--(IF($O14="",0,$O14)&gt;=Reference!$C$12)+--(IF($P14="",0,$P14)&gt;=Reference!$C$13)))</f>
        <v>2</v>
      </c>
      <c r="S14" s="17" t="str">
        <f aca="true">IF($C14="","",IF($E14="On hold","ON HOLD",IF(--(IF($Q14="",1,TODAY()-$Q14)&gt;Reference!$C$11)=1,"STALE - "&amp;TEXT(TODAY()-$Q14,"0")&amp;" days",IF($R14&gt;=3,"ATTENTION - "&amp;$R14&amp;" signals",IF($R14&gt;=1,"WATCH - "&amp;$R14&amp;IF($R14&gt;1," signals"," signal"),"ON TRACK")))))</f>
        <v>STALE - 49 days</v>
      </c>
      <c r="T14" s="18" t="n">
        <f aca="false">IF(OR($C14="",$E14="On hold"),"",$R14*1000+(1000-ROW()))</f>
        <v>2986</v>
      </c>
    </row>
    <row r="15" customFormat="false" ht="25.35" hidden="false" customHeight="false" outlineLevel="0" collapsed="false">
      <c r="B15" s="7" t="s">
        <v>48</v>
      </c>
      <c r="C15" s="8" t="s">
        <v>49</v>
      </c>
      <c r="D15" s="9" t="s">
        <v>43</v>
      </c>
      <c r="E15" s="9" t="s">
        <v>50</v>
      </c>
      <c r="F15" s="9" t="s">
        <v>33</v>
      </c>
      <c r="G15" s="10" t="n">
        <v>4300000</v>
      </c>
      <c r="H15" s="10" t="n">
        <v>4298000</v>
      </c>
      <c r="I15" s="11" t="n">
        <f aca="false">IF(OR($G15="",$H15=""),"",$H15-$G15)</f>
        <v>-2000</v>
      </c>
      <c r="J15" s="12" t="n">
        <v>0.99</v>
      </c>
      <c r="K15" s="13" t="n">
        <v>46234</v>
      </c>
      <c r="L15" s="13" t="n">
        <v>46242</v>
      </c>
      <c r="M15" s="14" t="n">
        <f aca="false">IF(OR($K15="",$L15=""),"",$L15-$K15)</f>
        <v>8</v>
      </c>
      <c r="N15" s="12" t="n">
        <v>0.88</v>
      </c>
      <c r="O15" s="15" t="n">
        <v>1</v>
      </c>
      <c r="P15" s="15" t="n">
        <v>0</v>
      </c>
      <c r="Q15" s="13" t="n">
        <f aca="true">TODAY()-2</f>
        <v>46258</v>
      </c>
      <c r="R15" s="16" t="n">
        <f aca="true">IF($C15="","",IF($E15="On hold","-",--(IFERROR(($H15-$G15)/$G15,0)&gt;Reference!$C$8/100)+--(IF($M15="",0,$M15)&gt;Reference!$C$9)+--((IF($N15="",0,$N15)-IF($J15="",0,$J15))*100&gt;Reference!$C$10)+--(IF($Q15="",1,TODAY()-$Q15)&gt;Reference!$C$11)+--(IF($O15="",0,$O15)&gt;=Reference!$C$12)+--(IF($P15="",0,$P15)&gt;=Reference!$C$13)))</f>
        <v>0</v>
      </c>
      <c r="S15" s="17" t="str">
        <f aca="true">IF($C15="","",IF($E15="On hold","ON HOLD",IF(--(IF($Q15="",1,TODAY()-$Q15)&gt;Reference!$C$11)=1,"STALE - "&amp;TEXT(TODAY()-$Q15,"0")&amp;" days",IF($R15&gt;=3,"ATTENTION - "&amp;$R15&amp;" signals",IF($R15&gt;=1,"WATCH - "&amp;$R15&amp;IF($R15&gt;1," signals"," signal"),"ON TRACK")))))</f>
        <v>ON TRACK</v>
      </c>
      <c r="T15" s="18" t="n">
        <f aca="false">IF(OR($C15="",$E15="On hold"),"",$R15*1000+(1000-ROW()))</f>
        <v>985</v>
      </c>
    </row>
    <row r="16" customFormat="false" ht="25.35" hidden="false" customHeight="false" outlineLevel="0" collapsed="false">
      <c r="B16" s="7" t="s">
        <v>51</v>
      </c>
      <c r="C16" s="8" t="s">
        <v>52</v>
      </c>
      <c r="D16" s="9" t="s">
        <v>31</v>
      </c>
      <c r="E16" s="9" t="s">
        <v>23</v>
      </c>
      <c r="F16" s="9" t="s">
        <v>37</v>
      </c>
      <c r="G16" s="10" t="n">
        <v>2900000</v>
      </c>
      <c r="H16" s="10" t="n">
        <v>2845000</v>
      </c>
      <c r="I16" s="11" t="n">
        <f aca="false">IF(OR($G16="",$H16=""),"",$H16-$G16)</f>
        <v>-55000</v>
      </c>
      <c r="J16" s="12" t="n">
        <v>0.66</v>
      </c>
      <c r="K16" s="13" t="n">
        <v>46371</v>
      </c>
      <c r="L16" s="13" t="n">
        <v>46371</v>
      </c>
      <c r="M16" s="14" t="n">
        <f aca="false">IF(OR($K16="",$L16=""),"",$L16-$K16)</f>
        <v>0</v>
      </c>
      <c r="N16" s="12" t="n">
        <v>0.41</v>
      </c>
      <c r="O16" s="15" t="n">
        <v>3</v>
      </c>
      <c r="P16" s="15" t="n">
        <v>0</v>
      </c>
      <c r="Q16" s="13" t="n">
        <f aca="true">TODAY()-8</f>
        <v>46252</v>
      </c>
      <c r="R16" s="16" t="n">
        <f aca="true">IF($C16="","",IF($E16="On hold","-",--(IFERROR(($H16-$G16)/$G16,0)&gt;Reference!$C$8/100)+--(IF($M16="",0,$M16)&gt;Reference!$C$9)+--((IF($N16="",0,$N16)-IF($J16="",0,$J16))*100&gt;Reference!$C$10)+--(IF($Q16="",1,TODAY()-$Q16)&gt;Reference!$C$11)+--(IF($O16="",0,$O16)&gt;=Reference!$C$12)+--(IF($P16="",0,$P16)&gt;=Reference!$C$13)))</f>
        <v>0</v>
      </c>
      <c r="S16" s="17" t="str">
        <f aca="true">IF($C16="","",IF($E16="On hold","ON HOLD",IF(--(IF($Q16="",1,TODAY()-$Q16)&gt;Reference!$C$11)=1,"STALE - "&amp;TEXT(TODAY()-$Q16,"0")&amp;" days",IF($R16&gt;=3,"ATTENTION - "&amp;$R16&amp;" signals",IF($R16&gt;=1,"WATCH - "&amp;$R16&amp;IF($R16&gt;1," signals"," signal"),"ON TRACK")))))</f>
        <v>ON TRACK</v>
      </c>
      <c r="T16" s="18" t="n">
        <f aca="false">IF(OR($C16="",$E16="On hold"),"",$R16*1000+(1000-ROW()))</f>
        <v>984</v>
      </c>
    </row>
    <row r="17" customFormat="false" ht="25.35" hidden="false" customHeight="false" outlineLevel="0" collapsed="false">
      <c r="B17" s="7" t="s">
        <v>53</v>
      </c>
      <c r="C17" s="8" t="s">
        <v>54</v>
      </c>
      <c r="D17" s="9" t="s">
        <v>47</v>
      </c>
      <c r="E17" s="9" t="s">
        <v>23</v>
      </c>
      <c r="F17" s="9" t="s">
        <v>37</v>
      </c>
      <c r="G17" s="10" t="n">
        <v>15700000</v>
      </c>
      <c r="H17" s="10" t="n">
        <v>16920000</v>
      </c>
      <c r="I17" s="11" t="n">
        <f aca="false">IF(OR($G17="",$H17=""),"",$H17-$G17)</f>
        <v>1220000</v>
      </c>
      <c r="J17" s="12" t="n">
        <v>0.48</v>
      </c>
      <c r="K17" s="13" t="n">
        <v>46477</v>
      </c>
      <c r="L17" s="13" t="n">
        <v>46577</v>
      </c>
      <c r="M17" s="14" t="n">
        <f aca="false">IF(OR($K17="",$L17=""),"",$L17-$K17)</f>
        <v>100</v>
      </c>
      <c r="N17" s="12" t="n">
        <v>1</v>
      </c>
      <c r="O17" s="15" t="n">
        <v>12</v>
      </c>
      <c r="P17" s="15" t="n">
        <v>6</v>
      </c>
      <c r="Q17" s="13" t="n">
        <f aca="true">TODAY()-1</f>
        <v>46259</v>
      </c>
      <c r="R17" s="16" t="n">
        <f aca="true">IF($C17="","",IF($E17="On hold","-",--(IFERROR(($H17-$G17)/$G17,0)&gt;Reference!$C$8/100)+--(IF($M17="",0,$M17)&gt;Reference!$C$9)+--((IF($N17="",0,$N17)-IF($J17="",0,$J17))*100&gt;Reference!$C$10)+--(IF($Q17="",1,TODAY()-$Q17)&gt;Reference!$C$11)+--(IF($O17="",0,$O17)&gt;=Reference!$C$12)+--(IF($P17="",0,$P17)&gt;=Reference!$C$13)))</f>
        <v>5</v>
      </c>
      <c r="S17" s="17" t="str">
        <f aca="true">IF($C17="","",IF($E17="On hold","ON HOLD",IF(--(IF($Q17="",1,TODAY()-$Q17)&gt;Reference!$C$11)=1,"STALE - "&amp;TEXT(TODAY()-$Q17,"0")&amp;" days",IF($R17&gt;=3,"ATTENTION - "&amp;$R17&amp;" signals",IF($R17&gt;=1,"WATCH - "&amp;$R17&amp;IF($R17&gt;1," signals"," signal"),"ON TRACK")))))</f>
        <v>ATTENTION - 5 signals</v>
      </c>
      <c r="T17" s="18" t="n">
        <f aca="false">IF(OR($C17="",$E17="On hold"),"",$R17*1000+(1000-ROW()))</f>
        <v>5983</v>
      </c>
    </row>
    <row r="18" customFormat="false" ht="25.35" hidden="false" customHeight="false" outlineLevel="0" collapsed="false">
      <c r="B18" s="7" t="s">
        <v>55</v>
      </c>
      <c r="C18" s="8" t="s">
        <v>56</v>
      </c>
      <c r="D18" s="9" t="s">
        <v>43</v>
      </c>
      <c r="E18" s="9" t="s">
        <v>32</v>
      </c>
      <c r="F18" s="9" t="s">
        <v>24</v>
      </c>
      <c r="G18" s="10" t="n">
        <v>7100000</v>
      </c>
      <c r="H18" s="10" t="n">
        <v>7100000</v>
      </c>
      <c r="I18" s="11" t="n">
        <f aca="false">IF(OR($G18="",$H18=""),"",$H18-$G18)</f>
        <v>0</v>
      </c>
      <c r="J18" s="12" t="n">
        <v>0.15</v>
      </c>
      <c r="K18" s="13" t="n">
        <v>46904</v>
      </c>
      <c r="L18" s="13" t="n">
        <v>46904</v>
      </c>
      <c r="M18" s="14" t="n">
        <f aca="false">IF(OR($K18="",$L18=""),"",$L18-$K18)</f>
        <v>0</v>
      </c>
      <c r="N18" s="12" t="n">
        <v>0.06</v>
      </c>
      <c r="O18" s="15" t="n">
        <v>4</v>
      </c>
      <c r="P18" s="15" t="n">
        <v>0</v>
      </c>
      <c r="Q18" s="13" t="n">
        <f aca="true">TODAY()-14</f>
        <v>46246</v>
      </c>
      <c r="R18" s="16" t="n">
        <f aca="true">IF($C18="","",IF($E18="On hold","-",--(IFERROR(($H18-$G18)/$G18,0)&gt;Reference!$C$8/100)+--(IF($M18="",0,$M18)&gt;Reference!$C$9)+--((IF($N18="",0,$N18)-IF($J18="",0,$J18))*100&gt;Reference!$C$10)+--(IF($Q18="",1,TODAY()-$Q18)&gt;Reference!$C$11)+--(IF($O18="",0,$O18)&gt;=Reference!$C$12)+--(IF($P18="",0,$P18)&gt;=Reference!$C$13)))</f>
        <v>0</v>
      </c>
      <c r="S18" s="17" t="str">
        <f aca="true">IF($C18="","",IF($E18="On hold","ON HOLD",IF(--(IF($Q18="",1,TODAY()-$Q18)&gt;Reference!$C$11)=1,"STALE - "&amp;TEXT(TODAY()-$Q18,"0")&amp;" days",IF($R18&gt;=3,"ATTENTION - "&amp;$R18&amp;" signals",IF($R18&gt;=1,"WATCH - "&amp;$R18&amp;IF($R18&gt;1," signals"," signal"),"ON TRACK")))))</f>
        <v>ON TRACK</v>
      </c>
      <c r="T18" s="18" t="n">
        <f aca="false">IF(OR($C18="",$E18="On hold"),"",$R18*1000+(1000-ROW()))</f>
        <v>982</v>
      </c>
    </row>
    <row r="19" customFormat="false" ht="25.35" hidden="false" customHeight="false" outlineLevel="0" collapsed="false">
      <c r="B19" s="7" t="s">
        <v>57</v>
      </c>
      <c r="C19" s="8" t="s">
        <v>58</v>
      </c>
      <c r="D19" s="9" t="s">
        <v>43</v>
      </c>
      <c r="E19" s="9" t="s">
        <v>59</v>
      </c>
      <c r="F19" s="9" t="s">
        <v>28</v>
      </c>
      <c r="G19" s="10" t="n">
        <v>18900000</v>
      </c>
      <c r="H19" s="10" t="n">
        <v>18900000</v>
      </c>
      <c r="I19" s="11" t="n">
        <f aca="false">IF(OR($G19="",$H19=""),"",$H19-$G19)</f>
        <v>0</v>
      </c>
      <c r="J19" s="12" t="n">
        <v>0.05</v>
      </c>
      <c r="K19" s="13" t="n">
        <v>47483</v>
      </c>
      <c r="L19" s="13" t="n">
        <v>47483</v>
      </c>
      <c r="M19" s="14" t="n">
        <f aca="false">IF(OR($K19="",$L19=""),"",$L19-$K19)</f>
        <v>0</v>
      </c>
      <c r="N19" s="12" t="n">
        <v>0.02</v>
      </c>
      <c r="O19" s="15" t="n">
        <v>5</v>
      </c>
      <c r="P19" s="15" t="n">
        <v>3</v>
      </c>
      <c r="Q19" s="13" t="n">
        <f aca="true">TODAY()-62</f>
        <v>46198</v>
      </c>
      <c r="R19" s="16" t="str">
        <f aca="true">IF($C19="","",IF($E19="On hold","-",--(IFERROR(($H19-$G19)/$G19,0)&gt;Reference!$C$8/100)+--(IF($M19="",0,$M19)&gt;Reference!$C$9)+--((IF($N19="",0,$N19)-IF($J19="",0,$J19))*100&gt;Reference!$C$10)+--(IF($Q19="",1,TODAY()-$Q19)&gt;Reference!$C$11)+--(IF($O19="",0,$O19)&gt;=Reference!$C$12)+--(IF($P19="",0,$P19)&gt;=Reference!$C$13)))</f>
        <v>-</v>
      </c>
      <c r="S19" s="17" t="str">
        <f aca="true">IF($C19="","",IF($E19="On hold","ON HOLD",IF(--(IF($Q19="",1,TODAY()-$Q19)&gt;Reference!$C$11)=1,"STALE - "&amp;TEXT(TODAY()-$Q19,"0")&amp;" days",IF($R19&gt;=3,"ATTENTION - "&amp;$R19&amp;" signals",IF($R19&gt;=1,"WATCH - "&amp;$R19&amp;IF($R19&gt;1," signals"," signal"),"ON TRACK")))))</f>
        <v>ON HOLD</v>
      </c>
      <c r="T19" s="18" t="str">
        <f aca="false">IF(OR($C19="",$E19="On hold"),"",$R19*1000+(1000-ROW()))</f>
        <v/>
      </c>
    </row>
    <row r="20" customFormat="false" ht="25.35" hidden="false" customHeight="false" outlineLevel="0" collapsed="false">
      <c r="B20" s="7" t="s">
        <v>60</v>
      </c>
      <c r="C20" s="8" t="s">
        <v>61</v>
      </c>
      <c r="D20" s="9" t="s">
        <v>31</v>
      </c>
      <c r="E20" s="9" t="s">
        <v>40</v>
      </c>
      <c r="F20" s="9" t="s">
        <v>33</v>
      </c>
      <c r="G20" s="10" t="n">
        <v>1450000</v>
      </c>
      <c r="H20" s="10" t="n">
        <v>1450000</v>
      </c>
      <c r="I20" s="11" t="n">
        <f aca="false">IF(OR($G20="",$H20=""),"",$H20-$G20)</f>
        <v>0</v>
      </c>
      <c r="J20" s="12" t="n">
        <v>0.12</v>
      </c>
      <c r="K20" s="13" t="n">
        <v>46416</v>
      </c>
      <c r="L20" s="13" t="n">
        <v>46416</v>
      </c>
      <c r="M20" s="14" t="n">
        <f aca="false">IF(OR($K20="",$L20=""),"",$L20-$K20)</f>
        <v>0</v>
      </c>
      <c r="N20" s="12" t="n">
        <v>0.08</v>
      </c>
      <c r="O20" s="15" t="n">
        <v>2</v>
      </c>
      <c r="P20" s="15" t="n">
        <v>0</v>
      </c>
      <c r="Q20" s="13" t="n">
        <f aca="true">TODAY()-7</f>
        <v>46253</v>
      </c>
      <c r="R20" s="16" t="n">
        <f aca="true">IF($C20="","",IF($E20="On hold","-",--(IFERROR(($H20-$G20)/$G20,0)&gt;Reference!$C$8/100)+--(IF($M20="",0,$M20)&gt;Reference!$C$9)+--((IF($N20="",0,$N20)-IF($J20="",0,$J20))*100&gt;Reference!$C$10)+--(IF($Q20="",1,TODAY()-$Q20)&gt;Reference!$C$11)+--(IF($O20="",0,$O20)&gt;=Reference!$C$12)+--(IF($P20="",0,$P20)&gt;=Reference!$C$13)))</f>
        <v>0</v>
      </c>
      <c r="S20" s="17" t="str">
        <f aca="true">IF($C20="","",IF($E20="On hold","ON HOLD",IF(--(IF($Q20="",1,TODAY()-$Q20)&gt;Reference!$C$11)=1,"STALE - "&amp;TEXT(TODAY()-$Q20,"0")&amp;" days",IF($R20&gt;=3,"ATTENTION - "&amp;$R20&amp;" signals",IF($R20&gt;=1,"WATCH - "&amp;$R20&amp;IF($R20&gt;1," signals"," signal"),"ON TRACK")))))</f>
        <v>ON TRACK</v>
      </c>
      <c r="T20" s="18" t="n">
        <f aca="false">IF(OR($C20="",$E20="On hold"),"",$R20*1000+(1000-ROW()))</f>
        <v>980</v>
      </c>
    </row>
    <row r="21" customFormat="false" ht="25.35" hidden="false" customHeight="false" outlineLevel="0" collapsed="false">
      <c r="B21" s="7" t="s">
        <v>62</v>
      </c>
      <c r="C21" s="8" t="s">
        <v>63</v>
      </c>
      <c r="D21" s="9" t="s">
        <v>36</v>
      </c>
      <c r="E21" s="9" t="s">
        <v>27</v>
      </c>
      <c r="F21" s="9" t="s">
        <v>37</v>
      </c>
      <c r="G21" s="10" t="n">
        <v>3250000</v>
      </c>
      <c r="H21" s="10" t="n">
        <v>3244000</v>
      </c>
      <c r="I21" s="11" t="n">
        <f aca="false">IF(OR($G21="",$H21=""),"",$H21-$G21)</f>
        <v>-6000</v>
      </c>
      <c r="J21" s="12" t="n">
        <v>0.92</v>
      </c>
      <c r="K21" s="13" t="n">
        <v>46295</v>
      </c>
      <c r="L21" s="13" t="n">
        <v>46311</v>
      </c>
      <c r="M21" s="14" t="n">
        <f aca="false">IF(OR($K21="",$L21=""),"",$L21-$K21)</f>
        <v>16</v>
      </c>
      <c r="N21" s="12" t="n">
        <v>0.74</v>
      </c>
      <c r="O21" s="15" t="n">
        <v>2</v>
      </c>
      <c r="P21" s="15" t="n">
        <v>1</v>
      </c>
      <c r="Q21" s="13" t="n">
        <f aca="true">TODAY()-10</f>
        <v>46250</v>
      </c>
      <c r="R21" s="16" t="n">
        <f aca="true">IF($C21="","",IF($E21="On hold","-",--(IFERROR(($H21-$G21)/$G21,0)&gt;Reference!$C$8/100)+--(IF($M21="",0,$M21)&gt;Reference!$C$9)+--((IF($N21="",0,$N21)-IF($J21="",0,$J21))*100&gt;Reference!$C$10)+--(IF($Q21="",1,TODAY()-$Q21)&gt;Reference!$C$11)+--(IF($O21="",0,$O21)&gt;=Reference!$C$12)+--(IF($P21="",0,$P21)&gt;=Reference!$C$13)))</f>
        <v>0</v>
      </c>
      <c r="S21" s="17" t="str">
        <f aca="true">IF($C21="","",IF($E21="On hold","ON HOLD",IF(--(IF($Q21="",1,TODAY()-$Q21)&gt;Reference!$C$11)=1,"STALE - "&amp;TEXT(TODAY()-$Q21,"0")&amp;" days",IF($R21&gt;=3,"ATTENTION - "&amp;$R21&amp;" signals",IF($R21&gt;=1,"WATCH - "&amp;$R21&amp;IF($R21&gt;1," signals"," signal"),"ON TRACK")))))</f>
        <v>ON TRACK</v>
      </c>
      <c r="T21" s="18" t="n">
        <f aca="false">IF(OR($C21="",$E21="On hold"),"",$R21*1000+(1000-ROW()))</f>
        <v>979</v>
      </c>
    </row>
    <row r="22" customFormat="false" ht="25.35" hidden="false" customHeight="false" outlineLevel="0" collapsed="false">
      <c r="B22" s="7" t="s">
        <v>64</v>
      </c>
      <c r="C22" s="8" t="s">
        <v>65</v>
      </c>
      <c r="D22" s="9" t="s">
        <v>47</v>
      </c>
      <c r="E22" s="9" t="s">
        <v>66</v>
      </c>
      <c r="F22" s="9" t="s">
        <v>44</v>
      </c>
      <c r="G22" s="10" t="n">
        <v>26000000</v>
      </c>
      <c r="H22" s="10" t="n">
        <v>26000000</v>
      </c>
      <c r="I22" s="11" t="n">
        <f aca="false">IF(OR($G22="",$H22=""),"",$H22-$G22)</f>
        <v>0</v>
      </c>
      <c r="J22" s="12" t="n">
        <v>0.03</v>
      </c>
      <c r="K22" s="13" t="n">
        <v>47573</v>
      </c>
      <c r="L22" s="13" t="n">
        <v>47573</v>
      </c>
      <c r="M22" s="14" t="n">
        <f aca="false">IF(OR($K22="",$L22=""),"",$L22-$K22)</f>
        <v>0</v>
      </c>
      <c r="N22" s="12" t="n">
        <v>0</v>
      </c>
      <c r="O22" s="15" t="n">
        <v>6</v>
      </c>
      <c r="P22" s="15" t="n">
        <v>0</v>
      </c>
      <c r="Q22" s="13" t="n">
        <f aca="true">TODAY()-19</f>
        <v>46241</v>
      </c>
      <c r="R22" s="16" t="n">
        <f aca="true">IF($C22="","",IF($E22="On hold","-",--(IFERROR(($H22-$G22)/$G22,0)&gt;Reference!$C$8/100)+--(IF($M22="",0,$M22)&gt;Reference!$C$9)+--((IF($N22="",0,$N22)-IF($J22="",0,$J22))*100&gt;Reference!$C$10)+--(IF($Q22="",1,TODAY()-$Q22)&gt;Reference!$C$11)+--(IF($O22="",0,$O22)&gt;=Reference!$C$12)+--(IF($P22="",0,$P22)&gt;=Reference!$C$13)))</f>
        <v>0</v>
      </c>
      <c r="S22" s="17" t="str">
        <f aca="true">IF($C22="","",IF($E22="On hold","ON HOLD",IF(--(IF($Q22="",1,TODAY()-$Q22)&gt;Reference!$C$11)=1,"STALE - "&amp;TEXT(TODAY()-$Q22,"0")&amp;" days",IF($R22&gt;=3,"ATTENTION - "&amp;$R22&amp;" signals",IF($R22&gt;=1,"WATCH - "&amp;$R22&amp;IF($R22&gt;1," signals"," signal"),"ON TRACK")))))</f>
        <v>ON TRACK</v>
      </c>
      <c r="T22" s="18" t="n">
        <f aca="false">IF(OR($C22="",$E22="On hold"),"",$R22*1000+(1000-ROW()))</f>
        <v>978</v>
      </c>
    </row>
    <row r="23" customFormat="false" ht="15" hidden="false" customHeight="false" outlineLevel="0" collapsed="false">
      <c r="B23" s="7"/>
      <c r="C23" s="8"/>
      <c r="D23" s="9"/>
      <c r="E23" s="9"/>
      <c r="F23" s="9"/>
      <c r="G23" s="10"/>
      <c r="H23" s="10"/>
      <c r="I23" s="11" t="str">
        <f aca="false">IF(OR($G23="",$H23=""),"",$H23-$G23)</f>
        <v/>
      </c>
      <c r="J23" s="12"/>
      <c r="K23" s="13"/>
      <c r="L23" s="13"/>
      <c r="M23" s="14" t="str">
        <f aca="false">IF(OR($K23="",$L23=""),"",$L23-$K23)</f>
        <v/>
      </c>
      <c r="N23" s="12"/>
      <c r="O23" s="15"/>
      <c r="P23" s="15"/>
      <c r="Q23" s="13"/>
      <c r="R23" s="16" t="str">
        <f aca="true">IF($C23="","",IF($E23="On hold","-",--(IFERROR(($H23-$G23)/$G23,0)&gt;Reference!$C$8/100)+--(IF($M23="",0,$M23)&gt;Reference!$C$9)+--((IF($N23="",0,$N23)-IF($J23="",0,$J23))*100&gt;Reference!$C$10)+--(IF($Q23="",1,TODAY()-$Q23)&gt;Reference!$C$11)+--(IF($O23="",0,$O23)&gt;=Reference!$C$12)+--(IF($P23="",0,$P23)&gt;=Reference!$C$13)))</f>
        <v/>
      </c>
      <c r="S23" s="17" t="str">
        <f aca="true">IF($C23="","",IF($E23="On hold","ON HOLD",IF(--(IF($Q23="",1,TODAY()-$Q23)&gt;Reference!$C$11)=1,"STALE - "&amp;TEXT(TODAY()-$Q23,"0")&amp;" days",IF($R23&gt;=3,"ATTENTION - "&amp;$R23&amp;" signals",IF($R23&gt;=1,"WATCH - "&amp;$R23&amp;IF($R23&gt;1," signals"," signal"),"ON TRACK")))))</f>
        <v/>
      </c>
      <c r="T23" s="18" t="str">
        <f aca="false">IF(OR($C23="",$E23="On hold"),"",$R23*1000+(1000-ROW()))</f>
        <v/>
      </c>
    </row>
    <row r="24" customFormat="false" ht="15" hidden="false" customHeight="false" outlineLevel="0" collapsed="false">
      <c r="B24" s="7"/>
      <c r="C24" s="8"/>
      <c r="D24" s="9"/>
      <c r="E24" s="9"/>
      <c r="F24" s="9"/>
      <c r="G24" s="10"/>
      <c r="H24" s="10"/>
      <c r="I24" s="11" t="str">
        <f aca="false">IF(OR($G24="",$H24=""),"",$H24-$G24)</f>
        <v/>
      </c>
      <c r="J24" s="12"/>
      <c r="K24" s="13"/>
      <c r="L24" s="13"/>
      <c r="M24" s="14" t="str">
        <f aca="false">IF(OR($K24="",$L24=""),"",$L24-$K24)</f>
        <v/>
      </c>
      <c r="N24" s="12"/>
      <c r="O24" s="15"/>
      <c r="P24" s="15"/>
      <c r="Q24" s="13"/>
      <c r="R24" s="16" t="str">
        <f aca="true">IF($C24="","",IF($E24="On hold","-",--(IFERROR(($H24-$G24)/$G24,0)&gt;Reference!$C$8/100)+--(IF($M24="",0,$M24)&gt;Reference!$C$9)+--((IF($N24="",0,$N24)-IF($J24="",0,$J24))*100&gt;Reference!$C$10)+--(IF($Q24="",1,TODAY()-$Q24)&gt;Reference!$C$11)+--(IF($O24="",0,$O24)&gt;=Reference!$C$12)+--(IF($P24="",0,$P24)&gt;=Reference!$C$13)))</f>
        <v/>
      </c>
      <c r="S24" s="17" t="str">
        <f aca="true">IF($C24="","",IF($E24="On hold","ON HOLD",IF(--(IF($Q24="",1,TODAY()-$Q24)&gt;Reference!$C$11)=1,"STALE - "&amp;TEXT(TODAY()-$Q24,"0")&amp;" days",IF($R24&gt;=3,"ATTENTION - "&amp;$R24&amp;" signals",IF($R24&gt;=1,"WATCH - "&amp;$R24&amp;IF($R24&gt;1," signals"," signal"),"ON TRACK")))))</f>
        <v/>
      </c>
      <c r="T24" s="18" t="str">
        <f aca="false">IF(OR($C24="",$E24="On hold"),"",$R24*1000+(1000-ROW()))</f>
        <v/>
      </c>
    </row>
    <row r="25" customFormat="false" ht="15" hidden="false" customHeight="false" outlineLevel="0" collapsed="false">
      <c r="B25" s="7"/>
      <c r="C25" s="8"/>
      <c r="D25" s="9"/>
      <c r="E25" s="9"/>
      <c r="F25" s="9"/>
      <c r="G25" s="10"/>
      <c r="H25" s="10"/>
      <c r="I25" s="11" t="str">
        <f aca="false">IF(OR($G25="",$H25=""),"",$H25-$G25)</f>
        <v/>
      </c>
      <c r="J25" s="12"/>
      <c r="K25" s="13"/>
      <c r="L25" s="13"/>
      <c r="M25" s="14" t="str">
        <f aca="false">IF(OR($K25="",$L25=""),"",$L25-$K25)</f>
        <v/>
      </c>
      <c r="N25" s="12"/>
      <c r="O25" s="15"/>
      <c r="P25" s="15"/>
      <c r="Q25" s="13"/>
      <c r="R25" s="16" t="str">
        <f aca="true">IF($C25="","",IF($E25="On hold","-",--(IFERROR(($H25-$G25)/$G25,0)&gt;Reference!$C$8/100)+--(IF($M25="",0,$M25)&gt;Reference!$C$9)+--((IF($N25="",0,$N25)-IF($J25="",0,$J25))*100&gt;Reference!$C$10)+--(IF($Q25="",1,TODAY()-$Q25)&gt;Reference!$C$11)+--(IF($O25="",0,$O25)&gt;=Reference!$C$12)+--(IF($P25="",0,$P25)&gt;=Reference!$C$13)))</f>
        <v/>
      </c>
      <c r="S25" s="17" t="str">
        <f aca="true">IF($C25="","",IF($E25="On hold","ON HOLD",IF(--(IF($Q25="",1,TODAY()-$Q25)&gt;Reference!$C$11)=1,"STALE - "&amp;TEXT(TODAY()-$Q25,"0")&amp;" days",IF($R25&gt;=3,"ATTENTION - "&amp;$R25&amp;" signals",IF($R25&gt;=1,"WATCH - "&amp;$R25&amp;IF($R25&gt;1," signals"," signal"),"ON TRACK")))))</f>
        <v/>
      </c>
      <c r="T25" s="18" t="str">
        <f aca="false">IF(OR($C25="",$E25="On hold"),"",$R25*1000+(1000-ROW()))</f>
        <v/>
      </c>
    </row>
    <row r="26" customFormat="false" ht="15" hidden="false" customHeight="false" outlineLevel="0" collapsed="false">
      <c r="B26" s="7"/>
      <c r="C26" s="8"/>
      <c r="D26" s="9"/>
      <c r="E26" s="9"/>
      <c r="F26" s="9"/>
      <c r="G26" s="10"/>
      <c r="H26" s="10"/>
      <c r="I26" s="11" t="str">
        <f aca="false">IF(OR($G26="",$H26=""),"",$H26-$G26)</f>
        <v/>
      </c>
      <c r="J26" s="12"/>
      <c r="K26" s="13"/>
      <c r="L26" s="13"/>
      <c r="M26" s="14" t="str">
        <f aca="false">IF(OR($K26="",$L26=""),"",$L26-$K26)</f>
        <v/>
      </c>
      <c r="N26" s="12"/>
      <c r="O26" s="15"/>
      <c r="P26" s="15"/>
      <c r="Q26" s="13"/>
      <c r="R26" s="16" t="str">
        <f aca="true">IF($C26="","",IF($E26="On hold","-",--(IFERROR(($H26-$G26)/$G26,0)&gt;Reference!$C$8/100)+--(IF($M26="",0,$M26)&gt;Reference!$C$9)+--((IF($N26="",0,$N26)-IF($J26="",0,$J26))*100&gt;Reference!$C$10)+--(IF($Q26="",1,TODAY()-$Q26)&gt;Reference!$C$11)+--(IF($O26="",0,$O26)&gt;=Reference!$C$12)+--(IF($P26="",0,$P26)&gt;=Reference!$C$13)))</f>
        <v/>
      </c>
      <c r="S26" s="17" t="str">
        <f aca="true">IF($C26="","",IF($E26="On hold","ON HOLD",IF(--(IF($Q26="",1,TODAY()-$Q26)&gt;Reference!$C$11)=1,"STALE - "&amp;TEXT(TODAY()-$Q26,"0")&amp;" days",IF($R26&gt;=3,"ATTENTION - "&amp;$R26&amp;" signals",IF($R26&gt;=1,"WATCH - "&amp;$R26&amp;IF($R26&gt;1," signals"," signal"),"ON TRACK")))))</f>
        <v/>
      </c>
      <c r="T26" s="18" t="str">
        <f aca="false">IF(OR($C26="",$E26="On hold"),"",$R26*1000+(1000-ROW()))</f>
        <v/>
      </c>
    </row>
    <row r="27" customFormat="false" ht="15" hidden="false" customHeight="false" outlineLevel="0" collapsed="false">
      <c r="B27" s="7"/>
      <c r="C27" s="8"/>
      <c r="D27" s="9"/>
      <c r="E27" s="9"/>
      <c r="F27" s="9"/>
      <c r="G27" s="10"/>
      <c r="H27" s="10"/>
      <c r="I27" s="11" t="str">
        <f aca="false">IF(OR($G27="",$H27=""),"",$H27-$G27)</f>
        <v/>
      </c>
      <c r="J27" s="12"/>
      <c r="K27" s="13"/>
      <c r="L27" s="13"/>
      <c r="M27" s="14" t="str">
        <f aca="false">IF(OR($K27="",$L27=""),"",$L27-$K27)</f>
        <v/>
      </c>
      <c r="N27" s="12"/>
      <c r="O27" s="15"/>
      <c r="P27" s="15"/>
      <c r="Q27" s="13"/>
      <c r="R27" s="16" t="str">
        <f aca="true">IF($C27="","",IF($E27="On hold","-",--(IFERROR(($H27-$G27)/$G27,0)&gt;Reference!$C$8/100)+--(IF($M27="",0,$M27)&gt;Reference!$C$9)+--((IF($N27="",0,$N27)-IF($J27="",0,$J27))*100&gt;Reference!$C$10)+--(IF($Q27="",1,TODAY()-$Q27)&gt;Reference!$C$11)+--(IF($O27="",0,$O27)&gt;=Reference!$C$12)+--(IF($P27="",0,$P27)&gt;=Reference!$C$13)))</f>
        <v/>
      </c>
      <c r="S27" s="17" t="str">
        <f aca="true">IF($C27="","",IF($E27="On hold","ON HOLD",IF(--(IF($Q27="",1,TODAY()-$Q27)&gt;Reference!$C$11)=1,"STALE - "&amp;TEXT(TODAY()-$Q27,"0")&amp;" days",IF($R27&gt;=3,"ATTENTION - "&amp;$R27&amp;" signals",IF($R27&gt;=1,"WATCH - "&amp;$R27&amp;IF($R27&gt;1," signals"," signal"),"ON TRACK")))))</f>
        <v/>
      </c>
      <c r="T27" s="18" t="str">
        <f aca="false">IF(OR($C27="",$E27="On hold"),"",$R27*1000+(1000-ROW()))</f>
        <v/>
      </c>
    </row>
    <row r="28" customFormat="false" ht="15" hidden="false" customHeight="false" outlineLevel="0" collapsed="false">
      <c r="B28" s="7"/>
      <c r="C28" s="8"/>
      <c r="D28" s="9"/>
      <c r="E28" s="9"/>
      <c r="F28" s="9"/>
      <c r="G28" s="10"/>
      <c r="H28" s="10"/>
      <c r="I28" s="11" t="str">
        <f aca="false">IF(OR($G28="",$H28=""),"",$H28-$G28)</f>
        <v/>
      </c>
      <c r="J28" s="12"/>
      <c r="K28" s="13"/>
      <c r="L28" s="13"/>
      <c r="M28" s="14" t="str">
        <f aca="false">IF(OR($K28="",$L28=""),"",$L28-$K28)</f>
        <v/>
      </c>
      <c r="N28" s="12"/>
      <c r="O28" s="15"/>
      <c r="P28" s="15"/>
      <c r="Q28" s="13"/>
      <c r="R28" s="16" t="str">
        <f aca="true">IF($C28="","",IF($E28="On hold","-",--(IFERROR(($H28-$G28)/$G28,0)&gt;Reference!$C$8/100)+--(IF($M28="",0,$M28)&gt;Reference!$C$9)+--((IF($N28="",0,$N28)-IF($J28="",0,$J28))*100&gt;Reference!$C$10)+--(IF($Q28="",1,TODAY()-$Q28)&gt;Reference!$C$11)+--(IF($O28="",0,$O28)&gt;=Reference!$C$12)+--(IF($P28="",0,$P28)&gt;=Reference!$C$13)))</f>
        <v/>
      </c>
      <c r="S28" s="17" t="str">
        <f aca="true">IF($C28="","",IF($E28="On hold","ON HOLD",IF(--(IF($Q28="",1,TODAY()-$Q28)&gt;Reference!$C$11)=1,"STALE - "&amp;TEXT(TODAY()-$Q28,"0")&amp;" days",IF($R28&gt;=3,"ATTENTION - "&amp;$R28&amp;" signals",IF($R28&gt;=1,"WATCH - "&amp;$R28&amp;IF($R28&gt;1," signals"," signal"),"ON TRACK")))))</f>
        <v/>
      </c>
      <c r="T28" s="18" t="str">
        <f aca="false">IF(OR($C28="",$E28="On hold"),"",$R28*1000+(1000-ROW()))</f>
        <v/>
      </c>
    </row>
    <row r="30" customFormat="false" ht="17.25" hidden="false" customHeight="true" outlineLevel="0" collapsed="false">
      <c r="B30" s="19" t="s">
        <v>67</v>
      </c>
      <c r="C30" s="19"/>
      <c r="D30" s="19"/>
      <c r="E30" s="19"/>
      <c r="F30" s="19"/>
      <c r="G30" s="19"/>
      <c r="H30" s="19"/>
      <c r="I30" s="19"/>
      <c r="J30" s="19"/>
      <c r="K30" s="19"/>
      <c r="L30" s="19"/>
      <c r="M30" s="19"/>
      <c r="N30" s="19"/>
      <c r="O30" s="19"/>
      <c r="P30" s="19"/>
      <c r="Q30" s="19"/>
      <c r="R30" s="19"/>
      <c r="S30" s="19"/>
    </row>
    <row r="32" customFormat="false" ht="18" hidden="false" customHeight="true" outlineLevel="0" collapsed="false">
      <c r="B32" s="20" t="s">
        <v>68</v>
      </c>
      <c r="C32" s="20"/>
      <c r="D32" s="20"/>
      <c r="E32" s="20"/>
      <c r="F32" s="20"/>
      <c r="G32" s="20"/>
      <c r="H32" s="20"/>
      <c r="I32" s="20"/>
      <c r="J32" s="20"/>
      <c r="K32" s="20"/>
      <c r="L32" s="20"/>
      <c r="M32" s="20"/>
      <c r="N32" s="20"/>
      <c r="O32" s="20"/>
      <c r="P32" s="20"/>
      <c r="Q32" s="20"/>
      <c r="R32" s="20"/>
      <c r="S32" s="20"/>
    </row>
  </sheetData>
  <mergeCells count="7">
    <mergeCell ref="B1:S1"/>
    <mergeCell ref="B2:S2"/>
    <mergeCell ref="B3:S3"/>
    <mergeCell ref="B4:S4"/>
    <mergeCell ref="B6:S6"/>
    <mergeCell ref="B30:S30"/>
    <mergeCell ref="B32:S32"/>
  </mergeCells>
  <conditionalFormatting sqref="B3:S3">
    <cfRule type="expression" priority="2" aboveAverage="0" equalAverage="0" bottom="0" percent="0" rank="0" text="" dxfId="0">
      <formula>LEN($B$3)&gt;0</formula>
    </cfRule>
  </conditionalFormatting>
  <conditionalFormatting sqref="B8:S28">
    <cfRule type="expression" priority="3" aboveAverage="0" equalAverage="0" bottom="0" percent="0" rank="0" text="" dxfId="1">
      <formula>LEFT($S8,9)="ATTENTION"</formula>
    </cfRule>
    <cfRule type="expression" priority="4" aboveAverage="0" equalAverage="0" bottom="0" percent="0" rank="0" text="" dxfId="0">
      <formula>LEFT($S8,5)="STALE"</formula>
    </cfRule>
    <cfRule type="expression" priority="5" aboveAverage="0" equalAverage="0" bottom="0" percent="0" rank="0" text="" dxfId="0">
      <formula>LEFT($S8,5)="WATCH"</formula>
    </cfRule>
    <cfRule type="expression" priority="6" aboveAverage="0" equalAverage="0" bottom="0" percent="0" rank="0" text="" dxfId="2">
      <formula>LEFT($S8,8)="ON TRACK"</formula>
    </cfRule>
    <cfRule type="expression" priority="7" aboveAverage="0" equalAverage="0" bottom="0" percent="0" rank="0" text="" dxfId="3">
      <formula>LEFT($S8,7)="ON HOLD"</formula>
    </cfRule>
  </conditionalFormatting>
  <dataValidations count="63">
    <dataValidation allowBlank="true" errorStyle="stop" operator="between" showDropDown="false" showErrorMessage="false" showInputMessage="false" sqref="D8" type="list">
      <formula1>Reference!$D$18:$D$22</formula1>
      <formula2>0</formula2>
    </dataValidation>
    <dataValidation allowBlank="true" errorStyle="stop" operator="between" showDropDown="false" showErrorMessage="false" showInputMessage="false" sqref="E8" type="list">
      <formula1>Reference!$B$18:$B$24</formula1>
      <formula2>0</formula2>
    </dataValidation>
    <dataValidation allowBlank="true" errorStyle="stop" operator="between" showDropDown="false" showErrorMessage="false" showInputMessage="false" sqref="F8" type="list">
      <formula1>Reference!$F$18:$F$22</formula1>
      <formula2>0</formula2>
    </dataValidation>
    <dataValidation allowBlank="true" errorStyle="stop" operator="between" showDropDown="false" showErrorMessage="false" showInputMessage="false" sqref="D9" type="list">
      <formula1>Reference!$D$18:$D$22</formula1>
      <formula2>0</formula2>
    </dataValidation>
    <dataValidation allowBlank="true" errorStyle="stop" operator="between" showDropDown="false" showErrorMessage="false" showInputMessage="false" sqref="E9" type="list">
      <formula1>Reference!$B$18:$B$24</formula1>
      <formula2>0</formula2>
    </dataValidation>
    <dataValidation allowBlank="true" errorStyle="stop" operator="between" showDropDown="false" showErrorMessage="false" showInputMessage="false" sqref="F9" type="list">
      <formula1>Reference!$F$18:$F$22</formula1>
      <formula2>0</formula2>
    </dataValidation>
    <dataValidation allowBlank="true" errorStyle="stop" operator="between" showDropDown="false" showErrorMessage="false" showInputMessage="false" sqref="D10" type="list">
      <formula1>Reference!$D$18:$D$22</formula1>
      <formula2>0</formula2>
    </dataValidation>
    <dataValidation allowBlank="true" errorStyle="stop" operator="between" showDropDown="false" showErrorMessage="false" showInputMessage="false" sqref="E10" type="list">
      <formula1>Reference!$B$18:$B$24</formula1>
      <formula2>0</formula2>
    </dataValidation>
    <dataValidation allowBlank="true" errorStyle="stop" operator="between" showDropDown="false" showErrorMessage="false" showInputMessage="false" sqref="F10" type="list">
      <formula1>Reference!$F$18:$F$22</formula1>
      <formula2>0</formula2>
    </dataValidation>
    <dataValidation allowBlank="true" errorStyle="stop" operator="between" showDropDown="false" showErrorMessage="false" showInputMessage="false" sqref="D11" type="list">
      <formula1>Reference!$D$18:$D$22</formula1>
      <formula2>0</formula2>
    </dataValidation>
    <dataValidation allowBlank="true" errorStyle="stop" operator="between" showDropDown="false" showErrorMessage="false" showInputMessage="false" sqref="E11" type="list">
      <formula1>Reference!$B$18:$B$24</formula1>
      <formula2>0</formula2>
    </dataValidation>
    <dataValidation allowBlank="true" errorStyle="stop" operator="between" showDropDown="false" showErrorMessage="false" showInputMessage="false" sqref="F11" type="list">
      <formula1>Reference!$F$18:$F$22</formula1>
      <formula2>0</formula2>
    </dataValidation>
    <dataValidation allowBlank="true" errorStyle="stop" operator="between" showDropDown="false" showErrorMessage="false" showInputMessage="false" sqref="D12" type="list">
      <formula1>Reference!$D$18:$D$22</formula1>
      <formula2>0</formula2>
    </dataValidation>
    <dataValidation allowBlank="true" errorStyle="stop" operator="between" showDropDown="false" showErrorMessage="false" showInputMessage="false" sqref="E12" type="list">
      <formula1>Reference!$B$18:$B$24</formula1>
      <formula2>0</formula2>
    </dataValidation>
    <dataValidation allowBlank="true" errorStyle="stop" operator="between" showDropDown="false" showErrorMessage="false" showInputMessage="false" sqref="F12" type="list">
      <formula1>Reference!$F$18:$F$22</formula1>
      <formula2>0</formula2>
    </dataValidation>
    <dataValidation allowBlank="true" errorStyle="stop" operator="between" showDropDown="false" showErrorMessage="false" showInputMessage="false" sqref="D13" type="list">
      <formula1>Reference!$D$18:$D$22</formula1>
      <formula2>0</formula2>
    </dataValidation>
    <dataValidation allowBlank="true" errorStyle="stop" operator="between" showDropDown="false" showErrorMessage="false" showInputMessage="false" sqref="E13" type="list">
      <formula1>Reference!$B$18:$B$24</formula1>
      <formula2>0</formula2>
    </dataValidation>
    <dataValidation allowBlank="true" errorStyle="stop" operator="between" showDropDown="false" showErrorMessage="false" showInputMessage="false" sqref="F13" type="list">
      <formula1>Reference!$F$18:$F$22</formula1>
      <formula2>0</formula2>
    </dataValidation>
    <dataValidation allowBlank="true" errorStyle="stop" operator="between" showDropDown="false" showErrorMessage="false" showInputMessage="false" sqref="D14" type="list">
      <formula1>Reference!$D$18:$D$22</formula1>
      <formula2>0</formula2>
    </dataValidation>
    <dataValidation allowBlank="true" errorStyle="stop" operator="between" showDropDown="false" showErrorMessage="false" showInputMessage="false" sqref="E14" type="list">
      <formula1>Reference!$B$18:$B$24</formula1>
      <formula2>0</formula2>
    </dataValidation>
    <dataValidation allowBlank="true" errorStyle="stop" operator="between" showDropDown="false" showErrorMessage="false" showInputMessage="false" sqref="F14" type="list">
      <formula1>Reference!$F$18:$F$22</formula1>
      <formula2>0</formula2>
    </dataValidation>
    <dataValidation allowBlank="true" errorStyle="stop" operator="between" showDropDown="false" showErrorMessage="false" showInputMessage="false" sqref="D15" type="list">
      <formula1>Reference!$D$18:$D$22</formula1>
      <formula2>0</formula2>
    </dataValidation>
    <dataValidation allowBlank="true" errorStyle="stop" operator="between" showDropDown="false" showErrorMessage="false" showInputMessage="false" sqref="E15" type="list">
      <formula1>Reference!$B$18:$B$24</formula1>
      <formula2>0</formula2>
    </dataValidation>
    <dataValidation allowBlank="true" errorStyle="stop" operator="between" showDropDown="false" showErrorMessage="false" showInputMessage="false" sqref="F15" type="list">
      <formula1>Reference!$F$18:$F$22</formula1>
      <formula2>0</formula2>
    </dataValidation>
    <dataValidation allowBlank="true" errorStyle="stop" operator="between" showDropDown="false" showErrorMessage="false" showInputMessage="false" sqref="D16" type="list">
      <formula1>Reference!$D$18:$D$22</formula1>
      <formula2>0</formula2>
    </dataValidation>
    <dataValidation allowBlank="true" errorStyle="stop" operator="between" showDropDown="false" showErrorMessage="false" showInputMessage="false" sqref="E16" type="list">
      <formula1>Reference!$B$18:$B$24</formula1>
      <formula2>0</formula2>
    </dataValidation>
    <dataValidation allowBlank="true" errorStyle="stop" operator="between" showDropDown="false" showErrorMessage="false" showInputMessage="false" sqref="F16" type="list">
      <formula1>Reference!$F$18:$F$22</formula1>
      <formula2>0</formula2>
    </dataValidation>
    <dataValidation allowBlank="true" errorStyle="stop" operator="between" showDropDown="false" showErrorMessage="false" showInputMessage="false" sqref="D17" type="list">
      <formula1>Reference!$D$18:$D$22</formula1>
      <formula2>0</formula2>
    </dataValidation>
    <dataValidation allowBlank="true" errorStyle="stop" operator="between" showDropDown="false" showErrorMessage="false" showInputMessage="false" sqref="E17" type="list">
      <formula1>Reference!$B$18:$B$24</formula1>
      <formula2>0</formula2>
    </dataValidation>
    <dataValidation allowBlank="true" errorStyle="stop" operator="between" showDropDown="false" showErrorMessage="false" showInputMessage="false" sqref="F17" type="list">
      <formula1>Reference!$F$18:$F$22</formula1>
      <formula2>0</formula2>
    </dataValidation>
    <dataValidation allowBlank="true" errorStyle="stop" operator="between" showDropDown="false" showErrorMessage="false" showInputMessage="false" sqref="D18" type="list">
      <formula1>Reference!$D$18:$D$22</formula1>
      <formula2>0</formula2>
    </dataValidation>
    <dataValidation allowBlank="true" errorStyle="stop" operator="between" showDropDown="false" showErrorMessage="false" showInputMessage="false" sqref="E18" type="list">
      <formula1>Reference!$B$18:$B$24</formula1>
      <formula2>0</formula2>
    </dataValidation>
    <dataValidation allowBlank="true" errorStyle="stop" operator="between" showDropDown="false" showErrorMessage="false" showInputMessage="false" sqref="F18" type="list">
      <formula1>Reference!$F$18:$F$22</formula1>
      <formula2>0</formula2>
    </dataValidation>
    <dataValidation allowBlank="true" errorStyle="stop" operator="between" showDropDown="false" showErrorMessage="false" showInputMessage="false" sqref="D19" type="list">
      <formula1>Reference!$D$18:$D$22</formula1>
      <formula2>0</formula2>
    </dataValidation>
    <dataValidation allowBlank="true" errorStyle="stop" operator="between" showDropDown="false" showErrorMessage="false" showInputMessage="false" sqref="E19" type="list">
      <formula1>Reference!$B$18:$B$24</formula1>
      <formula2>0</formula2>
    </dataValidation>
    <dataValidation allowBlank="true" errorStyle="stop" operator="between" showDropDown="false" showErrorMessage="false" showInputMessage="false" sqref="F19" type="list">
      <formula1>Reference!$F$18:$F$22</formula1>
      <formula2>0</formula2>
    </dataValidation>
    <dataValidation allowBlank="true" errorStyle="stop" operator="between" showDropDown="false" showErrorMessage="false" showInputMessage="false" sqref="D20" type="list">
      <formula1>Reference!$D$18:$D$22</formula1>
      <formula2>0</formula2>
    </dataValidation>
    <dataValidation allowBlank="true" errorStyle="stop" operator="between" showDropDown="false" showErrorMessage="false" showInputMessage="false" sqref="E20" type="list">
      <formula1>Reference!$B$18:$B$24</formula1>
      <formula2>0</formula2>
    </dataValidation>
    <dataValidation allowBlank="true" errorStyle="stop" operator="between" showDropDown="false" showErrorMessage="false" showInputMessage="false" sqref="F20" type="list">
      <formula1>Reference!$F$18:$F$22</formula1>
      <formula2>0</formula2>
    </dataValidation>
    <dataValidation allowBlank="true" errorStyle="stop" operator="between" showDropDown="false" showErrorMessage="false" showInputMessage="false" sqref="D21" type="list">
      <formula1>Reference!$D$18:$D$22</formula1>
      <formula2>0</formula2>
    </dataValidation>
    <dataValidation allowBlank="true" errorStyle="stop" operator="between" showDropDown="false" showErrorMessage="false" showInputMessage="false" sqref="E21" type="list">
      <formula1>Reference!$B$18:$B$24</formula1>
      <formula2>0</formula2>
    </dataValidation>
    <dataValidation allowBlank="true" errorStyle="stop" operator="between" showDropDown="false" showErrorMessage="false" showInputMessage="false" sqref="F21" type="list">
      <formula1>Reference!$F$18:$F$22</formula1>
      <formula2>0</formula2>
    </dataValidation>
    <dataValidation allowBlank="true" errorStyle="stop" operator="between" showDropDown="false" showErrorMessage="false" showInputMessage="false" sqref="D22" type="list">
      <formula1>Reference!$D$18:$D$22</formula1>
      <formula2>0</formula2>
    </dataValidation>
    <dataValidation allowBlank="true" errorStyle="stop" operator="between" showDropDown="false" showErrorMessage="false" showInputMessage="false" sqref="E22" type="list">
      <formula1>Reference!$B$18:$B$24</formula1>
      <formula2>0</formula2>
    </dataValidation>
    <dataValidation allowBlank="true" errorStyle="stop" operator="between" showDropDown="false" showErrorMessage="false" showInputMessage="false" sqref="F22" type="list">
      <formula1>Reference!$F$18:$F$22</formula1>
      <formula2>0</formula2>
    </dataValidation>
    <dataValidation allowBlank="true" errorStyle="stop" operator="between" showDropDown="false" showErrorMessage="false" showInputMessage="false" sqref="D23" type="list">
      <formula1>Reference!$D$18:$D$22</formula1>
      <formula2>0</formula2>
    </dataValidation>
    <dataValidation allowBlank="true" errorStyle="stop" operator="between" showDropDown="false" showErrorMessage="false" showInputMessage="false" sqref="E23" type="list">
      <formula1>Reference!$B$18:$B$24</formula1>
      <formula2>0</formula2>
    </dataValidation>
    <dataValidation allowBlank="true" errorStyle="stop" operator="between" showDropDown="false" showErrorMessage="false" showInputMessage="false" sqref="F23" type="list">
      <formula1>Reference!$F$18:$F$22</formula1>
      <formula2>0</formula2>
    </dataValidation>
    <dataValidation allowBlank="true" errorStyle="stop" operator="between" showDropDown="false" showErrorMessage="false" showInputMessage="false" sqref="D24" type="list">
      <formula1>Reference!$D$18:$D$22</formula1>
      <formula2>0</formula2>
    </dataValidation>
    <dataValidation allowBlank="true" errorStyle="stop" operator="between" showDropDown="false" showErrorMessage="false" showInputMessage="false" sqref="E24" type="list">
      <formula1>Reference!$B$18:$B$24</formula1>
      <formula2>0</formula2>
    </dataValidation>
    <dataValidation allowBlank="true" errorStyle="stop" operator="between" showDropDown="false" showErrorMessage="false" showInputMessage="false" sqref="F24" type="list">
      <formula1>Reference!$F$18:$F$22</formula1>
      <formula2>0</formula2>
    </dataValidation>
    <dataValidation allowBlank="true" errorStyle="stop" operator="between" showDropDown="false" showErrorMessage="false" showInputMessage="false" sqref="D25" type="list">
      <formula1>Reference!$D$18:$D$22</formula1>
      <formula2>0</formula2>
    </dataValidation>
    <dataValidation allowBlank="true" errorStyle="stop" operator="between" showDropDown="false" showErrorMessage="false" showInputMessage="false" sqref="E25" type="list">
      <formula1>Reference!$B$18:$B$24</formula1>
      <formula2>0</formula2>
    </dataValidation>
    <dataValidation allowBlank="true" errorStyle="stop" operator="between" showDropDown="false" showErrorMessage="false" showInputMessage="false" sqref="F25" type="list">
      <formula1>Reference!$F$18:$F$22</formula1>
      <formula2>0</formula2>
    </dataValidation>
    <dataValidation allowBlank="true" errorStyle="stop" operator="between" showDropDown="false" showErrorMessage="false" showInputMessage="false" sqref="D26" type="list">
      <formula1>Reference!$D$18:$D$22</formula1>
      <formula2>0</formula2>
    </dataValidation>
    <dataValidation allowBlank="true" errorStyle="stop" operator="between" showDropDown="false" showErrorMessage="false" showInputMessage="false" sqref="E26" type="list">
      <formula1>Reference!$B$18:$B$24</formula1>
      <formula2>0</formula2>
    </dataValidation>
    <dataValidation allowBlank="true" errorStyle="stop" operator="between" showDropDown="false" showErrorMessage="false" showInputMessage="false" sqref="F26" type="list">
      <formula1>Reference!$F$18:$F$22</formula1>
      <formula2>0</formula2>
    </dataValidation>
    <dataValidation allowBlank="true" errorStyle="stop" operator="between" showDropDown="false" showErrorMessage="false" showInputMessage="false" sqref="D27" type="list">
      <formula1>Reference!$D$18:$D$22</formula1>
      <formula2>0</formula2>
    </dataValidation>
    <dataValidation allowBlank="true" errorStyle="stop" operator="between" showDropDown="false" showErrorMessage="false" showInputMessage="false" sqref="E27" type="list">
      <formula1>Reference!$B$18:$B$24</formula1>
      <formula2>0</formula2>
    </dataValidation>
    <dataValidation allowBlank="true" errorStyle="stop" operator="between" showDropDown="false" showErrorMessage="false" showInputMessage="false" sqref="F27" type="list">
      <formula1>Reference!$F$18:$F$22</formula1>
      <formula2>0</formula2>
    </dataValidation>
    <dataValidation allowBlank="true" errorStyle="stop" operator="between" showDropDown="false" showErrorMessage="false" showInputMessage="false" sqref="D28" type="list">
      <formula1>Reference!$D$18:$D$22</formula1>
      <formula2>0</formula2>
    </dataValidation>
    <dataValidation allowBlank="true" errorStyle="stop" operator="between" showDropDown="false" showErrorMessage="false" showInputMessage="false" sqref="E28" type="list">
      <formula1>Reference!$B$18:$B$24</formula1>
      <formula2>0</formula2>
    </dataValidation>
    <dataValidation allowBlank="true" errorStyle="stop" operator="between" showDropDown="false" showErrorMessage="false" showInputMessage="false" sqref="F28" type="list">
      <formula1>Reference!$F$18:$F$22</formula1>
      <formula2>0</formula2>
    </dataValidation>
  </dataValidations>
  <hyperlinks>
    <hyperlink ref="B32" r:id="rId1" display="Visit mastt.com"/>
  </hyperlinks>
  <printOptions headings="false" gridLines="false" gridLinesSet="true" horizontalCentered="false" verticalCentered="false"/>
  <pageMargins left="0.3" right="0.3" top="0.4" bottom="0.4" header="0.511811023622047" footer="0.15"/>
  <pageSetup paperSize="8" scale="100" fitToWidth="1" fitToHeight="0" pageOrder="downThenOver" orientation="landscape" blackAndWhite="false" draft="false" cellComments="none" horizontalDpi="300" verticalDpi="300" copies="1"/>
  <headerFooter differentFirst="false" differentOddEven="false">
    <oddHeader/>
    <oddFooter>&amp;R&amp;9 &amp;K3480bcVisit mastt.com</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I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9"/>
    <col collapsed="false" customWidth="true" hidden="false" outlineLevel="0" max="3" min="3" style="0" width="40"/>
    <col collapsed="false" customWidth="true" hidden="false" outlineLevel="0" max="4" min="4" style="0" width="15"/>
    <col collapsed="false" customWidth="true" hidden="false" outlineLevel="0" max="7" min="5" style="0" width="14"/>
    <col collapsed="false" customWidth="true" hidden="false" outlineLevel="0" max="8" min="8" style="0" width="9"/>
    <col collapsed="false" customWidth="true" hidden="false" outlineLevel="0" max="9" min="9" style="0" width="30"/>
  </cols>
  <sheetData>
    <row r="1" customFormat="false" ht="33.75" hidden="false" customHeight="true" outlineLevel="0" collapsed="false">
      <c r="B1" s="1" t="s">
        <v>0</v>
      </c>
      <c r="C1" s="1"/>
      <c r="D1" s="1"/>
      <c r="E1" s="1"/>
      <c r="F1" s="1"/>
      <c r="G1" s="1"/>
      <c r="H1" s="1"/>
      <c r="I1" s="1"/>
    </row>
    <row r="2" customFormat="false" ht="4.5" hidden="false" customHeight="true" outlineLevel="0" collapsed="false">
      <c r="B2" s="2"/>
      <c r="C2" s="2"/>
      <c r="D2" s="2"/>
      <c r="E2" s="2"/>
      <c r="F2" s="2"/>
      <c r="G2" s="2"/>
      <c r="H2" s="2"/>
      <c r="I2" s="2"/>
    </row>
    <row r="3" customFormat="false" ht="16.5" hidden="false" customHeight="true" outlineLevel="0" collapsed="false">
      <c r="B3" s="3" t="str">
        <f aca="false">""</f>
        <v/>
      </c>
      <c r="C3" s="3"/>
      <c r="D3" s="3"/>
      <c r="E3" s="3"/>
      <c r="F3" s="3"/>
      <c r="G3" s="3"/>
      <c r="H3" s="3"/>
      <c r="I3" s="3"/>
    </row>
    <row r="4" customFormat="false" ht="25.5" hidden="false" customHeight="true" outlineLevel="0" collapsed="false">
      <c r="B4" s="4" t="s">
        <v>69</v>
      </c>
      <c r="C4" s="4"/>
      <c r="D4" s="4"/>
      <c r="E4" s="4"/>
      <c r="F4" s="4"/>
      <c r="G4" s="4"/>
      <c r="H4" s="4"/>
      <c r="I4" s="4"/>
    </row>
    <row r="6" customFormat="false" ht="33.75" hidden="false" customHeight="true" outlineLevel="0" collapsed="false">
      <c r="B6" s="21" t="str">
        <f aca="false">IF(COUNTIFS(Projects!$C$8:$C$28,"?*")-COUNTIFS(Projects!$E$8:$E$28,"On hold")=0,"No active projects yet - add them on the Projects sheet",IF(SUMPRODUCT(--(Projects!$C$8:$C$28&lt;&gt;""),--(Projects!$E$8:$E$28&lt;&gt;"On hold"),--((Projects!$R$8:$R$28&lt;&gt;"-")),--((LEFT(Projects!$S$8:$S$28,9)="ATTENTION")+(LEFT(Projects!$S$8:$S$28,5)="STALE")&gt;0))=0,"No project needs attention this week - "&amp;COUNTIFS(Projects!$C$8:$C$28,"?*")-COUNTIFS(Projects!$E$8:$E$28,"On hold")&amp;" active",SUMPRODUCT(--(Projects!$C$8:$C$28&lt;&gt;""),--(Projects!$E$8:$E$28&lt;&gt;"On hold"),--((Projects!$R$8:$R$28&lt;&gt;"-")),--((LEFT(Projects!$S$8:$S$28,9)="ATTENTION")+(LEFT(Projects!$S$8:$S$28,5)="STALE")&gt;0))&amp;" of "&amp;COUNTIFS(Projects!$C$8:$C$28,"?*")-COUNTIFS(Projects!$E$8:$E$28,"On hold")&amp;" active projects need attention this week"))</f>
        <v>4 of 14 active projects need attention this week</v>
      </c>
      <c r="C6" s="21"/>
      <c r="D6" s="21"/>
      <c r="E6" s="21"/>
      <c r="F6" s="21"/>
      <c r="G6" s="21"/>
      <c r="H6" s="21"/>
      <c r="I6" s="21"/>
    </row>
    <row r="8" customFormat="false" ht="12.75" hidden="false" customHeight="true" outlineLevel="0" collapsed="false">
      <c r="B8" s="22" t="s">
        <v>70</v>
      </c>
      <c r="C8" s="22"/>
      <c r="D8" s="22" t="s">
        <v>71</v>
      </c>
      <c r="E8" s="22"/>
      <c r="F8" s="22" t="s">
        <v>72</v>
      </c>
      <c r="G8" s="22"/>
      <c r="H8" s="22" t="s">
        <v>73</v>
      </c>
      <c r="I8" s="22"/>
    </row>
    <row r="9" customFormat="false" ht="30" hidden="false" customHeight="true" outlineLevel="0" collapsed="false">
      <c r="B9" s="23" t="n">
        <f aca="false">SUMIF(Projects!$C$8:$C$28,"?*",Projects!$H$8:$H$28)</f>
        <v>268062000</v>
      </c>
      <c r="C9" s="23"/>
      <c r="D9" s="24" t="n">
        <f aca="false">SUMPRODUCT(--(Projects!$C$8:$C$28&lt;&gt;""),--(Projects!$I$8:$I$28&gt;0))</f>
        <v>3</v>
      </c>
      <c r="E9" s="24"/>
      <c r="F9" s="24" t="n">
        <f aca="false">SUMPRODUCT(--(Projects!$C$8:$C$28&lt;&gt;""),--(IF(Projects!$M$8:$M$28="",0,Projects!$M$8:$M$28)&gt;Reference!$C$9))</f>
        <v>3</v>
      </c>
      <c r="G9" s="24"/>
      <c r="H9" s="24" t="n">
        <f aca="false">SUMPRODUCT(--(Projects!$C$8:$C$28&lt;&gt;""),--(LEFT(Projects!$S$8:$S$28,5)="STALE"))</f>
        <v>1</v>
      </c>
      <c r="I9" s="24"/>
    </row>
    <row r="10" customFormat="false" ht="15" hidden="false" customHeight="true" outlineLevel="0" collapsed="false">
      <c r="B10" s="25" t="str">
        <f aca="false">"against "&amp;TEXT(SUMIF(Projects!$C$8:$C$28,"?*",Projects!$G$8:$G$28),"$#,##0")&amp;" approved"</f>
        <v>against $265,100,000 approved</v>
      </c>
      <c r="C10" s="25"/>
      <c r="D10" s="25" t="str">
        <f aca="false">"projects forecasting above approved"</f>
        <v>projects forecasting above approved</v>
      </c>
      <c r="E10" s="25"/>
      <c r="F10" s="25" t="str">
        <f aca="false">"more than "&amp;Reference!$C$9&amp;" days late"</f>
        <v>more than 30 days late</v>
      </c>
      <c r="G10" s="25"/>
      <c r="H10" s="25" t="str">
        <f aca="false">"not updated in "&amp;Reference!$C$11&amp;"+ days"</f>
        <v>not updated in 21+ days</v>
      </c>
      <c r="I10" s="25"/>
    </row>
    <row r="12" customFormat="false" ht="21.75" hidden="false" customHeight="true" outlineLevel="0" collapsed="false">
      <c r="B12" s="5" t="s">
        <v>74</v>
      </c>
      <c r="C12" s="5"/>
      <c r="D12" s="5"/>
      <c r="E12" s="5"/>
      <c r="F12" s="5"/>
      <c r="G12" s="5"/>
      <c r="H12" s="5"/>
      <c r="I12" s="5"/>
    </row>
    <row r="13" customFormat="false" ht="24" hidden="false" customHeight="true" outlineLevel="0" collapsed="false">
      <c r="B13" s="26" t="s">
        <v>75</v>
      </c>
      <c r="C13" s="26" t="s">
        <v>4</v>
      </c>
      <c r="D13" s="26" t="s">
        <v>5</v>
      </c>
      <c r="E13" s="26" t="s">
        <v>8</v>
      </c>
      <c r="F13" s="26" t="s">
        <v>9</v>
      </c>
      <c r="G13" s="26" t="s">
        <v>10</v>
      </c>
      <c r="H13" s="26" t="s">
        <v>76</v>
      </c>
      <c r="I13" s="26" t="s">
        <v>19</v>
      </c>
    </row>
    <row r="14" customFormat="false" ht="15" hidden="false" customHeight="false" outlineLevel="0" collapsed="false">
      <c r="B14" s="27" t="n">
        <v>1</v>
      </c>
      <c r="C14" s="17" t="str">
        <f aca="false">IFERROR(INDEX(Projects!$C$8:$C$28,MATCH(LARGE(Projects!$T$8:$T$28,1),Projects!$T$8:$T$28,0)),"")</f>
        <v>Halstead Avenue Bridge Rehab</v>
      </c>
      <c r="D14" s="17" t="str">
        <f aca="false">IFERROR(INDEX(Projects!$D$8:$D$28,MATCH(LARGE(Projects!$T$8:$T$28,1),Projects!$T$8:$T$28,0)),"")</f>
        <v>Transportation</v>
      </c>
      <c r="E14" s="28" t="n">
        <f aca="false">IFERROR(INDEX(Projects!$G$8:$G$28,MATCH(LARGE(Projects!$T$8:$T$28,1),Projects!$T$8:$T$28,0)),"")</f>
        <v>9600000</v>
      </c>
      <c r="F14" s="28" t="n">
        <f aca="false">IFERROR(INDEX(Projects!$H$8:$H$28,MATCH(LARGE(Projects!$T$8:$T$28,1),Projects!$T$8:$T$28,0)),"")</f>
        <v>10480000</v>
      </c>
      <c r="G14" s="11" t="n">
        <f aca="false">IFERROR(INDEX(Projects!$I$8:$I$28,MATCH(LARGE(Projects!$T$8:$T$28,1),Projects!$T$8:$T$28,0)),"")</f>
        <v>880000</v>
      </c>
      <c r="H14" s="14" t="n">
        <f aca="false">IFERROR(INDEX(Projects!$M$8:$M$28,MATCH(LARGE(Projects!$T$8:$T$28,1),Projects!$T$8:$T$28,0)),"")</f>
        <v>75</v>
      </c>
      <c r="I14" s="17" t="str">
        <f aca="false">IFERROR(INDEX(Projects!$S$8:$S$28,MATCH(LARGE(Projects!$T$8:$T$28,1),Projects!$T$8:$T$28,0)),"")</f>
        <v>ATTENTION - 5 signals</v>
      </c>
    </row>
    <row r="15" customFormat="false" ht="15" hidden="false" customHeight="false" outlineLevel="0" collapsed="false">
      <c r="B15" s="27" t="n">
        <v>2</v>
      </c>
      <c r="C15" s="17" t="str">
        <f aca="false">IFERROR(INDEX(Projects!$C$8:$C$28,MATCH(LARGE(Projects!$T$8:$T$28,2),Projects!$T$8:$T$28,0)),"")</f>
        <v>Vale Street Sewer Replacement</v>
      </c>
      <c r="D15" s="17" t="str">
        <f aca="false">IFERROR(INDEX(Projects!$D$8:$D$28,MATCH(LARGE(Projects!$T$8:$T$28,2),Projects!$T$8:$T$28,0)),"")</f>
        <v>Water &amp; Sewer</v>
      </c>
      <c r="E15" s="28" t="n">
        <f aca="false">IFERROR(INDEX(Projects!$G$8:$G$28,MATCH(LARGE(Projects!$T$8:$T$28,2),Projects!$T$8:$T$28,0)),"")</f>
        <v>15700000</v>
      </c>
      <c r="F15" s="28" t="n">
        <f aca="false">IFERROR(INDEX(Projects!$H$8:$H$28,MATCH(LARGE(Projects!$T$8:$T$28,2),Projects!$T$8:$T$28,0)),"")</f>
        <v>16920000</v>
      </c>
      <c r="G15" s="11" t="n">
        <f aca="false">IFERROR(INDEX(Projects!$I$8:$I$28,MATCH(LARGE(Projects!$T$8:$T$28,2),Projects!$T$8:$T$28,0)),"")</f>
        <v>1220000</v>
      </c>
      <c r="H15" s="14" t="n">
        <f aca="false">IFERROR(INDEX(Projects!$M$8:$M$28,MATCH(LARGE(Projects!$T$8:$T$28,2),Projects!$T$8:$T$28,0)),"")</f>
        <v>100</v>
      </c>
      <c r="I15" s="17" t="str">
        <f aca="false">IFERROR(INDEX(Projects!$S$8:$S$28,MATCH(LARGE(Projects!$T$8:$T$28,2),Projects!$T$8:$T$28,0)),"")</f>
        <v>ATTENTION - 5 signals</v>
      </c>
    </row>
    <row r="16" customFormat="false" ht="15" hidden="false" customHeight="false" outlineLevel="0" collapsed="false">
      <c r="B16" s="27" t="n">
        <v>3</v>
      </c>
      <c r="C16" s="17" t="str">
        <f aca="false">IFERROR(INDEX(Projects!$C$8:$C$28,MATCH(LARGE(Projects!$T$8:$T$28,3),Projects!$T$8:$T$28,0)),"")</f>
        <v>Ridgemont Public Safety Building</v>
      </c>
      <c r="D16" s="17" t="str">
        <f aca="false">IFERROR(INDEX(Projects!$D$8:$D$28,MATCH(LARGE(Projects!$T$8:$T$28,3),Projects!$T$8:$T$28,0)),"")</f>
        <v>Public Safety</v>
      </c>
      <c r="E16" s="28" t="n">
        <f aca="false">IFERROR(INDEX(Projects!$G$8:$G$28,MATCH(LARGE(Projects!$T$8:$T$28,3),Projects!$T$8:$T$28,0)),"")</f>
        <v>48000000</v>
      </c>
      <c r="F16" s="28" t="n">
        <f aca="false">IFERROR(INDEX(Projects!$H$8:$H$28,MATCH(LARGE(Projects!$T$8:$T$28,3),Projects!$T$8:$T$28,0)),"")</f>
        <v>49350000</v>
      </c>
      <c r="G16" s="11" t="n">
        <f aca="false">IFERROR(INDEX(Projects!$I$8:$I$28,MATCH(LARGE(Projects!$T$8:$T$28,3),Projects!$T$8:$T$28,0)),"")</f>
        <v>1350000</v>
      </c>
      <c r="H16" s="14" t="n">
        <f aca="false">IFERROR(INDEX(Projects!$M$8:$M$28,MATCH(LARGE(Projects!$T$8:$T$28,3),Projects!$T$8:$T$28,0)),"")</f>
        <v>49</v>
      </c>
      <c r="I16" s="17" t="str">
        <f aca="false">IFERROR(INDEX(Projects!$S$8:$S$28,MATCH(LARGE(Projects!$T$8:$T$28,3),Projects!$T$8:$T$28,0)),"")</f>
        <v>ATTENTION - 3 signals</v>
      </c>
    </row>
    <row r="17" customFormat="false" ht="15" hidden="false" customHeight="false" outlineLevel="0" collapsed="false">
      <c r="B17" s="27" t="n">
        <v>4</v>
      </c>
      <c r="C17" s="17" t="str">
        <f aca="false">IFERROR(INDEX(Projects!$C$8:$C$28,MATCH(LARGE(Projects!$T$8:$T$28,4),Projects!$T$8:$T$28,0)),"")</f>
        <v>Milbrook Water Treatment Upgrade</v>
      </c>
      <c r="D17" s="17" t="str">
        <f aca="false">IFERROR(INDEX(Projects!$D$8:$D$28,MATCH(LARGE(Projects!$T$8:$T$28,4),Projects!$T$8:$T$28,0)),"")</f>
        <v>Water &amp; Sewer</v>
      </c>
      <c r="E17" s="28" t="n">
        <f aca="false">IFERROR(INDEX(Projects!$G$8:$G$28,MATCH(LARGE(Projects!$T$8:$T$28,4),Projects!$T$8:$T$28,0)),"")</f>
        <v>54200000</v>
      </c>
      <c r="F17" s="28" t="n">
        <f aca="false">IFERROR(INDEX(Projects!$H$8:$H$28,MATCH(LARGE(Projects!$T$8:$T$28,4),Projects!$T$8:$T$28,0)),"")</f>
        <v>53930000</v>
      </c>
      <c r="G17" s="11" t="n">
        <f aca="false">IFERROR(INDEX(Projects!$I$8:$I$28,MATCH(LARGE(Projects!$T$8:$T$28,4),Projects!$T$8:$T$28,0)),"")</f>
        <v>-270000</v>
      </c>
      <c r="H17" s="14" t="n">
        <f aca="false">IFERROR(INDEX(Projects!$M$8:$M$28,MATCH(LARGE(Projects!$T$8:$T$28,4),Projects!$T$8:$T$28,0)),"")</f>
        <v>0</v>
      </c>
      <c r="I17" s="17" t="str">
        <f aca="false">IFERROR(INDEX(Projects!$S$8:$S$28,MATCH(LARGE(Projects!$T$8:$T$28,4),Projects!$T$8:$T$28,0)),"")</f>
        <v>STALE - 49 days</v>
      </c>
    </row>
    <row r="18" customFormat="false" ht="15" hidden="false" customHeight="false" outlineLevel="0" collapsed="false">
      <c r="B18" s="27" t="n">
        <v>5</v>
      </c>
      <c r="C18" s="17" t="str">
        <f aca="false">IFERROR(INDEX(Projects!$C$8:$C$28,MATCH(LARGE(Projects!$T$8:$T$28,5),Projects!$T$8:$T$28,0)),"")</f>
        <v>Fairbrook Fire Station 7</v>
      </c>
      <c r="D18" s="17" t="str">
        <f aca="false">IFERROR(INDEX(Projects!$D$8:$D$28,MATCH(LARGE(Projects!$T$8:$T$28,5),Projects!$T$8:$T$28,0)),"")</f>
        <v>Public Safety</v>
      </c>
      <c r="E18" s="28" t="n">
        <f aca="false">IFERROR(INDEX(Projects!$G$8:$G$28,MATCH(LARGE(Projects!$T$8:$T$28,5),Projects!$T$8:$T$28,0)),"")</f>
        <v>12400000</v>
      </c>
      <c r="F18" s="28" t="n">
        <f aca="false">IFERROR(INDEX(Projects!$H$8:$H$28,MATCH(LARGE(Projects!$T$8:$T$28,5),Projects!$T$8:$T$28,0)),"")</f>
        <v>12310000</v>
      </c>
      <c r="G18" s="11" t="n">
        <f aca="false">IFERROR(INDEX(Projects!$I$8:$I$28,MATCH(LARGE(Projects!$T$8:$T$28,5),Projects!$T$8:$T$28,0)),"")</f>
        <v>-90000</v>
      </c>
      <c r="H18" s="14" t="n">
        <f aca="false">IFERROR(INDEX(Projects!$M$8:$M$28,MATCH(LARGE(Projects!$T$8:$T$28,5),Projects!$T$8:$T$28,0)),"")</f>
        <v>7</v>
      </c>
      <c r="I18" s="17" t="str">
        <f aca="false">IFERROR(INDEX(Projects!$S$8:$S$28,MATCH(LARGE(Projects!$T$8:$T$28,5),Projects!$T$8:$T$28,0)),"")</f>
        <v>ON TRACK</v>
      </c>
    </row>
    <row r="19" customFormat="false" ht="15" hidden="false" customHeight="false" outlineLevel="0" collapsed="false">
      <c r="B19" s="27" t="n">
        <v>6</v>
      </c>
      <c r="C19" s="17" t="str">
        <f aca="false">IFERROR(INDEX(Projects!$C$8:$C$28,MATCH(LARGE(Projects!$T$8:$T$28,6),Projects!$T$8:$T$28,0)),"")</f>
        <v>Wexler Park Aquatic Center</v>
      </c>
      <c r="D19" s="17" t="str">
        <f aca="false">IFERROR(INDEX(Projects!$D$8:$D$28,MATCH(LARGE(Projects!$T$8:$T$28,6),Projects!$T$8:$T$28,0)),"")</f>
        <v>Parks &amp; Rec</v>
      </c>
      <c r="E19" s="28" t="n">
        <f aca="false">IFERROR(INDEX(Projects!$G$8:$G$28,MATCH(LARGE(Projects!$T$8:$T$28,6),Projects!$T$8:$T$28,0)),"")</f>
        <v>21000000</v>
      </c>
      <c r="F19" s="28" t="n">
        <f aca="false">IFERROR(INDEX(Projects!$H$8:$H$28,MATCH(LARGE(Projects!$T$8:$T$28,6),Projects!$T$8:$T$28,0)),"")</f>
        <v>21000000</v>
      </c>
      <c r="G19" s="11" t="n">
        <f aca="false">IFERROR(INDEX(Projects!$I$8:$I$28,MATCH(LARGE(Projects!$T$8:$T$28,6),Projects!$T$8:$T$28,0)),"")</f>
        <v>0</v>
      </c>
      <c r="H19" s="14" t="n">
        <f aca="false">IFERROR(INDEX(Projects!$M$8:$M$28,MATCH(LARGE(Projects!$T$8:$T$28,6),Projects!$T$8:$T$28,0)),"")</f>
        <v>0</v>
      </c>
      <c r="I19" s="17" t="str">
        <f aca="false">IFERROR(INDEX(Projects!$S$8:$S$28,MATCH(LARGE(Projects!$T$8:$T$28,6),Projects!$T$8:$T$28,0)),"")</f>
        <v>ON TRACK</v>
      </c>
    </row>
    <row r="20" customFormat="false" ht="15" hidden="false" customHeight="false" outlineLevel="0" collapsed="false">
      <c r="B20" s="27" t="n">
        <v>7</v>
      </c>
      <c r="C20" s="17" t="str">
        <f aca="false">IFERROR(INDEX(Projects!$C$8:$C$28,MATCH(LARGE(Projects!$T$8:$T$28,7),Projects!$T$8:$T$28,0)),"")</f>
        <v>Northside Transit Hub</v>
      </c>
      <c r="D20" s="17" t="str">
        <f aca="false">IFERROR(INDEX(Projects!$D$8:$D$28,MATCH(LARGE(Projects!$T$8:$T$28,7),Projects!$T$8:$T$28,0)),"")</f>
        <v>Transportation</v>
      </c>
      <c r="E20" s="28" t="n">
        <f aca="false">IFERROR(INDEX(Projects!$G$8:$G$28,MATCH(LARGE(Projects!$T$8:$T$28,7),Projects!$T$8:$T$28,0)),"")</f>
        <v>33500000</v>
      </c>
      <c r="F20" s="28" t="n">
        <f aca="false">IFERROR(INDEX(Projects!$H$8:$H$28,MATCH(LARGE(Projects!$T$8:$T$28,7),Projects!$T$8:$T$28,0)),"")</f>
        <v>33500000</v>
      </c>
      <c r="G20" s="11" t="n">
        <f aca="false">IFERROR(INDEX(Projects!$I$8:$I$28,MATCH(LARGE(Projects!$T$8:$T$28,7),Projects!$T$8:$T$28,0)),"")</f>
        <v>0</v>
      </c>
      <c r="H20" s="14" t="n">
        <f aca="false">IFERROR(INDEX(Projects!$M$8:$M$28,MATCH(LARGE(Projects!$T$8:$T$28,7),Projects!$T$8:$T$28,0)),"")</f>
        <v>0</v>
      </c>
      <c r="I20" s="17" t="str">
        <f aca="false">IFERROR(INDEX(Projects!$S$8:$S$28,MATCH(LARGE(Projects!$T$8:$T$28,7),Projects!$T$8:$T$28,0)),"")</f>
        <v>ON TRACK</v>
      </c>
    </row>
    <row r="21" customFormat="false" ht="15" hidden="false" customHeight="false" outlineLevel="0" collapsed="false">
      <c r="B21" s="27" t="n">
        <v>8</v>
      </c>
      <c r="C21" s="17" t="str">
        <f aca="false">IFERROR(INDEX(Projects!$C$8:$C$28,MATCH(LARGE(Projects!$T$8:$T$28,8),Projects!$T$8:$T$28,0)),"")</f>
        <v>County Courthouse HVAC Renewal</v>
      </c>
      <c r="D21" s="17" t="str">
        <f aca="false">IFERROR(INDEX(Projects!$D$8:$D$28,MATCH(LARGE(Projects!$T$8:$T$28,8),Projects!$T$8:$T$28,0)),"")</f>
        <v>Facilities</v>
      </c>
      <c r="E21" s="28" t="n">
        <f aca="false">IFERROR(INDEX(Projects!$G$8:$G$28,MATCH(LARGE(Projects!$T$8:$T$28,8),Projects!$T$8:$T$28,0)),"")</f>
        <v>6800000</v>
      </c>
      <c r="F21" s="28" t="n">
        <f aca="false">IFERROR(INDEX(Projects!$H$8:$H$28,MATCH(LARGE(Projects!$T$8:$T$28,8),Projects!$T$8:$T$28,0)),"")</f>
        <v>6735000</v>
      </c>
      <c r="G21" s="11" t="n">
        <f aca="false">IFERROR(INDEX(Projects!$I$8:$I$28,MATCH(LARGE(Projects!$T$8:$T$28,8),Projects!$T$8:$T$28,0)),"")</f>
        <v>-65000</v>
      </c>
      <c r="H21" s="14" t="n">
        <f aca="false">IFERROR(INDEX(Projects!$M$8:$M$28,MATCH(LARGE(Projects!$T$8:$T$28,8),Projects!$T$8:$T$28,0)),"")</f>
        <v>7</v>
      </c>
      <c r="I21" s="17" t="str">
        <f aca="false">IFERROR(INDEX(Projects!$S$8:$S$28,MATCH(LARGE(Projects!$T$8:$T$28,8),Projects!$T$8:$T$28,0)),"")</f>
        <v>ON TRACK</v>
      </c>
    </row>
    <row r="22" customFormat="false" ht="17.25" hidden="false" customHeight="true" outlineLevel="0" collapsed="false">
      <c r="B22" s="19" t="s">
        <v>77</v>
      </c>
      <c r="C22" s="19"/>
      <c r="D22" s="19"/>
      <c r="E22" s="19"/>
      <c r="F22" s="19"/>
      <c r="G22" s="19"/>
      <c r="H22" s="19"/>
      <c r="I22" s="19"/>
    </row>
    <row r="24" customFormat="false" ht="21.75" hidden="false" customHeight="true" outlineLevel="0" collapsed="false">
      <c r="B24" s="5" t="s">
        <v>78</v>
      </c>
      <c r="C24" s="5"/>
      <c r="D24" s="5"/>
      <c r="E24" s="5"/>
      <c r="F24" s="5"/>
      <c r="G24" s="5"/>
      <c r="H24" s="5"/>
      <c r="I24" s="5"/>
    </row>
    <row r="25" customFormat="false" ht="22.5" hidden="false" customHeight="true" outlineLevel="0" collapsed="false">
      <c r="B25" s="26" t="s">
        <v>5</v>
      </c>
      <c r="C25" s="26"/>
      <c r="D25" s="26" t="s">
        <v>79</v>
      </c>
      <c r="E25" s="26" t="s">
        <v>8</v>
      </c>
      <c r="F25" s="26" t="s">
        <v>9</v>
      </c>
      <c r="G25" s="26" t="s">
        <v>10</v>
      </c>
      <c r="H25" s="26" t="s">
        <v>80</v>
      </c>
      <c r="I25" s="26" t="s">
        <v>81</v>
      </c>
    </row>
    <row r="26" customFormat="false" ht="18" hidden="false" customHeight="true" outlineLevel="0" collapsed="false">
      <c r="B26" s="29" t="s">
        <v>22</v>
      </c>
      <c r="C26" s="29"/>
      <c r="D26" s="16" t="n">
        <f aca="false">COUNTIFS(Projects!$D$8:$D$28,"Public Safety",Projects!$C$8:$C$28,"?*")</f>
        <v>2</v>
      </c>
      <c r="E26" s="28" t="n">
        <f aca="false">SUMIF(Projects!$D$8:$D$28,"Public Safety",Projects!$G$8:$G$28)</f>
        <v>60400000</v>
      </c>
      <c r="F26" s="28" t="n">
        <f aca="false">SUMIF(Projects!$D$8:$D$28,"Public Safety",Projects!$H$8:$H$28)</f>
        <v>61660000</v>
      </c>
      <c r="G26" s="11" t="n">
        <f aca="false">SUMIF(Projects!$D$8:$D$28,"Public Safety",Projects!$H$8:$H$28)-SUMIF(Projects!$D$8:$D$28,"Public Safety",Projects!$G$8:$G$28)</f>
        <v>1260000</v>
      </c>
      <c r="H26" s="16" t="n">
        <f aca="false">SUMPRODUCT(--(Projects!$D$8:$D$28="Public Safety"),--(Projects!$C$8:$C$28&lt;&gt;""),--((LEFT(Projects!$S$8:$S$28,9)="ATTENTION")+(LEFT(Projects!$S$8:$S$28,5)="STALE")&gt;0))</f>
        <v>1</v>
      </c>
      <c r="I26" s="17" t="str">
        <f aca="false">IF(COUNTIFS(Projects!$D$8:$D$28,"Public Safety",Projects!$C$8:$C$28,"?*")=0,"No projects",IF(SUMPRODUCT(--(Projects!$D$8:$D$28="Public Safety"),--(Projects!$C$8:$C$28&lt;&gt;""),--((LEFT(Projects!$S$8:$S$28,9)="ATTENTION")+(LEFT(Projects!$S$8:$S$28,5)="STALE")&gt;0))=0,"All clear",SUMPRODUCT(--(Projects!$D$8:$D$28="Public Safety"),--(Projects!$C$8:$C$28&lt;&gt;""),--((LEFT(Projects!$S$8:$S$28,9)="ATTENTION")+(LEFT(Projects!$S$8:$S$28,5)="STALE")&gt;0))&amp;" of "&amp;COUNTIFS(Projects!$D$8:$D$28,"Public Safety",Projects!$C$8:$C$28,"?*")&amp;IF(SUMPRODUCT(--(Projects!$D$8:$D$28="Public Safety"),--(Projects!$C$8:$C$28&lt;&gt;""),--((LEFT(Projects!$S$8:$S$28,9)="ATTENTION")+(LEFT(Projects!$S$8:$S$28,5)="STALE")&gt;0))=1," needs"," need")&amp;" attention"))</f>
        <v>1 of 2 needs attention</v>
      </c>
    </row>
    <row r="27" customFormat="false" ht="18" hidden="false" customHeight="true" outlineLevel="0" collapsed="false">
      <c r="B27" s="29" t="s">
        <v>31</v>
      </c>
      <c r="C27" s="29"/>
      <c r="D27" s="16" t="n">
        <f aca="false">COUNTIFS(Projects!$D$8:$D$28,"Parks &amp; Rec",Projects!$C$8:$C$28,"?*")</f>
        <v>3</v>
      </c>
      <c r="E27" s="28" t="n">
        <f aca="false">SUMIF(Projects!$D$8:$D$28,"Parks &amp; Rec",Projects!$G$8:$G$28)</f>
        <v>25350000</v>
      </c>
      <c r="F27" s="28" t="n">
        <f aca="false">SUMIF(Projects!$D$8:$D$28,"Parks &amp; Rec",Projects!$H$8:$H$28)</f>
        <v>25295000</v>
      </c>
      <c r="G27" s="11" t="n">
        <f aca="false">SUMIF(Projects!$D$8:$D$28,"Parks &amp; Rec",Projects!$H$8:$H$28)-SUMIF(Projects!$D$8:$D$28,"Parks &amp; Rec",Projects!$G$8:$G$28)</f>
        <v>-55000</v>
      </c>
      <c r="H27" s="16" t="n">
        <f aca="false">SUMPRODUCT(--(Projects!$D$8:$D$28="Parks &amp; Rec"),--(Projects!$C$8:$C$28&lt;&gt;""),--((LEFT(Projects!$S$8:$S$28,9)="ATTENTION")+(LEFT(Projects!$S$8:$S$28,5)="STALE")&gt;0))</f>
        <v>0</v>
      </c>
      <c r="I27" s="17" t="str">
        <f aca="false">IF(COUNTIFS(Projects!$D$8:$D$28,"Parks &amp; Rec",Projects!$C$8:$C$28,"?*")=0,"No projects",IF(SUMPRODUCT(--(Projects!$D$8:$D$28="Parks &amp; Rec"),--(Projects!$C$8:$C$28&lt;&gt;""),--((LEFT(Projects!$S$8:$S$28,9)="ATTENTION")+(LEFT(Projects!$S$8:$S$28,5)="STALE")&gt;0))=0,"All clear",SUMPRODUCT(--(Projects!$D$8:$D$28="Parks &amp; Rec"),--(Projects!$C$8:$C$28&lt;&gt;""),--((LEFT(Projects!$S$8:$S$28,9)="ATTENTION")+(LEFT(Projects!$S$8:$S$28,5)="STALE")&gt;0))&amp;" of "&amp;COUNTIFS(Projects!$D$8:$D$28,"Parks &amp; Rec",Projects!$C$8:$C$28,"?*")&amp;IF(SUMPRODUCT(--(Projects!$D$8:$D$28="Parks &amp; Rec"),--(Projects!$C$8:$C$28&lt;&gt;""),--((LEFT(Projects!$S$8:$S$28,9)="ATTENTION")+(LEFT(Projects!$S$8:$S$28,5)="STALE")&gt;0))=1," needs"," need")&amp;" attention"))</f>
        <v>All clear</v>
      </c>
    </row>
    <row r="28" customFormat="false" ht="18" hidden="false" customHeight="true" outlineLevel="0" collapsed="false">
      <c r="B28" s="29" t="s">
        <v>36</v>
      </c>
      <c r="C28" s="29"/>
      <c r="D28" s="16" t="n">
        <f aca="false">COUNTIFS(Projects!$D$8:$D$28,"Transportation",Projects!$C$8:$C$28,"?*")</f>
        <v>3</v>
      </c>
      <c r="E28" s="28" t="n">
        <f aca="false">SUMIF(Projects!$D$8:$D$28,"Transportation",Projects!$G$8:$G$28)</f>
        <v>46350000</v>
      </c>
      <c r="F28" s="28" t="n">
        <f aca="false">SUMIF(Projects!$D$8:$D$28,"Transportation",Projects!$H$8:$H$28)</f>
        <v>47224000</v>
      </c>
      <c r="G28" s="11" t="n">
        <f aca="false">SUMIF(Projects!$D$8:$D$28,"Transportation",Projects!$H$8:$H$28)-SUMIF(Projects!$D$8:$D$28,"Transportation",Projects!$G$8:$G$28)</f>
        <v>874000</v>
      </c>
      <c r="H28" s="16" t="n">
        <f aca="false">SUMPRODUCT(--(Projects!$D$8:$D$28="Transportation"),--(Projects!$C$8:$C$28&lt;&gt;""),--((LEFT(Projects!$S$8:$S$28,9)="ATTENTION")+(LEFT(Projects!$S$8:$S$28,5)="STALE")&gt;0))</f>
        <v>1</v>
      </c>
      <c r="I28" s="17" t="str">
        <f aca="false">IF(COUNTIFS(Projects!$D$8:$D$28,"Transportation",Projects!$C$8:$C$28,"?*")=0,"No projects",IF(SUMPRODUCT(--(Projects!$D$8:$D$28="Transportation"),--(Projects!$C$8:$C$28&lt;&gt;""),--((LEFT(Projects!$S$8:$S$28,9)="ATTENTION")+(LEFT(Projects!$S$8:$S$28,5)="STALE")&gt;0))=0,"All clear",SUMPRODUCT(--(Projects!$D$8:$D$28="Transportation"),--(Projects!$C$8:$C$28&lt;&gt;""),--((LEFT(Projects!$S$8:$S$28,9)="ATTENTION")+(LEFT(Projects!$S$8:$S$28,5)="STALE")&gt;0))&amp;" of "&amp;COUNTIFS(Projects!$D$8:$D$28,"Transportation",Projects!$C$8:$C$28,"?*")&amp;IF(SUMPRODUCT(--(Projects!$D$8:$D$28="Transportation"),--(Projects!$C$8:$C$28&lt;&gt;""),--((LEFT(Projects!$S$8:$S$28,9)="ATTENTION")+(LEFT(Projects!$S$8:$S$28,5)="STALE")&gt;0))=1," needs"," need")&amp;" attention"))</f>
        <v>1 of 3 needs attention</v>
      </c>
    </row>
    <row r="29" customFormat="false" ht="18" hidden="false" customHeight="true" outlineLevel="0" collapsed="false">
      <c r="B29" s="29" t="s">
        <v>43</v>
      </c>
      <c r="C29" s="29"/>
      <c r="D29" s="16" t="n">
        <f aca="false">COUNTIFS(Projects!$D$8:$D$28,"Facilities",Projects!$C$8:$C$28,"?*")</f>
        <v>4</v>
      </c>
      <c r="E29" s="28" t="n">
        <f aca="false">SUMIF(Projects!$D$8:$D$28,"Facilities",Projects!$G$8:$G$28)</f>
        <v>37100000</v>
      </c>
      <c r="F29" s="28" t="n">
        <f aca="false">SUMIF(Projects!$D$8:$D$28,"Facilities",Projects!$H$8:$H$28)</f>
        <v>37033000</v>
      </c>
      <c r="G29" s="11" t="n">
        <f aca="false">SUMIF(Projects!$D$8:$D$28,"Facilities",Projects!$H$8:$H$28)-SUMIF(Projects!$D$8:$D$28,"Facilities",Projects!$G$8:$G$28)</f>
        <v>-67000</v>
      </c>
      <c r="H29" s="16" t="n">
        <f aca="false">SUMPRODUCT(--(Projects!$D$8:$D$28="Facilities"),--(Projects!$C$8:$C$28&lt;&gt;""),--((LEFT(Projects!$S$8:$S$28,9)="ATTENTION")+(LEFT(Projects!$S$8:$S$28,5)="STALE")&gt;0))</f>
        <v>0</v>
      </c>
      <c r="I29" s="17" t="str">
        <f aca="false">IF(COUNTIFS(Projects!$D$8:$D$28,"Facilities",Projects!$C$8:$C$28,"?*")=0,"No projects",IF(SUMPRODUCT(--(Projects!$D$8:$D$28="Facilities"),--(Projects!$C$8:$C$28&lt;&gt;""),--((LEFT(Projects!$S$8:$S$28,9)="ATTENTION")+(LEFT(Projects!$S$8:$S$28,5)="STALE")&gt;0))=0,"All clear",SUMPRODUCT(--(Projects!$D$8:$D$28="Facilities"),--(Projects!$C$8:$C$28&lt;&gt;""),--((LEFT(Projects!$S$8:$S$28,9)="ATTENTION")+(LEFT(Projects!$S$8:$S$28,5)="STALE")&gt;0))&amp;" of "&amp;COUNTIFS(Projects!$D$8:$D$28,"Facilities",Projects!$C$8:$C$28,"?*")&amp;IF(SUMPRODUCT(--(Projects!$D$8:$D$28="Facilities"),--(Projects!$C$8:$C$28&lt;&gt;""),--((LEFT(Projects!$S$8:$S$28,9)="ATTENTION")+(LEFT(Projects!$S$8:$S$28,5)="STALE")&gt;0))=1," needs"," need")&amp;" attention"))</f>
        <v>All clear</v>
      </c>
    </row>
    <row r="30" customFormat="false" ht="18" hidden="false" customHeight="true" outlineLevel="0" collapsed="false">
      <c r="B30" s="29" t="s">
        <v>47</v>
      </c>
      <c r="C30" s="29"/>
      <c r="D30" s="16" t="n">
        <f aca="false">COUNTIFS(Projects!$D$8:$D$28,"Water &amp; Sewer",Projects!$C$8:$C$28,"?*")</f>
        <v>3</v>
      </c>
      <c r="E30" s="28" t="n">
        <f aca="false">SUMIF(Projects!$D$8:$D$28,"Water &amp; Sewer",Projects!$G$8:$G$28)</f>
        <v>95900000</v>
      </c>
      <c r="F30" s="28" t="n">
        <f aca="false">SUMIF(Projects!$D$8:$D$28,"Water &amp; Sewer",Projects!$H$8:$H$28)</f>
        <v>96850000</v>
      </c>
      <c r="G30" s="11" t="n">
        <f aca="false">SUMIF(Projects!$D$8:$D$28,"Water &amp; Sewer",Projects!$H$8:$H$28)-SUMIF(Projects!$D$8:$D$28,"Water &amp; Sewer",Projects!$G$8:$G$28)</f>
        <v>950000</v>
      </c>
      <c r="H30" s="16" t="n">
        <f aca="false">SUMPRODUCT(--(Projects!$D$8:$D$28="Water &amp; Sewer"),--(Projects!$C$8:$C$28&lt;&gt;""),--((LEFT(Projects!$S$8:$S$28,9)="ATTENTION")+(LEFT(Projects!$S$8:$S$28,5)="STALE")&gt;0))</f>
        <v>2</v>
      </c>
      <c r="I30" s="17" t="str">
        <f aca="false">IF(COUNTIFS(Projects!$D$8:$D$28,"Water &amp; Sewer",Projects!$C$8:$C$28,"?*")=0,"No projects",IF(SUMPRODUCT(--(Projects!$D$8:$D$28="Water &amp; Sewer"),--(Projects!$C$8:$C$28&lt;&gt;""),--((LEFT(Projects!$S$8:$S$28,9)="ATTENTION")+(LEFT(Projects!$S$8:$S$28,5)="STALE")&gt;0))=0,"All clear",SUMPRODUCT(--(Projects!$D$8:$D$28="Water &amp; Sewer"),--(Projects!$C$8:$C$28&lt;&gt;""),--((LEFT(Projects!$S$8:$S$28,9)="ATTENTION")+(LEFT(Projects!$S$8:$S$28,5)="STALE")&gt;0))&amp;" of "&amp;COUNTIFS(Projects!$D$8:$D$28,"Water &amp; Sewer",Projects!$C$8:$C$28,"?*")&amp;IF(SUMPRODUCT(--(Projects!$D$8:$D$28="Water &amp; Sewer"),--(Projects!$C$8:$C$28&lt;&gt;""),--((LEFT(Projects!$S$8:$S$28,9)="ATTENTION")+(LEFT(Projects!$S$8:$S$28,5)="STALE")&gt;0))=1," needs"," need")&amp;" attention"))</f>
        <v>2 of 3 need attention</v>
      </c>
    </row>
    <row r="32" customFormat="false" ht="21.75" hidden="false" customHeight="true" outlineLevel="0" collapsed="false">
      <c r="B32" s="5" t="s">
        <v>82</v>
      </c>
      <c r="C32" s="5"/>
      <c r="D32" s="5"/>
      <c r="E32" s="5"/>
      <c r="F32" s="5"/>
      <c r="G32" s="5"/>
      <c r="H32" s="5"/>
      <c r="I32" s="5"/>
    </row>
    <row r="33" customFormat="false" ht="19.5" hidden="false" customHeight="true" outlineLevel="0" collapsed="false">
      <c r="B33" s="3" t="s">
        <v>83</v>
      </c>
      <c r="C33" s="3"/>
      <c r="D33" s="3"/>
      <c r="E33" s="3"/>
      <c r="F33" s="15" t="n">
        <v>4</v>
      </c>
      <c r="G33" s="19" t="s">
        <v>84</v>
      </c>
      <c r="H33" s="19"/>
      <c r="I33" s="19"/>
    </row>
    <row r="34" customFormat="false" ht="22.5" hidden="false" customHeight="true" outlineLevel="0" collapsed="false">
      <c r="B34" s="26" t="s">
        <v>85</v>
      </c>
      <c r="C34" s="26"/>
      <c r="D34" s="26" t="s">
        <v>79</v>
      </c>
      <c r="E34" s="26" t="s">
        <v>8</v>
      </c>
      <c r="F34" s="26" t="s">
        <v>9</v>
      </c>
      <c r="G34" s="26" t="s">
        <v>10</v>
      </c>
      <c r="H34" s="26" t="s">
        <v>80</v>
      </c>
      <c r="I34" s="26" t="s">
        <v>86</v>
      </c>
    </row>
    <row r="35" customFormat="false" ht="18" hidden="false" customHeight="true" outlineLevel="0" collapsed="false">
      <c r="B35" s="29" t="s">
        <v>24</v>
      </c>
      <c r="C35" s="29"/>
      <c r="D35" s="16" t="n">
        <f aca="false">COUNTIFS(Projects!$F$8:$F$28,"A. Whitfield",Projects!$C$8:$C$28,"?*")</f>
        <v>3</v>
      </c>
      <c r="E35" s="28" t="n">
        <f aca="false">SUMIF(Projects!$F$8:$F$28,"A. Whitfield",Projects!$G$8:$G$28)</f>
        <v>88600000</v>
      </c>
      <c r="F35" s="28" t="n">
        <f aca="false">SUMIF(Projects!$F$8:$F$28,"A. Whitfield",Projects!$H$8:$H$28)</f>
        <v>89950000</v>
      </c>
      <c r="G35" s="11" t="n">
        <f aca="false">SUMIF(Projects!$F$8:$F$28,"A. Whitfield",Projects!$H$8:$H$28)-SUMIF(Projects!$F$8:$F$28,"A. Whitfield",Projects!$G$8:$G$28)</f>
        <v>1350000</v>
      </c>
      <c r="H35" s="16" t="n">
        <f aca="false">SUMPRODUCT(--(Projects!$F$8:$F$28="A. Whitfield"),--(Projects!$C$8:$C$28&lt;&gt;""),--((LEFT(Projects!$S$8:$S$28,9)="ATTENTION")+(LEFT(Projects!$S$8:$S$28,5)="STALE")&gt;0))</f>
        <v>1</v>
      </c>
      <c r="I35" s="17" t="str">
        <f aca="false">IF(COUNTIFS(Projects!$F$8:$F$28,"A. Whitfield",Projects!$C$8:$C$28,"?*")=0,"No projects",IF(SUMPRODUCT(--(Projects!$F$8:$F$28="A. Whitfield"),--(Projects!$C$8:$C$28&lt;&gt;""),--((LEFT(Projects!$S$8:$S$28,9)="ATTENTION")+(LEFT(Projects!$S$8:$S$28,5)="STALE")&gt;0))&gt;=2,SUMPRODUCT(--(Projects!$F$8:$F$28="A. Whitfield"),--(Projects!$C$8:$C$28&lt;&gt;""),--((LEFT(Projects!$S$8:$S$28,9)="ATTENTION")+(LEFT(Projects!$S$8:$S$28,5)="STALE")&gt;0))&amp;" in trouble - over-committed",IF(COUNTIFS(Projects!$F$8:$F$28,"A. Whitfield",Projects!$C$8:$C$28,"?*")&gt;$F$33,COUNTIFS(Projects!$F$8:$F$28,"A. Whitfield",Projects!$C$8:$C$28,"?*")&amp;" active - above the load limit",IF(SUMPRODUCT(--(Projects!$F$8:$F$28="A. Whitfield"),--(Projects!$C$8:$C$28&lt;&gt;""),--((LEFT(Projects!$S$8:$S$28,9)="ATTENTION")+(LEFT(Projects!$S$8:$S$28,5)="STALE")&gt;0))=1,"1 needs attention","Inside the load"))))</f>
        <v>1 needs attention</v>
      </c>
    </row>
    <row r="36" customFormat="false" ht="18" hidden="false" customHeight="true" outlineLevel="0" collapsed="false">
      <c r="B36" s="29" t="s">
        <v>28</v>
      </c>
      <c r="C36" s="29"/>
      <c r="D36" s="16" t="n">
        <f aca="false">COUNTIFS(Projects!$F$8:$F$28,"R. Osei",Projects!$C$8:$C$28,"?*")</f>
        <v>3</v>
      </c>
      <c r="E36" s="28" t="n">
        <f aca="false">SUMIF(Projects!$F$8:$F$28,"R. Osei",Projects!$G$8:$G$28)</f>
        <v>85500000</v>
      </c>
      <c r="F36" s="28" t="n">
        <f aca="false">SUMIF(Projects!$F$8:$F$28,"R. Osei",Projects!$H$8:$H$28)</f>
        <v>85140000</v>
      </c>
      <c r="G36" s="11" t="n">
        <f aca="false">SUMIF(Projects!$F$8:$F$28,"R. Osei",Projects!$H$8:$H$28)-SUMIF(Projects!$F$8:$F$28,"R. Osei",Projects!$G$8:$G$28)</f>
        <v>-360000</v>
      </c>
      <c r="H36" s="16" t="n">
        <f aca="false">SUMPRODUCT(--(Projects!$F$8:$F$28="R. Osei"),--(Projects!$C$8:$C$28&lt;&gt;""),--((LEFT(Projects!$S$8:$S$28,9)="ATTENTION")+(LEFT(Projects!$S$8:$S$28,5)="STALE")&gt;0))</f>
        <v>1</v>
      </c>
      <c r="I36" s="17" t="str">
        <f aca="false">IF(COUNTIFS(Projects!$F$8:$F$28,"R. Osei",Projects!$C$8:$C$28,"?*")=0,"No projects",IF(SUMPRODUCT(--(Projects!$F$8:$F$28="R. Osei"),--(Projects!$C$8:$C$28&lt;&gt;""),--((LEFT(Projects!$S$8:$S$28,9)="ATTENTION")+(LEFT(Projects!$S$8:$S$28,5)="STALE")&gt;0))&gt;=2,SUMPRODUCT(--(Projects!$F$8:$F$28="R. Osei"),--(Projects!$C$8:$C$28&lt;&gt;""),--((LEFT(Projects!$S$8:$S$28,9)="ATTENTION")+(LEFT(Projects!$S$8:$S$28,5)="STALE")&gt;0))&amp;" in trouble - over-committed",IF(COUNTIFS(Projects!$F$8:$F$28,"R. Osei",Projects!$C$8:$C$28,"?*")&gt;$F$33,COUNTIFS(Projects!$F$8:$F$28,"R. Osei",Projects!$C$8:$C$28,"?*")&amp;" active - above the load limit",IF(SUMPRODUCT(--(Projects!$F$8:$F$28="R. Osei"),--(Projects!$C$8:$C$28&lt;&gt;""),--((LEFT(Projects!$S$8:$S$28,9)="ATTENTION")+(LEFT(Projects!$S$8:$S$28,5)="STALE")&gt;0))=1,"1 needs attention","Inside the load"))))</f>
        <v>1 needs attention</v>
      </c>
    </row>
    <row r="37" customFormat="false" ht="18" hidden="false" customHeight="true" outlineLevel="0" collapsed="false">
      <c r="B37" s="29" t="s">
        <v>33</v>
      </c>
      <c r="C37" s="29"/>
      <c r="D37" s="16" t="n">
        <f aca="false">COUNTIFS(Projects!$F$8:$F$28,"D. Kaplan",Projects!$C$8:$C$28,"?*")</f>
        <v>3</v>
      </c>
      <c r="E37" s="28" t="n">
        <f aca="false">SUMIF(Projects!$F$8:$F$28,"D. Kaplan",Projects!$G$8:$G$28)</f>
        <v>26750000</v>
      </c>
      <c r="F37" s="28" t="n">
        <f aca="false">SUMIF(Projects!$F$8:$F$28,"D. Kaplan",Projects!$H$8:$H$28)</f>
        <v>26748000</v>
      </c>
      <c r="G37" s="11" t="n">
        <f aca="false">SUMIF(Projects!$F$8:$F$28,"D. Kaplan",Projects!$H$8:$H$28)-SUMIF(Projects!$F$8:$F$28,"D. Kaplan",Projects!$G$8:$G$28)</f>
        <v>-2000</v>
      </c>
      <c r="H37" s="16" t="n">
        <f aca="false">SUMPRODUCT(--(Projects!$F$8:$F$28="D. Kaplan"),--(Projects!$C$8:$C$28&lt;&gt;""),--((LEFT(Projects!$S$8:$S$28,9)="ATTENTION")+(LEFT(Projects!$S$8:$S$28,5)="STALE")&gt;0))</f>
        <v>0</v>
      </c>
      <c r="I37" s="17" t="str">
        <f aca="false">IF(COUNTIFS(Projects!$F$8:$F$28,"D. Kaplan",Projects!$C$8:$C$28,"?*")=0,"No projects",IF(SUMPRODUCT(--(Projects!$F$8:$F$28="D. Kaplan"),--(Projects!$C$8:$C$28&lt;&gt;""),--((LEFT(Projects!$S$8:$S$28,9)="ATTENTION")+(LEFT(Projects!$S$8:$S$28,5)="STALE")&gt;0))&gt;=2,SUMPRODUCT(--(Projects!$F$8:$F$28="D. Kaplan"),--(Projects!$C$8:$C$28&lt;&gt;""),--((LEFT(Projects!$S$8:$S$28,9)="ATTENTION")+(LEFT(Projects!$S$8:$S$28,5)="STALE")&gt;0))&amp;" in trouble - over-committed",IF(COUNTIFS(Projects!$F$8:$F$28,"D. Kaplan",Projects!$C$8:$C$28,"?*")&gt;$F$33,COUNTIFS(Projects!$F$8:$F$28,"D. Kaplan",Projects!$C$8:$C$28,"?*")&amp;" active - above the load limit",IF(SUMPRODUCT(--(Projects!$F$8:$F$28="D. Kaplan"),--(Projects!$C$8:$C$28&lt;&gt;""),--((LEFT(Projects!$S$8:$S$28,9)="ATTENTION")+(LEFT(Projects!$S$8:$S$28,5)="STALE")&gt;0))=1,"1 needs attention","Inside the load"))))</f>
        <v>Inside the load</v>
      </c>
    </row>
    <row r="38" customFormat="false" ht="18" hidden="false" customHeight="true" outlineLevel="0" collapsed="false">
      <c r="B38" s="29" t="s">
        <v>37</v>
      </c>
      <c r="C38" s="29"/>
      <c r="D38" s="16" t="n">
        <f aca="false">COUNTIFS(Projects!$F$8:$F$28,"M. Trejo",Projects!$C$8:$C$28,"?*")</f>
        <v>4</v>
      </c>
      <c r="E38" s="28" t="n">
        <f aca="false">SUMIF(Projects!$F$8:$F$28,"M. Trejo",Projects!$G$8:$G$28)</f>
        <v>31450000</v>
      </c>
      <c r="F38" s="28" t="n">
        <f aca="false">SUMIF(Projects!$F$8:$F$28,"M. Trejo",Projects!$H$8:$H$28)</f>
        <v>33489000</v>
      </c>
      <c r="G38" s="11" t="n">
        <f aca="false">SUMIF(Projects!$F$8:$F$28,"M. Trejo",Projects!$H$8:$H$28)-SUMIF(Projects!$F$8:$F$28,"M. Trejo",Projects!$G$8:$G$28)</f>
        <v>2039000</v>
      </c>
      <c r="H38" s="16" t="n">
        <f aca="false">SUMPRODUCT(--(Projects!$F$8:$F$28="M. Trejo"),--(Projects!$C$8:$C$28&lt;&gt;""),--((LEFT(Projects!$S$8:$S$28,9)="ATTENTION")+(LEFT(Projects!$S$8:$S$28,5)="STALE")&gt;0))</f>
        <v>2</v>
      </c>
      <c r="I38" s="17" t="str">
        <f aca="false">IF(COUNTIFS(Projects!$F$8:$F$28,"M. Trejo",Projects!$C$8:$C$28,"?*")=0,"No projects",IF(SUMPRODUCT(--(Projects!$F$8:$F$28="M. Trejo"),--(Projects!$C$8:$C$28&lt;&gt;""),--((LEFT(Projects!$S$8:$S$28,9)="ATTENTION")+(LEFT(Projects!$S$8:$S$28,5)="STALE")&gt;0))&gt;=2,SUMPRODUCT(--(Projects!$F$8:$F$28="M. Trejo"),--(Projects!$C$8:$C$28&lt;&gt;""),--((LEFT(Projects!$S$8:$S$28,9)="ATTENTION")+(LEFT(Projects!$S$8:$S$28,5)="STALE")&gt;0))&amp;" in trouble - over-committed",IF(COUNTIFS(Projects!$F$8:$F$28,"M. Trejo",Projects!$C$8:$C$28,"?*")&gt;$F$33,COUNTIFS(Projects!$F$8:$F$28,"M. Trejo",Projects!$C$8:$C$28,"?*")&amp;" active - above the load limit",IF(SUMPRODUCT(--(Projects!$F$8:$F$28="M. Trejo"),--(Projects!$C$8:$C$28&lt;&gt;""),--((LEFT(Projects!$S$8:$S$28,9)="ATTENTION")+(LEFT(Projects!$S$8:$S$28,5)="STALE")&gt;0))=1,"1 needs attention","Inside the load"))))</f>
        <v>2 in trouble - over-committed</v>
      </c>
    </row>
    <row r="39" customFormat="false" ht="18" hidden="false" customHeight="true" outlineLevel="0" collapsed="false">
      <c r="B39" s="29" t="s">
        <v>44</v>
      </c>
      <c r="C39" s="29"/>
      <c r="D39" s="16" t="n">
        <f aca="false">COUNTIFS(Projects!$F$8:$F$28,"S. Lindqvist",Projects!$C$8:$C$28,"?*")</f>
        <v>2</v>
      </c>
      <c r="E39" s="28" t="n">
        <f aca="false">SUMIF(Projects!$F$8:$F$28,"S. Lindqvist",Projects!$G$8:$G$28)</f>
        <v>32800000</v>
      </c>
      <c r="F39" s="28" t="n">
        <f aca="false">SUMIF(Projects!$F$8:$F$28,"S. Lindqvist",Projects!$H$8:$H$28)</f>
        <v>32735000</v>
      </c>
      <c r="G39" s="11" t="n">
        <f aca="false">SUMIF(Projects!$F$8:$F$28,"S. Lindqvist",Projects!$H$8:$H$28)-SUMIF(Projects!$F$8:$F$28,"S. Lindqvist",Projects!$G$8:$G$28)</f>
        <v>-65000</v>
      </c>
      <c r="H39" s="16" t="n">
        <f aca="false">SUMPRODUCT(--(Projects!$F$8:$F$28="S. Lindqvist"),--(Projects!$C$8:$C$28&lt;&gt;""),--((LEFT(Projects!$S$8:$S$28,9)="ATTENTION")+(LEFT(Projects!$S$8:$S$28,5)="STALE")&gt;0))</f>
        <v>0</v>
      </c>
      <c r="I39" s="17" t="str">
        <f aca="false">IF(COUNTIFS(Projects!$F$8:$F$28,"S. Lindqvist",Projects!$C$8:$C$28,"?*")=0,"No projects",IF(SUMPRODUCT(--(Projects!$F$8:$F$28="S. Lindqvist"),--(Projects!$C$8:$C$28&lt;&gt;""),--((LEFT(Projects!$S$8:$S$28,9)="ATTENTION")+(LEFT(Projects!$S$8:$S$28,5)="STALE")&gt;0))&gt;=2,SUMPRODUCT(--(Projects!$F$8:$F$28="S. Lindqvist"),--(Projects!$C$8:$C$28&lt;&gt;""),--((LEFT(Projects!$S$8:$S$28,9)="ATTENTION")+(LEFT(Projects!$S$8:$S$28,5)="STALE")&gt;0))&amp;" in trouble - over-committed",IF(COUNTIFS(Projects!$F$8:$F$28,"S. Lindqvist",Projects!$C$8:$C$28,"?*")&gt;$F$33,COUNTIFS(Projects!$F$8:$F$28,"S. Lindqvist",Projects!$C$8:$C$28,"?*")&amp;" active - above the load limit",IF(SUMPRODUCT(--(Projects!$F$8:$F$28="S. Lindqvist"),--(Projects!$C$8:$C$28&lt;&gt;""),--((LEFT(Projects!$S$8:$S$28,9)="ATTENTION")+(LEFT(Projects!$S$8:$S$28,5)="STALE")&gt;0))=1,"1 needs attention","Inside the load"))))</f>
        <v>Inside the load</v>
      </c>
    </row>
    <row r="40" customFormat="false" ht="28.5" hidden="false" customHeight="true" outlineLevel="0" collapsed="false">
      <c r="B40" s="19" t="s">
        <v>87</v>
      </c>
      <c r="C40" s="19"/>
      <c r="D40" s="19"/>
      <c r="E40" s="19"/>
      <c r="F40" s="19"/>
      <c r="G40" s="19"/>
      <c r="H40" s="19"/>
      <c r="I40" s="19"/>
    </row>
    <row r="42" customFormat="false" ht="18" hidden="false" customHeight="true" outlineLevel="0" collapsed="false">
      <c r="B42" s="20" t="s">
        <v>68</v>
      </c>
      <c r="C42" s="20"/>
      <c r="D42" s="20"/>
      <c r="E42" s="20"/>
      <c r="F42" s="20"/>
      <c r="G42" s="20"/>
      <c r="H42" s="20"/>
      <c r="I42" s="20"/>
    </row>
  </sheetData>
  <mergeCells count="37">
    <mergeCell ref="B1:I1"/>
    <mergeCell ref="B2:I2"/>
    <mergeCell ref="B3:I3"/>
    <mergeCell ref="B4:I4"/>
    <mergeCell ref="B6:I6"/>
    <mergeCell ref="B8:C8"/>
    <mergeCell ref="D8:E8"/>
    <mergeCell ref="F8:G8"/>
    <mergeCell ref="H8:I8"/>
    <mergeCell ref="B9:C9"/>
    <mergeCell ref="D9:E9"/>
    <mergeCell ref="F9:G9"/>
    <mergeCell ref="H9:I9"/>
    <mergeCell ref="B10:C10"/>
    <mergeCell ref="D10:E10"/>
    <mergeCell ref="F10:G10"/>
    <mergeCell ref="H10:I10"/>
    <mergeCell ref="B12:I12"/>
    <mergeCell ref="B22:I22"/>
    <mergeCell ref="B24:I24"/>
    <mergeCell ref="B25:C25"/>
    <mergeCell ref="B26:C26"/>
    <mergeCell ref="B27:C27"/>
    <mergeCell ref="B28:C28"/>
    <mergeCell ref="B29:C29"/>
    <mergeCell ref="B30:C30"/>
    <mergeCell ref="B32:I32"/>
    <mergeCell ref="B33:E33"/>
    <mergeCell ref="G33:I33"/>
    <mergeCell ref="B34:C34"/>
    <mergeCell ref="B35:C35"/>
    <mergeCell ref="B36:C36"/>
    <mergeCell ref="B37:C37"/>
    <mergeCell ref="B38:C38"/>
    <mergeCell ref="B39:C39"/>
    <mergeCell ref="B40:I40"/>
    <mergeCell ref="B42:I42"/>
  </mergeCells>
  <conditionalFormatting sqref="B3:I3">
    <cfRule type="expression" priority="2" aboveAverage="0" equalAverage="0" bottom="0" percent="0" rank="0" text="" dxfId="0">
      <formula>LEN($B$3)&gt;0</formula>
    </cfRule>
  </conditionalFormatting>
  <conditionalFormatting sqref="B6:I6">
    <cfRule type="expression" priority="3" aboveAverage="0" equalAverage="0" bottom="0" percent="0" rank="0" text="" dxfId="1">
      <formula>LEFT($B$6,1)="▲"</formula>
    </cfRule>
    <cfRule type="expression" priority="4" aboveAverage="0" equalAverage="0" bottom="0" percent="0" rank="0" text="" dxfId="0">
      <formula>LEFT($B$6,1)="●"</formula>
    </cfRule>
    <cfRule type="expression" priority="5" aboveAverage="0" equalAverage="0" bottom="0" percent="0" rank="0" text="" dxfId="2">
      <formula>LEFT($B$6,1)="✓"</formula>
    </cfRule>
  </conditionalFormatting>
  <conditionalFormatting sqref="B8:C10">
    <cfRule type="expression" priority="6" aboveAverage="0" equalAverage="0" bottom="0" percent="0" rank="0" text="" dxfId="1">
      <formula>SUMIF(Projects!$C$8:$C$28,"?*",Projects!$H$8:$H$28)&gt;SUMIF(Projects!$C$8:$C$28,"?*",Projects!$G$8:$G$28)</formula>
    </cfRule>
    <cfRule type="expression" priority="7" aboveAverage="0" equalAverage="0" bottom="0" percent="0" rank="0" text="" dxfId="2">
      <formula>SUMIF(Projects!$C$8:$C$28,"?*",Projects!$H$8:$H$28)&lt;=SUMIF(Projects!$C$8:$C$28,"?*",Projects!$G$8:$G$28)</formula>
    </cfRule>
  </conditionalFormatting>
  <conditionalFormatting sqref="D8:E10">
    <cfRule type="expression" priority="8" aboveAverage="0" equalAverage="0" bottom="0" percent="0" rank="0" text="" dxfId="1">
      <formula>A1&gt;0</formula>
    </cfRule>
    <cfRule type="expression" priority="9" aboveAverage="0" equalAverage="0" bottom="0" percent="0" rank="0" text="" dxfId="2">
      <formula>A1=0</formula>
    </cfRule>
  </conditionalFormatting>
  <conditionalFormatting sqref="F8:G10">
    <cfRule type="expression" priority="10" aboveAverage="0" equalAverage="0" bottom="0" percent="0" rank="0" text="" dxfId="1">
      <formula>A1&gt;0</formula>
    </cfRule>
    <cfRule type="expression" priority="11" aboveAverage="0" equalAverage="0" bottom="0" percent="0" rank="0" text="" dxfId="2">
      <formula>A1=0</formula>
    </cfRule>
  </conditionalFormatting>
  <conditionalFormatting sqref="H8:I10">
    <cfRule type="expression" priority="12" aboveAverage="0" equalAverage="0" bottom="0" percent="0" rank="0" text="" dxfId="1">
      <formula>A1&gt;0</formula>
    </cfRule>
    <cfRule type="expression" priority="13" aboveAverage="0" equalAverage="0" bottom="0" percent="0" rank="0" text="" dxfId="2">
      <formula>A1=0</formula>
    </cfRule>
  </conditionalFormatting>
  <conditionalFormatting sqref="B14:I21">
    <cfRule type="expression" priority="14" aboveAverage="0" equalAverage="0" bottom="0" percent="0" rank="0" text="" dxfId="1">
      <formula>LEFT($I14,9)="ATTENTION"</formula>
    </cfRule>
    <cfRule type="expression" priority="15" aboveAverage="0" equalAverage="0" bottom="0" percent="0" rank="0" text="" dxfId="0">
      <formula>LEFT($I14,5)="STALE"</formula>
    </cfRule>
    <cfRule type="expression" priority="16" aboveAverage="0" equalAverage="0" bottom="0" percent="0" rank="0" text="" dxfId="0">
      <formula>LEFT($I14,5)="WATCH"</formula>
    </cfRule>
    <cfRule type="expression" priority="17" aboveAverage="0" equalAverage="0" bottom="0" percent="0" rank="0" text="" dxfId="2">
      <formula>LEFT($I14,8)="ON TRACK"</formula>
    </cfRule>
  </conditionalFormatting>
  <conditionalFormatting sqref="B26:I30">
    <cfRule type="expression" priority="18" aboveAverage="0" equalAverage="0" bottom="0" percent="0" rank="0" text="" dxfId="2">
      <formula>LEFT($I26,9)="All clear"</formula>
    </cfRule>
    <cfRule type="expression" priority="19" aboveAverage="0" equalAverage="0" bottom="0" percent="0" rank="0" text="" dxfId="0">
      <formula>AND($H26&gt;0,$H26&lt;$D26)</formula>
    </cfRule>
    <cfRule type="expression" priority="20" aboveAverage="0" equalAverage="0" bottom="0" percent="0" rank="0" text="" dxfId="1">
      <formula>AND($D26&gt;0,$H26=$D26)</formula>
    </cfRule>
  </conditionalFormatting>
  <conditionalFormatting sqref="B35:I39">
    <cfRule type="expression" priority="21" aboveAverage="0" equalAverage="0" bottom="0" percent="0" rank="0" text="" dxfId="1">
      <formula>ISNUMBER(SEARCH("over-committed",$I35))</formula>
    </cfRule>
    <cfRule type="expression" priority="22" aboveAverage="0" equalAverage="0" bottom="0" percent="0" rank="0" text="" dxfId="0">
      <formula>ISNUMBER(SEARCH("above the",$I35))</formula>
    </cfRule>
    <cfRule type="expression" priority="23" aboveAverage="0" equalAverage="0" bottom="0" percent="0" rank="0" text="" dxfId="2">
      <formula>EXACT($I35,"Inside the load")</formula>
    </cfRule>
  </conditionalFormatting>
  <hyperlinks>
    <hyperlink ref="B42" r:id="rId1" display="Visit mastt.com"/>
  </hyperlinks>
  <printOptions headings="false" gridLines="false" gridLinesSet="true" horizontalCentered="false" verticalCentered="false"/>
  <pageMargins left="0.3" right="0.3" top="0.4" bottom="0.4" header="0.511811023622047" footer="0.15"/>
  <pageSetup paperSize="9" scale="100" fitToWidth="1" fitToHeight="1" pageOrder="downThenOver" orientation="landscape" blackAndWhite="false" draft="false" cellComments="none" horizontalDpi="300" verticalDpi="300" copies="1"/>
  <headerFooter differentFirst="false" differentOddEven="false">
    <oddHeader/>
    <oddFooter>&amp;R&amp;9 &amp;K3480bcVisit mastt.com</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G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4"/>
    <col collapsed="false" customWidth="true" hidden="false" outlineLevel="0" max="3" min="3" style="0" width="12"/>
    <col collapsed="false" customWidth="true" hidden="false" outlineLevel="0" max="4" min="4" style="0" width="48"/>
    <col collapsed="false" customWidth="true" hidden="false" outlineLevel="0" max="7" min="5" style="0" width="20"/>
  </cols>
  <sheetData>
    <row r="1" customFormat="false" ht="33.75" hidden="false" customHeight="true" outlineLevel="0" collapsed="false">
      <c r="B1" s="1" t="s">
        <v>0</v>
      </c>
      <c r="C1" s="1"/>
      <c r="D1" s="1"/>
      <c r="E1" s="1"/>
      <c r="F1" s="1"/>
      <c r="G1" s="1"/>
    </row>
    <row r="2" customFormat="false" ht="4.5" hidden="false" customHeight="true" outlineLevel="0" collapsed="false">
      <c r="B2" s="2"/>
      <c r="C2" s="2"/>
      <c r="D2" s="2"/>
      <c r="E2" s="2"/>
      <c r="F2" s="2"/>
      <c r="G2" s="2"/>
    </row>
    <row r="3" customFormat="false" ht="16.5" hidden="false" customHeight="true" outlineLevel="0" collapsed="false">
      <c r="B3" s="3" t="str">
        <f aca="false">""</f>
        <v/>
      </c>
      <c r="C3" s="3"/>
      <c r="D3" s="3"/>
      <c r="E3" s="3"/>
      <c r="F3" s="3"/>
      <c r="G3" s="3"/>
    </row>
    <row r="4" customFormat="false" ht="25.5" hidden="false" customHeight="true" outlineLevel="0" collapsed="false">
      <c r="B4" s="4" t="s">
        <v>88</v>
      </c>
      <c r="C4" s="4"/>
      <c r="D4" s="4"/>
      <c r="E4" s="4"/>
      <c r="F4" s="4"/>
      <c r="G4" s="4"/>
    </row>
    <row r="6" customFormat="false" ht="21.75" hidden="false" customHeight="true" outlineLevel="0" collapsed="false">
      <c r="B6" s="5" t="s">
        <v>89</v>
      </c>
      <c r="C6" s="5"/>
      <c r="D6" s="5"/>
      <c r="E6" s="5"/>
      <c r="F6" s="5"/>
      <c r="G6" s="5"/>
    </row>
    <row r="7" customFormat="false" ht="15" hidden="false" customHeight="false" outlineLevel="0" collapsed="false">
      <c r="B7" s="30" t="s">
        <v>90</v>
      </c>
      <c r="C7" s="31" t="s">
        <v>91</v>
      </c>
      <c r="D7" s="32" t="s">
        <v>92</v>
      </c>
      <c r="E7" s="32"/>
      <c r="F7" s="32"/>
      <c r="G7" s="32"/>
    </row>
    <row r="8" customFormat="false" ht="30" hidden="false" customHeight="true" outlineLevel="0" collapsed="false">
      <c r="B8" s="33" t="s">
        <v>93</v>
      </c>
      <c r="C8" s="7" t="n">
        <v>2</v>
      </c>
      <c r="D8" s="34" t="s">
        <v>94</v>
      </c>
      <c r="E8" s="34"/>
      <c r="F8" s="34"/>
      <c r="G8" s="34"/>
    </row>
    <row r="9" customFormat="false" ht="30" hidden="false" customHeight="true" outlineLevel="0" collapsed="false">
      <c r="B9" s="33" t="s">
        <v>95</v>
      </c>
      <c r="C9" s="7" t="n">
        <v>30</v>
      </c>
      <c r="D9" s="34" t="s">
        <v>96</v>
      </c>
      <c r="E9" s="34"/>
      <c r="F9" s="34"/>
      <c r="G9" s="34"/>
    </row>
    <row r="10" customFormat="false" ht="30" hidden="false" customHeight="true" outlineLevel="0" collapsed="false">
      <c r="B10" s="33" t="s">
        <v>97</v>
      </c>
      <c r="C10" s="7" t="n">
        <v>15</v>
      </c>
      <c r="D10" s="34" t="s">
        <v>98</v>
      </c>
      <c r="E10" s="34"/>
      <c r="F10" s="34"/>
      <c r="G10" s="34"/>
    </row>
    <row r="11" customFormat="false" ht="30" hidden="false" customHeight="true" outlineLevel="0" collapsed="false">
      <c r="B11" s="33" t="s">
        <v>99</v>
      </c>
      <c r="C11" s="7" t="n">
        <v>21</v>
      </c>
      <c r="D11" s="34" t="s">
        <v>100</v>
      </c>
      <c r="E11" s="34"/>
      <c r="F11" s="34"/>
      <c r="G11" s="34"/>
    </row>
    <row r="12" customFormat="false" ht="30" hidden="false" customHeight="true" outlineLevel="0" collapsed="false">
      <c r="B12" s="33" t="s">
        <v>101</v>
      </c>
      <c r="C12" s="7" t="n">
        <v>8</v>
      </c>
      <c r="D12" s="34" t="s">
        <v>102</v>
      </c>
      <c r="E12" s="34"/>
      <c r="F12" s="34"/>
      <c r="G12" s="34"/>
    </row>
    <row r="13" customFormat="false" ht="30" hidden="false" customHeight="true" outlineLevel="0" collapsed="false">
      <c r="B13" s="33" t="s">
        <v>103</v>
      </c>
      <c r="C13" s="7" t="n">
        <v>3</v>
      </c>
      <c r="D13" s="34" t="s">
        <v>104</v>
      </c>
      <c r="E13" s="34"/>
      <c r="F13" s="34"/>
      <c r="G13" s="34"/>
    </row>
    <row r="15" customFormat="false" ht="21.75" hidden="false" customHeight="true" outlineLevel="0" collapsed="false">
      <c r="B15" s="5" t="s">
        <v>105</v>
      </c>
      <c r="C15" s="5"/>
      <c r="D15" s="5"/>
      <c r="E15" s="5"/>
      <c r="F15" s="5"/>
      <c r="G15" s="5"/>
    </row>
    <row r="16" customFormat="false" ht="15" hidden="false" customHeight="false" outlineLevel="0" collapsed="false">
      <c r="B16" s="35" t="s">
        <v>106</v>
      </c>
      <c r="C16" s="35"/>
      <c r="D16" s="35"/>
      <c r="E16" s="35"/>
      <c r="F16" s="35"/>
      <c r="G16" s="35"/>
    </row>
    <row r="17" customFormat="false" ht="15" hidden="false" customHeight="false" outlineLevel="0" collapsed="false">
      <c r="B17" s="36" t="s">
        <v>6</v>
      </c>
      <c r="D17" s="36" t="s">
        <v>5</v>
      </c>
      <c r="F17" s="36" t="s">
        <v>85</v>
      </c>
    </row>
    <row r="18" customFormat="false" ht="15" hidden="false" customHeight="false" outlineLevel="0" collapsed="false">
      <c r="B18" s="37" t="s">
        <v>66</v>
      </c>
      <c r="D18" s="37" t="s">
        <v>22</v>
      </c>
      <c r="F18" s="37" t="s">
        <v>24</v>
      </c>
    </row>
    <row r="19" customFormat="false" ht="15" hidden="false" customHeight="false" outlineLevel="0" collapsed="false">
      <c r="B19" s="37" t="s">
        <v>32</v>
      </c>
      <c r="D19" s="37" t="s">
        <v>31</v>
      </c>
      <c r="F19" s="37" t="s">
        <v>28</v>
      </c>
    </row>
    <row r="20" customFormat="false" ht="15" hidden="false" customHeight="false" outlineLevel="0" collapsed="false">
      <c r="B20" s="37" t="s">
        <v>40</v>
      </c>
      <c r="D20" s="37" t="s">
        <v>36</v>
      </c>
      <c r="F20" s="37" t="s">
        <v>33</v>
      </c>
    </row>
    <row r="21" customFormat="false" ht="15" hidden="false" customHeight="false" outlineLevel="0" collapsed="false">
      <c r="B21" s="37" t="s">
        <v>23</v>
      </c>
      <c r="D21" s="37" t="s">
        <v>43</v>
      </c>
      <c r="F21" s="37" t="s">
        <v>37</v>
      </c>
    </row>
    <row r="22" customFormat="false" ht="15" hidden="false" customHeight="false" outlineLevel="0" collapsed="false">
      <c r="B22" s="37" t="s">
        <v>27</v>
      </c>
      <c r="D22" s="37" t="s">
        <v>47</v>
      </c>
      <c r="F22" s="37" t="s">
        <v>44</v>
      </c>
    </row>
    <row r="23" customFormat="false" ht="15" hidden="false" customHeight="false" outlineLevel="0" collapsed="false">
      <c r="B23" s="37" t="s">
        <v>50</v>
      </c>
    </row>
    <row r="24" customFormat="false" ht="15" hidden="false" customHeight="false" outlineLevel="0" collapsed="false">
      <c r="B24" s="37" t="s">
        <v>59</v>
      </c>
    </row>
    <row r="26" customFormat="false" ht="18" hidden="false" customHeight="true" outlineLevel="0" collapsed="false">
      <c r="B26" s="20" t="s">
        <v>68</v>
      </c>
      <c r="C26" s="20"/>
      <c r="D26" s="20"/>
      <c r="E26" s="20"/>
      <c r="F26" s="20"/>
      <c r="G26" s="20"/>
    </row>
  </sheetData>
  <mergeCells count="15">
    <mergeCell ref="B1:G1"/>
    <mergeCell ref="B2:G2"/>
    <mergeCell ref="B3:G3"/>
    <mergeCell ref="B4:G4"/>
    <mergeCell ref="B6:G6"/>
    <mergeCell ref="D7:G7"/>
    <mergeCell ref="D8:G8"/>
    <mergeCell ref="D9:G9"/>
    <mergeCell ref="D10:G10"/>
    <mergeCell ref="D11:G11"/>
    <mergeCell ref="D12:G12"/>
    <mergeCell ref="D13:G13"/>
    <mergeCell ref="B15:G15"/>
    <mergeCell ref="B16:G16"/>
    <mergeCell ref="B26:G26"/>
  </mergeCells>
  <conditionalFormatting sqref="B3:G3">
    <cfRule type="expression" priority="2" aboveAverage="0" equalAverage="0" bottom="0" percent="0" rank="0" text="" dxfId="0">
      <formula>LEN($B$3)&gt;0</formula>
    </cfRule>
  </conditionalFormatting>
  <hyperlinks>
    <hyperlink ref="B26" r:id="rId1" display="Visit mastt.com"/>
  </hyperlinks>
  <printOptions headings="false" gridLines="false" gridLinesSet="true" horizontalCentered="false" verticalCentered="false"/>
  <pageMargins left="0.3" right="0.3" top="0.4" bottom="0.4" header="0.511811023622047" footer="0.15"/>
  <pageSetup paperSize="9" scale="100" fitToWidth="1" fitToHeight="0" pageOrder="downThenOver" orientation="landscape" blackAndWhite="false" draft="false" cellComments="none" horizontalDpi="300" verticalDpi="300" copies="1"/>
  <headerFooter differentFirst="false" differentOddEven="false">
    <oddHeader/>
    <oddFooter>&amp;R&amp;9 &amp;K3480bcVisit mastt.com</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C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74"/>
  </cols>
  <sheetData>
    <row r="1" customFormat="false" ht="33.75" hidden="false" customHeight="true" outlineLevel="0" collapsed="false">
      <c r="B1" s="1" t="s">
        <v>0</v>
      </c>
      <c r="C1" s="1"/>
    </row>
    <row r="2" customFormat="false" ht="4.5" hidden="false" customHeight="true" outlineLevel="0" collapsed="false">
      <c r="B2" s="2"/>
      <c r="C2" s="2"/>
    </row>
    <row r="3" customFormat="false" ht="16.5" hidden="false" customHeight="true" outlineLevel="0" collapsed="false">
      <c r="B3" s="3" t="str">
        <f aca="false">""</f>
        <v/>
      </c>
      <c r="C3" s="3"/>
    </row>
    <row r="4" customFormat="false" ht="25.5" hidden="false" customHeight="true" outlineLevel="0" collapsed="false">
      <c r="B4" s="4" t="s">
        <v>107</v>
      </c>
      <c r="C4" s="4"/>
    </row>
    <row r="6" customFormat="false" ht="21.75" hidden="false" customHeight="true" outlineLevel="0" collapsed="false">
      <c r="B6" s="5" t="s">
        <v>108</v>
      </c>
      <c r="C6" s="5"/>
    </row>
    <row r="7" customFormat="false" ht="30" hidden="false" customHeight="true" outlineLevel="0" collapsed="false">
      <c r="B7" s="38" t="s">
        <v>109</v>
      </c>
      <c r="C7" s="39" t="s">
        <v>110</v>
      </c>
    </row>
    <row r="8" customFormat="false" ht="40.5" hidden="false" customHeight="true" outlineLevel="0" collapsed="false">
      <c r="B8" s="38" t="s">
        <v>111</v>
      </c>
      <c r="C8" s="39" t="s">
        <v>112</v>
      </c>
    </row>
    <row r="9" customFormat="false" ht="30" hidden="false" customHeight="true" outlineLevel="0" collapsed="false">
      <c r="B9" s="38" t="s">
        <v>113</v>
      </c>
      <c r="C9" s="39" t="s">
        <v>114</v>
      </c>
    </row>
    <row r="10" customFormat="false" ht="40.5" hidden="false" customHeight="true" outlineLevel="0" collapsed="false">
      <c r="B10" s="38" t="s">
        <v>115</v>
      </c>
      <c r="C10" s="39" t="s">
        <v>116</v>
      </c>
    </row>
    <row r="12" customFormat="false" ht="21.75" hidden="false" customHeight="true" outlineLevel="0" collapsed="false">
      <c r="B12" s="5" t="s">
        <v>117</v>
      </c>
      <c r="C12" s="5"/>
    </row>
    <row r="13" customFormat="false" ht="52.5" hidden="false" customHeight="true" outlineLevel="0" collapsed="false">
      <c r="B13" s="38" t="s">
        <v>118</v>
      </c>
      <c r="C13" s="39" t="s">
        <v>119</v>
      </c>
    </row>
    <row r="14" customFormat="false" ht="52.5" hidden="false" customHeight="true" outlineLevel="0" collapsed="false">
      <c r="B14" s="38" t="s">
        <v>120</v>
      </c>
      <c r="C14" s="39" t="s">
        <v>121</v>
      </c>
    </row>
    <row r="15" customFormat="false" ht="52.5" hidden="false" customHeight="true" outlineLevel="0" collapsed="false">
      <c r="B15" s="38" t="s">
        <v>122</v>
      </c>
      <c r="C15" s="39" t="s">
        <v>123</v>
      </c>
    </row>
    <row r="16" customFormat="false" ht="52.5" hidden="false" customHeight="true" outlineLevel="0" collapsed="false">
      <c r="B16" s="38" t="s">
        <v>124</v>
      </c>
      <c r="C16" s="39" t="s">
        <v>125</v>
      </c>
    </row>
    <row r="18" customFormat="false" ht="21.75" hidden="false" customHeight="true" outlineLevel="0" collapsed="false">
      <c r="B18" s="5" t="s">
        <v>126</v>
      </c>
      <c r="C18" s="5"/>
    </row>
    <row r="19" customFormat="false" ht="40.5" hidden="false" customHeight="true" outlineLevel="0" collapsed="false">
      <c r="B19" s="38" t="s">
        <v>127</v>
      </c>
      <c r="C19" s="39" t="s">
        <v>128</v>
      </c>
    </row>
    <row r="20" customFormat="false" ht="30" hidden="false" customHeight="true" outlineLevel="0" collapsed="false">
      <c r="B20" s="38" t="s">
        <v>129</v>
      </c>
      <c r="C20" s="39" t="s">
        <v>130</v>
      </c>
    </row>
    <row r="21" customFormat="false" ht="40.5" hidden="false" customHeight="true" outlineLevel="0" collapsed="false">
      <c r="B21" s="38" t="s">
        <v>131</v>
      </c>
      <c r="C21" s="39" t="s">
        <v>132</v>
      </c>
    </row>
    <row r="23" customFormat="false" ht="21.75" hidden="false" customHeight="true" outlineLevel="0" collapsed="false">
      <c r="B23" s="5" t="s">
        <v>133</v>
      </c>
      <c r="C23" s="5"/>
    </row>
    <row r="24" customFormat="false" ht="78" hidden="false" customHeight="true" outlineLevel="0" collapsed="false">
      <c r="B24" s="40" t="s">
        <v>134</v>
      </c>
      <c r="C24" s="40"/>
    </row>
    <row r="26" customFormat="false" ht="18" hidden="false" customHeight="true" outlineLevel="0" collapsed="false">
      <c r="B26" s="20" t="s">
        <v>68</v>
      </c>
      <c r="C26" s="20"/>
    </row>
  </sheetData>
  <mergeCells count="10">
    <mergeCell ref="B1:C1"/>
    <mergeCell ref="B2:C2"/>
    <mergeCell ref="B3:C3"/>
    <mergeCell ref="B4:C4"/>
    <mergeCell ref="B6:C6"/>
    <mergeCell ref="B12:C12"/>
    <mergeCell ref="B18:C18"/>
    <mergeCell ref="B23:C23"/>
    <mergeCell ref="B24:C24"/>
    <mergeCell ref="B26:C26"/>
  </mergeCells>
  <conditionalFormatting sqref="B3:C3">
    <cfRule type="expression" priority="2" aboveAverage="0" equalAverage="0" bottom="0" percent="0" rank="0" text="" dxfId="0">
      <formula>LEN($B$3)&gt;0</formula>
    </cfRule>
  </conditionalFormatting>
  <hyperlinks>
    <hyperlink ref="B26" r:id="rId1" display="Visit mastt.com"/>
  </hyperlinks>
  <printOptions headings="false" gridLines="false" gridLinesSet="true" horizontalCentered="false" verticalCentered="false"/>
  <pageMargins left="0.3" right="0.3" top="0.4" bottom="0.4" header="0.511811023622047" footer="0.15"/>
  <pageSetup paperSize="9" scale="100" fitToWidth="1" fitToHeight="0" pageOrder="downThenOver" orientation="portrait" blackAndWhite="false" draft="false" cellComments="none" horizontalDpi="300" verticalDpi="300" copies="1"/>
  <headerFooter differentFirst="false" differentOddEven="false">
    <oddHeader/>
    <oddFooter>&amp;R&amp;9 &amp;K3480bcVisit mastt.com</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2026-08-26T12:10:41Z</dcterms:created>
  <dc:creator>openpyxl</dc:creator>
  <dc:description/>
  <dc:language>en-US</dc:language>
  <cp:lastModifiedBy/>
  <dcterms:modified xsi:type="dcterms:W3CDTF">2026-08-26T12:10:42Z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