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7.xml.rels" ContentType="application/vnd.openxmlformats-package.relationships+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gister" sheetId="1" state="visible" r:id="rId3"/>
    <sheet name="Engagement" sheetId="2" state="visible" r:id="rId4"/>
    <sheet name="Consents" sheetId="3" state="visible" r:id="rId5"/>
    <sheet name="Dashboard" sheetId="4" state="visible" r:id="rId6"/>
    <sheet name="Log" sheetId="5" state="visible" r:id="rId7"/>
    <sheet name="Reference" sheetId="6" state="visible" r:id="rId8"/>
    <sheet name="Notes &amp; Assumptions" sheetId="7" state="visible" r:id="rId9"/>
  </sheets>
  <definedNames>
    <definedName function="false" hidden="false" localSheetId="2" name="_xlnm.Print_Area" vbProcedure="false">Consents!$A$1:$K$27</definedName>
    <definedName function="false" hidden="false" localSheetId="2" name="_xlnm.Print_Titles" vbProcedure="false">Consents!$1:$2</definedName>
    <definedName function="false" hidden="false" localSheetId="3" name="_xlnm.Print_Area" vbProcedure="false">Dashboard!$A$1:$M$32</definedName>
    <definedName function="false" hidden="false" localSheetId="3" name="_xlnm.Print_Titles" vbProcedure="false">Dashboard!$1:$2</definedName>
    <definedName function="false" hidden="false" localSheetId="1" name="_xlnm.Print_Area" vbProcedure="false">Engagement!$A$1:$N$35</definedName>
    <definedName function="false" hidden="false" localSheetId="1" name="_xlnm.Print_Titles" vbProcedure="false">Engagement!$1:$2</definedName>
    <definedName function="false" hidden="false" localSheetId="4" name="_xlnm.Print_Area" vbProcedure="false">Log!$A$1:$I$28</definedName>
    <definedName function="false" hidden="false" localSheetId="4" name="_xlnm.Print_Titles" vbProcedure="false">Log!$1:$2</definedName>
    <definedName function="false" hidden="false" localSheetId="6" name="_xlnm.Print_Area" vbProcedure="false">'Notes &amp; Assumptions'!$A$1:$C$28</definedName>
    <definedName function="false" hidden="false" localSheetId="6" name="_xlnm.Print_Titles" vbProcedure="false">'Notes &amp; Assumptions'!$1:$2</definedName>
    <definedName function="false" hidden="false" localSheetId="5" name="_xlnm.Print_Area" vbProcedure="false">Reference!$A$1:$E$41</definedName>
    <definedName function="false" hidden="false" localSheetId="5" name="_xlnm.Print_Titles" vbProcedure="false">Reference!$1:$2</definedName>
    <definedName function="false" hidden="false" localSheetId="0" name="_xlnm.Print_Area" vbProcedure="false">Register!$A$1:$Q$37</definedName>
    <definedName function="false" hidden="false" localSheetId="0" name="_xlnm.Print_Titles" vbProcedure="false">Register!$1:$7</definedName>
  </definedNames>
  <calcPr fullCalcOnLoad="1"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<sst xmlns="http://schemas.openxmlformats.org/spreadsheetml/2006/main" count="653" uniqueCount="386">
  <si>
    <t xml:space="preserve">STAKEHOLDER REGISTER</t>
  </si>
  <si>
    <t xml:space="preserve">One row per stakeholder, and the row every other sheet reads. Type over the white cells; Priority and Check are computed. Nineteen worked entries, and they are deliberately not all healthy.</t>
  </si>
  <si>
    <t xml:space="preserve">WYNFORD CROSSING TRANSIT CENTER AND PARKING STRUCTURE  ·  STAKEHOLDER REGISTER</t>
  </si>
  <si>
    <t xml:space="preserve">ID</t>
  </si>
  <si>
    <t xml:space="preserve">Stakeholder</t>
  </si>
  <si>
    <t xml:space="preserve">Organization</t>
  </si>
  <si>
    <t xml:space="preserve">Role</t>
  </si>
  <si>
    <t xml:space="preserve">Type</t>
  </si>
  <si>
    <t xml:space="preserve">Category</t>
  </si>
  <si>
    <t xml:space="preserve">Email</t>
  </si>
  <si>
    <t xml:space="preserve">Phone</t>
  </si>
  <si>
    <t xml:space="preserve">Influence
1-5</t>
  </si>
  <si>
    <t xml:space="preserve">Interest
1-5</t>
  </si>
  <si>
    <t xml:space="preserve">Priority</t>
  </si>
  <si>
    <t xml:space="preserve">What they need from the project</t>
  </si>
  <si>
    <t xml:space="preserve">Main concern</t>
  </si>
  <si>
    <t xml:space="preserve">Owner</t>
  </si>
  <si>
    <t xml:space="preserve">Status</t>
  </si>
  <si>
    <t xml:space="preserve">Check</t>
  </si>
  <si>
    <t xml:space="preserve">S-01</t>
  </si>
  <si>
    <t xml:space="preserve">D. Ashworth</t>
  </si>
  <si>
    <t xml:space="preserve">Ashfield County Transit Authority</t>
  </si>
  <si>
    <t xml:space="preserve">Board Chair</t>
  </si>
  <si>
    <t xml:space="preserve">Internal</t>
  </si>
  <si>
    <t xml:space="preserve">Client and governance</t>
  </si>
  <si>
    <t xml:space="preserve">d.ashworth@example.gov</t>
  </si>
  <si>
    <t xml:space="preserve">(559) 555-0100</t>
  </si>
  <si>
    <t xml:space="preserve">A project that opens on the date announced to the public, inside the approved budget</t>
  </si>
  <si>
    <t xml:space="preserve">A public opening date was announced before the permits were secured</t>
  </si>
  <si>
    <t xml:space="preserve">Project Director</t>
  </si>
  <si>
    <t xml:space="preserve">Active</t>
  </si>
  <si>
    <t xml:space="preserve">S-02</t>
  </si>
  <si>
    <t xml:space="preserve">M. Anyabwile</t>
  </si>
  <si>
    <t xml:space="preserve">Executive Director</t>
  </si>
  <si>
    <t xml:space="preserve">m.anyabwile@example.gov</t>
  </si>
  <si>
    <t xml:space="preserve">(559) 555-0101</t>
  </si>
  <si>
    <t xml:space="preserve">Weekly cost and schedule position, and no surprises at board meetings</t>
  </si>
  <si>
    <t xml:space="preserve">Federal funding milestones are tied to construction start</t>
  </si>
  <si>
    <t xml:space="preserve">S-03</t>
  </si>
  <si>
    <t xml:space="preserve">R. Vandermeer</t>
  </si>
  <si>
    <t xml:space="preserve">Finance Director</t>
  </si>
  <si>
    <t xml:space="preserve">r.vandermeer@example.gov</t>
  </si>
  <si>
    <t xml:space="preserve">(559) 555-0102</t>
  </si>
  <si>
    <t xml:space="preserve">Drawdown forecast that matches the appropriation calendar</t>
  </si>
  <si>
    <t xml:space="preserve">Cash flow ahead of the grant reimbursement cycle</t>
  </si>
  <si>
    <t xml:space="preserve">Cost Manager</t>
  </si>
  <si>
    <t xml:space="preserve">S-04</t>
  </si>
  <si>
    <t xml:space="preserve">City of Wynford</t>
  </si>
  <si>
    <t xml:space="preserve">Planning Department</t>
  </si>
  <si>
    <t xml:space="preserve">Site plan review</t>
  </si>
  <si>
    <t xml:space="preserve">Statutory</t>
  </si>
  <si>
    <t xml:space="preserve">Statutory and regulatory</t>
  </si>
  <si>
    <t xml:space="preserve">planning@example.gov</t>
  </si>
  <si>
    <t xml:space="preserve">(559) 555-0104</t>
  </si>
  <si>
    <t xml:space="preserve">A complete site plan submission and a traffic impact study</t>
  </si>
  <si>
    <t xml:space="preserve">Parking structure height against the overlay district limit</t>
  </si>
  <si>
    <t xml:space="preserve">Approvals Lead</t>
  </si>
  <si>
    <t xml:space="preserve">S-05</t>
  </si>
  <si>
    <t xml:space="preserve">Building Department</t>
  </si>
  <si>
    <t xml:space="preserve">Building permit</t>
  </si>
  <si>
    <t xml:space="preserve">building@example.gov</t>
  </si>
  <si>
    <t xml:space="preserve">(559) 555-0105</t>
  </si>
  <si>
    <t xml:space="preserve">Stamped construction documents and structural calculations</t>
  </si>
  <si>
    <t xml:space="preserve">Phased permit for foundations ahead of the full set</t>
  </si>
  <si>
    <t xml:space="preserve">S-06</t>
  </si>
  <si>
    <t xml:space="preserve">State Department of Transportation</t>
  </si>
  <si>
    <t xml:space="preserve">District 4</t>
  </si>
  <si>
    <t xml:space="preserve">Highway access permit</t>
  </si>
  <si>
    <t xml:space="preserve">d4.permits@example.gov</t>
  </si>
  <si>
    <t xml:space="preserve">(559) 555-0106</t>
  </si>
  <si>
    <t xml:space="preserve">An access permit application with signal warrant analysis</t>
  </si>
  <si>
    <t xml:space="preserve">The bus entry conflicts with the planned interchange upgrade</t>
  </si>
  <si>
    <t xml:space="preserve">S-07</t>
  </si>
  <si>
    <t xml:space="preserve">State Environmental Agency</t>
  </si>
  <si>
    <t xml:space="preserve">Water Division</t>
  </si>
  <si>
    <t xml:space="preserve">Stormwater discharge permit</t>
  </si>
  <si>
    <t xml:space="preserve">stormwater@example.gov</t>
  </si>
  <si>
    <t xml:space="preserve">(559) 555-0107</t>
  </si>
  <si>
    <t xml:space="preserve">A stormwater pollution prevention plan and a detention design</t>
  </si>
  <si>
    <t xml:space="preserve">First submission was refused on detention volume</t>
  </si>
  <si>
    <t xml:space="preserve">Design Lead</t>
  </si>
  <si>
    <t xml:space="preserve">S-08</t>
  </si>
  <si>
    <t xml:space="preserve">Fire Marshal</t>
  </si>
  <si>
    <t xml:space="preserve">Wynford Fire District</t>
  </si>
  <si>
    <t xml:space="preserve">Life safety review</t>
  </si>
  <si>
    <t xml:space="preserve">firemarshal@example.gov</t>
  </si>
  <si>
    <t xml:space="preserve">(559) 555-0108</t>
  </si>
  <si>
    <t xml:space="preserve">Egress, standpipe and access routes reviewed before the building permit</t>
  </si>
  <si>
    <t xml:space="preserve">Aerial apparatus access to the upper parking deck</t>
  </si>
  <si>
    <t xml:space="preserve">S-09</t>
  </si>
  <si>
    <t xml:space="preserve">Federal Grant Agency</t>
  </si>
  <si>
    <t xml:space="preserve">Grants management office</t>
  </si>
  <si>
    <t xml:space="preserve">Grant compliance</t>
  </si>
  <si>
    <t xml:space="preserve">region5@example.gov</t>
  </si>
  <si>
    <t xml:space="preserve">(559) 555-0109</t>
  </si>
  <si>
    <t xml:space="preserve">Quarterly reporting, Buy America certification, and milestone evidence</t>
  </si>
  <si>
    <t xml:space="preserve">Schedule slip against the grant agreement milestones</t>
  </si>
  <si>
    <t xml:space="preserve">S-10</t>
  </si>
  <si>
    <t xml:space="preserve">Ashfield Electric</t>
  </si>
  <si>
    <t xml:space="preserve">Utility provider</t>
  </si>
  <si>
    <t xml:space="preserve">Service connection</t>
  </si>
  <si>
    <t xml:space="preserve">External</t>
  </si>
  <si>
    <t xml:space="preserve">Utilities and service providers</t>
  </si>
  <si>
    <t xml:space="preserve">connections@example.com</t>
  </si>
  <si>
    <t xml:space="preserve">(559) 555-0110</t>
  </si>
  <si>
    <t xml:space="preserve">Load calculations and a connection application eleven months ahead of energization</t>
  </si>
  <si>
    <t xml:space="preserve">Substation capacity in the Wynford feeder</t>
  </si>
  <si>
    <t xml:space="preserve">Project Manager</t>
  </si>
  <si>
    <t xml:space="preserve">S-11</t>
  </si>
  <si>
    <t xml:space="preserve">T. Brennan</t>
  </si>
  <si>
    <t xml:space="preserve">Operations Manager</t>
  </si>
  <si>
    <t xml:space="preserve">End users and operations</t>
  </si>
  <si>
    <t xml:space="preserve">t.brennan@example.gov</t>
  </si>
  <si>
    <t xml:space="preserve">(559) 555-0103</t>
  </si>
  <si>
    <t xml:space="preserve">A facility their drivers and dispatchers can actually run from day one</t>
  </si>
  <si>
    <t xml:space="preserve">Operations has not been consulted on bay layout or driver facilities</t>
  </si>
  <si>
    <t xml:space="preserve">S-12</t>
  </si>
  <si>
    <t xml:space="preserve">L. Hidalgo</t>
  </si>
  <si>
    <t xml:space="preserve">Wynford Accessibility Advisory Committee</t>
  </si>
  <si>
    <t xml:space="preserve">Chair</t>
  </si>
  <si>
    <t xml:space="preserve">Community and neighbors</t>
  </si>
  <si>
    <t xml:space="preserve">chair@example.org</t>
  </si>
  <si>
    <t xml:space="preserve">(559) 555-0112</t>
  </si>
  <si>
    <t xml:space="preserve">ADA compliance reviewed by users, not only by code</t>
  </si>
  <si>
    <t xml:space="preserve">Path of travel from the parking structure to the platforms</t>
  </si>
  <si>
    <t xml:space="preserve">Engagement Lead</t>
  </si>
  <si>
    <t xml:space="preserve">S-13</t>
  </si>
  <si>
    <t xml:space="preserve">Wynford Business Coalition</t>
  </si>
  <si>
    <t xml:space="preserve">Local business group</t>
  </si>
  <si>
    <t xml:space="preserve">director@example.org</t>
  </si>
  <si>
    <t xml:space="preserve">(559) 555-0113</t>
  </si>
  <si>
    <t xml:space="preserve">Access to storefronts maintained through construction</t>
  </si>
  <si>
    <t xml:space="preserve">Loss of on-street parking during the eighteen-month build</t>
  </si>
  <si>
    <t xml:space="preserve">S-14</t>
  </si>
  <si>
    <t xml:space="preserve">P. Okwuosa</t>
  </si>
  <si>
    <t xml:space="preserve">Wynford Neighborhood Association</t>
  </si>
  <si>
    <t xml:space="preserve">President</t>
  </si>
  <si>
    <t xml:space="preserve">president@example.org</t>
  </si>
  <si>
    <t xml:space="preserve">(559) 555-0114</t>
  </si>
  <si>
    <t xml:space="preserve">Construction hours, noise limits and haul routes agreed in writing</t>
  </si>
  <si>
    <t xml:space="preserve">Night work and the height of the parking structure against the residential edge</t>
  </si>
  <si>
    <t xml:space="preserve">S-15</t>
  </si>
  <si>
    <t xml:space="preserve">G. Adeyemi</t>
  </si>
  <si>
    <t xml:space="preserve">Wynford Retail Holdings</t>
  </si>
  <si>
    <t xml:space="preserve">Adjacent property owner</t>
  </si>
  <si>
    <t xml:space="preserve">g.adeyemi@example.com</t>
  </si>
  <si>
    <t xml:space="preserve">(559) 555-0115</t>
  </si>
  <si>
    <t xml:space="preserve">An access easement negotiated before the site is mobilized</t>
  </si>
  <si>
    <t xml:space="preserve">Construction traffic across their loading area</t>
  </si>
  <si>
    <t xml:space="preserve">S-16</t>
  </si>
  <si>
    <t xml:space="preserve">Ashfield Water and Sewer District</t>
  </si>
  <si>
    <t xml:space="preserve">Connections manager</t>
  </si>
  <si>
    <t xml:space="preserve">connections@example.org</t>
  </si>
  <si>
    <t xml:space="preserve">(559) 555-0111</t>
  </si>
  <si>
    <t xml:space="preserve">Connection application and a backflow prevention detail</t>
  </si>
  <si>
    <t xml:space="preserve">Main capacity on Wynford Avenue</t>
  </si>
  <si>
    <t xml:space="preserve">S-17</t>
  </si>
  <si>
    <t xml:space="preserve">County Emergency Management</t>
  </si>
  <si>
    <t xml:space="preserve">Ashfield County</t>
  </si>
  <si>
    <t xml:space="preserve">Planning liaison</t>
  </si>
  <si>
    <t xml:space="preserve">emergency@example.gov</t>
  </si>
  <si>
    <t xml:space="preserve">(559) 555-0116</t>
  </si>
  <si>
    <t xml:space="preserve">The facility included in the county evacuation and shelter plan</t>
  </si>
  <si>
    <t xml:space="preserve">Transit center role during regional incidents is undefined</t>
  </si>
  <si>
    <t xml:space="preserve">S-18</t>
  </si>
  <si>
    <t xml:space="preserve">K. Rasmussen</t>
  </si>
  <si>
    <t xml:space="preserve">Vellinge Design Partnership</t>
  </si>
  <si>
    <t xml:space="preserve">Delivery team</t>
  </si>
  <si>
    <t xml:space="preserve">k.rasmussen@example.com</t>
  </si>
  <si>
    <t xml:space="preserve">(559) 555-0117</t>
  </si>
  <si>
    <t xml:space="preserve">Decisions inside the turnaround set in the contract</t>
  </si>
  <si>
    <t xml:space="preserve">Owner review turnaround on submittals</t>
  </si>
  <si>
    <t xml:space="preserve">S-19</t>
  </si>
  <si>
    <t xml:space="preserve">J. Castellanos</t>
  </si>
  <si>
    <t xml:space="preserve">Barrow Construction</t>
  </si>
  <si>
    <t xml:space="preserve">Construction Manager at Risk</t>
  </si>
  <si>
    <t xml:space="preserve">j.castellanos@example.com</t>
  </si>
  <si>
    <t xml:space="preserve">(559) 555-0118</t>
  </si>
  <si>
    <t xml:space="preserve">Site access on the date warranted, and permits in hand before mobilization</t>
  </si>
  <si>
    <t xml:space="preserve">Utility relocations are on the critical path and not yet applied for</t>
  </si>
  <si>
    <t xml:space="preserve">Insert rows inside the block above rather than typing below it, so the totals and every companion sheet follow. Priority and Check are computed and cannot be typed over.</t>
  </si>
  <si>
    <t xml:space="preserve">Visit mastt.com</t>
  </si>
  <si>
    <t xml:space="preserve">Where each stakeholder is, where the project needs them, and when contact is next due. The ID and the name come from the Register - type the ID and the name follows.</t>
  </si>
  <si>
    <t xml:space="preserve">ENGAGEMENT  ·  CURRENT AGAINST TARGET</t>
  </si>
  <si>
    <t xml:space="preserve">Current</t>
  </si>
  <si>
    <t xml:space="preserve">Target</t>
  </si>
  <si>
    <t xml:space="preserve">Gap</t>
  </si>
  <si>
    <t xml:space="preserve">Phase of most interest</t>
  </si>
  <si>
    <t xml:space="preserve">Method</t>
  </si>
  <si>
    <t xml:space="preserve">Frequency</t>
  </si>
  <si>
    <t xml:space="preserve">Last contact</t>
  </si>
  <si>
    <t xml:space="preserve">Next due</t>
  </si>
  <si>
    <t xml:space="preserve">Days</t>
  </si>
  <si>
    <t xml:space="preserve">Planning</t>
  </si>
  <si>
    <t xml:space="preserve">Formal meeting</t>
  </si>
  <si>
    <t xml:space="preserve">Monthly</t>
  </si>
  <si>
    <t xml:space="preserve">Construction</t>
  </si>
  <si>
    <t xml:space="preserve">Weekly</t>
  </si>
  <si>
    <t xml:space="preserve">At milestones</t>
  </si>
  <si>
    <t xml:space="preserve">Design</t>
  </si>
  <si>
    <t xml:space="preserve">Written submission</t>
  </si>
  <si>
    <t xml:space="preserve">Quarterly</t>
  </si>
  <si>
    <t xml:space="preserve">Procurement</t>
  </si>
  <si>
    <t xml:space="preserve">Commissioning</t>
  </si>
  <si>
    <t xml:space="preserve">Face to face</t>
  </si>
  <si>
    <t xml:space="preserve">Public forum</t>
  </si>
  <si>
    <t xml:space="preserve">As required</t>
  </si>
  <si>
    <t xml:space="preserve">Operations</t>
  </si>
  <si>
    <t xml:space="preserve">Days is negative until the date passes and positive after it, so a column of positive numbers is a register nobody has worked this month. The gap is what the engagement plan schedules; this sheet is what tells it where to start.</t>
  </si>
  <si>
    <t xml:space="preserve">The stakeholders who hold something you need. A permit you have not applied for is a start date, not a communications task - and no amount of engagement is a substitute for the consent.</t>
  </si>
  <si>
    <t xml:space="preserve">CONSENTS, PERMITS AND APPROVALS  ·  WHO HOLDS WHAT</t>
  </si>
  <si>
    <t xml:space="preserve">Held by</t>
  </si>
  <si>
    <t xml:space="preserve">What is held</t>
  </si>
  <si>
    <t xml:space="preserve">Reference</t>
  </si>
  <si>
    <t xml:space="preserve">Submitted</t>
  </si>
  <si>
    <t xml:space="preserve">Decision due</t>
  </si>
  <si>
    <t xml:space="preserve">Typical lead time</t>
  </si>
  <si>
    <t xml:space="preserve">Critical path</t>
  </si>
  <si>
    <t xml:space="preserve">Site plan approval, including the traffic impact study</t>
  </si>
  <si>
    <t xml:space="preserve">SP-2026-118</t>
  </si>
  <si>
    <t xml:space="preserve">Under review</t>
  </si>
  <si>
    <t xml:space="preserve">90 to 120 days</t>
  </si>
  <si>
    <t xml:space="preserve">Yes</t>
  </si>
  <si>
    <t xml:space="preserve">Building permit - full construction documents</t>
  </si>
  <si>
    <t xml:space="preserve">[Not yet issued]</t>
  </si>
  <si>
    <t xml:space="preserve">In preparation</t>
  </si>
  <si>
    <t xml:space="preserve">60 to 90 days</t>
  </si>
  <si>
    <t xml:space="preserve">Highway access permit for the bus entry on Wynford Avenue</t>
  </si>
  <si>
    <t xml:space="preserve">Not started</t>
  </si>
  <si>
    <t xml:space="preserve">120 to 180 days</t>
  </si>
  <si>
    <t xml:space="preserve">Stormwater discharge permit and pollution prevention plan</t>
  </si>
  <si>
    <t xml:space="preserve">SW-2026-0442</t>
  </si>
  <si>
    <t xml:space="preserve">Refused</t>
  </si>
  <si>
    <t xml:space="preserve">90 to 150 days</t>
  </si>
  <si>
    <t xml:space="preserve">Life safety and fire access sign-off</t>
  </si>
  <si>
    <t xml:space="preserve">30 to 60 days</t>
  </si>
  <si>
    <t xml:space="preserve">No</t>
  </si>
  <si>
    <t xml:space="preserve">Federal grant milestone certification for construction start</t>
  </si>
  <si>
    <t xml:space="preserve">FTA-5307-2026-11</t>
  </si>
  <si>
    <t xml:space="preserve">45 to 60 days</t>
  </si>
  <si>
    <t xml:space="preserve">Electrical service connection and substation capacity confirmation</t>
  </si>
  <si>
    <t xml:space="preserve">CE-CONN-8871</t>
  </si>
  <si>
    <t xml:space="preserve">9 to 12 months</t>
  </si>
  <si>
    <t xml:space="preserve">Access easement across the adjacent loading area</t>
  </si>
  <si>
    <t xml:space="preserve">[Under negotiation]</t>
  </si>
  <si>
    <t xml:space="preserve">60 to 120 days</t>
  </si>
  <si>
    <t xml:space="preserve">Water and sewer connection approval</t>
  </si>
  <si>
    <t xml:space="preserve">WS-2026-2201</t>
  </si>
  <si>
    <t xml:space="preserve">Granted with conditions</t>
  </si>
  <si>
    <t xml:space="preserve">Lead times are indicative and vary by jurisdiction and by agency - confirm every one with the issuing authority. A consents block that records only what was granted cannot show you the one that went wrong, which is why a refused permit stays on this sheet.</t>
  </si>
  <si>
    <t xml:space="preserve">The register read three ways. Everything here is counted off the Register, the Engagement sheet and the Consents sheet - there is nothing to type on this page.</t>
  </si>
  <si>
    <t xml:space="preserve">STAKEHOLDERS</t>
  </si>
  <si>
    <t xml:space="preserve">MANAGE CLOSELY</t>
  </si>
  <si>
    <t xml:space="preserve">NOT YET ENGAGED</t>
  </si>
  <si>
    <t xml:space="preserve">CONSENTS OUTSTANDING</t>
  </si>
  <si>
    <t xml:space="preserve">BY CATEGORY  ·  WHERE THE REGISTER IS THIN</t>
  </si>
  <si>
    <t xml:space="preserve">Total</t>
  </si>
  <si>
    <t xml:space="preserve">Manage
closely</t>
  </si>
  <si>
    <t xml:space="preserve">Gap to
close</t>
  </si>
  <si>
    <t xml:space="preserve">Reading</t>
  </si>
  <si>
    <t xml:space="preserve">An empty category is the finding. Most registers are heavy on the delivery team, who are under contract and easy to name, and thin on end users and operations - the group that will run the asset and is asked last.</t>
  </si>
  <si>
    <t xml:space="preserve">BY OWNER  ·  WHO IS CARRYING THE ENGAGEMENT</t>
  </si>
  <si>
    <t xml:space="preserve">Stake-
holders</t>
  </si>
  <si>
    <t xml:space="preserve">At target</t>
  </si>
  <si>
    <t xml:space="preserve">To move</t>
  </si>
  <si>
    <t xml:space="preserve">Overdue</t>
  </si>
  <si>
    <t xml:space="preserve">Position</t>
  </si>
  <si>
    <t xml:space="preserve">Overdue counts the stakeholders whose next-contact date has passed. An owner with none of those and nobody to move is the only row on this block that should be green.</t>
  </si>
  <si>
    <t xml:space="preserve">What was actually said, and what came out of it. A register that records who somebody is but never what happened is a contact list.</t>
  </si>
  <si>
    <t xml:space="preserve">ENGAGEMENT LOG  ·  MOST RECENT FIRST</t>
  </si>
  <si>
    <t xml:space="preserve">Date</t>
  </si>
  <si>
    <t xml:space="preserve">What was discussed</t>
  </si>
  <si>
    <t xml:space="preserve">Outcome or action</t>
  </si>
  <si>
    <t xml:space="preserve">Action owner</t>
  </si>
  <si>
    <t xml:space="preserve">Due</t>
  </si>
  <si>
    <t xml:space="preserve">Weekly delivery meeting. CMAR raised utility relocation lead times against the mobilization date.</t>
  </si>
  <si>
    <t xml:space="preserve">Owner to confirm the electrical connection date in writing before the GMP is set</t>
  </si>
  <si>
    <t xml:space="preserve">Executive briefing on the stormwater permit refusal and the revised detention design.</t>
  </si>
  <si>
    <t xml:space="preserve">Revised submission to be filed; Executive Director to brief the board chair</t>
  </si>
  <si>
    <t xml:space="preserve">Neighborhood association meeting. Night work, haul routes and the height of the parking structure against the residential edge.</t>
  </si>
  <si>
    <t xml:space="preserve">Draft construction management plan to be issued to the association for comment</t>
  </si>
  <si>
    <t xml:space="preserve">Connection application review with the utility. Substation capacity in the Wynford feeder confirmed as the constraint.</t>
  </si>
  <si>
    <t xml:space="preserve">Load calculations to be reissued at 100% design; connection date to be confirmed in writing</t>
  </si>
  <si>
    <t xml:space="preserve">Planning department pre-decision meeting on the parking structure height against the overlay district limit.</t>
  </si>
  <si>
    <t xml:space="preserve">Massing study and shadow diagrams to be submitted as a supplement</t>
  </si>
  <si>
    <t xml:space="preserve">Response to the stormwater refusal. Detention volume recalculated against the revised impervious area.</t>
  </si>
  <si>
    <t xml:space="preserve">Resubmission package to be filed once the civil design is reissued</t>
  </si>
  <si>
    <t xml:space="preserve">Easement negotiation with the adjacent owner. Construction traffic across the loading area and hours of access.</t>
  </si>
  <si>
    <t xml:space="preserve">Draft easement terms to be issued by counsel</t>
  </si>
  <si>
    <t xml:space="preserve">Accessibility committee walkthrough of the path of travel from the parking structure to the platforms.</t>
  </si>
  <si>
    <t xml:space="preserve">Two wayfinding changes accepted; committee to review the revised plan</t>
  </si>
  <si>
    <t xml:space="preserve">State DOT district meeting on the bus entry against the planned interchange upgrade.</t>
  </si>
  <si>
    <t xml:space="preserve">Signal warrant analysis required before the access permit application can be filed</t>
  </si>
  <si>
    <t xml:space="preserve">Fire marshal review of aerial apparatus access to the upper parking deck.</t>
  </si>
  <si>
    <t xml:space="preserve">Turning analysis to be provided; no further contact since</t>
  </si>
  <si>
    <t xml:space="preserve">Type the ID and the stakeholder name follows. Log the meetings that changed something - a log of every email is a log nobody reads, and the entries that matter are the ones with an action against them.</t>
  </si>
  <si>
    <t xml:space="preserve">Every list the Register uses, and what each score means. Edit anything here and the dropdowns follow - the sheets index this one rather than carrying their own copy.</t>
  </si>
  <si>
    <t xml:space="preserve">Phase</t>
  </si>
  <si>
    <t xml:space="preserve">Consent status</t>
  </si>
  <si>
    <t xml:space="preserve">ENGAGEMENT LEVEL  ·  WHERE A STAKEHOLDER IS, AND WHERE YOU NEED THEM</t>
  </si>
  <si>
    <t xml:space="preserve">Score</t>
  </si>
  <si>
    <t xml:space="preserve">Level</t>
  </si>
  <si>
    <t xml:space="preserve">What it means</t>
  </si>
  <si>
    <t xml:space="preserve">Fortnightly</t>
  </si>
  <si>
    <t xml:space="preserve">Dormant</t>
  </si>
  <si>
    <t xml:space="preserve">Unaware</t>
  </si>
  <si>
    <t xml:space="preserve">Does not know the project exists, or does not know it affects them.</t>
  </si>
  <si>
    <t xml:space="preserve">Closed</t>
  </si>
  <si>
    <t xml:space="preserve">Resistant</t>
  </si>
  <si>
    <t xml:space="preserve">Aware, and opposed. Will act to slow or stop the work.</t>
  </si>
  <si>
    <t xml:space="preserve">Neutral</t>
  </si>
  <si>
    <t xml:space="preserve">Aware, neither supportive nor opposed. The default for most of a register.</t>
  </si>
  <si>
    <t xml:space="preserve">Granted</t>
  </si>
  <si>
    <t xml:space="preserve">Supportive</t>
  </si>
  <si>
    <t xml:space="preserve">Aware and in favor. Will not obstruct; will not advocate unprompted.</t>
  </si>
  <si>
    <t xml:space="preserve">Newsletter</t>
  </si>
  <si>
    <t xml:space="preserve">Leading</t>
  </si>
  <si>
    <t xml:space="preserve">Actively engaged in making the project succeed. Rare, and worth naming.</t>
  </si>
  <si>
    <t xml:space="preserve">Site visit</t>
  </si>
  <si>
    <t xml:space="preserve">Scored 1 to 5 so the gap between current and target is arithmetic. A register that records only where somebody is cannot show whether the engagement is working.</t>
  </si>
  <si>
    <t xml:space="preserve">PRIORITY  ·  READ OFF INFLUENCE AND INTEREST, NOT TYPED</t>
  </si>
  <si>
    <t xml:space="preserve">Quadrant</t>
  </si>
  <si>
    <t xml:space="preserve">Where</t>
  </si>
  <si>
    <t xml:space="preserve">What it means you do</t>
  </si>
  <si>
    <t xml:space="preserve">Manage closely</t>
  </si>
  <si>
    <t xml:space="preserve">Influence 4-5 and interest 4-5</t>
  </si>
  <si>
    <t xml:space="preserve">Face to face, on a named cadence, before decisions rather than after them.</t>
  </si>
  <si>
    <t xml:space="preserve">Keep satisfied</t>
  </si>
  <si>
    <t xml:space="preserve">Influence 4-5 and interest 1-3</t>
  </si>
  <si>
    <t xml:space="preserve">They can stop you and they are not watching. Brief them enough that they are never surprised. The riskiest group, because it looks quiet.</t>
  </si>
  <si>
    <t xml:space="preserve">Keep informed</t>
  </si>
  <si>
    <t xml:space="preserve">Influence 1-3 and interest 4-5</t>
  </si>
  <si>
    <t xml:space="preserve">They care and they talk. Regular, honest, unfiltered updates - an informed advocate here is worth more than a managed one.</t>
  </si>
  <si>
    <t xml:space="preserve">Monitor</t>
  </si>
  <si>
    <t xml:space="preserve">Influence 1-3 and interest 1-3</t>
  </si>
  <si>
    <t xml:space="preserve">General communications only. Re-score every cycle; interest moves faster than influence.</t>
  </si>
  <si>
    <t xml:space="preserve">STAKEHOLDER CATEGORIES  ·  THE BREAKDOWN THE REGISTER USES</t>
  </si>
  <si>
    <t xml:space="preserve">The board, the sponsor, finance, and anyone inside the owner who can stop or fund the work.</t>
  </si>
  <si>
    <t xml:space="preserve">Planning, building control, environment, transport, fire. They issue permits; they are not persuaded, they are satisfied.</t>
  </si>
  <si>
    <t xml:space="preserve">Power, water, sewer, gas, telecoms. Connections and relocations with lead times measured in months, not weeks.</t>
  </si>
  <si>
    <t xml:space="preserve">Residents, associations, adjacent owners, local business. Rarely a direct cost; routinely a schedule risk.</t>
  </si>
  <si>
    <t xml:space="preserve">Designers, contractors, consultants, cost and program managers under contract to the owner.</t>
  </si>
  <si>
    <t xml:space="preserve">The people who run the asset after handover, and the people who use it. The group most often identified last and needed earliest.</t>
  </si>
  <si>
    <t xml:space="preserve">THE OTHER LISTS  ·  EDIT THEM IN THE HIDDEN COLUMNS G TO M</t>
  </si>
  <si>
    <t xml:space="preserve">Internal   ·   External   ·   Statutory</t>
  </si>
  <si>
    <t xml:space="preserve">Planning   ·   Design   ·   Procurement   ·   Construction   ·   Commissioning   ·   Operations</t>
  </si>
  <si>
    <t xml:space="preserve">Formal meeting   ·   Face to face   ·   Email   ·   Written submission   ·   Public forum   ·   Newsletter   ·   Site visit</t>
  </si>
  <si>
    <t xml:space="preserve">Weekly   ·   Fortnightly   ·   Monthly   ·   Quarterly   ·   At milestones   ·   As required</t>
  </si>
  <si>
    <t xml:space="preserve">Active   ·   Dormant   ·   Closed</t>
  </si>
  <si>
    <t xml:space="preserve">Not started   ·   In preparation   ·   Submitted   ·   Under review   ·   Granted   ·   Granted with conditions   ·   Refused</t>
  </si>
  <si>
    <t xml:space="preserve">Approvals Lead   ·   Cost Manager   ·   Design Lead   ·   Engagement Lead   ·   Project Director   ·   Project Manager</t>
  </si>
  <si>
    <t xml:space="preserve">Unhide columns G to M to edit these. They sit off the print area because a list of dropdown values is machinery, not content - but they are the machinery, so they are here rather than buried on a sheet nobody opens.</t>
  </si>
  <si>
    <t xml:space="preserve">How the register works, and where this file stops.</t>
  </si>
  <si>
    <t xml:space="preserve">HOW TO USE IT</t>
  </si>
  <si>
    <t xml:space="preserve">Fill the Register first. Everything else reads it.</t>
  </si>
  <si>
    <t xml:space="preserve">The Engagement, Consents and Log sheets are keyed on the ID in column B. Type a stakeholder in once and their name follows them everywhere.</t>
  </si>
  <si>
    <t xml:space="preserve">Score influence and interest separately, and honestly</t>
  </si>
  <si>
    <t xml:space="preserve">Influence is what they can do to the project. Interest is how much they care. Somebody who can stop you and is not watching is the most dangerous entry in a register, and scoring them high on both because they feel important hides it.</t>
  </si>
  <si>
    <t xml:space="preserve">Set a target engagement level, not just a current one</t>
  </si>
  <si>
    <t xml:space="preserve">A register that records only where somebody is cannot show whether the engagement is working. The gap is the work, and the Engagement sheet ranks it.</t>
  </si>
  <si>
    <t xml:space="preserve">Anyone holding a permit, an easement or a sign-off goes on the Consents sheet</t>
  </si>
  <si>
    <t xml:space="preserve">That is the difference between a stakeholder you brief and a stakeholder who decides your start date. Flag the row on the Register and the Consents sheet picks it up.</t>
  </si>
  <si>
    <t xml:space="preserve">Re-score at every stage gate</t>
  </si>
  <si>
    <t xml:space="preserve">A neighbor who was Neutral during design is Resistant the week the piling starts, and an operations group nobody consulted is Unaware until handover. Interest moves faster than influence.</t>
  </si>
  <si>
    <t xml:space="preserve">NOTES</t>
  </si>
  <si>
    <t xml:space="preserve">A stakeholder with no owner against them is the commonest silent failure</t>
  </si>
  <si>
    <t xml:space="preserve">Every other column can be filled in perfectly and nothing will happen. S-17 in the worked example has no owner and the Check column names it; a register with three of those is a register nobody is running.</t>
  </si>
  <si>
    <t xml:space="preserve">Unaware is a real state and it belongs in the register</t>
  </si>
  <si>
    <t xml:space="preserve">Most templates start at Neutral, which quietly assumes everyone has been told. S-11 is the operations manager at influence 4 and engagement 1 - the group that will run the building and has not been asked about the bay layout. That row is worth the whole file.</t>
  </si>
  <si>
    <t xml:space="preserve">A refused permit stays in the register</t>
  </si>
  <si>
    <t xml:space="preserve">S-07 was refused on detention volume and is being resubmitted. A consents log that records only what was granted cannot show you the one that went wrong, and the resubmission lead time is what moves the program.</t>
  </si>
  <si>
    <t xml:space="preserve">Contact details are part of the record, not an afterthought</t>
  </si>
  <si>
    <t xml:space="preserve">A register you cannot act from at 4pm on a Friday is a spreadsheet about stakeholders. Email and phone sit on the Register sheet for that reason.</t>
  </si>
  <si>
    <t xml:space="preserve">This register holds personal information</t>
  </si>
  <si>
    <t xml:space="preserve">Names, roles, contact details and assessments of identifiable people. Store it accordingly, keep the concern column factual rather than editorial, and be deliberate about who receives it - a leaked stakeholder register does more damage than not having one.</t>
  </si>
  <si>
    <t xml:space="preserve">WHAT THIS FILE IS NOT</t>
  </si>
  <si>
    <t xml:space="preserve">The matrix is the picture; this is the record</t>
  </si>
  <si>
    <t xml:space="preserve">Mastt publishes a Stakeholder Matrix Template - a self-plotting influence and interest grid. Its stakeholder list is an INPUT to that grid, eight columns wide. This file is the source the grid reads from, and it carries the contact details, the consents and the log that a grid has no room for.</t>
  </si>
  <si>
    <t xml:space="preserve">The analysis is a different piece of work</t>
  </si>
  <si>
    <t xml:space="preserve">Working out what each stakeholder wants, what they are worried about and what they can do about it is stakeholder analysis, and Mastt publishes a Stakeholder Analysis Template. This register records the conclusion in two columns; that file is where the thinking happens.</t>
  </si>
  <si>
    <t xml:space="preserve">The engagement schedule is a plan, not a register</t>
  </si>
  <si>
    <t xml:space="preserve">Who talks to whom, saying what, through which channel, on what cadence, with what budget is a Stakeholder Management Plan, which Mastt publishes. The Engagement sheet here records the method and the frequency; it does not write the communications.</t>
  </si>
  <si>
    <t xml:space="preserve">The Consents sheet is not a permit program</t>
  </si>
  <si>
    <t xml:space="preserve">It records what each stakeholder holds and where it is up to, because that is an attribute of the stakeholder. Sequencing the applications, tracking the fees and managing the submissions is an approvals program and it is a bigger job than this file.</t>
  </si>
  <si>
    <t xml:space="preserve">IMPORTANT</t>
  </si>
  <si>
    <t xml:space="preserve">This is a template and a worked example, not legal or planning advice. The project, the agencies, the people and every figure in it are invented and illustrative - the permits, lead times and decision dates on the Consents sheet in particular are indicative only and vary by jurisdiction, by agency and by project. Confirm every consent, its lead time and its decision path with the issuing authority for your own project before you rely on them. This register also records contact details and assessments of identifiable individuals, which in most jurisdictions is personal information and in some is subject to privacy or data protection law; store, share and retain it accordingly.</t>
  </si>
</sst>
</file>

<file path=xl/styles.xml><?xml version="1.0" encoding="utf-8"?>
<styleSheet xmlns="http://schemas.openxmlformats.org/spreadsheetml/2006/main">
  <numFmts count="4">
    <numFmt numFmtId="164" formatCode="General"/>
    <numFmt numFmtId="165" formatCode="#,##0;;\-"/>
    <numFmt numFmtId="166" formatCode="mmm\ d&quot;, &quot;yyyy"/>
    <numFmt numFmtId="167" formatCode="\+0;\-0;\-"/>
  </numFmts>
  <fonts count="24">
    <font>
      <sz val="11"/>
      <color theme="1"/>
      <name val="Calibri"/>
      <family val="2"/>
      <charset val="1"/>
    </font>
    <font>
      <sz val="10"/>
      <name val="Arial"/>
      <family val="0"/>
    </font>
    <font>
      <sz val="10"/>
      <name val="Arial"/>
      <family val="0"/>
    </font>
    <font>
      <sz val="10"/>
      <name val="Arial"/>
      <family val="0"/>
    </font>
    <font>
      <b val="true"/>
      <sz val="13"/>
      <color rgb="FFFFFFFF"/>
      <name val="Inter"/>
      <family val="0"/>
      <charset val="1"/>
    </font>
    <font>
      <b val="true"/>
      <sz val="11"/>
      <color rgb="FFFFFFFF"/>
      <name val="Inter"/>
      <family val="0"/>
      <charset val="1"/>
    </font>
    <font>
      <b val="true"/>
      <sz val="9.5"/>
      <color rgb="FF1D3245"/>
      <name val="Inter"/>
      <family val="0"/>
      <charset val="1"/>
    </font>
    <font>
      <i val="true"/>
      <sz val="9"/>
      <color rgb="FF8E98A2"/>
      <name val="Inter"/>
      <family val="0"/>
      <charset val="1"/>
    </font>
    <font>
      <b val="true"/>
      <sz val="8.5"/>
      <color rgb="FF0D3C61"/>
      <name val="Inter"/>
      <family val="0"/>
      <charset val="1"/>
    </font>
    <font>
      <sz val="10"/>
      <color rgb="FF0D3C61"/>
      <name val="Inter"/>
      <family val="0"/>
      <charset val="1"/>
    </font>
    <font>
      <sz val="10"/>
      <color rgb="FF1D3245"/>
      <name val="Inter"/>
      <family val="0"/>
      <charset val="1"/>
    </font>
    <font>
      <b val="true"/>
      <sz val="10"/>
      <color rgb="FF1D3245"/>
      <name val="Inter"/>
      <family val="0"/>
      <charset val="1"/>
    </font>
    <font>
      <i val="true"/>
      <sz val="8.5"/>
      <color rgb="FF8E98A2"/>
      <name val="Inter"/>
      <family val="0"/>
      <charset val="1"/>
    </font>
    <font>
      <u val="single"/>
      <sz val="9.5"/>
      <color rgb="FF3480BC"/>
      <name val="Inter"/>
      <family val="0"/>
      <charset val="1"/>
    </font>
    <font>
      <b val="true"/>
      <sz val="13"/>
      <color rgb="FF1D3245"/>
      <name val="Inter"/>
      <family val="0"/>
      <charset val="1"/>
    </font>
    <font>
      <b val="true"/>
      <sz val="8"/>
      <color rgb="FF8E98A2"/>
      <name val="Inter"/>
      <family val="0"/>
      <charset val="1"/>
    </font>
    <font>
      <b val="true"/>
      <sz val="22"/>
      <color rgb="FF1D3245"/>
      <name val="Inter"/>
      <family val="0"/>
      <charset val="1"/>
    </font>
    <font>
      <i val="true"/>
      <sz val="8"/>
      <color rgb="FF8E98A2"/>
      <name val="Inter"/>
      <family val="0"/>
      <charset val="1"/>
    </font>
    <font>
      <b val="true"/>
      <sz val="9"/>
      <color rgb="FF0D3C61"/>
      <name val="Inter"/>
      <family val="0"/>
      <charset val="1"/>
    </font>
    <font>
      <b val="true"/>
      <sz val="9.5"/>
      <color rgb="FF0D3C61"/>
      <name val="Inter"/>
      <family val="0"/>
      <charset val="1"/>
    </font>
    <font>
      <sz val="9.5"/>
      <color rgb="FF1D3245"/>
      <name val="Inter"/>
      <family val="0"/>
      <charset val="1"/>
    </font>
    <font>
      <b val="true"/>
      <sz val="10"/>
      <color rgb="FF0D3C61"/>
      <name val="Inter"/>
      <family val="0"/>
      <charset val="1"/>
    </font>
    <font>
      <sz val="9"/>
      <color rgb="FF1D3245"/>
      <name val="Inter"/>
      <family val="0"/>
      <charset val="1"/>
    </font>
    <font>
      <sz val="9"/>
      <color rgb="FF8E98A2"/>
      <name val="Inter"/>
      <family val="0"/>
      <charset val="1"/>
    </font>
  </fonts>
  <fills count="13">
    <fill>
      <patternFill patternType="none"/>
    </fill>
    <fill>
      <patternFill patternType="gray125"/>
    </fill>
    <fill>
      <patternFill patternType="solid">
        <fgColor rgb="FF1D3245"/>
        <bgColor rgb="FF0D3C61"/>
      </patternFill>
    </fill>
    <fill>
      <patternFill patternType="solid">
        <fgColor rgb="FF3480BC"/>
        <bgColor rgb="FF339966"/>
      </patternFill>
    </fill>
    <fill>
      <patternFill patternType="solid">
        <fgColor rgb="FF0D3C61"/>
        <bgColor rgb="FF1D3245"/>
      </patternFill>
    </fill>
    <fill>
      <patternFill patternType="solid">
        <fgColor rgb="FFDCE9F4"/>
        <bgColor rgb="FFE3F0FA"/>
      </patternFill>
    </fill>
    <fill>
      <patternFill patternType="solid">
        <fgColor rgb="FFE3F0FA"/>
        <bgColor rgb="FFDCE9F4"/>
      </patternFill>
    </fill>
    <fill>
      <patternFill patternType="solid">
        <fgColor rgb="FFF6F9FC"/>
        <bgColor rgb="FFF5F5F5"/>
      </patternFill>
    </fill>
    <fill>
      <patternFill patternType="solid">
        <fgColor rgb="FFF5F5F5"/>
        <bgColor rgb="FFF6F9FC"/>
      </patternFill>
    </fill>
    <fill>
      <patternFill patternType="solid">
        <fgColor rgb="FFEEEEEE"/>
        <bgColor rgb="FFE8F5E9"/>
      </patternFill>
    </fill>
    <fill>
      <patternFill patternType="solid">
        <fgColor rgb="FFFDEBE9"/>
        <bgColor rgb="FFFDEBE0"/>
      </patternFill>
    </fill>
    <fill>
      <patternFill patternType="solid">
        <fgColor rgb="FFFFF4E0"/>
        <bgColor rgb="FFFDEBE0"/>
      </patternFill>
    </fill>
    <fill>
      <patternFill patternType="solid">
        <fgColor rgb="FFE8F5E9"/>
        <bgColor rgb="FFEEEEEE"/>
      </patternFill>
    </fill>
  </fills>
  <borders count="3">
    <border diagonalUp="false" diagonalDown="false">
      <left/>
      <right/>
      <top/>
      <bottom/>
      <diagonal/>
    </border>
    <border diagonalUp="false" diagonalDown="false">
      <left style="thin">
        <color rgb="FFE0E0E0"/>
      </left>
      <right style="thin">
        <color rgb="FFE0E0E0"/>
      </right>
      <top style="thin">
        <color rgb="FFE0E0E0"/>
      </top>
      <bottom style="medium">
        <color rgb="FF3480BC"/>
      </bottom>
      <diagonal/>
    </border>
    <border diagonalUp="false" diagonalDown="false">
      <left style="thin">
        <color rgb="FFE0E0E0"/>
      </left>
      <right style="thin">
        <color rgb="FFE0E0E0"/>
      </right>
      <top style="thin">
        <color rgb="FFE0E0E0"/>
      </top>
      <bottom style="thin">
        <color rgb="FFE0E0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5" shrinkToFit="false"/>
      <protection locked="true" hidden="false"/>
    </xf>
    <xf numFmtId="164" fontId="5" fillId="3" borderId="0" xfId="0" applyFont="true" applyBorder="true" applyAlignment="true" applyProtection="false">
      <alignment horizontal="left" vertical="center" textRotation="0" wrapText="false" indent="1" shrinkToFit="false"/>
      <protection locked="true" hidden="false"/>
    </xf>
    <xf numFmtId="164" fontId="6" fillId="0" borderId="0" xfId="0" applyFont="true" applyBorder="true" applyAlignment="true" applyProtection="false">
      <alignment horizontal="left" vertical="center" textRotation="0" wrapText="false" indent="1" shrinkToFit="false"/>
      <protection locked="true" hidden="false"/>
    </xf>
    <xf numFmtId="164" fontId="7" fillId="0" borderId="0" xfId="0" applyFont="true" applyBorder="true" applyAlignment="true" applyProtection="false">
      <alignment horizontal="left" vertical="top" textRotation="0" wrapText="true" indent="1" shrinkToFit="false"/>
      <protection locked="true" hidden="false"/>
    </xf>
    <xf numFmtId="164" fontId="5" fillId="4" borderId="0" xfId="0" applyFont="true" applyBorder="true" applyAlignment="true" applyProtection="false">
      <alignment horizontal="left" vertical="center" textRotation="0" wrapText="false" indent="1" shrinkToFit="false"/>
      <protection locked="true" hidden="false"/>
    </xf>
    <xf numFmtId="164" fontId="8" fillId="5" borderId="1" xfId="0" applyFont="true" applyBorder="true" applyAlignment="true" applyProtection="false">
      <alignment horizontal="center" vertical="center" textRotation="0" wrapText="true" indent="0" shrinkToFit="false"/>
      <protection locked="true" hidden="false"/>
    </xf>
    <xf numFmtId="164" fontId="9" fillId="6" borderId="2" xfId="0" applyFont="true" applyBorder="true" applyAlignment="true" applyProtection="false">
      <alignment horizontal="center" vertical="center" textRotation="0" wrapText="false" indent="1" shrinkToFit="false"/>
      <protection locked="true" hidden="false"/>
    </xf>
    <xf numFmtId="164" fontId="9" fillId="6" borderId="2" xfId="0" applyFont="true" applyBorder="true" applyAlignment="true" applyProtection="false">
      <alignment horizontal="left" vertical="center" textRotation="0" wrapText="true" indent="1" shrinkToFit="false"/>
      <protection locked="true" hidden="false"/>
    </xf>
    <xf numFmtId="164" fontId="9" fillId="6" borderId="2" xfId="0" applyFont="true" applyBorder="true" applyAlignment="true" applyProtection="false">
      <alignment horizontal="left" vertical="center" textRotation="0" wrapText="false" indent="1" shrinkToFit="false"/>
      <protection locked="true" hidden="false"/>
    </xf>
    <xf numFmtId="165" fontId="9" fillId="6" borderId="2" xfId="0" applyFont="true" applyBorder="true" applyAlignment="true" applyProtection="false">
      <alignment horizontal="center" vertical="center" textRotation="0" wrapText="false" indent="1" shrinkToFit="false"/>
      <protection locked="true" hidden="false"/>
    </xf>
    <xf numFmtId="164" fontId="10" fillId="7" borderId="2" xfId="0" applyFont="true" applyBorder="true" applyAlignment="true" applyProtection="false">
      <alignment horizontal="left" vertical="center" textRotation="0" wrapText="false" indent="1" shrinkToFit="false"/>
      <protection locked="true" hidden="false"/>
    </xf>
    <xf numFmtId="164" fontId="10" fillId="7" borderId="2" xfId="0" applyFont="true" applyBorder="true" applyAlignment="true" applyProtection="false">
      <alignment horizontal="left" vertical="center" textRotation="0" wrapText="true" indent="1" shrinkToFit="false"/>
      <protection locked="true" hidden="false"/>
    </xf>
    <xf numFmtId="164" fontId="11" fillId="7" borderId="2" xfId="0" applyFont="true" applyBorder="true" applyAlignment="true" applyProtection="false">
      <alignment horizontal="left" vertical="center" textRotation="0" wrapText="false" indent="1" shrinkToFit="false"/>
      <protection locked="true" hidden="false"/>
    </xf>
    <xf numFmtId="164" fontId="12" fillId="0" borderId="0" xfId="0" applyFont="true" applyBorder="true" applyAlignment="true" applyProtection="false">
      <alignment horizontal="left" vertical="top" textRotation="0" wrapText="true" indent="1" shrinkToFit="false"/>
      <protection locked="true" hidden="false"/>
    </xf>
    <xf numFmtId="164" fontId="13" fillId="0" borderId="0" xfId="0" applyFont="true" applyBorder="true" applyAlignment="true" applyProtection="false">
      <alignment horizontal="right" vertical="center" textRotation="0" wrapText="false" indent="0" shrinkToFit="false"/>
      <protection locked="true" hidden="false"/>
    </xf>
    <xf numFmtId="166" fontId="9" fillId="6" borderId="2" xfId="0" applyFont="true" applyBorder="true" applyAlignment="true" applyProtection="false">
      <alignment horizontal="center" vertical="center" textRotation="0" wrapText="false" indent="1" shrinkToFit="false"/>
      <protection locked="true" hidden="false"/>
    </xf>
    <xf numFmtId="167" fontId="10" fillId="7" borderId="2" xfId="0" applyFont="true" applyBorder="true" applyAlignment="true" applyProtection="false">
      <alignment horizontal="center" vertical="center" textRotation="0" wrapText="false" indent="1" shrinkToFit="false"/>
      <protection locked="true" hidden="false"/>
    </xf>
    <xf numFmtId="164" fontId="14" fillId="0" borderId="0" xfId="0" applyFont="true" applyBorder="true" applyAlignment="true" applyProtection="false">
      <alignment horizontal="left" vertical="center" textRotation="0" wrapText="false" indent="1" shrinkToFit="false"/>
      <protection locked="true" hidden="false"/>
    </xf>
    <xf numFmtId="164" fontId="15" fillId="8" borderId="0" xfId="0" applyFont="true" applyBorder="true" applyAlignment="true" applyProtection="false">
      <alignment horizontal="center" vertical="bottom" textRotation="0" wrapText="false" indent="0" shrinkToFit="false"/>
      <protection locked="true" hidden="false"/>
    </xf>
    <xf numFmtId="165" fontId="16" fillId="8" borderId="0" xfId="0" applyFont="true" applyBorder="true" applyAlignment="true" applyProtection="false">
      <alignment horizontal="center" vertical="center" textRotation="0" wrapText="false" indent="0" shrinkToFit="false"/>
      <protection locked="true" hidden="false"/>
    </xf>
    <xf numFmtId="164" fontId="17" fillId="8" borderId="0" xfId="0" applyFont="true" applyBorder="true" applyAlignment="true" applyProtection="false">
      <alignment horizontal="center" vertical="top" textRotation="0" wrapText="true" indent="0" shrinkToFit="false"/>
      <protection locked="true" hidden="false"/>
    </xf>
    <xf numFmtId="164" fontId="18" fillId="5" borderId="1" xfId="0" applyFont="true" applyBorder="true" applyAlignment="true" applyProtection="false">
      <alignment horizontal="left" vertical="center" textRotation="0" wrapText="true" indent="1" shrinkToFit="false"/>
      <protection locked="true" hidden="false"/>
    </xf>
    <xf numFmtId="164" fontId="18" fillId="5" borderId="1" xfId="0" applyFont="true" applyBorder="true" applyAlignment="true" applyProtection="false">
      <alignment horizontal="center" vertical="center" textRotation="0" wrapText="true" indent="0" shrinkToFit="false"/>
      <protection locked="true" hidden="false"/>
    </xf>
    <xf numFmtId="164" fontId="19" fillId="0" borderId="0" xfId="0" applyFont="true" applyBorder="true" applyAlignment="true" applyProtection="false">
      <alignment horizontal="left" vertical="center" textRotation="0" wrapText="true" indent="1" shrinkToFit="false"/>
      <protection locked="true" hidden="false"/>
    </xf>
    <xf numFmtId="165" fontId="10" fillId="7" borderId="2" xfId="0" applyFont="true" applyBorder="true" applyAlignment="true" applyProtection="false">
      <alignment horizontal="center" vertical="center" textRotation="0" wrapText="false" indent="1"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18" fillId="5" borderId="0" xfId="0" applyFont="true" applyBorder="false" applyAlignment="true" applyProtection="false">
      <alignment horizontal="center" vertical="center" textRotation="0" wrapText="false" indent="0" shrinkToFit="false"/>
      <protection locked="true" hidden="false"/>
    </xf>
    <xf numFmtId="164" fontId="18" fillId="5" borderId="0" xfId="0" applyFont="true" applyBorder="false" applyAlignment="true" applyProtection="false">
      <alignment horizontal="left" vertical="center" textRotation="0" wrapText="false" indent="1" shrinkToFit="false"/>
      <protection locked="true" hidden="false"/>
    </xf>
    <xf numFmtId="164" fontId="18" fillId="5" borderId="0" xfId="0" applyFont="true" applyBorder="true" applyAlignment="true" applyProtection="false">
      <alignment horizontal="left" vertical="center" textRotation="0" wrapText="false" indent="1" shrinkToFit="false"/>
      <protection locked="true" hidden="false"/>
    </xf>
    <xf numFmtId="164" fontId="21" fillId="9" borderId="0" xfId="0" applyFont="true" applyBorder="false" applyAlignment="true" applyProtection="false">
      <alignment horizontal="center" vertical="center" textRotation="0" wrapText="false" indent="0" shrinkToFit="false"/>
      <protection locked="true" hidden="false"/>
    </xf>
    <xf numFmtId="164" fontId="22" fillId="0" borderId="0" xfId="0" applyFont="true" applyBorder="true" applyAlignment="true" applyProtection="false">
      <alignment horizontal="left" vertical="center" textRotation="0" wrapText="true" indent="1" shrinkToFit="false"/>
      <protection locked="true" hidden="false"/>
    </xf>
    <xf numFmtId="164" fontId="21" fillId="10" borderId="0" xfId="0" applyFont="true" applyBorder="false" applyAlignment="true" applyProtection="false">
      <alignment horizontal="center" vertical="center" textRotation="0" wrapText="false" indent="0" shrinkToFit="false"/>
      <protection locked="true" hidden="false"/>
    </xf>
    <xf numFmtId="164" fontId="21" fillId="11" borderId="0" xfId="0" applyFont="true" applyBorder="false" applyAlignment="true" applyProtection="false">
      <alignment horizontal="center" vertical="center" textRotation="0" wrapText="false" indent="0" shrinkToFit="false"/>
      <protection locked="true" hidden="false"/>
    </xf>
    <xf numFmtId="164" fontId="21" fillId="12" borderId="0" xfId="0" applyFont="true" applyBorder="false" applyAlignment="true" applyProtection="false">
      <alignment horizontal="center" vertical="center" textRotation="0" wrapText="false" indent="0" shrinkToFit="false"/>
      <protection locked="true" hidden="false"/>
    </xf>
    <xf numFmtId="164" fontId="19" fillId="10" borderId="0" xfId="0" applyFont="true" applyBorder="false" applyAlignment="true" applyProtection="false">
      <alignment horizontal="left" vertical="center" textRotation="0" wrapText="true" indent="1" shrinkToFit="false"/>
      <protection locked="true" hidden="false"/>
    </xf>
    <xf numFmtId="164" fontId="23" fillId="0" borderId="0" xfId="0" applyFont="true" applyBorder="false" applyAlignment="true" applyProtection="false">
      <alignment horizontal="left" vertical="center" textRotation="0" wrapText="true" indent="1" shrinkToFit="false"/>
      <protection locked="true" hidden="false"/>
    </xf>
    <xf numFmtId="164" fontId="19" fillId="11" borderId="0" xfId="0" applyFont="true" applyBorder="false" applyAlignment="true" applyProtection="false">
      <alignment horizontal="left" vertical="center" textRotation="0" wrapText="true" indent="1" shrinkToFit="false"/>
      <protection locked="true" hidden="false"/>
    </xf>
    <xf numFmtId="164" fontId="19" fillId="6" borderId="0" xfId="0" applyFont="true" applyBorder="false" applyAlignment="true" applyProtection="false">
      <alignment horizontal="left" vertical="center" textRotation="0" wrapText="true" indent="1" shrinkToFit="false"/>
      <protection locked="true" hidden="false"/>
    </xf>
    <xf numFmtId="164" fontId="19" fillId="8" borderId="0" xfId="0" applyFont="true" applyBorder="false" applyAlignment="true" applyProtection="false">
      <alignment horizontal="left" vertical="center" textRotation="0" wrapText="true" indent="1" shrinkToFit="false"/>
      <protection locked="true" hidden="false"/>
    </xf>
    <xf numFmtId="164" fontId="23" fillId="0" borderId="0" xfId="0" applyFont="true" applyBorder="true" applyAlignment="true" applyProtection="false">
      <alignment horizontal="left" vertical="center" textRotation="0" wrapText="true" indent="1" shrinkToFit="false"/>
      <protection locked="true" hidden="false"/>
    </xf>
    <xf numFmtId="164" fontId="19" fillId="0" borderId="0" xfId="0" applyFont="true" applyBorder="true" applyAlignment="true" applyProtection="false">
      <alignment horizontal="left" vertical="center" textRotation="0" wrapText="false" indent="1" shrinkToFit="false"/>
      <protection locked="true" hidden="false"/>
    </xf>
    <xf numFmtId="164" fontId="19" fillId="0" borderId="0" xfId="0" applyFont="true" applyBorder="false" applyAlignment="true" applyProtection="false">
      <alignment horizontal="left" vertical="top" textRotation="0" wrapText="true" indent="1" shrinkToFit="false"/>
      <protection locked="true" hidden="false"/>
    </xf>
    <xf numFmtId="164" fontId="22" fillId="0" borderId="0" xfId="0" applyFont="true" applyBorder="false" applyAlignment="true" applyProtection="false">
      <alignment horizontal="left" vertical="top" textRotation="0" wrapText="true" indent="1" shrinkToFit="false"/>
      <protection locked="true" hidden="false"/>
    </xf>
    <xf numFmtId="164" fontId="22" fillId="0" borderId="0" xfId="0" applyFont="true" applyBorder="true" applyAlignment="true" applyProtection="false">
      <alignment horizontal="left" vertical="top" textRotation="0" wrapText="tru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bgColor rgb="FFFFF4E0"/>
        </patternFill>
      </fill>
    </dxf>
    <dxf>
      <font>
        <b val="1"/>
        <color rgb="FFE31B0C"/>
      </font>
      <fill>
        <patternFill>
          <bgColor rgb="FFFDEBE9"/>
        </patternFill>
      </fill>
    </dxf>
    <dxf>
      <fill>
        <patternFill>
          <bgColor rgb="FFFDEBE9"/>
        </patternFill>
      </fill>
    </dxf>
    <dxf>
      <fill>
        <patternFill>
          <bgColor rgb="FFE3F0FA"/>
        </patternFill>
      </fill>
    </dxf>
    <dxf>
      <fill>
        <patternFill>
          <bgColor rgb="FFF5F5F5"/>
        </patternFill>
      </fill>
    </dxf>
    <dxf>
      <fill>
        <patternFill>
          <bgColor rgb="FFFDEBE0"/>
        </patternFill>
      </fill>
    </dxf>
    <dxf>
      <fill>
        <patternFill>
          <bgColor rgb="FFE8F5E9"/>
        </patternFill>
      </fill>
    </dxf>
  </dxfs>
  <colors>
    <indexedColors>
      <rgbColor rgb="FF000000"/>
      <rgbColor rgb="FFFFFFFF"/>
      <rgbColor rgb="FFE31B0C"/>
      <rgbColor rgb="FF00FF00"/>
      <rgbColor rgb="FF0000FF"/>
      <rgbColor rgb="FFFFFF00"/>
      <rgbColor rgb="FFFF00FF"/>
      <rgbColor rgb="FF00FFFF"/>
      <rgbColor rgb="FF800000"/>
      <rgbColor rgb="FF008000"/>
      <rgbColor rgb="FF000080"/>
      <rgbColor rgb="FF808000"/>
      <rgbColor rgb="FF800080"/>
      <rgbColor rgb="FF008080"/>
      <rgbColor rgb="FFEEEEEE"/>
      <rgbColor rgb="FF808080"/>
      <rgbColor rgb="FF9999FF"/>
      <rgbColor rgb="FF993366"/>
      <rgbColor rgb="FFFFF4E0"/>
      <rgbColor rgb="FFE3F0FA"/>
      <rgbColor rgb="FF660066"/>
      <rgbColor rgb="FFFF8080"/>
      <rgbColor rgb="FF0066CC"/>
      <rgbColor rgb="FFE0E0E0"/>
      <rgbColor rgb="FF000080"/>
      <rgbColor rgb="FFFF00FF"/>
      <rgbColor rgb="FFFFFF00"/>
      <rgbColor rgb="FF00FFFF"/>
      <rgbColor rgb="FF800080"/>
      <rgbColor rgb="FF800000"/>
      <rgbColor rgb="FF008080"/>
      <rgbColor rgb="FF0000FF"/>
      <rgbColor rgb="FF00CCFF"/>
      <rgbColor rgb="FFE8F5E9"/>
      <rgbColor rgb="FFDCE9F4"/>
      <rgbColor rgb="FFFDEBE0"/>
      <rgbColor rgb="FFF5F5F5"/>
      <rgbColor rgb="FFF6F9FC"/>
      <rgbColor rgb="FFCC99FF"/>
      <rgbColor rgb="FFFDEBE9"/>
      <rgbColor rgb="FF3480BC"/>
      <rgbColor rgb="FF33CCCC"/>
      <rgbColor rgb="FF99CC00"/>
      <rgbColor rgb="FFFFCC00"/>
      <rgbColor rgb="FFFF9900"/>
      <rgbColor rgb="FFFF6600"/>
      <rgbColor rgb="FF666699"/>
      <rgbColor rgb="FF8E98A2"/>
      <rgbColor rgb="FF0D3C61"/>
      <rgbColor rgb="FF339966"/>
      <rgbColor rgb="FF003300"/>
      <rgbColor rgb="FF333300"/>
      <rgbColor rgb="FF993300"/>
      <rgbColor rgb="FF993366"/>
      <rgbColor rgb="FF333399"/>
      <rgbColor rgb="FF1D324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2.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3.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4.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5.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6.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7.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529200</xdr:colOff>
      <xdr:row>0</xdr:row>
      <xdr:rowOff>313920</xdr:rowOff>
    </xdr:to>
    <xdr:pic>
      <xdr:nvPicPr>
        <xdr:cNvPr id="0"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529200</xdr:colOff>
      <xdr:row>0</xdr:row>
      <xdr:rowOff>313920</xdr:rowOff>
    </xdr:to>
    <xdr:pic>
      <xdr:nvPicPr>
        <xdr:cNvPr id="1"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529200</xdr:colOff>
      <xdr:row>0</xdr:row>
      <xdr:rowOff>313920</xdr:rowOff>
    </xdr:to>
    <xdr:pic>
      <xdr:nvPicPr>
        <xdr:cNvPr id="2"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85320</xdr:colOff>
      <xdr:row>0</xdr:row>
      <xdr:rowOff>313920</xdr:rowOff>
    </xdr:to>
    <xdr:pic>
      <xdr:nvPicPr>
        <xdr:cNvPr id="3"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4"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247320</xdr:colOff>
      <xdr:row>0</xdr:row>
      <xdr:rowOff>313920</xdr:rowOff>
    </xdr:to>
    <xdr:pic>
      <xdr:nvPicPr>
        <xdr:cNvPr id="5"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6"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7.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S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3" ySplit="7" topLeftCell="D8" activePane="bottomRight" state="frozen"/>
      <selection pane="topLeft" activeCell="A1" activeCellId="0" sqref="A1"/>
      <selection pane="topRight" activeCell="D1" activeCellId="0" sqref="D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6"/>
    <col collapsed="false" customWidth="true" hidden="false" outlineLevel="0" max="3" min="3" style="0" width="15"/>
    <col collapsed="false" customWidth="true" hidden="false" outlineLevel="0" max="4" min="4" style="0" width="14.51"/>
    <col collapsed="false" customWidth="true" hidden="false" outlineLevel="0" max="5" min="5" style="0" width="14"/>
    <col collapsed="false" customWidth="true" hidden="false" outlineLevel="0" max="6" min="6" style="0" width="11.5"/>
    <col collapsed="false" customWidth="true" hidden="false" outlineLevel="0" max="7" min="7" style="0" width="13"/>
    <col collapsed="false" customWidth="true" hidden="false" outlineLevel="0" max="8" min="8" style="0" width="26.5"/>
    <col collapsed="false" customWidth="true" hidden="false" outlineLevel="0" max="9" min="9" style="0" width="16"/>
    <col collapsed="false" customWidth="true" hidden="false" outlineLevel="0" max="11" min="10" style="0" width="8"/>
    <col collapsed="false" customWidth="true" hidden="false" outlineLevel="0" max="12" min="12" style="0" width="15.51"/>
    <col collapsed="false" customWidth="true" hidden="false" outlineLevel="0" max="14" min="13" style="0" width="18"/>
    <col collapsed="false" customWidth="true" hidden="false" outlineLevel="0" max="15" min="15" style="0" width="17.5"/>
    <col collapsed="false" customWidth="true" hidden="false" outlineLevel="0" max="16" min="16" style="0" width="11"/>
    <col collapsed="false" customWidth="true" hidden="false" outlineLevel="0" max="17" min="17" style="0" width="14"/>
    <col collapsed="false" customWidth="true" hidden="true" outlineLevel="0" max="19" min="18" style="0" width="10"/>
  </cols>
  <sheetData>
    <row r="1" customFormat="false" ht="33.75" hidden="false" customHeight="true" outlineLevel="0" collapsed="false">
      <c r="B1" s="1" t="s">
        <v>0</v>
      </c>
      <c r="C1" s="1"/>
      <c r="D1" s="1"/>
      <c r="E1" s="1"/>
      <c r="F1" s="1"/>
      <c r="G1" s="1"/>
      <c r="H1" s="1"/>
      <c r="I1" s="1"/>
      <c r="J1" s="1"/>
      <c r="K1" s="1"/>
      <c r="L1" s="1"/>
      <c r="M1" s="1"/>
      <c r="N1" s="1"/>
      <c r="O1" s="1"/>
      <c r="P1" s="1"/>
      <c r="Q1" s="1"/>
    </row>
    <row r="2" customFormat="false" ht="4.5" hidden="false" customHeight="true" outlineLevel="0" collapsed="false">
      <c r="B2" s="2"/>
      <c r="C2" s="2"/>
      <c r="D2" s="2"/>
      <c r="E2" s="2"/>
      <c r="F2" s="2"/>
      <c r="G2" s="2"/>
      <c r="H2" s="2"/>
      <c r="I2" s="2"/>
      <c r="J2" s="2"/>
      <c r="K2" s="2"/>
      <c r="L2" s="2"/>
      <c r="M2" s="2"/>
      <c r="N2" s="2"/>
      <c r="O2" s="2"/>
      <c r="P2" s="2"/>
      <c r="Q2" s="2"/>
    </row>
    <row r="3" customFormat="false" ht="16.5" hidden="false" customHeight="true" outlineLevel="0" collapsed="false">
      <c r="B3" s="3" t="str">
        <f aca="false">""</f>
        <v/>
      </c>
      <c r="C3" s="3"/>
      <c r="D3" s="3"/>
      <c r="E3" s="3"/>
      <c r="F3" s="3"/>
      <c r="G3" s="3"/>
      <c r="H3" s="3"/>
      <c r="I3" s="3"/>
      <c r="J3" s="3"/>
      <c r="K3" s="3"/>
      <c r="L3" s="3"/>
      <c r="M3" s="3"/>
      <c r="N3" s="3"/>
      <c r="O3" s="3"/>
      <c r="P3" s="3"/>
      <c r="Q3" s="3"/>
    </row>
    <row r="4" customFormat="false" ht="25.5" hidden="false" customHeight="true" outlineLevel="0" collapsed="false">
      <c r="B4" s="4" t="s">
        <v>1</v>
      </c>
      <c r="C4" s="4"/>
      <c r="D4" s="4"/>
      <c r="E4" s="4"/>
      <c r="F4" s="4"/>
      <c r="G4" s="4"/>
      <c r="H4" s="4"/>
      <c r="I4" s="4"/>
      <c r="J4" s="4"/>
      <c r="K4" s="4"/>
      <c r="L4" s="4"/>
      <c r="M4" s="4"/>
      <c r="N4" s="4"/>
      <c r="O4" s="4"/>
      <c r="P4" s="4"/>
      <c r="Q4" s="4"/>
    </row>
    <row r="6" customFormat="false" ht="21.75" hidden="false" customHeight="true" outlineLevel="0" collapsed="false">
      <c r="B6" s="5" t="s">
        <v>2</v>
      </c>
      <c r="C6" s="5"/>
      <c r="D6" s="5"/>
      <c r="E6" s="5"/>
      <c r="F6" s="5"/>
      <c r="G6" s="5"/>
      <c r="H6" s="5"/>
      <c r="I6" s="5"/>
      <c r="J6" s="5"/>
      <c r="K6" s="5"/>
      <c r="L6" s="5"/>
      <c r="M6" s="5"/>
      <c r="N6" s="5"/>
      <c r="O6" s="5"/>
      <c r="P6" s="5"/>
      <c r="Q6" s="5"/>
    </row>
    <row r="7" customFormat="false" ht="47.25" hidden="false" customHeight="true" outlineLevel="0" collapsed="false">
      <c r="B7" s="6" t="s">
        <v>3</v>
      </c>
      <c r="C7" s="6" t="s">
        <v>4</v>
      </c>
      <c r="D7" s="6" t="s">
        <v>5</v>
      </c>
      <c r="E7" s="6" t="s">
        <v>6</v>
      </c>
      <c r="F7" s="6" t="s">
        <v>7</v>
      </c>
      <c r="G7" s="6" t="s">
        <v>8</v>
      </c>
      <c r="H7" s="6" t="s">
        <v>9</v>
      </c>
      <c r="I7" s="6" t="s">
        <v>10</v>
      </c>
      <c r="J7" s="6" t="s">
        <v>11</v>
      </c>
      <c r="K7" s="6" t="s">
        <v>12</v>
      </c>
      <c r="L7" s="6" t="s">
        <v>13</v>
      </c>
      <c r="M7" s="6" t="s">
        <v>14</v>
      </c>
      <c r="N7" s="6" t="s">
        <v>15</v>
      </c>
      <c r="O7" s="6" t="s">
        <v>16</v>
      </c>
      <c r="P7" s="6" t="s">
        <v>17</v>
      </c>
      <c r="Q7" s="6" t="s">
        <v>18</v>
      </c>
    </row>
    <row r="8" customFormat="false" ht="100.5" hidden="false" customHeight="true" outlineLevel="0" collapsed="false">
      <c r="B8" s="7" t="s">
        <v>19</v>
      </c>
      <c r="C8" s="8" t="s">
        <v>20</v>
      </c>
      <c r="D8" s="8" t="s">
        <v>21</v>
      </c>
      <c r="E8" s="8" t="s">
        <v>22</v>
      </c>
      <c r="F8" s="9" t="s">
        <v>23</v>
      </c>
      <c r="G8" s="8" t="s">
        <v>24</v>
      </c>
      <c r="H8" s="9" t="s">
        <v>25</v>
      </c>
      <c r="I8" s="9" t="s">
        <v>26</v>
      </c>
      <c r="J8" s="10" t="n">
        <v>5</v>
      </c>
      <c r="K8" s="10" t="n">
        <v>3</v>
      </c>
      <c r="L8" s="11" t="str">
        <f aca="false">IF(OR($J8="",$K8=""),"",IF($J8&gt;=4,IF($K8&gt;=4,"Manage closely","Keep satisfied"),IF($K8&gt;=4,"Keep informed","Monitor")))</f>
        <v>Keep satisfied</v>
      </c>
      <c r="M8" s="8" t="s">
        <v>27</v>
      </c>
      <c r="N8" s="8" t="s">
        <v>28</v>
      </c>
      <c r="O8" s="9" t="s">
        <v>29</v>
      </c>
      <c r="P8" s="9" t="s">
        <v>30</v>
      </c>
      <c r="Q8" s="12" t="str">
        <f aca="false">IF($C8="","",IF($O8="","No owner named",IF(AND($F8="Statutory",COUNTIF(Consents!$B$8:$B$22,$B8)=0),"Statutory, but no consent recorded",IF(COUNTIF(Engagement!$B$8:$B$32,$B8)=0,"Not on the Engagement sheet",IF(AND($J8&gt;=4,$K8&lt;=2),"High influence, low interest - brief them","OK")))))</f>
        <v>OK</v>
      </c>
      <c r="R8" s="11" t="str">
        <f aca="false">IF($B8="","",IFERROR(INDEX(Engagement!$G$8:$G$32,MATCH($B8,Engagement!$B$8:$B$32,0)),""))</f>
        <v>At target</v>
      </c>
      <c r="S8" s="11" t="n">
        <f aca="false">IF($B8="",0,IFERROR(N(INDEX(Engagement!$M$8:$M$32,MATCH($B8,Engagement!$B$8:$B$32,0))),0))</f>
        <v>-18</v>
      </c>
    </row>
    <row r="9" customFormat="false" ht="76.5" hidden="false" customHeight="true" outlineLevel="0" collapsed="false">
      <c r="B9" s="7" t="s">
        <v>31</v>
      </c>
      <c r="C9" s="8" t="s">
        <v>32</v>
      </c>
      <c r="D9" s="8" t="s">
        <v>21</v>
      </c>
      <c r="E9" s="8" t="s">
        <v>33</v>
      </c>
      <c r="F9" s="9" t="s">
        <v>23</v>
      </c>
      <c r="G9" s="8" t="s">
        <v>24</v>
      </c>
      <c r="H9" s="9" t="s">
        <v>34</v>
      </c>
      <c r="I9" s="9" t="s">
        <v>35</v>
      </c>
      <c r="J9" s="10" t="n">
        <v>5</v>
      </c>
      <c r="K9" s="10" t="n">
        <v>5</v>
      </c>
      <c r="L9" s="11" t="str">
        <f aca="false">IF(OR($J9="",$K9=""),"",IF($J9&gt;=4,IF($K9&gt;=4,"Manage closely","Keep satisfied"),IF($K9&gt;=4,"Keep informed","Monitor")))</f>
        <v>Manage closely</v>
      </c>
      <c r="M9" s="8" t="s">
        <v>36</v>
      </c>
      <c r="N9" s="8" t="s">
        <v>37</v>
      </c>
      <c r="O9" s="9" t="s">
        <v>29</v>
      </c>
      <c r="P9" s="9" t="s">
        <v>30</v>
      </c>
      <c r="Q9" s="12" t="str">
        <f aca="false">IF($C9="","",IF($O9="","No owner named",IF(AND($F9="Statutory",COUNTIF(Consents!$B$8:$B$22,$B9)=0),"Statutory, but no consent recorded",IF(COUNTIF(Engagement!$B$8:$B$32,$B9)=0,"Not on the Engagement sheet",IF(AND($J9&gt;=4,$K9&lt;=2),"High influence, low interest - brief them","OK")))))</f>
        <v>OK</v>
      </c>
      <c r="R9" s="11" t="str">
        <f aca="false">IF($B9="","",IFERROR(INDEX(Engagement!$G$8:$G$32,MATCH($B9,Engagement!$B$8:$B$32,0)),""))</f>
        <v>At target</v>
      </c>
      <c r="S9" s="11" t="n">
        <f aca="false">IF($B9="",0,IFERROR(N(INDEX(Engagement!$M$8:$M$32,MATCH($B9,Engagement!$B$8:$B$32,0))),0))</f>
        <v>-4</v>
      </c>
    </row>
    <row r="10" customFormat="false" ht="64.5" hidden="false" customHeight="true" outlineLevel="0" collapsed="false">
      <c r="B10" s="7" t="s">
        <v>38</v>
      </c>
      <c r="C10" s="8" t="s">
        <v>39</v>
      </c>
      <c r="D10" s="8" t="s">
        <v>21</v>
      </c>
      <c r="E10" s="8" t="s">
        <v>40</v>
      </c>
      <c r="F10" s="9" t="s">
        <v>23</v>
      </c>
      <c r="G10" s="8" t="s">
        <v>24</v>
      </c>
      <c r="H10" s="9" t="s">
        <v>41</v>
      </c>
      <c r="I10" s="9" t="s">
        <v>42</v>
      </c>
      <c r="J10" s="10" t="n">
        <v>4</v>
      </c>
      <c r="K10" s="10" t="n">
        <v>3</v>
      </c>
      <c r="L10" s="11" t="str">
        <f aca="false">IF(OR($J10="",$K10=""),"",IF($J10&gt;=4,IF($K10&gt;=4,"Manage closely","Keep satisfied"),IF($K10&gt;=4,"Keep informed","Monitor")))</f>
        <v>Keep satisfied</v>
      </c>
      <c r="M10" s="8" t="s">
        <v>43</v>
      </c>
      <c r="N10" s="8" t="s">
        <v>44</v>
      </c>
      <c r="O10" s="9" t="s">
        <v>45</v>
      </c>
      <c r="P10" s="9" t="s">
        <v>30</v>
      </c>
      <c r="Q10" s="12" t="str">
        <f aca="false">IF($C10="","",IF($O10="","No owner named",IF(AND($F10="Statutory",COUNTIF(Consents!$B$8:$B$22,$B10)=0),"Statutory, but no consent recorded",IF(COUNTIF(Engagement!$B$8:$B$32,$B10)=0,"Not on the Engagement sheet",IF(AND($J10&gt;=4,$K10&lt;=2),"High influence, low interest - brief them","OK")))))</f>
        <v>OK</v>
      </c>
      <c r="R10" s="11" t="str">
        <f aca="false">IF($B10="","",IFERROR(INDEX(Engagement!$G$8:$G$32,MATCH($B10,Engagement!$B$8:$B$32,0)),""))</f>
        <v>At target</v>
      </c>
      <c r="S10" s="11" t="n">
        <f aca="false">IF($B10="",0,IFERROR(N(INDEX(Engagement!$M$8:$M$32,MATCH($B10,Engagement!$B$8:$B$32,0))),0))</f>
        <v>-22</v>
      </c>
    </row>
    <row r="11" customFormat="false" ht="76.5" hidden="false" customHeight="true" outlineLevel="0" collapsed="false">
      <c r="B11" s="7" t="s">
        <v>46</v>
      </c>
      <c r="C11" s="8" t="s">
        <v>47</v>
      </c>
      <c r="D11" s="8" t="s">
        <v>48</v>
      </c>
      <c r="E11" s="8" t="s">
        <v>49</v>
      </c>
      <c r="F11" s="9" t="s">
        <v>50</v>
      </c>
      <c r="G11" s="8" t="s">
        <v>51</v>
      </c>
      <c r="H11" s="9" t="s">
        <v>52</v>
      </c>
      <c r="I11" s="9" t="s">
        <v>53</v>
      </c>
      <c r="J11" s="10" t="n">
        <v>5</v>
      </c>
      <c r="K11" s="10" t="n">
        <v>4</v>
      </c>
      <c r="L11" s="11" t="str">
        <f aca="false">IF(OR($J11="",$K11=""),"",IF($J11&gt;=4,IF($K11&gt;=4,"Manage closely","Keep satisfied"),IF($K11&gt;=4,"Keep informed","Monitor")))</f>
        <v>Manage closely</v>
      </c>
      <c r="M11" s="8" t="s">
        <v>54</v>
      </c>
      <c r="N11" s="8" t="s">
        <v>55</v>
      </c>
      <c r="O11" s="9" t="s">
        <v>56</v>
      </c>
      <c r="P11" s="9" t="s">
        <v>30</v>
      </c>
      <c r="Q11" s="12" t="str">
        <f aca="false">IF($C11="","",IF($O11="","No owner named",IF(AND($F11="Statutory",COUNTIF(Consents!$B$8:$B$22,$B11)=0),"Statutory, but no consent recorded",IF(COUNTIF(Engagement!$B$8:$B$32,$B11)=0,"Not on the Engagement sheet",IF(AND($J11&gt;=4,$K11&lt;=2),"High influence, low interest - brief them","OK")))))</f>
        <v>OK</v>
      </c>
      <c r="R11" s="11" t="str">
        <f aca="false">IF($B11="","",IFERROR(INDEX(Engagement!$G$8:$G$32,MATCH($B11,Engagement!$B$8:$B$32,0)),""))</f>
        <v>MOVE +1 level</v>
      </c>
      <c r="S11" s="11" t="n">
        <f aca="false">IF($B11="",0,IFERROR(N(INDEX(Engagement!$M$8:$M$32,MATCH($B11,Engagement!$B$8:$B$32,0))),0))</f>
        <v>-14</v>
      </c>
    </row>
    <row r="12" customFormat="false" ht="64.5" hidden="false" customHeight="true" outlineLevel="0" collapsed="false">
      <c r="B12" s="7" t="s">
        <v>57</v>
      </c>
      <c r="C12" s="8" t="s">
        <v>47</v>
      </c>
      <c r="D12" s="8" t="s">
        <v>58</v>
      </c>
      <c r="E12" s="8" t="s">
        <v>59</v>
      </c>
      <c r="F12" s="9" t="s">
        <v>50</v>
      </c>
      <c r="G12" s="8" t="s">
        <v>51</v>
      </c>
      <c r="H12" s="9" t="s">
        <v>60</v>
      </c>
      <c r="I12" s="9" t="s">
        <v>61</v>
      </c>
      <c r="J12" s="10" t="n">
        <v>5</v>
      </c>
      <c r="K12" s="10" t="n">
        <v>3</v>
      </c>
      <c r="L12" s="11" t="str">
        <f aca="false">IF(OR($J12="",$K12=""),"",IF($J12&gt;=4,IF($K12&gt;=4,"Manage closely","Keep satisfied"),IF($K12&gt;=4,"Keep informed","Monitor")))</f>
        <v>Keep satisfied</v>
      </c>
      <c r="M12" s="8" t="s">
        <v>62</v>
      </c>
      <c r="N12" s="8" t="s">
        <v>63</v>
      </c>
      <c r="O12" s="9" t="s">
        <v>56</v>
      </c>
      <c r="P12" s="9" t="s">
        <v>30</v>
      </c>
      <c r="Q12" s="12" t="str">
        <f aca="false">IF($C12="","",IF($O12="","No owner named",IF(AND($F12="Statutory",COUNTIF(Consents!$B$8:$B$22,$B12)=0),"Statutory, but no consent recorded",IF(COUNTIF(Engagement!$B$8:$B$32,$B12)=0,"Not on the Engagement sheet",IF(AND($J12&gt;=4,$K12&lt;=2),"High influence, low interest - brief them","OK")))))</f>
        <v>OK</v>
      </c>
      <c r="R12" s="11" t="str">
        <f aca="false">IF($B12="","",IFERROR(INDEX(Engagement!$G$8:$G$32,MATCH($B12,Engagement!$B$8:$B$32,0)),""))</f>
        <v>At target</v>
      </c>
      <c r="S12" s="11" t="n">
        <f aca="false">IF($B12="",0,IFERROR(N(INDEX(Engagement!$M$8:$M$32,MATCH($B12,Engagement!$B$8:$B$32,0))),0))</f>
        <v>-29</v>
      </c>
    </row>
    <row r="13" customFormat="false" ht="76.5" hidden="false" customHeight="true" outlineLevel="0" collapsed="false">
      <c r="B13" s="7" t="s">
        <v>64</v>
      </c>
      <c r="C13" s="8" t="s">
        <v>65</v>
      </c>
      <c r="D13" s="8" t="s">
        <v>66</v>
      </c>
      <c r="E13" s="8" t="s">
        <v>67</v>
      </c>
      <c r="F13" s="9" t="s">
        <v>50</v>
      </c>
      <c r="G13" s="8" t="s">
        <v>51</v>
      </c>
      <c r="H13" s="9" t="s">
        <v>68</v>
      </c>
      <c r="I13" s="9" t="s">
        <v>69</v>
      </c>
      <c r="J13" s="10" t="n">
        <v>5</v>
      </c>
      <c r="K13" s="10" t="n">
        <v>3</v>
      </c>
      <c r="L13" s="11" t="str">
        <f aca="false">IF(OR($J13="",$K13=""),"",IF($J13&gt;=4,IF($K13&gt;=4,"Manage closely","Keep satisfied"),IF($K13&gt;=4,"Keep informed","Monitor")))</f>
        <v>Keep satisfied</v>
      </c>
      <c r="M13" s="8" t="s">
        <v>70</v>
      </c>
      <c r="N13" s="8" t="s">
        <v>71</v>
      </c>
      <c r="O13" s="9" t="s">
        <v>56</v>
      </c>
      <c r="P13" s="9" t="s">
        <v>30</v>
      </c>
      <c r="Q13" s="12" t="str">
        <f aca="false">IF($C13="","",IF($O13="","No owner named",IF(AND($F13="Statutory",COUNTIF(Consents!$B$8:$B$22,$B13)=0),"Statutory, but no consent recorded",IF(COUNTIF(Engagement!$B$8:$B$32,$B13)=0,"Not on the Engagement sheet",IF(AND($J13&gt;=4,$K13&lt;=2),"High influence, low interest - brief them","OK")))))</f>
        <v>OK</v>
      </c>
      <c r="R13" s="11" t="str">
        <f aca="false">IF($B13="","",IFERROR(INDEX(Engagement!$G$8:$G$32,MATCH($B13,Engagement!$B$8:$B$32,0)),""))</f>
        <v>MOVE +1 level</v>
      </c>
      <c r="S13" s="11" t="n">
        <f aca="false">IF($B13="",0,IFERROR(N(INDEX(Engagement!$M$8:$M$32,MATCH($B13,Engagement!$B$8:$B$32,0))),0))</f>
        <v>-7</v>
      </c>
    </row>
    <row r="14" customFormat="false" ht="76.5" hidden="false" customHeight="true" outlineLevel="0" collapsed="false">
      <c r="B14" s="7" t="s">
        <v>72</v>
      </c>
      <c r="C14" s="8" t="s">
        <v>73</v>
      </c>
      <c r="D14" s="8" t="s">
        <v>74</v>
      </c>
      <c r="E14" s="8" t="s">
        <v>75</v>
      </c>
      <c r="F14" s="9" t="s">
        <v>50</v>
      </c>
      <c r="G14" s="8" t="s">
        <v>51</v>
      </c>
      <c r="H14" s="9" t="s">
        <v>76</v>
      </c>
      <c r="I14" s="9" t="s">
        <v>77</v>
      </c>
      <c r="J14" s="10" t="n">
        <v>5</v>
      </c>
      <c r="K14" s="10" t="n">
        <v>2</v>
      </c>
      <c r="L14" s="11" t="str">
        <f aca="false">IF(OR($J14="",$K14=""),"",IF($J14&gt;=4,IF($K14&gt;=4,"Manage closely","Keep satisfied"),IF($K14&gt;=4,"Keep informed","Monitor")))</f>
        <v>Keep satisfied</v>
      </c>
      <c r="M14" s="8" t="s">
        <v>78</v>
      </c>
      <c r="N14" s="8" t="s">
        <v>79</v>
      </c>
      <c r="O14" s="9" t="s">
        <v>80</v>
      </c>
      <c r="P14" s="9" t="s">
        <v>30</v>
      </c>
      <c r="Q14" s="12" t="str">
        <f aca="false">IF($C14="","",IF($O14="","No owner named",IF(AND($F14="Statutory",COUNTIF(Consents!$B$8:$B$22,$B14)=0),"Statutory, but no consent recorded",IF(COUNTIF(Engagement!$B$8:$B$32,$B14)=0,"Not on the Engagement sheet",IF(AND($J14&gt;=4,$K14&lt;=2),"High influence, low interest - brief them","OK")))))</f>
        <v>High influence, low interest - brief them</v>
      </c>
      <c r="R14" s="11" t="str">
        <f aca="false">IF($B14="","",IFERROR(INDEX(Engagement!$G$8:$G$32,MATCH($B14,Engagement!$B$8:$B$32,0)),""))</f>
        <v>MOVE +1 level</v>
      </c>
      <c r="S14" s="11" t="n">
        <f aca="false">IF($B14="",0,IFERROR(N(INDEX(Engagement!$M$8:$M$32,MATCH($B14,Engagement!$B$8:$B$32,0))),0))</f>
        <v>-13</v>
      </c>
    </row>
    <row r="15" customFormat="false" ht="100.5" hidden="false" customHeight="true" outlineLevel="0" collapsed="false">
      <c r="B15" s="7" t="s">
        <v>81</v>
      </c>
      <c r="C15" s="8" t="s">
        <v>82</v>
      </c>
      <c r="D15" s="8" t="s">
        <v>83</v>
      </c>
      <c r="E15" s="8" t="s">
        <v>84</v>
      </c>
      <c r="F15" s="9" t="s">
        <v>50</v>
      </c>
      <c r="G15" s="8" t="s">
        <v>51</v>
      </c>
      <c r="H15" s="9" t="s">
        <v>85</v>
      </c>
      <c r="I15" s="9" t="s">
        <v>86</v>
      </c>
      <c r="J15" s="10" t="n">
        <v>4</v>
      </c>
      <c r="K15" s="10" t="n">
        <v>2</v>
      </c>
      <c r="L15" s="11" t="str">
        <f aca="false">IF(OR($J15="",$K15=""),"",IF($J15&gt;=4,IF($K15&gt;=4,"Manage closely","Keep satisfied"),IF($K15&gt;=4,"Keep informed","Monitor")))</f>
        <v>Keep satisfied</v>
      </c>
      <c r="M15" s="8" t="s">
        <v>87</v>
      </c>
      <c r="N15" s="8" t="s">
        <v>88</v>
      </c>
      <c r="O15" s="9" t="s">
        <v>80</v>
      </c>
      <c r="P15" s="9" t="s">
        <v>30</v>
      </c>
      <c r="Q15" s="12" t="str">
        <f aca="false">IF($C15="","",IF($O15="","No owner named",IF(AND($F15="Statutory",COUNTIF(Consents!$B$8:$B$22,$B15)=0),"Statutory, but no consent recorded",IF(COUNTIF(Engagement!$B$8:$B$32,$B15)=0,"Not on the Engagement sheet",IF(AND($J15&gt;=4,$K15&lt;=2),"High influence, low interest - brief them","OK")))))</f>
        <v>High influence, low interest - brief them</v>
      </c>
      <c r="R15" s="11" t="str">
        <f aca="false">IF($B15="","",IFERROR(INDEX(Engagement!$G$8:$G$32,MATCH($B15,Engagement!$B$8:$B$32,0)),""))</f>
        <v>MOVE +1 level</v>
      </c>
      <c r="S15" s="11" t="n">
        <f aca="false">IF($B15="",0,IFERROR(N(INDEX(Engagement!$M$8:$M$32,MATCH($B15,Engagement!$B$8:$B$32,0))),0))</f>
        <v>16</v>
      </c>
    </row>
    <row r="16" customFormat="false" ht="76.5" hidden="false" customHeight="true" outlineLevel="0" collapsed="false">
      <c r="B16" s="7" t="s">
        <v>89</v>
      </c>
      <c r="C16" s="8" t="s">
        <v>90</v>
      </c>
      <c r="D16" s="8" t="s">
        <v>91</v>
      </c>
      <c r="E16" s="8" t="s">
        <v>92</v>
      </c>
      <c r="F16" s="9" t="s">
        <v>50</v>
      </c>
      <c r="G16" s="8" t="s">
        <v>51</v>
      </c>
      <c r="H16" s="9" t="s">
        <v>93</v>
      </c>
      <c r="I16" s="9" t="s">
        <v>94</v>
      </c>
      <c r="J16" s="10" t="n">
        <v>5</v>
      </c>
      <c r="K16" s="10" t="n">
        <v>4</v>
      </c>
      <c r="L16" s="11" t="str">
        <f aca="false">IF(OR($J16="",$K16=""),"",IF($J16&gt;=4,IF($K16&gt;=4,"Manage closely","Keep satisfied"),IF($K16&gt;=4,"Keep informed","Monitor")))</f>
        <v>Manage closely</v>
      </c>
      <c r="M16" s="8" t="s">
        <v>95</v>
      </c>
      <c r="N16" s="8" t="s">
        <v>96</v>
      </c>
      <c r="O16" s="9" t="s">
        <v>29</v>
      </c>
      <c r="P16" s="9" t="s">
        <v>30</v>
      </c>
      <c r="Q16" s="12" t="str">
        <f aca="false">IF($C16="","",IF($O16="","No owner named",IF(AND($F16="Statutory",COUNTIF(Consents!$B$8:$B$22,$B16)=0),"Statutory, but no consent recorded",IF(COUNTIF(Engagement!$B$8:$B$32,$B16)=0,"Not on the Engagement sheet",IF(AND($J16&gt;=4,$K16&lt;=2),"High influence, low interest - brief them","OK")))))</f>
        <v>OK</v>
      </c>
      <c r="R16" s="11" t="str">
        <f aca="false">IF($B16="","",IFERROR(INDEX(Engagement!$G$8:$G$32,MATCH($B16,Engagement!$B$8:$B$32,0)),""))</f>
        <v>At target</v>
      </c>
      <c r="S16" s="11" t="n">
        <f aca="false">IF($B16="",0,IFERROR(N(INDEX(Engagement!$M$8:$M$32,MATCH($B16,Engagement!$B$8:$B$32,0))),0))</f>
        <v>-39</v>
      </c>
    </row>
    <row r="17" customFormat="false" ht="112.5" hidden="false" customHeight="true" outlineLevel="0" collapsed="false">
      <c r="B17" s="7" t="s">
        <v>97</v>
      </c>
      <c r="C17" s="8" t="s">
        <v>98</v>
      </c>
      <c r="D17" s="8" t="s">
        <v>99</v>
      </c>
      <c r="E17" s="8" t="s">
        <v>100</v>
      </c>
      <c r="F17" s="9" t="s">
        <v>101</v>
      </c>
      <c r="G17" s="8" t="s">
        <v>102</v>
      </c>
      <c r="H17" s="9" t="s">
        <v>103</v>
      </c>
      <c r="I17" s="9" t="s">
        <v>104</v>
      </c>
      <c r="J17" s="10" t="n">
        <v>4</v>
      </c>
      <c r="K17" s="10" t="n">
        <v>3</v>
      </c>
      <c r="L17" s="11" t="str">
        <f aca="false">IF(OR($J17="",$K17=""),"",IF($J17&gt;=4,IF($K17&gt;=4,"Manage closely","Keep satisfied"),IF($K17&gt;=4,"Keep informed","Monitor")))</f>
        <v>Keep satisfied</v>
      </c>
      <c r="M17" s="8" t="s">
        <v>105</v>
      </c>
      <c r="N17" s="8" t="s">
        <v>106</v>
      </c>
      <c r="O17" s="9" t="s">
        <v>107</v>
      </c>
      <c r="P17" s="9" t="s">
        <v>30</v>
      </c>
      <c r="Q17" s="12" t="str">
        <f aca="false">IF($C17="","",IF($O17="","No owner named",IF(AND($F17="Statutory",COUNTIF(Consents!$B$8:$B$22,$B17)=0),"Statutory, but no consent recorded",IF(COUNTIF(Engagement!$B$8:$B$32,$B17)=0,"Not on the Engagement sheet",IF(AND($J17&gt;=4,$K17&lt;=2),"High influence, low interest - brief them","OK")))))</f>
        <v>OK</v>
      </c>
      <c r="R17" s="11" t="str">
        <f aca="false">IF($B17="","",IFERROR(INDEX(Engagement!$G$8:$G$32,MATCH($B17,Engagement!$B$8:$B$32,0)),""))</f>
        <v>MOVE +1 level</v>
      </c>
      <c r="S17" s="11" t="n">
        <f aca="false">IF($B17="",0,IFERROR(N(INDEX(Engagement!$M$8:$M$32,MATCH($B17,Engagement!$B$8:$B$32,0))),0))</f>
        <v>-25</v>
      </c>
    </row>
    <row r="18" customFormat="false" ht="76.5" hidden="false" customHeight="true" outlineLevel="0" collapsed="false">
      <c r="B18" s="7" t="s">
        <v>108</v>
      </c>
      <c r="C18" s="8" t="s">
        <v>109</v>
      </c>
      <c r="D18" s="8" t="s">
        <v>21</v>
      </c>
      <c r="E18" s="8" t="s">
        <v>110</v>
      </c>
      <c r="F18" s="9" t="s">
        <v>23</v>
      </c>
      <c r="G18" s="8" t="s">
        <v>111</v>
      </c>
      <c r="H18" s="9" t="s">
        <v>112</v>
      </c>
      <c r="I18" s="9" t="s">
        <v>113</v>
      </c>
      <c r="J18" s="10" t="n">
        <v>4</v>
      </c>
      <c r="K18" s="10" t="n">
        <v>2</v>
      </c>
      <c r="L18" s="11" t="str">
        <f aca="false">IF(OR($J18="",$K18=""),"",IF($J18&gt;=4,IF($K18&gt;=4,"Manage closely","Keep satisfied"),IF($K18&gt;=4,"Keep informed","Monitor")))</f>
        <v>Keep satisfied</v>
      </c>
      <c r="M18" s="8" t="s">
        <v>114</v>
      </c>
      <c r="N18" s="8" t="s">
        <v>115</v>
      </c>
      <c r="O18" s="9" t="s">
        <v>107</v>
      </c>
      <c r="P18" s="9" t="s">
        <v>30</v>
      </c>
      <c r="Q18" s="12" t="str">
        <f aca="false">IF($C18="","",IF($O18="","No owner named",IF(AND($F18="Statutory",COUNTIF(Consents!$B$8:$B$22,$B18)=0),"Statutory, but no consent recorded",IF(COUNTIF(Engagement!$B$8:$B$32,$B18)=0,"Not on the Engagement sheet",IF(AND($J18&gt;=4,$K18&lt;=2),"High influence, low interest - brief them","OK")))))</f>
        <v>High influence, low interest - brief them</v>
      </c>
      <c r="R18" s="11" t="str">
        <f aca="false">IF($B18="","",IFERROR(INDEX(Engagement!$G$8:$G$32,MATCH($B18,Engagement!$B$8:$B$32,0)),""))</f>
        <v>MOVE +4 levels</v>
      </c>
      <c r="S18" s="11" t="n">
        <f aca="false">IF($B18="",0,IFERROR(N(INDEX(Engagement!$M$8:$M$32,MATCH($B18,Engagement!$B$8:$B$32,0))),0))</f>
        <v>-8</v>
      </c>
    </row>
    <row r="19" customFormat="false" ht="64.5" hidden="false" customHeight="true" outlineLevel="0" collapsed="false">
      <c r="B19" s="7" t="s">
        <v>116</v>
      </c>
      <c r="C19" s="8" t="s">
        <v>117</v>
      </c>
      <c r="D19" s="8" t="s">
        <v>118</v>
      </c>
      <c r="E19" s="8" t="s">
        <v>119</v>
      </c>
      <c r="F19" s="9" t="s">
        <v>101</v>
      </c>
      <c r="G19" s="8" t="s">
        <v>120</v>
      </c>
      <c r="H19" s="9" t="s">
        <v>121</v>
      </c>
      <c r="I19" s="9" t="s">
        <v>122</v>
      </c>
      <c r="J19" s="10" t="n">
        <v>3</v>
      </c>
      <c r="K19" s="10" t="n">
        <v>5</v>
      </c>
      <c r="L19" s="11" t="str">
        <f aca="false">IF(OR($J19="",$K19=""),"",IF($J19&gt;=4,IF($K19&gt;=4,"Manage closely","Keep satisfied"),IF($K19&gt;=4,"Keep informed","Monitor")))</f>
        <v>Keep informed</v>
      </c>
      <c r="M19" s="8" t="s">
        <v>123</v>
      </c>
      <c r="N19" s="8" t="s">
        <v>124</v>
      </c>
      <c r="O19" s="9" t="s">
        <v>125</v>
      </c>
      <c r="P19" s="9" t="s">
        <v>30</v>
      </c>
      <c r="Q19" s="12" t="str">
        <f aca="false">IF($C19="","",IF($O19="","No owner named",IF(AND($F19="Statutory",COUNTIF(Consents!$B$8:$B$22,$B19)=0),"Statutory, but no consent recorded",IF(COUNTIF(Engagement!$B$8:$B$32,$B19)=0,"Not on the Engagement sheet",IF(AND($J19&gt;=4,$K19&lt;=2),"High influence, low interest - brief them","OK")))))</f>
        <v>OK</v>
      </c>
      <c r="R19" s="11" t="str">
        <f aca="false">IF($B19="","",IFERROR(INDEX(Engagement!$G$8:$G$32,MATCH($B19,Engagement!$B$8:$B$32,0)),""))</f>
        <v>MOVE +1 level</v>
      </c>
      <c r="S19" s="11" t="n">
        <f aca="false">IF($B19="",0,IFERROR(N(INDEX(Engagement!$M$8:$M$32,MATCH($B19,Engagement!$B$8:$B$32,0))),0))</f>
        <v>-21</v>
      </c>
    </row>
    <row r="20" customFormat="false" ht="76.5" hidden="false" customHeight="true" outlineLevel="0" collapsed="false">
      <c r="B20" s="7" t="s">
        <v>126</v>
      </c>
      <c r="C20" s="8" t="s">
        <v>127</v>
      </c>
      <c r="D20" s="8" t="s">
        <v>128</v>
      </c>
      <c r="E20" s="8" t="s">
        <v>33</v>
      </c>
      <c r="F20" s="9" t="s">
        <v>101</v>
      </c>
      <c r="G20" s="8" t="s">
        <v>120</v>
      </c>
      <c r="H20" s="9" t="s">
        <v>129</v>
      </c>
      <c r="I20" s="9" t="s">
        <v>130</v>
      </c>
      <c r="J20" s="10" t="n">
        <v>3</v>
      </c>
      <c r="K20" s="10" t="n">
        <v>5</v>
      </c>
      <c r="L20" s="11" t="str">
        <f aca="false">IF(OR($J20="",$K20=""),"",IF($J20&gt;=4,IF($K20&gt;=4,"Manage closely","Keep satisfied"),IF($K20&gt;=4,"Keep informed","Monitor")))</f>
        <v>Keep informed</v>
      </c>
      <c r="M20" s="8" t="s">
        <v>131</v>
      </c>
      <c r="N20" s="8" t="s">
        <v>132</v>
      </c>
      <c r="O20" s="9" t="s">
        <v>125</v>
      </c>
      <c r="P20" s="9" t="s">
        <v>30</v>
      </c>
      <c r="Q20" s="12" t="str">
        <f aca="false">IF($C20="","",IF($O20="","No owner named",IF(AND($F20="Statutory",COUNTIF(Consents!$B$8:$B$22,$B20)=0),"Statutory, but no consent recorded",IF(COUNTIF(Engagement!$B$8:$B$32,$B20)=0,"Not on the Engagement sheet",IF(AND($J20&gt;=4,$K20&lt;=2),"High influence, low interest - brief them","OK")))))</f>
        <v>OK</v>
      </c>
      <c r="R20" s="11" t="str">
        <f aca="false">IF($B20="","",IFERROR(INDEX(Engagement!$G$8:$G$32,MATCH($B20,Engagement!$B$8:$B$32,0)),""))</f>
        <v>MOVE +1 level</v>
      </c>
      <c r="S20" s="11" t="n">
        <f aca="false">IF($B20="",0,IFERROR(N(INDEX(Engagement!$M$8:$M$32,MATCH($B20,Engagement!$B$8:$B$32,0))),0))</f>
        <v>-41</v>
      </c>
    </row>
    <row r="21" customFormat="false" ht="100.5" hidden="false" customHeight="true" outlineLevel="0" collapsed="false">
      <c r="B21" s="7" t="s">
        <v>133</v>
      </c>
      <c r="C21" s="8" t="s">
        <v>134</v>
      </c>
      <c r="D21" s="8" t="s">
        <v>135</v>
      </c>
      <c r="E21" s="8" t="s">
        <v>136</v>
      </c>
      <c r="F21" s="9" t="s">
        <v>101</v>
      </c>
      <c r="G21" s="8" t="s">
        <v>120</v>
      </c>
      <c r="H21" s="9" t="s">
        <v>137</v>
      </c>
      <c r="I21" s="9" t="s">
        <v>138</v>
      </c>
      <c r="J21" s="10" t="n">
        <v>3</v>
      </c>
      <c r="K21" s="10" t="n">
        <v>5</v>
      </c>
      <c r="L21" s="11" t="str">
        <f aca="false">IF(OR($J21="",$K21=""),"",IF($J21&gt;=4,IF($K21&gt;=4,"Manage closely","Keep satisfied"),IF($K21&gt;=4,"Keep informed","Monitor")))</f>
        <v>Keep informed</v>
      </c>
      <c r="M21" s="8" t="s">
        <v>139</v>
      </c>
      <c r="N21" s="8" t="s">
        <v>140</v>
      </c>
      <c r="O21" s="9" t="s">
        <v>125</v>
      </c>
      <c r="P21" s="9" t="s">
        <v>30</v>
      </c>
      <c r="Q21" s="12" t="str">
        <f aca="false">IF($C21="","",IF($O21="","No owner named",IF(AND($F21="Statutory",COUNTIF(Consents!$B$8:$B$22,$B21)=0),"Statutory, but no consent recorded",IF(COUNTIF(Engagement!$B$8:$B$32,$B21)=0,"Not on the Engagement sheet",IF(AND($J21&gt;=4,$K21&lt;=2),"High influence, low interest - brief them","OK")))))</f>
        <v>OK</v>
      </c>
      <c r="R21" s="11" t="str">
        <f aca="false">IF($B21="","",IFERROR(INDEX(Engagement!$G$8:$G$32,MATCH($B21,Engagement!$B$8:$B$32,0)),""))</f>
        <v>MOVE +2 levels</v>
      </c>
      <c r="S21" s="11" t="n">
        <f aca="false">IF($B21="",0,IFERROR(N(INDEX(Engagement!$M$8:$M$32,MATCH($B21,Engagement!$B$8:$B$32,0))),0))</f>
        <v>-26</v>
      </c>
    </row>
    <row r="22" customFormat="false" ht="76.5" hidden="false" customHeight="true" outlineLevel="0" collapsed="false">
      <c r="B22" s="7" t="s">
        <v>141</v>
      </c>
      <c r="C22" s="8" t="s">
        <v>142</v>
      </c>
      <c r="D22" s="8" t="s">
        <v>143</v>
      </c>
      <c r="E22" s="8" t="s">
        <v>144</v>
      </c>
      <c r="F22" s="9" t="s">
        <v>101</v>
      </c>
      <c r="G22" s="8" t="s">
        <v>120</v>
      </c>
      <c r="H22" s="9" t="s">
        <v>145</v>
      </c>
      <c r="I22" s="9" t="s">
        <v>146</v>
      </c>
      <c r="J22" s="10" t="n">
        <v>4</v>
      </c>
      <c r="K22" s="10" t="n">
        <v>4</v>
      </c>
      <c r="L22" s="11" t="str">
        <f aca="false">IF(OR($J22="",$K22=""),"",IF($J22&gt;=4,IF($K22&gt;=4,"Manage closely","Keep satisfied"),IF($K22&gt;=4,"Keep informed","Monitor")))</f>
        <v>Manage closely</v>
      </c>
      <c r="M22" s="8" t="s">
        <v>147</v>
      </c>
      <c r="N22" s="8" t="s">
        <v>148</v>
      </c>
      <c r="O22" s="9" t="s">
        <v>29</v>
      </c>
      <c r="P22" s="9" t="s">
        <v>30</v>
      </c>
      <c r="Q22" s="12" t="str">
        <f aca="false">IF($C22="","",IF($O22="","No owner named",IF(AND($F22="Statutory",COUNTIF(Consents!$B$8:$B$22,$B22)=0),"Statutory, but no consent recorded",IF(COUNTIF(Engagement!$B$8:$B$32,$B22)=0,"Not on the Engagement sheet",IF(AND($J22&gt;=4,$K22&lt;=2),"High influence, low interest - brief them","OK")))))</f>
        <v>OK</v>
      </c>
      <c r="R22" s="11" t="str">
        <f aca="false">IF($B22="","",IFERROR(INDEX(Engagement!$G$8:$G$32,MATCH($B22,Engagement!$B$8:$B$32,0)),""))</f>
        <v>MOVE +1 level</v>
      </c>
      <c r="S22" s="11" t="n">
        <f aca="false">IF($B22="",0,IFERROR(N(INDEX(Engagement!$M$8:$M$32,MATCH($B22,Engagement!$B$8:$B$32,0))),0))</f>
        <v>-19</v>
      </c>
    </row>
    <row r="23" customFormat="false" ht="76.5" hidden="false" customHeight="true" outlineLevel="0" collapsed="false">
      <c r="B23" s="7" t="s">
        <v>149</v>
      </c>
      <c r="C23" s="8" t="s">
        <v>150</v>
      </c>
      <c r="D23" s="8" t="s">
        <v>99</v>
      </c>
      <c r="E23" s="8" t="s">
        <v>151</v>
      </c>
      <c r="F23" s="9" t="s">
        <v>101</v>
      </c>
      <c r="G23" s="8" t="s">
        <v>102</v>
      </c>
      <c r="H23" s="9" t="s">
        <v>152</v>
      </c>
      <c r="I23" s="9" t="s">
        <v>153</v>
      </c>
      <c r="J23" s="10" t="n">
        <v>3</v>
      </c>
      <c r="K23" s="10" t="n">
        <v>3</v>
      </c>
      <c r="L23" s="11" t="str">
        <f aca="false">IF(OR($J23="",$K23=""),"",IF($J23&gt;=4,IF($K23&gt;=4,"Manage closely","Keep satisfied"),IF($K23&gt;=4,"Keep informed","Monitor")))</f>
        <v>Monitor</v>
      </c>
      <c r="M23" s="8" t="s">
        <v>154</v>
      </c>
      <c r="N23" s="8" t="s">
        <v>155</v>
      </c>
      <c r="O23" s="9" t="s">
        <v>107</v>
      </c>
      <c r="P23" s="9" t="s">
        <v>30</v>
      </c>
      <c r="Q23" s="12" t="str">
        <f aca="false">IF($C23="","",IF($O23="","No owner named",IF(AND($F23="Statutory",COUNTIF(Consents!$B$8:$B$22,$B23)=0),"Statutory, but no consent recorded",IF(COUNTIF(Engagement!$B$8:$B$32,$B23)=0,"Not on the Engagement sheet",IF(AND($J23&gt;=4,$K23&lt;=2),"High influence, low interest - brief them","OK")))))</f>
        <v>OK</v>
      </c>
      <c r="R23" s="11" t="str">
        <f aca="false">IF($B23="","",IFERROR(INDEX(Engagement!$G$8:$G$32,MATCH($B23,Engagement!$B$8:$B$32,0)),""))</f>
        <v>At target</v>
      </c>
      <c r="S23" s="11" t="n">
        <f aca="false">IF($B23="",0,IFERROR(N(INDEX(Engagement!$M$8:$M$32,MATCH($B23,Engagement!$B$8:$B$32,0))),0))</f>
        <v>-34</v>
      </c>
    </row>
    <row r="24" customFormat="false" ht="76.5" hidden="false" customHeight="true" outlineLevel="0" collapsed="false">
      <c r="B24" s="7" t="s">
        <v>156</v>
      </c>
      <c r="C24" s="8" t="s">
        <v>157</v>
      </c>
      <c r="D24" s="8" t="s">
        <v>158</v>
      </c>
      <c r="E24" s="8" t="s">
        <v>159</v>
      </c>
      <c r="F24" s="9" t="s">
        <v>101</v>
      </c>
      <c r="G24" s="8" t="s">
        <v>111</v>
      </c>
      <c r="H24" s="9" t="s">
        <v>160</v>
      </c>
      <c r="I24" s="9" t="s">
        <v>161</v>
      </c>
      <c r="J24" s="10" t="n">
        <v>3</v>
      </c>
      <c r="K24" s="10" t="n">
        <v>2</v>
      </c>
      <c r="L24" s="11" t="str">
        <f aca="false">IF(OR($J24="",$K24=""),"",IF($J24&gt;=4,IF($K24&gt;=4,"Manage closely","Keep satisfied"),IF($K24&gt;=4,"Keep informed","Monitor")))</f>
        <v>Monitor</v>
      </c>
      <c r="M24" s="8" t="s">
        <v>162</v>
      </c>
      <c r="N24" s="8" t="s">
        <v>163</v>
      </c>
      <c r="O24" s="9"/>
      <c r="P24" s="9" t="s">
        <v>30</v>
      </c>
      <c r="Q24" s="12" t="str">
        <f aca="false">IF($C24="","",IF($O24="","No owner named",IF(AND($F24="Statutory",COUNTIF(Consents!$B$8:$B$22,$B24)=0),"Statutory, but no consent recorded",IF(COUNTIF(Engagement!$B$8:$B$32,$B24)=0,"Not on the Engagement sheet",IF(AND($J24&gt;=4,$K24&lt;=2),"High influence, low interest - brief them","OK")))))</f>
        <v>No owner named</v>
      </c>
      <c r="R24" s="11" t="str">
        <f aca="false">IF($B24="","",IFERROR(INDEX(Engagement!$G$8:$G$32,MATCH($B24,Engagement!$B$8:$B$32,0)),""))</f>
        <v>MOVE +2 levels</v>
      </c>
      <c r="S24" s="11" t="n">
        <f aca="false">IF($B24="",0,IFERROR(N(INDEX(Engagement!$M$8:$M$32,MATCH($B24,Engagement!$B$8:$B$32,0))),0))</f>
        <v>-34</v>
      </c>
    </row>
    <row r="25" customFormat="false" ht="64.5" hidden="false" customHeight="true" outlineLevel="0" collapsed="false">
      <c r="B25" s="7" t="s">
        <v>164</v>
      </c>
      <c r="C25" s="8" t="s">
        <v>165</v>
      </c>
      <c r="D25" s="8" t="s">
        <v>166</v>
      </c>
      <c r="E25" s="8" t="s">
        <v>80</v>
      </c>
      <c r="F25" s="9" t="s">
        <v>101</v>
      </c>
      <c r="G25" s="8" t="s">
        <v>167</v>
      </c>
      <c r="H25" s="9" t="s">
        <v>168</v>
      </c>
      <c r="I25" s="9" t="s">
        <v>169</v>
      </c>
      <c r="J25" s="10" t="n">
        <v>4</v>
      </c>
      <c r="K25" s="10" t="n">
        <v>5</v>
      </c>
      <c r="L25" s="11" t="str">
        <f aca="false">IF(OR($J25="",$K25=""),"",IF($J25&gt;=4,IF($K25&gt;=4,"Manage closely","Keep satisfied"),IF($K25&gt;=4,"Keep informed","Monitor")))</f>
        <v>Manage closely</v>
      </c>
      <c r="M25" s="8" t="s">
        <v>170</v>
      </c>
      <c r="N25" s="8" t="s">
        <v>171</v>
      </c>
      <c r="O25" s="9" t="s">
        <v>107</v>
      </c>
      <c r="P25" s="9" t="s">
        <v>30</v>
      </c>
      <c r="Q25" s="12" t="str">
        <f aca="false">IF($C25="","",IF($O25="","No owner named",IF(AND($F25="Statutory",COUNTIF(Consents!$B$8:$B$22,$B25)=0),"Statutory, but no consent recorded",IF(COUNTIF(Engagement!$B$8:$B$32,$B25)=0,"Not on the Engagement sheet",IF(AND($J25&gt;=4,$K25&lt;=2),"High influence, low interest - brief them","OK")))))</f>
        <v>OK</v>
      </c>
      <c r="R25" s="11" t="str">
        <f aca="false">IF($B25="","",IFERROR(INDEX(Engagement!$G$8:$G$32,MATCH($B25,Engagement!$B$8:$B$32,0)),""))</f>
        <v>MOVE +1 level</v>
      </c>
      <c r="S25" s="11" t="n">
        <f aca="false">IF($B25="",0,IFERROR(N(INDEX(Engagement!$M$8:$M$32,MATCH($B25,Engagement!$B$8:$B$32,0))),0))</f>
        <v>-5</v>
      </c>
    </row>
    <row r="26" customFormat="false" ht="88.5" hidden="false" customHeight="true" outlineLevel="0" collapsed="false">
      <c r="B26" s="7" t="s">
        <v>172</v>
      </c>
      <c r="C26" s="8" t="s">
        <v>173</v>
      </c>
      <c r="D26" s="8" t="s">
        <v>174</v>
      </c>
      <c r="E26" s="8" t="s">
        <v>175</v>
      </c>
      <c r="F26" s="9" t="s">
        <v>101</v>
      </c>
      <c r="G26" s="8" t="s">
        <v>167</v>
      </c>
      <c r="H26" s="9" t="s">
        <v>176</v>
      </c>
      <c r="I26" s="9" t="s">
        <v>177</v>
      </c>
      <c r="J26" s="10" t="n">
        <v>4</v>
      </c>
      <c r="K26" s="10" t="n">
        <v>5</v>
      </c>
      <c r="L26" s="11" t="str">
        <f aca="false">IF(OR($J26="",$K26=""),"",IF($J26&gt;=4,IF($K26&gt;=4,"Manage closely","Keep satisfied"),IF($K26&gt;=4,"Keep informed","Monitor")))</f>
        <v>Manage closely</v>
      </c>
      <c r="M26" s="8" t="s">
        <v>178</v>
      </c>
      <c r="N26" s="8" t="s">
        <v>179</v>
      </c>
      <c r="O26" s="9" t="s">
        <v>107</v>
      </c>
      <c r="P26" s="9" t="s">
        <v>30</v>
      </c>
      <c r="Q26" s="12" t="str">
        <f aca="false">IF($C26="","",IF($O26="","No owner named",IF(AND($F26="Statutory",COUNTIF(Consents!$B$8:$B$22,$B26)=0),"Statutory, but no consent recorded",IF(COUNTIF(Engagement!$B$8:$B$32,$B26)=0,"Not on the Engagement sheet",IF(AND($J26&gt;=4,$K26&lt;=2),"High influence, low interest - brief them","OK")))))</f>
        <v>OK</v>
      </c>
      <c r="R26" s="11" t="str">
        <f aca="false">IF($B26="","",IFERROR(INDEX(Engagement!$G$8:$G$32,MATCH($B26,Engagement!$B$8:$B$32,0)),""))</f>
        <v>MOVE +1 level</v>
      </c>
      <c r="S26" s="11" t="n">
        <f aca="false">IF($B26="",0,IFERROR(N(INDEX(Engagement!$M$8:$M$32,MATCH($B26,Engagement!$B$8:$B$32,0))),0))</f>
        <v>-5</v>
      </c>
    </row>
    <row r="27" customFormat="false" ht="21.75" hidden="false" customHeight="true" outlineLevel="0" collapsed="false">
      <c r="B27" s="7"/>
      <c r="C27" s="8"/>
      <c r="D27" s="8"/>
      <c r="E27" s="8"/>
      <c r="F27" s="9"/>
      <c r="G27" s="8"/>
      <c r="H27" s="9"/>
      <c r="I27" s="9"/>
      <c r="J27" s="10"/>
      <c r="K27" s="10"/>
      <c r="L27" s="11" t="str">
        <f aca="false">IF(OR($J27="",$K27=""),"",IF($J27&gt;=4,IF($K27&gt;=4,"Manage closely","Keep satisfied"),IF($K27&gt;=4,"Keep informed","Monitor")))</f>
        <v/>
      </c>
      <c r="M27" s="8"/>
      <c r="N27" s="8"/>
      <c r="O27" s="9"/>
      <c r="P27" s="9"/>
      <c r="Q27" s="12" t="str">
        <f aca="false">IF($C27="","",IF($O27="","No owner named",IF(AND($F27="Statutory",COUNTIF(Consents!$B$8:$B$22,$B27)=0),"Statutory, but no consent recorded",IF(COUNTIF(Engagement!$B$8:$B$32,$B27)=0,"Not on the Engagement sheet",IF(AND($J27&gt;=4,$K27&lt;=2),"High influence, low interest - brief them","OK")))))</f>
        <v/>
      </c>
      <c r="R27" s="11" t="str">
        <f aca="false">IF($B27="","",IFERROR(INDEX(Engagement!$G$8:$G$32,MATCH($B27,Engagement!$B$8:$B$32,0)),""))</f>
        <v/>
      </c>
      <c r="S27" s="11" t="n">
        <f aca="false">IF($B27="",0,IFERROR(N(INDEX(Engagement!$M$8:$M$32,MATCH($B27,Engagement!$B$8:$B$32,0))),0))</f>
        <v>0</v>
      </c>
    </row>
    <row r="28" customFormat="false" ht="21.75" hidden="false" customHeight="true" outlineLevel="0" collapsed="false">
      <c r="B28" s="7"/>
      <c r="C28" s="8"/>
      <c r="D28" s="8"/>
      <c r="E28" s="8"/>
      <c r="F28" s="9"/>
      <c r="G28" s="8"/>
      <c r="H28" s="9"/>
      <c r="I28" s="9"/>
      <c r="J28" s="10"/>
      <c r="K28" s="10"/>
      <c r="L28" s="11" t="str">
        <f aca="false">IF(OR($J28="",$K28=""),"",IF($J28&gt;=4,IF($K28&gt;=4,"Manage closely","Keep satisfied"),IF($K28&gt;=4,"Keep informed","Monitor")))</f>
        <v/>
      </c>
      <c r="M28" s="8"/>
      <c r="N28" s="8"/>
      <c r="O28" s="9"/>
      <c r="P28" s="9"/>
      <c r="Q28" s="12" t="str">
        <f aca="false">IF($C28="","",IF($O28="","No owner named",IF(AND($F28="Statutory",COUNTIF(Consents!$B$8:$B$22,$B28)=0),"Statutory, but no consent recorded",IF(COUNTIF(Engagement!$B$8:$B$32,$B28)=0,"Not on the Engagement sheet",IF(AND($J28&gt;=4,$K28&lt;=2),"High influence, low interest - brief them","OK")))))</f>
        <v/>
      </c>
      <c r="R28" s="11" t="str">
        <f aca="false">IF($B28="","",IFERROR(INDEX(Engagement!$G$8:$G$32,MATCH($B28,Engagement!$B$8:$B$32,0)),""))</f>
        <v/>
      </c>
      <c r="S28" s="11" t="n">
        <f aca="false">IF($B28="",0,IFERROR(N(INDEX(Engagement!$M$8:$M$32,MATCH($B28,Engagement!$B$8:$B$32,0))),0))</f>
        <v>0</v>
      </c>
    </row>
    <row r="29" customFormat="false" ht="21.75" hidden="false" customHeight="true" outlineLevel="0" collapsed="false">
      <c r="B29" s="7"/>
      <c r="C29" s="8"/>
      <c r="D29" s="8"/>
      <c r="E29" s="8"/>
      <c r="F29" s="9"/>
      <c r="G29" s="8"/>
      <c r="H29" s="9"/>
      <c r="I29" s="9"/>
      <c r="J29" s="10"/>
      <c r="K29" s="10"/>
      <c r="L29" s="11" t="str">
        <f aca="false">IF(OR($J29="",$K29=""),"",IF($J29&gt;=4,IF($K29&gt;=4,"Manage closely","Keep satisfied"),IF($K29&gt;=4,"Keep informed","Monitor")))</f>
        <v/>
      </c>
      <c r="M29" s="8"/>
      <c r="N29" s="8"/>
      <c r="O29" s="9"/>
      <c r="P29" s="9"/>
      <c r="Q29" s="12" t="str">
        <f aca="false">IF($C29="","",IF($O29="","No owner named",IF(AND($F29="Statutory",COUNTIF(Consents!$B$8:$B$22,$B29)=0),"Statutory, but no consent recorded",IF(COUNTIF(Engagement!$B$8:$B$32,$B29)=0,"Not on the Engagement sheet",IF(AND($J29&gt;=4,$K29&lt;=2),"High influence, low interest - brief them","OK")))))</f>
        <v/>
      </c>
      <c r="R29" s="11" t="str">
        <f aca="false">IF($B29="","",IFERROR(INDEX(Engagement!$G$8:$G$32,MATCH($B29,Engagement!$B$8:$B$32,0)),""))</f>
        <v/>
      </c>
      <c r="S29" s="11" t="n">
        <f aca="false">IF($B29="",0,IFERROR(N(INDEX(Engagement!$M$8:$M$32,MATCH($B29,Engagement!$B$8:$B$32,0))),0))</f>
        <v>0</v>
      </c>
    </row>
    <row r="30" customFormat="false" ht="21.75" hidden="false" customHeight="true" outlineLevel="0" collapsed="false">
      <c r="B30" s="7"/>
      <c r="C30" s="8"/>
      <c r="D30" s="8"/>
      <c r="E30" s="8"/>
      <c r="F30" s="9"/>
      <c r="G30" s="8"/>
      <c r="H30" s="9"/>
      <c r="I30" s="9"/>
      <c r="J30" s="10"/>
      <c r="K30" s="10"/>
      <c r="L30" s="11" t="str">
        <f aca="false">IF(OR($J30="",$K30=""),"",IF($J30&gt;=4,IF($K30&gt;=4,"Manage closely","Keep satisfied"),IF($K30&gt;=4,"Keep informed","Monitor")))</f>
        <v/>
      </c>
      <c r="M30" s="8"/>
      <c r="N30" s="8"/>
      <c r="O30" s="9"/>
      <c r="P30" s="9"/>
      <c r="Q30" s="12" t="str">
        <f aca="false">IF($C30="","",IF($O30="","No owner named",IF(AND($F30="Statutory",COUNTIF(Consents!$B$8:$B$22,$B30)=0),"Statutory, but no consent recorded",IF(COUNTIF(Engagement!$B$8:$B$32,$B30)=0,"Not on the Engagement sheet",IF(AND($J30&gt;=4,$K30&lt;=2),"High influence, low interest - brief them","OK")))))</f>
        <v/>
      </c>
      <c r="R30" s="11" t="str">
        <f aca="false">IF($B30="","",IFERROR(INDEX(Engagement!$G$8:$G$32,MATCH($B30,Engagement!$B$8:$B$32,0)),""))</f>
        <v/>
      </c>
      <c r="S30" s="11" t="n">
        <f aca="false">IF($B30="",0,IFERROR(N(INDEX(Engagement!$M$8:$M$32,MATCH($B30,Engagement!$B$8:$B$32,0))),0))</f>
        <v>0</v>
      </c>
    </row>
    <row r="31" customFormat="false" ht="21.75" hidden="false" customHeight="true" outlineLevel="0" collapsed="false">
      <c r="B31" s="7"/>
      <c r="C31" s="8"/>
      <c r="D31" s="8"/>
      <c r="E31" s="8"/>
      <c r="F31" s="9"/>
      <c r="G31" s="8"/>
      <c r="H31" s="9"/>
      <c r="I31" s="9"/>
      <c r="J31" s="10"/>
      <c r="K31" s="10"/>
      <c r="L31" s="11" t="str">
        <f aca="false">IF(OR($J31="",$K31=""),"",IF($J31&gt;=4,IF($K31&gt;=4,"Manage closely","Keep satisfied"),IF($K31&gt;=4,"Keep informed","Monitor")))</f>
        <v/>
      </c>
      <c r="M31" s="8"/>
      <c r="N31" s="8"/>
      <c r="O31" s="9"/>
      <c r="P31" s="9"/>
      <c r="Q31" s="12" t="str">
        <f aca="false">IF($C31="","",IF($O31="","No owner named",IF(AND($F31="Statutory",COUNTIF(Consents!$B$8:$B$22,$B31)=0),"Statutory, but no consent recorded",IF(COUNTIF(Engagement!$B$8:$B$32,$B31)=0,"Not on the Engagement sheet",IF(AND($J31&gt;=4,$K31&lt;=2),"High influence, low interest - brief them","OK")))))</f>
        <v/>
      </c>
      <c r="R31" s="11" t="str">
        <f aca="false">IF($B31="","",IFERROR(INDEX(Engagement!$G$8:$G$32,MATCH($B31,Engagement!$B$8:$B$32,0)),""))</f>
        <v/>
      </c>
      <c r="S31" s="11" t="n">
        <f aca="false">IF($B31="",0,IFERROR(N(INDEX(Engagement!$M$8:$M$32,MATCH($B31,Engagement!$B$8:$B$32,0))),0))</f>
        <v>0</v>
      </c>
    </row>
    <row r="32" customFormat="false" ht="21.75" hidden="false" customHeight="true" outlineLevel="0" collapsed="false">
      <c r="B32" s="7"/>
      <c r="C32" s="8"/>
      <c r="D32" s="8"/>
      <c r="E32" s="8"/>
      <c r="F32" s="9"/>
      <c r="G32" s="8"/>
      <c r="H32" s="9"/>
      <c r="I32" s="9"/>
      <c r="J32" s="10"/>
      <c r="K32" s="10"/>
      <c r="L32" s="11" t="str">
        <f aca="false">IF(OR($J32="",$K32=""),"",IF($J32&gt;=4,IF($K32&gt;=4,"Manage closely","Keep satisfied"),IF($K32&gt;=4,"Keep informed","Monitor")))</f>
        <v/>
      </c>
      <c r="M32" s="8"/>
      <c r="N32" s="8"/>
      <c r="O32" s="9"/>
      <c r="P32" s="9"/>
      <c r="Q32" s="12" t="str">
        <f aca="false">IF($C32="","",IF($O32="","No owner named",IF(AND($F32="Statutory",COUNTIF(Consents!$B$8:$B$22,$B32)=0),"Statutory, but no consent recorded",IF(COUNTIF(Engagement!$B$8:$B$32,$B32)=0,"Not on the Engagement sheet",IF(AND($J32&gt;=4,$K32&lt;=2),"High influence, low interest - brief them","OK")))))</f>
        <v/>
      </c>
      <c r="R32" s="11" t="str">
        <f aca="false">IF($B32="","",IFERROR(INDEX(Engagement!$G$8:$G$32,MATCH($B32,Engagement!$B$8:$B$32,0)),""))</f>
        <v/>
      </c>
      <c r="S32" s="11" t="n">
        <f aca="false">IF($B32="",0,IFERROR(N(INDEX(Engagement!$M$8:$M$32,MATCH($B32,Engagement!$B$8:$B$32,0))),0))</f>
        <v>0</v>
      </c>
    </row>
    <row r="34" customFormat="false" ht="21.75" hidden="false" customHeight="true" outlineLevel="0" collapsed="false">
      <c r="B34" s="13" t="str">
        <f aca="false">COUNTIF($B$8:$B$32,"?*")&amp;" stakeholders  ·  "&amp;SUMPRODUCT(--($L$8:$L$32="Manage closely"))&amp;" to manage closely  ·  "&amp;SUMPRODUCT(--($F$8:$F$32="Statutory"))&amp;" statutory  ·  "&amp;SUMPRODUCT(--($Q$8:$Q$32&lt;&gt;""),--($Q$8:$Q$32&lt;&gt;"OK"))&amp;" row(s) the Check column flagged"</f>
        <v>19 stakeholders  ·  6 to manage closely  ·  6 statutory  ·  4 row(s) the Check column flagged</v>
      </c>
      <c r="C34" s="13"/>
      <c r="D34" s="13"/>
      <c r="E34" s="13"/>
      <c r="F34" s="13"/>
      <c r="G34" s="13"/>
      <c r="H34" s="13"/>
      <c r="I34" s="13"/>
      <c r="J34" s="13"/>
      <c r="K34" s="13"/>
      <c r="L34" s="13"/>
      <c r="M34" s="13"/>
      <c r="N34" s="13"/>
      <c r="O34" s="13"/>
      <c r="P34" s="13"/>
      <c r="Q34" s="13"/>
    </row>
    <row r="36" customFormat="false" ht="17.25" hidden="false" customHeight="true" outlineLevel="0" collapsed="false">
      <c r="B36" s="14" t="s">
        <v>180</v>
      </c>
      <c r="C36" s="14"/>
      <c r="D36" s="14"/>
      <c r="E36" s="14"/>
      <c r="F36" s="14"/>
      <c r="G36" s="14"/>
      <c r="H36" s="14"/>
      <c r="I36" s="14"/>
      <c r="J36" s="14"/>
      <c r="K36" s="14"/>
      <c r="L36" s="14"/>
      <c r="M36" s="14"/>
      <c r="N36" s="14"/>
      <c r="O36" s="14"/>
      <c r="P36" s="14"/>
      <c r="Q36" s="14"/>
    </row>
    <row r="38" customFormat="false" ht="18" hidden="false" customHeight="true" outlineLevel="0" collapsed="false">
      <c r="B38" s="15" t="s">
        <v>181</v>
      </c>
      <c r="C38" s="15"/>
      <c r="D38" s="15"/>
      <c r="E38" s="15"/>
      <c r="F38" s="15"/>
      <c r="G38" s="15"/>
      <c r="H38" s="15"/>
      <c r="I38" s="15"/>
      <c r="J38" s="15"/>
      <c r="K38" s="15"/>
      <c r="L38" s="15"/>
      <c r="M38" s="15"/>
      <c r="N38" s="15"/>
      <c r="O38" s="15"/>
      <c r="P38" s="15"/>
      <c r="Q38" s="15"/>
    </row>
  </sheetData>
  <mergeCells count="8">
    <mergeCell ref="B1:Q1"/>
    <mergeCell ref="B2:Q2"/>
    <mergeCell ref="B3:Q3"/>
    <mergeCell ref="B4:Q4"/>
    <mergeCell ref="B6:Q6"/>
    <mergeCell ref="B34:Q34"/>
    <mergeCell ref="B36:Q36"/>
    <mergeCell ref="B38:Q38"/>
  </mergeCells>
  <conditionalFormatting sqref="B3:Q3">
    <cfRule type="expression" priority="2" aboveAverage="0" equalAverage="0" bottom="0" percent="0" rank="0" text="" dxfId="0">
      <formula>LEN($B$3)&gt;0</formula>
    </cfRule>
  </conditionalFormatting>
  <conditionalFormatting sqref="Q8:Q32">
    <cfRule type="expression" priority="3" aboveAverage="0" equalAverage="0" bottom="0" percent="0" rank="0" text="" dxfId="1">
      <formula>AND($Q8&lt;&gt;"",$Q8&lt;&gt;"OK")</formula>
    </cfRule>
  </conditionalFormatting>
  <conditionalFormatting sqref="B8:Q32">
    <cfRule type="expression" priority="4" aboveAverage="0" equalAverage="0" bottom="0" percent="0" rank="0" text="" dxfId="2">
      <formula>EXACT($L8,"Manage closely")</formula>
    </cfRule>
    <cfRule type="expression" priority="5" aboveAverage="0" equalAverage="0" bottom="0" percent="0" rank="0" text="" dxfId="0">
      <formula>EXACT($L8,"Keep satisfied")</formula>
    </cfRule>
    <cfRule type="expression" priority="6" aboveAverage="0" equalAverage="0" bottom="0" percent="0" rank="0" text="" dxfId="3">
      <formula>EXACT($L8,"Keep informed")</formula>
    </cfRule>
    <cfRule type="expression" priority="7" aboveAverage="0" equalAverage="0" bottom="0" percent="0" rank="0" text="" dxfId="4">
      <formula>EXACT($L8,"Monitor")</formula>
    </cfRule>
  </conditionalFormatting>
  <dataValidations count="150">
    <dataValidation allowBlank="true" errorStyle="stop" operator="between" showDropDown="false" showErrorMessage="false" showInputMessage="false" sqref="F8" type="list">
      <formula1>Reference!$G$6:$G$8</formula1>
      <formula2>0</formula2>
    </dataValidation>
    <dataValidation allowBlank="true" errorStyle="stop" operator="between" showDropDown="false" showErrorMessage="false" showInputMessage="false" sqref="G8" type="list">
      <formula1>Reference!$B$24:$B$29</formula1>
      <formula2>0</formula2>
    </dataValidation>
    <dataValidation allowBlank="true" errorStyle="stop" operator="between" showDropDown="false" showErrorMessage="false" showInputMessage="false" sqref="O8" type="list">
      <formula1>Reference!$M$6:$M$11</formula1>
      <formula2>0</formula2>
    </dataValidation>
    <dataValidation allowBlank="true" errorStyle="stop" operator="between" showDropDown="false" showErrorMessage="false" showInputMessage="false" sqref="P8" type="list">
      <formula1>Reference!$K$6:$K$8</formula1>
      <formula2>0</formula2>
    </dataValidation>
    <dataValidation allowBlank="true" errorStyle="stop" operator="between" showDropDown="false" showErrorMessage="false" showInputMessage="false" sqref="J8" type="list">
      <formula1>"1,2,3,4,5"</formula1>
      <formula2>0</formula2>
    </dataValidation>
    <dataValidation allowBlank="true" errorStyle="stop" operator="between" showDropDown="false" showErrorMessage="false" showInputMessage="false" sqref="K8" type="list">
      <formula1>"1,2,3,4,5"</formula1>
      <formula2>0</formula2>
    </dataValidation>
    <dataValidation allowBlank="true" errorStyle="stop" operator="between" showDropDown="false" showErrorMessage="false" showInputMessage="false" sqref="F9" type="list">
      <formula1>Reference!$G$6:$G$8</formula1>
      <formula2>0</formula2>
    </dataValidation>
    <dataValidation allowBlank="true" errorStyle="stop" operator="between" showDropDown="false" showErrorMessage="false" showInputMessage="false" sqref="G9" type="list">
      <formula1>Reference!$B$24:$B$29</formula1>
      <formula2>0</formula2>
    </dataValidation>
    <dataValidation allowBlank="true" errorStyle="stop" operator="between" showDropDown="false" showErrorMessage="false" showInputMessage="false" sqref="O9" type="list">
      <formula1>Reference!$M$6:$M$11</formula1>
      <formula2>0</formula2>
    </dataValidation>
    <dataValidation allowBlank="true" errorStyle="stop" operator="between" showDropDown="false" showErrorMessage="false" showInputMessage="false" sqref="P9" type="list">
      <formula1>Reference!$K$6:$K$8</formula1>
      <formula2>0</formula2>
    </dataValidation>
    <dataValidation allowBlank="true" errorStyle="stop" operator="between" showDropDown="false" showErrorMessage="false" showInputMessage="false" sqref="J9" type="list">
      <formula1>"1,2,3,4,5"</formula1>
      <formula2>0</formula2>
    </dataValidation>
    <dataValidation allowBlank="true" errorStyle="stop" operator="between" showDropDown="false" showErrorMessage="false" showInputMessage="false" sqref="K9" type="list">
      <formula1>"1,2,3,4,5"</formula1>
      <formula2>0</formula2>
    </dataValidation>
    <dataValidation allowBlank="true" errorStyle="stop" operator="between" showDropDown="false" showErrorMessage="false" showInputMessage="false" sqref="F10" type="list">
      <formula1>Reference!$G$6:$G$8</formula1>
      <formula2>0</formula2>
    </dataValidation>
    <dataValidation allowBlank="true" errorStyle="stop" operator="between" showDropDown="false" showErrorMessage="false" showInputMessage="false" sqref="G10" type="list">
      <formula1>Reference!$B$24:$B$29</formula1>
      <formula2>0</formula2>
    </dataValidation>
    <dataValidation allowBlank="true" errorStyle="stop" operator="between" showDropDown="false" showErrorMessage="false" showInputMessage="false" sqref="O10" type="list">
      <formula1>Reference!$M$6:$M$11</formula1>
      <formula2>0</formula2>
    </dataValidation>
    <dataValidation allowBlank="true" errorStyle="stop" operator="between" showDropDown="false" showErrorMessage="false" showInputMessage="false" sqref="P10" type="list">
      <formula1>Reference!$K$6:$K$8</formula1>
      <formula2>0</formula2>
    </dataValidation>
    <dataValidation allowBlank="true" errorStyle="stop" operator="between" showDropDown="false" showErrorMessage="false" showInputMessage="false" sqref="J10" type="list">
      <formula1>"1,2,3,4,5"</formula1>
      <formula2>0</formula2>
    </dataValidation>
    <dataValidation allowBlank="true" errorStyle="stop" operator="between" showDropDown="false" showErrorMessage="false" showInputMessage="false" sqref="K10" type="list">
      <formula1>"1,2,3,4,5"</formula1>
      <formula2>0</formula2>
    </dataValidation>
    <dataValidation allowBlank="true" errorStyle="stop" operator="between" showDropDown="false" showErrorMessage="false" showInputMessage="false" sqref="F11" type="list">
      <formula1>Reference!$G$6:$G$8</formula1>
      <formula2>0</formula2>
    </dataValidation>
    <dataValidation allowBlank="true" errorStyle="stop" operator="between" showDropDown="false" showErrorMessage="false" showInputMessage="false" sqref="G11" type="list">
      <formula1>Reference!$B$24:$B$29</formula1>
      <formula2>0</formula2>
    </dataValidation>
    <dataValidation allowBlank="true" errorStyle="stop" operator="between" showDropDown="false" showErrorMessage="false" showInputMessage="false" sqref="O11" type="list">
      <formula1>Reference!$M$6:$M$11</formula1>
      <formula2>0</formula2>
    </dataValidation>
    <dataValidation allowBlank="true" errorStyle="stop" operator="between" showDropDown="false" showErrorMessage="false" showInputMessage="false" sqref="P11" type="list">
      <formula1>Reference!$K$6:$K$8</formula1>
      <formula2>0</formula2>
    </dataValidation>
    <dataValidation allowBlank="true" errorStyle="stop" operator="between" showDropDown="false" showErrorMessage="false" showInputMessage="false" sqref="J11" type="list">
      <formula1>"1,2,3,4,5"</formula1>
      <formula2>0</formula2>
    </dataValidation>
    <dataValidation allowBlank="true" errorStyle="stop" operator="between" showDropDown="false" showErrorMessage="false" showInputMessage="false" sqref="K11" type="list">
      <formula1>"1,2,3,4,5"</formula1>
      <formula2>0</formula2>
    </dataValidation>
    <dataValidation allowBlank="true" errorStyle="stop" operator="between" showDropDown="false" showErrorMessage="false" showInputMessage="false" sqref="F12" type="list">
      <formula1>Reference!$G$6:$G$8</formula1>
      <formula2>0</formula2>
    </dataValidation>
    <dataValidation allowBlank="true" errorStyle="stop" operator="between" showDropDown="false" showErrorMessage="false" showInputMessage="false" sqref="G12" type="list">
      <formula1>Reference!$B$24:$B$29</formula1>
      <formula2>0</formula2>
    </dataValidation>
    <dataValidation allowBlank="true" errorStyle="stop" operator="between" showDropDown="false" showErrorMessage="false" showInputMessage="false" sqref="O12" type="list">
      <formula1>Reference!$M$6:$M$11</formula1>
      <formula2>0</formula2>
    </dataValidation>
    <dataValidation allowBlank="true" errorStyle="stop" operator="between" showDropDown="false" showErrorMessage="false" showInputMessage="false" sqref="P12" type="list">
      <formula1>Reference!$K$6:$K$8</formula1>
      <formula2>0</formula2>
    </dataValidation>
    <dataValidation allowBlank="true" errorStyle="stop" operator="between" showDropDown="false" showErrorMessage="false" showInputMessage="false" sqref="J12" type="list">
      <formula1>"1,2,3,4,5"</formula1>
      <formula2>0</formula2>
    </dataValidation>
    <dataValidation allowBlank="true" errorStyle="stop" operator="between" showDropDown="false" showErrorMessage="false" showInputMessage="false" sqref="K12" type="list">
      <formula1>"1,2,3,4,5"</formula1>
      <formula2>0</formula2>
    </dataValidation>
    <dataValidation allowBlank="true" errorStyle="stop" operator="between" showDropDown="false" showErrorMessage="false" showInputMessage="false" sqref="F13" type="list">
      <formula1>Reference!$G$6:$G$8</formula1>
      <formula2>0</formula2>
    </dataValidation>
    <dataValidation allowBlank="true" errorStyle="stop" operator="between" showDropDown="false" showErrorMessage="false" showInputMessage="false" sqref="G13" type="list">
      <formula1>Reference!$B$24:$B$29</formula1>
      <formula2>0</formula2>
    </dataValidation>
    <dataValidation allowBlank="true" errorStyle="stop" operator="between" showDropDown="false" showErrorMessage="false" showInputMessage="false" sqref="O13" type="list">
      <formula1>Reference!$M$6:$M$11</formula1>
      <formula2>0</formula2>
    </dataValidation>
    <dataValidation allowBlank="true" errorStyle="stop" operator="between" showDropDown="false" showErrorMessage="false" showInputMessage="false" sqref="P13" type="list">
      <formula1>Reference!$K$6:$K$8</formula1>
      <formula2>0</formula2>
    </dataValidation>
    <dataValidation allowBlank="true" errorStyle="stop" operator="between" showDropDown="false" showErrorMessage="false" showInputMessage="false" sqref="J13" type="list">
      <formula1>"1,2,3,4,5"</formula1>
      <formula2>0</formula2>
    </dataValidation>
    <dataValidation allowBlank="true" errorStyle="stop" operator="between" showDropDown="false" showErrorMessage="false" showInputMessage="false" sqref="K13" type="list">
      <formula1>"1,2,3,4,5"</formula1>
      <formula2>0</formula2>
    </dataValidation>
    <dataValidation allowBlank="true" errorStyle="stop" operator="between" showDropDown="false" showErrorMessage="false" showInputMessage="false" sqref="F14" type="list">
      <formula1>Reference!$G$6:$G$8</formula1>
      <formula2>0</formula2>
    </dataValidation>
    <dataValidation allowBlank="true" errorStyle="stop" operator="between" showDropDown="false" showErrorMessage="false" showInputMessage="false" sqref="G14" type="list">
      <formula1>Reference!$B$24:$B$29</formula1>
      <formula2>0</formula2>
    </dataValidation>
    <dataValidation allowBlank="true" errorStyle="stop" operator="between" showDropDown="false" showErrorMessage="false" showInputMessage="false" sqref="O14" type="list">
      <formula1>Reference!$M$6:$M$11</formula1>
      <formula2>0</formula2>
    </dataValidation>
    <dataValidation allowBlank="true" errorStyle="stop" operator="between" showDropDown="false" showErrorMessage="false" showInputMessage="false" sqref="P14" type="list">
      <formula1>Reference!$K$6:$K$8</formula1>
      <formula2>0</formula2>
    </dataValidation>
    <dataValidation allowBlank="true" errorStyle="stop" operator="between" showDropDown="false" showErrorMessage="false" showInputMessage="false" sqref="J14" type="list">
      <formula1>"1,2,3,4,5"</formula1>
      <formula2>0</formula2>
    </dataValidation>
    <dataValidation allowBlank="true" errorStyle="stop" operator="between" showDropDown="false" showErrorMessage="false" showInputMessage="false" sqref="K14" type="list">
      <formula1>"1,2,3,4,5"</formula1>
      <formula2>0</formula2>
    </dataValidation>
    <dataValidation allowBlank="true" errorStyle="stop" operator="between" showDropDown="false" showErrorMessage="false" showInputMessage="false" sqref="F15" type="list">
      <formula1>Reference!$G$6:$G$8</formula1>
      <formula2>0</formula2>
    </dataValidation>
    <dataValidation allowBlank="true" errorStyle="stop" operator="between" showDropDown="false" showErrorMessage="false" showInputMessage="false" sqref="G15" type="list">
      <formula1>Reference!$B$24:$B$29</formula1>
      <formula2>0</formula2>
    </dataValidation>
    <dataValidation allowBlank="true" errorStyle="stop" operator="between" showDropDown="false" showErrorMessage="false" showInputMessage="false" sqref="O15" type="list">
      <formula1>Reference!$M$6:$M$11</formula1>
      <formula2>0</formula2>
    </dataValidation>
    <dataValidation allowBlank="true" errorStyle="stop" operator="between" showDropDown="false" showErrorMessage="false" showInputMessage="false" sqref="P15" type="list">
      <formula1>Reference!$K$6:$K$8</formula1>
      <formula2>0</formula2>
    </dataValidation>
    <dataValidation allowBlank="true" errorStyle="stop" operator="between" showDropDown="false" showErrorMessage="false" showInputMessage="false" sqref="J15" type="list">
      <formula1>"1,2,3,4,5"</formula1>
      <formula2>0</formula2>
    </dataValidation>
    <dataValidation allowBlank="true" errorStyle="stop" operator="between" showDropDown="false" showErrorMessage="false" showInputMessage="false" sqref="K15" type="list">
      <formula1>"1,2,3,4,5"</formula1>
      <formula2>0</formula2>
    </dataValidation>
    <dataValidation allowBlank="true" errorStyle="stop" operator="between" showDropDown="false" showErrorMessage="false" showInputMessage="false" sqref="F16" type="list">
      <formula1>Reference!$G$6:$G$8</formula1>
      <formula2>0</formula2>
    </dataValidation>
    <dataValidation allowBlank="true" errorStyle="stop" operator="between" showDropDown="false" showErrorMessage="false" showInputMessage="false" sqref="G16" type="list">
      <formula1>Reference!$B$24:$B$29</formula1>
      <formula2>0</formula2>
    </dataValidation>
    <dataValidation allowBlank="true" errorStyle="stop" operator="between" showDropDown="false" showErrorMessage="false" showInputMessage="false" sqref="O16" type="list">
      <formula1>Reference!$M$6:$M$11</formula1>
      <formula2>0</formula2>
    </dataValidation>
    <dataValidation allowBlank="true" errorStyle="stop" operator="between" showDropDown="false" showErrorMessage="false" showInputMessage="false" sqref="P16" type="list">
      <formula1>Reference!$K$6:$K$8</formula1>
      <formula2>0</formula2>
    </dataValidation>
    <dataValidation allowBlank="true" errorStyle="stop" operator="between" showDropDown="false" showErrorMessage="false" showInputMessage="false" sqref="J16" type="list">
      <formula1>"1,2,3,4,5"</formula1>
      <formula2>0</formula2>
    </dataValidation>
    <dataValidation allowBlank="true" errorStyle="stop" operator="between" showDropDown="false" showErrorMessage="false" showInputMessage="false" sqref="K16" type="list">
      <formula1>"1,2,3,4,5"</formula1>
      <formula2>0</formula2>
    </dataValidation>
    <dataValidation allowBlank="true" errorStyle="stop" operator="between" showDropDown="false" showErrorMessage="false" showInputMessage="false" sqref="F17" type="list">
      <formula1>Reference!$G$6:$G$8</formula1>
      <formula2>0</formula2>
    </dataValidation>
    <dataValidation allowBlank="true" errorStyle="stop" operator="between" showDropDown="false" showErrorMessage="false" showInputMessage="false" sqref="G17" type="list">
      <formula1>Reference!$B$24:$B$29</formula1>
      <formula2>0</formula2>
    </dataValidation>
    <dataValidation allowBlank="true" errorStyle="stop" operator="between" showDropDown="false" showErrorMessage="false" showInputMessage="false" sqref="O17" type="list">
      <formula1>Reference!$M$6:$M$11</formula1>
      <formula2>0</formula2>
    </dataValidation>
    <dataValidation allowBlank="true" errorStyle="stop" operator="between" showDropDown="false" showErrorMessage="false" showInputMessage="false" sqref="P17" type="list">
      <formula1>Reference!$K$6:$K$8</formula1>
      <formula2>0</formula2>
    </dataValidation>
    <dataValidation allowBlank="true" errorStyle="stop" operator="between" showDropDown="false" showErrorMessage="false" showInputMessage="false" sqref="J17" type="list">
      <formula1>"1,2,3,4,5"</formula1>
      <formula2>0</formula2>
    </dataValidation>
    <dataValidation allowBlank="true" errorStyle="stop" operator="between" showDropDown="false" showErrorMessage="false" showInputMessage="false" sqref="K17" type="list">
      <formula1>"1,2,3,4,5"</formula1>
      <formula2>0</formula2>
    </dataValidation>
    <dataValidation allowBlank="true" errorStyle="stop" operator="between" showDropDown="false" showErrorMessage="false" showInputMessage="false" sqref="F18" type="list">
      <formula1>Reference!$G$6:$G$8</formula1>
      <formula2>0</formula2>
    </dataValidation>
    <dataValidation allowBlank="true" errorStyle="stop" operator="between" showDropDown="false" showErrorMessage="false" showInputMessage="false" sqref="G18" type="list">
      <formula1>Reference!$B$24:$B$29</formula1>
      <formula2>0</formula2>
    </dataValidation>
    <dataValidation allowBlank="true" errorStyle="stop" operator="between" showDropDown="false" showErrorMessage="false" showInputMessage="false" sqref="O18" type="list">
      <formula1>Reference!$M$6:$M$11</formula1>
      <formula2>0</formula2>
    </dataValidation>
    <dataValidation allowBlank="true" errorStyle="stop" operator="between" showDropDown="false" showErrorMessage="false" showInputMessage="false" sqref="P18" type="list">
      <formula1>Reference!$K$6:$K$8</formula1>
      <formula2>0</formula2>
    </dataValidation>
    <dataValidation allowBlank="true" errorStyle="stop" operator="between" showDropDown="false" showErrorMessage="false" showInputMessage="false" sqref="J18" type="list">
      <formula1>"1,2,3,4,5"</formula1>
      <formula2>0</formula2>
    </dataValidation>
    <dataValidation allowBlank="true" errorStyle="stop" operator="between" showDropDown="false" showErrorMessage="false" showInputMessage="false" sqref="K18" type="list">
      <formula1>"1,2,3,4,5"</formula1>
      <formula2>0</formula2>
    </dataValidation>
    <dataValidation allowBlank="true" errorStyle="stop" operator="between" showDropDown="false" showErrorMessage="false" showInputMessage="false" sqref="F19" type="list">
      <formula1>Reference!$G$6:$G$8</formula1>
      <formula2>0</formula2>
    </dataValidation>
    <dataValidation allowBlank="true" errorStyle="stop" operator="between" showDropDown="false" showErrorMessage="false" showInputMessage="false" sqref="G19" type="list">
      <formula1>Reference!$B$24:$B$29</formula1>
      <formula2>0</formula2>
    </dataValidation>
    <dataValidation allowBlank="true" errorStyle="stop" operator="between" showDropDown="false" showErrorMessage="false" showInputMessage="false" sqref="O19" type="list">
      <formula1>Reference!$M$6:$M$11</formula1>
      <formula2>0</formula2>
    </dataValidation>
    <dataValidation allowBlank="true" errorStyle="stop" operator="between" showDropDown="false" showErrorMessage="false" showInputMessage="false" sqref="P19" type="list">
      <formula1>Reference!$K$6:$K$8</formula1>
      <formula2>0</formula2>
    </dataValidation>
    <dataValidation allowBlank="true" errorStyle="stop" operator="between" showDropDown="false" showErrorMessage="false" showInputMessage="false" sqref="J19" type="list">
      <formula1>"1,2,3,4,5"</formula1>
      <formula2>0</formula2>
    </dataValidation>
    <dataValidation allowBlank="true" errorStyle="stop" operator="between" showDropDown="false" showErrorMessage="false" showInputMessage="false" sqref="K19" type="list">
      <formula1>"1,2,3,4,5"</formula1>
      <formula2>0</formula2>
    </dataValidation>
    <dataValidation allowBlank="true" errorStyle="stop" operator="between" showDropDown="false" showErrorMessage="false" showInputMessage="false" sqref="F20" type="list">
      <formula1>Reference!$G$6:$G$8</formula1>
      <formula2>0</formula2>
    </dataValidation>
    <dataValidation allowBlank="true" errorStyle="stop" operator="between" showDropDown="false" showErrorMessage="false" showInputMessage="false" sqref="G20" type="list">
      <formula1>Reference!$B$24:$B$29</formula1>
      <formula2>0</formula2>
    </dataValidation>
    <dataValidation allowBlank="true" errorStyle="stop" operator="between" showDropDown="false" showErrorMessage="false" showInputMessage="false" sqref="O20" type="list">
      <formula1>Reference!$M$6:$M$11</formula1>
      <formula2>0</formula2>
    </dataValidation>
    <dataValidation allowBlank="true" errorStyle="stop" operator="between" showDropDown="false" showErrorMessage="false" showInputMessage="false" sqref="P20" type="list">
      <formula1>Reference!$K$6:$K$8</formula1>
      <formula2>0</formula2>
    </dataValidation>
    <dataValidation allowBlank="true" errorStyle="stop" operator="between" showDropDown="false" showErrorMessage="false" showInputMessage="false" sqref="J20" type="list">
      <formula1>"1,2,3,4,5"</formula1>
      <formula2>0</formula2>
    </dataValidation>
    <dataValidation allowBlank="true" errorStyle="stop" operator="between" showDropDown="false" showErrorMessage="false" showInputMessage="false" sqref="K20" type="list">
      <formula1>"1,2,3,4,5"</formula1>
      <formula2>0</formula2>
    </dataValidation>
    <dataValidation allowBlank="true" errorStyle="stop" operator="between" showDropDown="false" showErrorMessage="false" showInputMessage="false" sqref="F21" type="list">
      <formula1>Reference!$G$6:$G$8</formula1>
      <formula2>0</formula2>
    </dataValidation>
    <dataValidation allowBlank="true" errorStyle="stop" operator="between" showDropDown="false" showErrorMessage="false" showInputMessage="false" sqref="G21" type="list">
      <formula1>Reference!$B$24:$B$29</formula1>
      <formula2>0</formula2>
    </dataValidation>
    <dataValidation allowBlank="true" errorStyle="stop" operator="between" showDropDown="false" showErrorMessage="false" showInputMessage="false" sqref="O21" type="list">
      <formula1>Reference!$M$6:$M$11</formula1>
      <formula2>0</formula2>
    </dataValidation>
    <dataValidation allowBlank="true" errorStyle="stop" operator="between" showDropDown="false" showErrorMessage="false" showInputMessage="false" sqref="P21" type="list">
      <formula1>Reference!$K$6:$K$8</formula1>
      <formula2>0</formula2>
    </dataValidation>
    <dataValidation allowBlank="true" errorStyle="stop" operator="between" showDropDown="false" showErrorMessage="false" showInputMessage="false" sqref="J21" type="list">
      <formula1>"1,2,3,4,5"</formula1>
      <formula2>0</formula2>
    </dataValidation>
    <dataValidation allowBlank="true" errorStyle="stop" operator="between" showDropDown="false" showErrorMessage="false" showInputMessage="false" sqref="K21" type="list">
      <formula1>"1,2,3,4,5"</formula1>
      <formula2>0</formula2>
    </dataValidation>
    <dataValidation allowBlank="true" errorStyle="stop" operator="between" showDropDown="false" showErrorMessage="false" showInputMessage="false" sqref="F22" type="list">
      <formula1>Reference!$G$6:$G$8</formula1>
      <formula2>0</formula2>
    </dataValidation>
    <dataValidation allowBlank="true" errorStyle="stop" operator="between" showDropDown="false" showErrorMessage="false" showInputMessage="false" sqref="G22" type="list">
      <formula1>Reference!$B$24:$B$29</formula1>
      <formula2>0</formula2>
    </dataValidation>
    <dataValidation allowBlank="true" errorStyle="stop" operator="between" showDropDown="false" showErrorMessage="false" showInputMessage="false" sqref="O22" type="list">
      <formula1>Reference!$M$6:$M$11</formula1>
      <formula2>0</formula2>
    </dataValidation>
    <dataValidation allowBlank="true" errorStyle="stop" operator="between" showDropDown="false" showErrorMessage="false" showInputMessage="false" sqref="P22" type="list">
      <formula1>Reference!$K$6:$K$8</formula1>
      <formula2>0</formula2>
    </dataValidation>
    <dataValidation allowBlank="true" errorStyle="stop" operator="between" showDropDown="false" showErrorMessage="false" showInputMessage="false" sqref="J22" type="list">
      <formula1>"1,2,3,4,5"</formula1>
      <formula2>0</formula2>
    </dataValidation>
    <dataValidation allowBlank="true" errorStyle="stop" operator="between" showDropDown="false" showErrorMessage="false" showInputMessage="false" sqref="K22" type="list">
      <formula1>"1,2,3,4,5"</formula1>
      <formula2>0</formula2>
    </dataValidation>
    <dataValidation allowBlank="true" errorStyle="stop" operator="between" showDropDown="false" showErrorMessage="false" showInputMessage="false" sqref="F23" type="list">
      <formula1>Reference!$G$6:$G$8</formula1>
      <formula2>0</formula2>
    </dataValidation>
    <dataValidation allowBlank="true" errorStyle="stop" operator="between" showDropDown="false" showErrorMessage="false" showInputMessage="false" sqref="G23" type="list">
      <formula1>Reference!$B$24:$B$29</formula1>
      <formula2>0</formula2>
    </dataValidation>
    <dataValidation allowBlank="true" errorStyle="stop" operator="between" showDropDown="false" showErrorMessage="false" showInputMessage="false" sqref="O23" type="list">
      <formula1>Reference!$M$6:$M$11</formula1>
      <formula2>0</formula2>
    </dataValidation>
    <dataValidation allowBlank="true" errorStyle="stop" operator="between" showDropDown="false" showErrorMessage="false" showInputMessage="false" sqref="P23" type="list">
      <formula1>Reference!$K$6:$K$8</formula1>
      <formula2>0</formula2>
    </dataValidation>
    <dataValidation allowBlank="true" errorStyle="stop" operator="between" showDropDown="false" showErrorMessage="false" showInputMessage="false" sqref="J23" type="list">
      <formula1>"1,2,3,4,5"</formula1>
      <formula2>0</formula2>
    </dataValidation>
    <dataValidation allowBlank="true" errorStyle="stop" operator="between" showDropDown="false" showErrorMessage="false" showInputMessage="false" sqref="K23" type="list">
      <formula1>"1,2,3,4,5"</formula1>
      <formula2>0</formula2>
    </dataValidation>
    <dataValidation allowBlank="true" errorStyle="stop" operator="between" showDropDown="false" showErrorMessage="false" showInputMessage="false" sqref="F24" type="list">
      <formula1>Reference!$G$6:$G$8</formula1>
      <formula2>0</formula2>
    </dataValidation>
    <dataValidation allowBlank="true" errorStyle="stop" operator="between" showDropDown="false" showErrorMessage="false" showInputMessage="false" sqref="G24" type="list">
      <formula1>Reference!$B$24:$B$29</formula1>
      <formula2>0</formula2>
    </dataValidation>
    <dataValidation allowBlank="true" errorStyle="stop" operator="between" showDropDown="false" showErrorMessage="false" showInputMessage="false" sqref="O24" type="list">
      <formula1>Reference!$M$6:$M$11</formula1>
      <formula2>0</formula2>
    </dataValidation>
    <dataValidation allowBlank="true" errorStyle="stop" operator="between" showDropDown="false" showErrorMessage="false" showInputMessage="false" sqref="P24" type="list">
      <formula1>Reference!$K$6:$K$8</formula1>
      <formula2>0</formula2>
    </dataValidation>
    <dataValidation allowBlank="true" errorStyle="stop" operator="between" showDropDown="false" showErrorMessage="false" showInputMessage="false" sqref="J24" type="list">
      <formula1>"1,2,3,4,5"</formula1>
      <formula2>0</formula2>
    </dataValidation>
    <dataValidation allowBlank="true" errorStyle="stop" operator="between" showDropDown="false" showErrorMessage="false" showInputMessage="false" sqref="K24" type="list">
      <formula1>"1,2,3,4,5"</formula1>
      <formula2>0</formula2>
    </dataValidation>
    <dataValidation allowBlank="true" errorStyle="stop" operator="between" showDropDown="false" showErrorMessage="false" showInputMessage="false" sqref="F25" type="list">
      <formula1>Reference!$G$6:$G$8</formula1>
      <formula2>0</formula2>
    </dataValidation>
    <dataValidation allowBlank="true" errorStyle="stop" operator="between" showDropDown="false" showErrorMessage="false" showInputMessage="false" sqref="G25" type="list">
      <formula1>Reference!$B$24:$B$29</formula1>
      <formula2>0</formula2>
    </dataValidation>
    <dataValidation allowBlank="true" errorStyle="stop" operator="between" showDropDown="false" showErrorMessage="false" showInputMessage="false" sqref="O25" type="list">
      <formula1>Reference!$M$6:$M$11</formula1>
      <formula2>0</formula2>
    </dataValidation>
    <dataValidation allowBlank="true" errorStyle="stop" operator="between" showDropDown="false" showErrorMessage="false" showInputMessage="false" sqref="P25" type="list">
      <formula1>Reference!$K$6:$K$8</formula1>
      <formula2>0</formula2>
    </dataValidation>
    <dataValidation allowBlank="true" errorStyle="stop" operator="between" showDropDown="false" showErrorMessage="false" showInputMessage="false" sqref="J25" type="list">
      <formula1>"1,2,3,4,5"</formula1>
      <formula2>0</formula2>
    </dataValidation>
    <dataValidation allowBlank="true" errorStyle="stop" operator="between" showDropDown="false" showErrorMessage="false" showInputMessage="false" sqref="K25" type="list">
      <formula1>"1,2,3,4,5"</formula1>
      <formula2>0</formula2>
    </dataValidation>
    <dataValidation allowBlank="true" errorStyle="stop" operator="between" showDropDown="false" showErrorMessage="false" showInputMessage="false" sqref="F26" type="list">
      <formula1>Reference!$G$6:$G$8</formula1>
      <formula2>0</formula2>
    </dataValidation>
    <dataValidation allowBlank="true" errorStyle="stop" operator="between" showDropDown="false" showErrorMessage="false" showInputMessage="false" sqref="G26" type="list">
      <formula1>Reference!$B$24:$B$29</formula1>
      <formula2>0</formula2>
    </dataValidation>
    <dataValidation allowBlank="true" errorStyle="stop" operator="between" showDropDown="false" showErrorMessage="false" showInputMessage="false" sqref="O26" type="list">
      <formula1>Reference!$M$6:$M$11</formula1>
      <formula2>0</formula2>
    </dataValidation>
    <dataValidation allowBlank="true" errorStyle="stop" operator="between" showDropDown="false" showErrorMessage="false" showInputMessage="false" sqref="P26" type="list">
      <formula1>Reference!$K$6:$K$8</formula1>
      <formula2>0</formula2>
    </dataValidation>
    <dataValidation allowBlank="true" errorStyle="stop" operator="between" showDropDown="false" showErrorMessage="false" showInputMessage="false" sqref="J26" type="list">
      <formula1>"1,2,3,4,5"</formula1>
      <formula2>0</formula2>
    </dataValidation>
    <dataValidation allowBlank="true" errorStyle="stop" operator="between" showDropDown="false" showErrorMessage="false" showInputMessage="false" sqref="K26" type="list">
      <formula1>"1,2,3,4,5"</formula1>
      <formula2>0</formula2>
    </dataValidation>
    <dataValidation allowBlank="true" errorStyle="stop" operator="between" showDropDown="false" showErrorMessage="false" showInputMessage="false" sqref="F27" type="list">
      <formula1>Reference!$G$6:$G$8</formula1>
      <formula2>0</formula2>
    </dataValidation>
    <dataValidation allowBlank="true" errorStyle="stop" operator="between" showDropDown="false" showErrorMessage="false" showInputMessage="false" sqref="G27" type="list">
      <formula1>Reference!$B$24:$B$29</formula1>
      <formula2>0</formula2>
    </dataValidation>
    <dataValidation allowBlank="true" errorStyle="stop" operator="between" showDropDown="false" showErrorMessage="false" showInputMessage="false" sqref="O27" type="list">
      <formula1>Reference!$M$6:$M$11</formula1>
      <formula2>0</formula2>
    </dataValidation>
    <dataValidation allowBlank="true" errorStyle="stop" operator="between" showDropDown="false" showErrorMessage="false" showInputMessage="false" sqref="P27" type="list">
      <formula1>Reference!$K$6:$K$8</formula1>
      <formula2>0</formula2>
    </dataValidation>
    <dataValidation allowBlank="true" errorStyle="stop" operator="between" showDropDown="false" showErrorMessage="false" showInputMessage="false" sqref="J27" type="list">
      <formula1>"1,2,3,4,5"</formula1>
      <formula2>0</formula2>
    </dataValidation>
    <dataValidation allowBlank="true" errorStyle="stop" operator="between" showDropDown="false" showErrorMessage="false" showInputMessage="false" sqref="K27" type="list">
      <formula1>"1,2,3,4,5"</formula1>
      <formula2>0</formula2>
    </dataValidation>
    <dataValidation allowBlank="true" errorStyle="stop" operator="between" showDropDown="false" showErrorMessage="false" showInputMessage="false" sqref="F28" type="list">
      <formula1>Reference!$G$6:$G$8</formula1>
      <formula2>0</formula2>
    </dataValidation>
    <dataValidation allowBlank="true" errorStyle="stop" operator="between" showDropDown="false" showErrorMessage="false" showInputMessage="false" sqref="G28" type="list">
      <formula1>Reference!$B$24:$B$29</formula1>
      <formula2>0</formula2>
    </dataValidation>
    <dataValidation allowBlank="true" errorStyle="stop" operator="between" showDropDown="false" showErrorMessage="false" showInputMessage="false" sqref="O28" type="list">
      <formula1>Reference!$M$6:$M$11</formula1>
      <formula2>0</formula2>
    </dataValidation>
    <dataValidation allowBlank="true" errorStyle="stop" operator="between" showDropDown="false" showErrorMessage="false" showInputMessage="false" sqref="P28" type="list">
      <formula1>Reference!$K$6:$K$8</formula1>
      <formula2>0</formula2>
    </dataValidation>
    <dataValidation allowBlank="true" errorStyle="stop" operator="between" showDropDown="false" showErrorMessage="false" showInputMessage="false" sqref="J28" type="list">
      <formula1>"1,2,3,4,5"</formula1>
      <formula2>0</formula2>
    </dataValidation>
    <dataValidation allowBlank="true" errorStyle="stop" operator="between" showDropDown="false" showErrorMessage="false" showInputMessage="false" sqref="K28" type="list">
      <formula1>"1,2,3,4,5"</formula1>
      <formula2>0</formula2>
    </dataValidation>
    <dataValidation allowBlank="true" errorStyle="stop" operator="between" showDropDown="false" showErrorMessage="false" showInputMessage="false" sqref="F29" type="list">
      <formula1>Reference!$G$6:$G$8</formula1>
      <formula2>0</formula2>
    </dataValidation>
    <dataValidation allowBlank="true" errorStyle="stop" operator="between" showDropDown="false" showErrorMessage="false" showInputMessage="false" sqref="G29" type="list">
      <formula1>Reference!$B$24:$B$29</formula1>
      <formula2>0</formula2>
    </dataValidation>
    <dataValidation allowBlank="true" errorStyle="stop" operator="between" showDropDown="false" showErrorMessage="false" showInputMessage="false" sqref="O29" type="list">
      <formula1>Reference!$M$6:$M$11</formula1>
      <formula2>0</formula2>
    </dataValidation>
    <dataValidation allowBlank="true" errorStyle="stop" operator="between" showDropDown="false" showErrorMessage="false" showInputMessage="false" sqref="P29" type="list">
      <formula1>Reference!$K$6:$K$8</formula1>
      <formula2>0</formula2>
    </dataValidation>
    <dataValidation allowBlank="true" errorStyle="stop" operator="between" showDropDown="false" showErrorMessage="false" showInputMessage="false" sqref="J29" type="list">
      <formula1>"1,2,3,4,5"</formula1>
      <formula2>0</formula2>
    </dataValidation>
    <dataValidation allowBlank="true" errorStyle="stop" operator="between" showDropDown="false" showErrorMessage="false" showInputMessage="false" sqref="K29" type="list">
      <formula1>"1,2,3,4,5"</formula1>
      <formula2>0</formula2>
    </dataValidation>
    <dataValidation allowBlank="true" errorStyle="stop" operator="between" showDropDown="false" showErrorMessage="false" showInputMessage="false" sqref="F30" type="list">
      <formula1>Reference!$G$6:$G$8</formula1>
      <formula2>0</formula2>
    </dataValidation>
    <dataValidation allowBlank="true" errorStyle="stop" operator="between" showDropDown="false" showErrorMessage="false" showInputMessage="false" sqref="G30" type="list">
      <formula1>Reference!$B$24:$B$29</formula1>
      <formula2>0</formula2>
    </dataValidation>
    <dataValidation allowBlank="true" errorStyle="stop" operator="between" showDropDown="false" showErrorMessage="false" showInputMessage="false" sqref="O30" type="list">
      <formula1>Reference!$M$6:$M$11</formula1>
      <formula2>0</formula2>
    </dataValidation>
    <dataValidation allowBlank="true" errorStyle="stop" operator="between" showDropDown="false" showErrorMessage="false" showInputMessage="false" sqref="P30" type="list">
      <formula1>Reference!$K$6:$K$8</formula1>
      <formula2>0</formula2>
    </dataValidation>
    <dataValidation allowBlank="true" errorStyle="stop" operator="between" showDropDown="false" showErrorMessage="false" showInputMessage="false" sqref="J30" type="list">
      <formula1>"1,2,3,4,5"</formula1>
      <formula2>0</formula2>
    </dataValidation>
    <dataValidation allowBlank="true" errorStyle="stop" operator="between" showDropDown="false" showErrorMessage="false" showInputMessage="false" sqref="K30" type="list">
      <formula1>"1,2,3,4,5"</formula1>
      <formula2>0</formula2>
    </dataValidation>
    <dataValidation allowBlank="true" errorStyle="stop" operator="between" showDropDown="false" showErrorMessage="false" showInputMessage="false" sqref="F31" type="list">
      <formula1>Reference!$G$6:$G$8</formula1>
      <formula2>0</formula2>
    </dataValidation>
    <dataValidation allowBlank="true" errorStyle="stop" operator="between" showDropDown="false" showErrorMessage="false" showInputMessage="false" sqref="G31" type="list">
      <formula1>Reference!$B$24:$B$29</formula1>
      <formula2>0</formula2>
    </dataValidation>
    <dataValidation allowBlank="true" errorStyle="stop" operator="between" showDropDown="false" showErrorMessage="false" showInputMessage="false" sqref="O31" type="list">
      <formula1>Reference!$M$6:$M$11</formula1>
      <formula2>0</formula2>
    </dataValidation>
    <dataValidation allowBlank="true" errorStyle="stop" operator="between" showDropDown="false" showErrorMessage="false" showInputMessage="false" sqref="P31" type="list">
      <formula1>Reference!$K$6:$K$8</formula1>
      <formula2>0</formula2>
    </dataValidation>
    <dataValidation allowBlank="true" errorStyle="stop" operator="between" showDropDown="false" showErrorMessage="false" showInputMessage="false" sqref="J31" type="list">
      <formula1>"1,2,3,4,5"</formula1>
      <formula2>0</formula2>
    </dataValidation>
    <dataValidation allowBlank="true" errorStyle="stop" operator="between" showDropDown="false" showErrorMessage="false" showInputMessage="false" sqref="K31" type="list">
      <formula1>"1,2,3,4,5"</formula1>
      <formula2>0</formula2>
    </dataValidation>
    <dataValidation allowBlank="true" errorStyle="stop" operator="between" showDropDown="false" showErrorMessage="false" showInputMessage="false" sqref="F32" type="list">
      <formula1>Reference!$G$6:$G$8</formula1>
      <formula2>0</formula2>
    </dataValidation>
    <dataValidation allowBlank="true" errorStyle="stop" operator="between" showDropDown="false" showErrorMessage="false" showInputMessage="false" sqref="G32" type="list">
      <formula1>Reference!$B$24:$B$29</formula1>
      <formula2>0</formula2>
    </dataValidation>
    <dataValidation allowBlank="true" errorStyle="stop" operator="between" showDropDown="false" showErrorMessage="false" showInputMessage="false" sqref="O32" type="list">
      <formula1>Reference!$M$6:$M$11</formula1>
      <formula2>0</formula2>
    </dataValidation>
    <dataValidation allowBlank="true" errorStyle="stop" operator="between" showDropDown="false" showErrorMessage="false" showInputMessage="false" sqref="P32" type="list">
      <formula1>Reference!$K$6:$K$8</formula1>
      <formula2>0</formula2>
    </dataValidation>
    <dataValidation allowBlank="true" errorStyle="stop" operator="between" showDropDown="false" showErrorMessage="false" showInputMessage="false" sqref="J32" type="list">
      <formula1>"1,2,3,4,5"</formula1>
      <formula2>0</formula2>
    </dataValidation>
    <dataValidation allowBlank="true" errorStyle="stop" operator="between" showDropDown="false" showErrorMessage="false" showInputMessage="false" sqref="K32" type="list">
      <formula1>"1,2,3,4,5"</formula1>
      <formula2>0</formula2>
    </dataValidation>
  </dataValidations>
  <hyperlinks>
    <hyperlink ref="B38" r:id="rId1" display="Visit mastt.com"/>
  </hyperlinks>
  <printOptions headings="false" gridLines="false" gridLinesSet="true" horizontalCentered="false" verticalCentered="false"/>
  <pageMargins left="0.3" right="0.3" top="0.4" bottom="0.4" header="0.511811023622047" footer="0.15"/>
  <pageSetup paperSize="8" scale="100" fitToWidth="1" fitToHeight="0" pageOrder="downThenOver" orientation="landscape" blackAndWhite="false" draft="false" cellComments="none" horizontalDpi="300" verticalDpi="300" copies="1"/>
  <headerFooter differentFirst="false" differentOddEven="false">
    <oddHeader/>
    <oddFooter>&amp;R&amp;9 &amp;K3480bcVisit mastt.com</oddFooter>
  </headerFooter>
  <rowBreaks count="3" manualBreakCount="3">
    <brk id="13" man="true" max="16383" min="0"/>
    <brk id="18" man="true" max="16383" min="0"/>
    <brk id="23" man="true" max="16383" min="0"/>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N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6"/>
    <col collapsed="false" customWidth="true" hidden="false" outlineLevel="0" max="3" min="3" style="0" width="22"/>
    <col collapsed="false" customWidth="true" hidden="false" outlineLevel="0" max="4" min="4" style="0" width="15.51"/>
    <col collapsed="false" customWidth="true" hidden="false" outlineLevel="0" max="6" min="5" style="0" width="14"/>
    <col collapsed="false" customWidth="true" hidden="false" outlineLevel="0" max="7" min="7" style="0" width="22"/>
    <col collapsed="false" customWidth="true" hidden="false" outlineLevel="0" max="8" min="8" style="0" width="15.51"/>
    <col collapsed="false" customWidth="true" hidden="false" outlineLevel="0" max="9" min="9" style="0" width="18"/>
    <col collapsed="false" customWidth="true" hidden="false" outlineLevel="0" max="10" min="10" style="0" width="14.51"/>
    <col collapsed="false" customWidth="true" hidden="false" outlineLevel="0" max="12" min="11" style="0" width="13"/>
    <col collapsed="false" customWidth="true" hidden="false" outlineLevel="0" max="13" min="13" style="0" width="12"/>
    <col collapsed="false" customWidth="true" hidden="false" outlineLevel="0" max="14" min="14" style="0" width="20"/>
  </cols>
  <sheetData>
    <row r="1" customFormat="false" ht="33.75" hidden="false" customHeight="true" outlineLevel="0" collapsed="false">
      <c r="B1" s="1" t="s">
        <v>0</v>
      </c>
      <c r="C1" s="1"/>
      <c r="D1" s="1"/>
      <c r="E1" s="1"/>
      <c r="F1" s="1"/>
      <c r="G1" s="1"/>
      <c r="H1" s="1"/>
      <c r="I1" s="1"/>
      <c r="J1" s="1"/>
      <c r="K1" s="1"/>
      <c r="L1" s="1"/>
      <c r="M1" s="1"/>
      <c r="N1" s="1"/>
    </row>
    <row r="2" customFormat="false" ht="4.5" hidden="false" customHeight="true" outlineLevel="0" collapsed="false">
      <c r="B2" s="2"/>
      <c r="C2" s="2"/>
      <c r="D2" s="2"/>
      <c r="E2" s="2"/>
      <c r="F2" s="2"/>
      <c r="G2" s="2"/>
      <c r="H2" s="2"/>
      <c r="I2" s="2"/>
      <c r="J2" s="2"/>
      <c r="K2" s="2"/>
      <c r="L2" s="2"/>
      <c r="M2" s="2"/>
      <c r="N2" s="2"/>
    </row>
    <row r="3" customFormat="false" ht="16.5" hidden="false" customHeight="true" outlineLevel="0" collapsed="false">
      <c r="B3" s="3" t="str">
        <f aca="false">""</f>
        <v/>
      </c>
      <c r="C3" s="3"/>
      <c r="D3" s="3"/>
      <c r="E3" s="3"/>
      <c r="F3" s="3"/>
      <c r="G3" s="3"/>
      <c r="H3" s="3"/>
      <c r="I3" s="3"/>
      <c r="J3" s="3"/>
      <c r="K3" s="3"/>
      <c r="L3" s="3"/>
      <c r="M3" s="3"/>
      <c r="N3" s="3"/>
    </row>
    <row r="4" customFormat="false" ht="25.5" hidden="false" customHeight="true" outlineLevel="0" collapsed="false">
      <c r="B4" s="4" t="s">
        <v>182</v>
      </c>
      <c r="C4" s="4"/>
      <c r="D4" s="4"/>
      <c r="E4" s="4"/>
      <c r="F4" s="4"/>
      <c r="G4" s="4"/>
      <c r="H4" s="4"/>
      <c r="I4" s="4"/>
      <c r="J4" s="4"/>
      <c r="K4" s="4"/>
      <c r="L4" s="4"/>
      <c r="M4" s="4"/>
      <c r="N4" s="4"/>
    </row>
    <row r="6" customFormat="false" ht="21.75" hidden="false" customHeight="true" outlineLevel="0" collapsed="false">
      <c r="B6" s="5" t="s">
        <v>183</v>
      </c>
      <c r="C6" s="5"/>
      <c r="D6" s="5"/>
      <c r="E6" s="5"/>
      <c r="F6" s="5"/>
      <c r="G6" s="5"/>
      <c r="H6" s="5"/>
      <c r="I6" s="5"/>
      <c r="J6" s="5"/>
      <c r="K6" s="5"/>
      <c r="L6" s="5"/>
      <c r="M6" s="5"/>
      <c r="N6" s="5"/>
    </row>
    <row r="7" customFormat="false" ht="47.25" hidden="false" customHeight="true" outlineLevel="0" collapsed="false">
      <c r="B7" s="6" t="s">
        <v>3</v>
      </c>
      <c r="C7" s="6" t="s">
        <v>4</v>
      </c>
      <c r="D7" s="6" t="s">
        <v>13</v>
      </c>
      <c r="E7" s="6" t="s">
        <v>184</v>
      </c>
      <c r="F7" s="6" t="s">
        <v>185</v>
      </c>
      <c r="G7" s="6" t="s">
        <v>186</v>
      </c>
      <c r="H7" s="6" t="s">
        <v>187</v>
      </c>
      <c r="I7" s="6" t="s">
        <v>188</v>
      </c>
      <c r="J7" s="6" t="s">
        <v>189</v>
      </c>
      <c r="K7" s="6" t="s">
        <v>190</v>
      </c>
      <c r="L7" s="6" t="s">
        <v>191</v>
      </c>
      <c r="M7" s="6" t="s">
        <v>192</v>
      </c>
      <c r="N7" s="6" t="s">
        <v>18</v>
      </c>
    </row>
    <row r="8" customFormat="false" ht="15" hidden="false" customHeight="false" outlineLevel="0" collapsed="false">
      <c r="B8" s="7" t="s">
        <v>19</v>
      </c>
      <c r="C8" s="12" t="str">
        <f aca="false">IF($B8="","",IFERROR(INDEX(Register!$C$8:$C$32,MATCH($B8,Register!$B$8:$B$32,0)),"ID not on the Register"))</f>
        <v>D. Ashworth</v>
      </c>
      <c r="D8" s="11" t="str">
        <f aca="false">IF($B8="","",IFERROR(INDEX(Register!$L$8:$L$32,MATCH($B8,Register!$B$8:$B$32,0)),""))</f>
        <v>Keep satisfied</v>
      </c>
      <c r="E8" s="10" t="n">
        <v>4</v>
      </c>
      <c r="F8" s="10" t="n">
        <v>4</v>
      </c>
      <c r="G8" s="11" t="str">
        <f aca="false">IF(OR($E8="",$F8=""),"",IF($F8-$E8&gt;0,"MOVE +"&amp;($F8-$E8)&amp;" level"&amp;IF($F8-$E8&gt;1,"s",""),IF($F8-$E8&lt;0,"Ahead of target","At target")))</f>
        <v>At target</v>
      </c>
      <c r="H8" s="9" t="s">
        <v>193</v>
      </c>
      <c r="I8" s="9" t="s">
        <v>194</v>
      </c>
      <c r="J8" s="9" t="s">
        <v>195</v>
      </c>
      <c r="K8" s="16" t="n">
        <v>46248</v>
      </c>
      <c r="L8" s="16" t="n">
        <v>46279</v>
      </c>
      <c r="M8" s="17" t="n">
        <f aca="true">IF($L8="","",TODAY()-$L8)</f>
        <v>-18</v>
      </c>
      <c r="N8" s="12" t="str">
        <f aca="false">IF($B8="","",IF($E8=1,"Never engaged",IF(AND($E8=2,$D8="Manage closely"),"Resistant, and high priority",IF(AND($L8&lt;&gt;"",$M8&gt;0),"Contact overdue by "&amp;$M8&amp;" days",IF($F8-$E8&gt;=2,"Gap of "&amp;($F8-$E8)&amp;" levels",IF($K8="","No contact recorded","OK"))))))</f>
        <v>OK</v>
      </c>
    </row>
    <row r="9" customFormat="false" ht="15" hidden="false" customHeight="false" outlineLevel="0" collapsed="false">
      <c r="B9" s="7" t="s">
        <v>31</v>
      </c>
      <c r="C9" s="12" t="str">
        <f aca="false">IF($B9="","",IFERROR(INDEX(Register!$C$8:$C$32,MATCH($B9,Register!$B$8:$B$32,0)),"ID not on the Register"))</f>
        <v>M. Anyabwile</v>
      </c>
      <c r="D9" s="11" t="str">
        <f aca="false">IF($B9="","",IFERROR(INDEX(Register!$L$8:$L$32,MATCH($B9,Register!$B$8:$B$32,0)),""))</f>
        <v>Manage closely</v>
      </c>
      <c r="E9" s="10" t="n">
        <v>5</v>
      </c>
      <c r="F9" s="10" t="n">
        <v>5</v>
      </c>
      <c r="G9" s="11" t="str">
        <f aca="false">IF(OR($E9="",$F9=""),"",IF($F9-$E9&gt;0,"MOVE +"&amp;($F9-$E9)&amp;" level"&amp;IF($F9-$E9&gt;1,"s",""),IF($F9-$E9&lt;0,"Ahead of target","At target")))</f>
        <v>At target</v>
      </c>
      <c r="H9" s="9" t="s">
        <v>196</v>
      </c>
      <c r="I9" s="9" t="s">
        <v>194</v>
      </c>
      <c r="J9" s="9" t="s">
        <v>197</v>
      </c>
      <c r="K9" s="16" t="n">
        <v>46258</v>
      </c>
      <c r="L9" s="16" t="n">
        <v>46265</v>
      </c>
      <c r="M9" s="17" t="n">
        <f aca="true">IF($L9="","",TODAY()-$L9)</f>
        <v>-4</v>
      </c>
      <c r="N9" s="12" t="str">
        <f aca="false">IF($B9="","",IF($E9=1,"Never engaged",IF(AND($E9=2,$D9="Manage closely"),"Resistant, and high priority",IF(AND($L9&lt;&gt;"",$M9&gt;0),"Contact overdue by "&amp;$M9&amp;" days",IF($F9-$E9&gt;=2,"Gap of "&amp;($F9-$E9)&amp;" levels",IF($K9="","No contact recorded","OK"))))))</f>
        <v>OK</v>
      </c>
    </row>
    <row r="10" customFormat="false" ht="15" hidden="false" customHeight="false" outlineLevel="0" collapsed="false">
      <c r="B10" s="7" t="s">
        <v>38</v>
      </c>
      <c r="C10" s="12" t="str">
        <f aca="false">IF($B10="","",IFERROR(INDEX(Register!$C$8:$C$32,MATCH($B10,Register!$B$8:$B$32,0)),"ID not on the Register"))</f>
        <v>R. Vandermeer</v>
      </c>
      <c r="D10" s="11" t="str">
        <f aca="false">IF($B10="","",IFERROR(INDEX(Register!$L$8:$L$32,MATCH($B10,Register!$B$8:$B$32,0)),""))</f>
        <v>Keep satisfied</v>
      </c>
      <c r="E10" s="10" t="n">
        <v>4</v>
      </c>
      <c r="F10" s="10" t="n">
        <v>4</v>
      </c>
      <c r="G10" s="11" t="str">
        <f aca="false">IF(OR($E10="",$F10=""),"",IF($F10-$E10&gt;0,"MOVE +"&amp;($F10-$E10)&amp;" level"&amp;IF($F10-$E10&gt;1,"s",""),IF($F10-$E10&lt;0,"Ahead of target","At target")))</f>
        <v>At target</v>
      </c>
      <c r="H10" s="9" t="s">
        <v>193</v>
      </c>
      <c r="I10" s="9" t="s">
        <v>9</v>
      </c>
      <c r="J10" s="9" t="s">
        <v>195</v>
      </c>
      <c r="K10" s="16" t="n">
        <v>46252</v>
      </c>
      <c r="L10" s="16" t="n">
        <v>46283</v>
      </c>
      <c r="M10" s="17" t="n">
        <f aca="true">IF($L10="","",TODAY()-$L10)</f>
        <v>-22</v>
      </c>
      <c r="N10" s="12" t="str">
        <f aca="false">IF($B10="","",IF($E10=1,"Never engaged",IF(AND($E10=2,$D10="Manage closely"),"Resistant, and high priority",IF(AND($L10&lt;&gt;"",$M10&gt;0),"Contact overdue by "&amp;$M10&amp;" days",IF($F10-$E10&gt;=2,"Gap of "&amp;($F10-$E10)&amp;" levels",IF($K10="","No contact recorded","OK"))))))</f>
        <v>OK</v>
      </c>
    </row>
    <row r="11" customFormat="false" ht="15" hidden="false" customHeight="false" outlineLevel="0" collapsed="false">
      <c r="B11" s="7" t="s">
        <v>46</v>
      </c>
      <c r="C11" s="12" t="str">
        <f aca="false">IF($B11="","",IFERROR(INDEX(Register!$C$8:$C$32,MATCH($B11,Register!$B$8:$B$32,0)),"ID not on the Register"))</f>
        <v>City of Wynford</v>
      </c>
      <c r="D11" s="11" t="str">
        <f aca="false">IF($B11="","",IFERROR(INDEX(Register!$L$8:$L$32,MATCH($B11,Register!$B$8:$B$32,0)),""))</f>
        <v>Manage closely</v>
      </c>
      <c r="E11" s="10" t="n">
        <v>3</v>
      </c>
      <c r="F11" s="10" t="n">
        <v>4</v>
      </c>
      <c r="G11" s="11" t="str">
        <f aca="false">IF(OR($E11="",$F11=""),"",IF($F11-$E11&gt;0,"MOVE +"&amp;($F11-$E11)&amp;" level"&amp;IF($F11-$E11&gt;1,"s",""),IF($F11-$E11&lt;0,"Ahead of target","At target")))</f>
        <v>MOVE +1 level</v>
      </c>
      <c r="H11" s="9" t="s">
        <v>193</v>
      </c>
      <c r="I11" s="9" t="s">
        <v>194</v>
      </c>
      <c r="J11" s="9" t="s">
        <v>198</v>
      </c>
      <c r="K11" s="16" t="n">
        <v>46254</v>
      </c>
      <c r="L11" s="16" t="n">
        <v>46275</v>
      </c>
      <c r="M11" s="17" t="n">
        <f aca="true">IF($L11="","",TODAY()-$L11)</f>
        <v>-14</v>
      </c>
      <c r="N11" s="12" t="str">
        <f aca="false">IF($B11="","",IF($E11=1,"Never engaged",IF(AND($E11=2,$D11="Manage closely"),"Resistant, and high priority",IF(AND($L11&lt;&gt;"",$M11&gt;0),"Contact overdue by "&amp;$M11&amp;" days",IF($F11-$E11&gt;=2,"Gap of "&amp;($F11-$E11)&amp;" levels",IF($K11="","No contact recorded","OK"))))))</f>
        <v>OK</v>
      </c>
    </row>
    <row r="12" customFormat="false" ht="15" hidden="false" customHeight="false" outlineLevel="0" collapsed="false">
      <c r="B12" s="7" t="s">
        <v>57</v>
      </c>
      <c r="C12" s="12" t="str">
        <f aca="false">IF($B12="","",IFERROR(INDEX(Register!$C$8:$C$32,MATCH($B12,Register!$B$8:$B$32,0)),"ID not on the Register"))</f>
        <v>City of Wynford</v>
      </c>
      <c r="D12" s="11" t="str">
        <f aca="false">IF($B12="","",IFERROR(INDEX(Register!$L$8:$L$32,MATCH($B12,Register!$B$8:$B$32,0)),""))</f>
        <v>Keep satisfied</v>
      </c>
      <c r="E12" s="10" t="n">
        <v>3</v>
      </c>
      <c r="F12" s="10" t="n">
        <v>3</v>
      </c>
      <c r="G12" s="11" t="str">
        <f aca="false">IF(OR($E12="",$F12=""),"",IF($F12-$E12&gt;0,"MOVE +"&amp;($F12-$E12)&amp;" level"&amp;IF($F12-$E12&gt;1,"s",""),IF($F12-$E12&lt;0,"Ahead of target","At target")))</f>
        <v>At target</v>
      </c>
      <c r="H12" s="9" t="s">
        <v>199</v>
      </c>
      <c r="I12" s="9" t="s">
        <v>200</v>
      </c>
      <c r="J12" s="9" t="s">
        <v>198</v>
      </c>
      <c r="K12" s="16" t="n">
        <v>46246</v>
      </c>
      <c r="L12" s="16" t="n">
        <v>46290</v>
      </c>
      <c r="M12" s="17" t="n">
        <f aca="true">IF($L12="","",TODAY()-$L12)</f>
        <v>-29</v>
      </c>
      <c r="N12" s="12" t="str">
        <f aca="false">IF($B12="","",IF($E12=1,"Never engaged",IF(AND($E12=2,$D12="Manage closely"),"Resistant, and high priority",IF(AND($L12&lt;&gt;"",$M12&gt;0),"Contact overdue by "&amp;$M12&amp;" days",IF($F12-$E12&gt;=2,"Gap of "&amp;($F12-$E12)&amp;" levels",IF($K12="","No contact recorded","OK"))))))</f>
        <v>OK</v>
      </c>
    </row>
    <row r="13" customFormat="false" ht="25.35" hidden="false" customHeight="false" outlineLevel="0" collapsed="false">
      <c r="B13" s="7" t="s">
        <v>64</v>
      </c>
      <c r="C13" s="12" t="str">
        <f aca="false">IF($B13="","",IFERROR(INDEX(Register!$C$8:$C$32,MATCH($B13,Register!$B$8:$B$32,0)),"ID not on the Register"))</f>
        <v>State Department of Transportation</v>
      </c>
      <c r="D13" s="11" t="str">
        <f aca="false">IF($B13="","",IFERROR(INDEX(Register!$L$8:$L$32,MATCH($B13,Register!$B$8:$B$32,0)),""))</f>
        <v>Keep satisfied</v>
      </c>
      <c r="E13" s="10" t="n">
        <v>2</v>
      </c>
      <c r="F13" s="10" t="n">
        <v>3</v>
      </c>
      <c r="G13" s="11" t="str">
        <f aca="false">IF(OR($E13="",$F13=""),"",IF($F13-$E13&gt;0,"MOVE +"&amp;($F13-$E13)&amp;" level"&amp;IF($F13-$E13&gt;1,"s",""),IF($F13-$E13&lt;0,"Ahead of target","At target")))</f>
        <v>MOVE +1 level</v>
      </c>
      <c r="H13" s="9" t="s">
        <v>199</v>
      </c>
      <c r="I13" s="9" t="s">
        <v>194</v>
      </c>
      <c r="J13" s="9" t="s">
        <v>198</v>
      </c>
      <c r="K13" s="16" t="n">
        <v>46240</v>
      </c>
      <c r="L13" s="16" t="n">
        <v>46268</v>
      </c>
      <c r="M13" s="17" t="n">
        <f aca="true">IF($L13="","",TODAY()-$L13)</f>
        <v>-7</v>
      </c>
      <c r="N13" s="12" t="str">
        <f aca="false">IF($B13="","",IF($E13=1,"Never engaged",IF(AND($E13=2,$D13="Manage closely"),"Resistant, and high priority",IF(AND($L13&lt;&gt;"",$M13&gt;0),"Contact overdue by "&amp;$M13&amp;" days",IF($F13-$E13&gt;=2,"Gap of "&amp;($F13-$E13)&amp;" levels",IF($K13="","No contact recorded","OK"))))))</f>
        <v>OK</v>
      </c>
    </row>
    <row r="14" customFormat="false" ht="25.35" hidden="false" customHeight="false" outlineLevel="0" collapsed="false">
      <c r="B14" s="7" t="s">
        <v>72</v>
      </c>
      <c r="C14" s="12" t="str">
        <f aca="false">IF($B14="","",IFERROR(INDEX(Register!$C$8:$C$32,MATCH($B14,Register!$B$8:$B$32,0)),"ID not on the Register"))</f>
        <v>State Environmental Agency</v>
      </c>
      <c r="D14" s="11" t="str">
        <f aca="false">IF($B14="","",IFERROR(INDEX(Register!$L$8:$L$32,MATCH($B14,Register!$B$8:$B$32,0)),""))</f>
        <v>Keep satisfied</v>
      </c>
      <c r="E14" s="10" t="n">
        <v>2</v>
      </c>
      <c r="F14" s="10" t="n">
        <v>3</v>
      </c>
      <c r="G14" s="11" t="str">
        <f aca="false">IF(OR($E14="",$F14=""),"",IF($F14-$E14&gt;0,"MOVE +"&amp;($F14-$E14)&amp;" level"&amp;IF($F14-$E14&gt;1,"s",""),IF($F14-$E14&lt;0,"Ahead of target","At target")))</f>
        <v>MOVE +1 level</v>
      </c>
      <c r="H14" s="9" t="s">
        <v>199</v>
      </c>
      <c r="I14" s="9" t="s">
        <v>200</v>
      </c>
      <c r="J14" s="9" t="s">
        <v>198</v>
      </c>
      <c r="K14" s="16" t="n">
        <v>46253</v>
      </c>
      <c r="L14" s="16" t="n">
        <v>46274</v>
      </c>
      <c r="M14" s="17" t="n">
        <f aca="true">IF($L14="","",TODAY()-$L14)</f>
        <v>-13</v>
      </c>
      <c r="N14" s="12" t="str">
        <f aca="false">IF($B14="","",IF($E14=1,"Never engaged",IF(AND($E14=2,$D14="Manage closely"),"Resistant, and high priority",IF(AND($L14&lt;&gt;"",$M14&gt;0),"Contact overdue by "&amp;$M14&amp;" days",IF($F14-$E14&gt;=2,"Gap of "&amp;($F14-$E14)&amp;" levels",IF($K14="","No contact recorded","OK"))))))</f>
        <v>OK</v>
      </c>
    </row>
    <row r="15" customFormat="false" ht="25.35" hidden="false" customHeight="false" outlineLevel="0" collapsed="false">
      <c r="B15" s="7" t="s">
        <v>81</v>
      </c>
      <c r="C15" s="12" t="str">
        <f aca="false">IF($B15="","",IFERROR(INDEX(Register!$C$8:$C$32,MATCH($B15,Register!$B$8:$B$32,0)),"ID not on the Register"))</f>
        <v>Fire Marshal</v>
      </c>
      <c r="D15" s="11" t="str">
        <f aca="false">IF($B15="","",IFERROR(INDEX(Register!$L$8:$L$32,MATCH($B15,Register!$B$8:$B$32,0)),""))</f>
        <v>Keep satisfied</v>
      </c>
      <c r="E15" s="10" t="n">
        <v>3</v>
      </c>
      <c r="F15" s="10" t="n">
        <v>4</v>
      </c>
      <c r="G15" s="11" t="str">
        <f aca="false">IF(OR($E15="",$F15=""),"",IF($F15-$E15&gt;0,"MOVE +"&amp;($F15-$E15)&amp;" level"&amp;IF($F15-$E15&gt;1,"s",""),IF($F15-$E15&lt;0,"Ahead of target","At target")))</f>
        <v>MOVE +1 level</v>
      </c>
      <c r="H15" s="9" t="s">
        <v>199</v>
      </c>
      <c r="I15" s="9" t="s">
        <v>194</v>
      </c>
      <c r="J15" s="9" t="s">
        <v>201</v>
      </c>
      <c r="K15" s="16" t="n">
        <v>46184</v>
      </c>
      <c r="L15" s="16" t="n">
        <v>46245</v>
      </c>
      <c r="M15" s="17" t="n">
        <f aca="true">IF($L15="","",TODAY()-$L15)</f>
        <v>16</v>
      </c>
      <c r="N15" s="12" t="str">
        <f aca="false">IF($B15="","",IF($E15=1,"Never engaged",IF(AND($E15=2,$D15="Manage closely"),"Resistant, and high priority",IF(AND($L15&lt;&gt;"",$M15&gt;0),"Contact overdue by "&amp;$M15&amp;" days",IF($F15-$E15&gt;=2,"Gap of "&amp;($F15-$E15)&amp;" levels",IF($K15="","No contact recorded","OK"))))))</f>
        <v>Contact overdue by 16 days</v>
      </c>
    </row>
    <row r="16" customFormat="false" ht="15" hidden="false" customHeight="false" outlineLevel="0" collapsed="false">
      <c r="B16" s="7" t="s">
        <v>89</v>
      </c>
      <c r="C16" s="12" t="str">
        <f aca="false">IF($B16="","",IFERROR(INDEX(Register!$C$8:$C$32,MATCH($B16,Register!$B$8:$B$32,0)),"ID not on the Register"))</f>
        <v>Federal Grant Agency</v>
      </c>
      <c r="D16" s="11" t="str">
        <f aca="false">IF($B16="","",IFERROR(INDEX(Register!$L$8:$L$32,MATCH($B16,Register!$B$8:$B$32,0)),""))</f>
        <v>Manage closely</v>
      </c>
      <c r="E16" s="10" t="n">
        <v>4</v>
      </c>
      <c r="F16" s="10" t="n">
        <v>4</v>
      </c>
      <c r="G16" s="11" t="str">
        <f aca="false">IF(OR($E16="",$F16=""),"",IF($F16-$E16&gt;0,"MOVE +"&amp;($F16-$E16)&amp;" level"&amp;IF($F16-$E16&gt;1,"s",""),IF($F16-$E16&lt;0,"Ahead of target","At target")))</f>
        <v>At target</v>
      </c>
      <c r="H16" s="9" t="s">
        <v>196</v>
      </c>
      <c r="I16" s="9" t="s">
        <v>200</v>
      </c>
      <c r="J16" s="9" t="s">
        <v>201</v>
      </c>
      <c r="K16" s="16" t="n">
        <v>46239</v>
      </c>
      <c r="L16" s="16" t="n">
        <v>46300</v>
      </c>
      <c r="M16" s="17" t="n">
        <f aca="true">IF($L16="","",TODAY()-$L16)</f>
        <v>-39</v>
      </c>
      <c r="N16" s="12" t="str">
        <f aca="false">IF($B16="","",IF($E16=1,"Never engaged",IF(AND($E16=2,$D16="Manage closely"),"Resistant, and high priority",IF(AND($L16&lt;&gt;"",$M16&gt;0),"Contact overdue by "&amp;$M16&amp;" days",IF($F16-$E16&gt;=2,"Gap of "&amp;($F16-$E16)&amp;" levels",IF($K16="","No contact recorded","OK"))))))</f>
        <v>OK</v>
      </c>
    </row>
    <row r="17" customFormat="false" ht="15" hidden="false" customHeight="false" outlineLevel="0" collapsed="false">
      <c r="B17" s="7" t="s">
        <v>97</v>
      </c>
      <c r="C17" s="12" t="str">
        <f aca="false">IF($B17="","",IFERROR(INDEX(Register!$C$8:$C$32,MATCH($B17,Register!$B$8:$B$32,0)),"ID not on the Register"))</f>
        <v>Ashfield Electric</v>
      </c>
      <c r="D17" s="11" t="str">
        <f aca="false">IF($B17="","",IFERROR(INDEX(Register!$L$8:$L$32,MATCH($B17,Register!$B$8:$B$32,0)),""))</f>
        <v>Keep satisfied</v>
      </c>
      <c r="E17" s="10" t="n">
        <v>3</v>
      </c>
      <c r="F17" s="10" t="n">
        <v>4</v>
      </c>
      <c r="G17" s="11" t="str">
        <f aca="false">IF(OR($E17="",$F17=""),"",IF($F17-$E17&gt;0,"MOVE +"&amp;($F17-$E17)&amp;" level"&amp;IF($F17-$E17&gt;1,"s",""),IF($F17-$E17&lt;0,"Ahead of target","At target")))</f>
        <v>MOVE +1 level</v>
      </c>
      <c r="H17" s="9" t="s">
        <v>202</v>
      </c>
      <c r="I17" s="9" t="s">
        <v>194</v>
      </c>
      <c r="J17" s="9" t="s">
        <v>195</v>
      </c>
      <c r="K17" s="16" t="n">
        <v>46255</v>
      </c>
      <c r="L17" s="16" t="n">
        <v>46286</v>
      </c>
      <c r="M17" s="17" t="n">
        <f aca="true">IF($L17="","",TODAY()-$L17)</f>
        <v>-25</v>
      </c>
      <c r="N17" s="12" t="str">
        <f aca="false">IF($B17="","",IF($E17=1,"Never engaged",IF(AND($E17=2,$D17="Manage closely"),"Resistant, and high priority",IF(AND($L17&lt;&gt;"",$M17&gt;0),"Contact overdue by "&amp;$M17&amp;" days",IF($F17-$E17&gt;=2,"Gap of "&amp;($F17-$E17)&amp;" levels",IF($K17="","No contact recorded","OK"))))))</f>
        <v>OK</v>
      </c>
    </row>
    <row r="18" customFormat="false" ht="15" hidden="false" customHeight="false" outlineLevel="0" collapsed="false">
      <c r="B18" s="7" t="s">
        <v>108</v>
      </c>
      <c r="C18" s="12" t="str">
        <f aca="false">IF($B18="","",IFERROR(INDEX(Register!$C$8:$C$32,MATCH($B18,Register!$B$8:$B$32,0)),"ID not on the Register"))</f>
        <v>T. Brennan</v>
      </c>
      <c r="D18" s="11" t="str">
        <f aca="false">IF($B18="","",IFERROR(INDEX(Register!$L$8:$L$32,MATCH($B18,Register!$B$8:$B$32,0)),""))</f>
        <v>Keep satisfied</v>
      </c>
      <c r="E18" s="10" t="n">
        <v>1</v>
      </c>
      <c r="F18" s="10" t="n">
        <v>5</v>
      </c>
      <c r="G18" s="11" t="str">
        <f aca="false">IF(OR($E18="",$F18=""),"",IF($F18-$E18&gt;0,"MOVE +"&amp;($F18-$E18)&amp;" level"&amp;IF($F18-$E18&gt;1,"s",""),IF($F18-$E18&lt;0,"Ahead of target","At target")))</f>
        <v>MOVE +4 levels</v>
      </c>
      <c r="H18" s="9" t="s">
        <v>203</v>
      </c>
      <c r="I18" s="9" t="s">
        <v>204</v>
      </c>
      <c r="J18" s="9" t="s">
        <v>195</v>
      </c>
      <c r="K18" s="16"/>
      <c r="L18" s="16" t="n">
        <v>46269</v>
      </c>
      <c r="M18" s="17" t="n">
        <f aca="true">IF($L18="","",TODAY()-$L18)</f>
        <v>-8</v>
      </c>
      <c r="N18" s="12" t="str">
        <f aca="false">IF($B18="","",IF($E18=1,"Never engaged",IF(AND($E18=2,$D18="Manage closely"),"Resistant, and high priority",IF(AND($L18&lt;&gt;"",$M18&gt;0),"Contact overdue by "&amp;$M18&amp;" days",IF($F18-$E18&gt;=2,"Gap of "&amp;($F18-$E18)&amp;" levels",IF($K18="","No contact recorded","OK"))))))</f>
        <v>Never engaged</v>
      </c>
    </row>
    <row r="19" customFormat="false" ht="15" hidden="false" customHeight="false" outlineLevel="0" collapsed="false">
      <c r="B19" s="7" t="s">
        <v>116</v>
      </c>
      <c r="C19" s="12" t="str">
        <f aca="false">IF($B19="","",IFERROR(INDEX(Register!$C$8:$C$32,MATCH($B19,Register!$B$8:$B$32,0)),"ID not on the Register"))</f>
        <v>L. Hidalgo</v>
      </c>
      <c r="D19" s="11" t="str">
        <f aca="false">IF($B19="","",IFERROR(INDEX(Register!$L$8:$L$32,MATCH($B19,Register!$B$8:$B$32,0)),""))</f>
        <v>Keep informed</v>
      </c>
      <c r="E19" s="10" t="n">
        <v>4</v>
      </c>
      <c r="F19" s="10" t="n">
        <v>5</v>
      </c>
      <c r="G19" s="11" t="str">
        <f aca="false">IF(OR($E19="",$F19=""),"",IF($F19-$E19&gt;0,"MOVE +"&amp;($F19-$E19)&amp;" level"&amp;IF($F19-$E19&gt;1,"s",""),IF($F19-$E19&lt;0,"Ahead of target","At target")))</f>
        <v>MOVE +1 level</v>
      </c>
      <c r="H19" s="9" t="s">
        <v>199</v>
      </c>
      <c r="I19" s="9" t="s">
        <v>204</v>
      </c>
      <c r="J19" s="9" t="s">
        <v>198</v>
      </c>
      <c r="K19" s="16" t="n">
        <v>46247</v>
      </c>
      <c r="L19" s="16" t="n">
        <v>46282</v>
      </c>
      <c r="M19" s="17" t="n">
        <f aca="true">IF($L19="","",TODAY()-$L19)</f>
        <v>-21</v>
      </c>
      <c r="N19" s="12" t="str">
        <f aca="false">IF($B19="","",IF($E19=1,"Never engaged",IF(AND($E19=2,$D19="Manage closely"),"Resistant, and high priority",IF(AND($L19&lt;&gt;"",$M19&gt;0),"Contact overdue by "&amp;$M19&amp;" days",IF($F19-$E19&gt;=2,"Gap of "&amp;($F19-$E19)&amp;" levels",IF($K19="","No contact recorded","OK"))))))</f>
        <v>OK</v>
      </c>
    </row>
    <row r="20" customFormat="false" ht="25.35" hidden="false" customHeight="false" outlineLevel="0" collapsed="false">
      <c r="B20" s="7" t="s">
        <v>126</v>
      </c>
      <c r="C20" s="12" t="str">
        <f aca="false">IF($B20="","",IFERROR(INDEX(Register!$C$8:$C$32,MATCH($B20,Register!$B$8:$B$32,0)),"ID not on the Register"))</f>
        <v>Wynford Business Coalition</v>
      </c>
      <c r="D20" s="11" t="str">
        <f aca="false">IF($B20="","",IFERROR(INDEX(Register!$L$8:$L$32,MATCH($B20,Register!$B$8:$B$32,0)),""))</f>
        <v>Keep informed</v>
      </c>
      <c r="E20" s="10" t="n">
        <v>3</v>
      </c>
      <c r="F20" s="10" t="n">
        <v>4</v>
      </c>
      <c r="G20" s="11" t="str">
        <f aca="false">IF(OR($E20="",$F20=""),"",IF($F20-$E20&gt;0,"MOVE +"&amp;($F20-$E20)&amp;" level"&amp;IF($F20-$E20&gt;1,"s",""),IF($F20-$E20&lt;0,"Ahead of target","At target")))</f>
        <v>MOVE +1 level</v>
      </c>
      <c r="H20" s="9" t="s">
        <v>196</v>
      </c>
      <c r="I20" s="9" t="s">
        <v>205</v>
      </c>
      <c r="J20" s="9" t="s">
        <v>201</v>
      </c>
      <c r="K20" s="16" t="n">
        <v>46241</v>
      </c>
      <c r="L20" s="16" t="n">
        <v>46302</v>
      </c>
      <c r="M20" s="17" t="n">
        <f aca="true">IF($L20="","",TODAY()-$L20)</f>
        <v>-41</v>
      </c>
      <c r="N20" s="12" t="str">
        <f aca="false">IF($B20="","",IF($E20=1,"Never engaged",IF(AND($E20=2,$D20="Manage closely"),"Resistant, and high priority",IF(AND($L20&lt;&gt;"",$M20&gt;0),"Contact overdue by "&amp;$M20&amp;" days",IF($F20-$E20&gt;=2,"Gap of "&amp;($F20-$E20)&amp;" levels",IF($K20="","No contact recorded","OK"))))))</f>
        <v>OK</v>
      </c>
    </row>
    <row r="21" customFormat="false" ht="15" hidden="false" customHeight="false" outlineLevel="0" collapsed="false">
      <c r="B21" s="7" t="s">
        <v>133</v>
      </c>
      <c r="C21" s="12" t="str">
        <f aca="false">IF($B21="","",IFERROR(INDEX(Register!$C$8:$C$32,MATCH($B21,Register!$B$8:$B$32,0)),"ID not on the Register"))</f>
        <v>P. Okwuosa</v>
      </c>
      <c r="D21" s="11" t="str">
        <f aca="false">IF($B21="","",IFERROR(INDEX(Register!$L$8:$L$32,MATCH($B21,Register!$B$8:$B$32,0)),""))</f>
        <v>Keep informed</v>
      </c>
      <c r="E21" s="10" t="n">
        <v>2</v>
      </c>
      <c r="F21" s="10" t="n">
        <v>4</v>
      </c>
      <c r="G21" s="11" t="str">
        <f aca="false">IF(OR($E21="",$F21=""),"",IF($F21-$E21&gt;0,"MOVE +"&amp;($F21-$E21)&amp;" level"&amp;IF($F21-$E21&gt;1,"s",""),IF($F21-$E21&lt;0,"Ahead of target","At target")))</f>
        <v>MOVE +2 levels</v>
      </c>
      <c r="H21" s="9" t="s">
        <v>196</v>
      </c>
      <c r="I21" s="9" t="s">
        <v>205</v>
      </c>
      <c r="J21" s="9" t="s">
        <v>195</v>
      </c>
      <c r="K21" s="16" t="n">
        <v>46256</v>
      </c>
      <c r="L21" s="16" t="n">
        <v>46287</v>
      </c>
      <c r="M21" s="17" t="n">
        <f aca="true">IF($L21="","",TODAY()-$L21)</f>
        <v>-26</v>
      </c>
      <c r="N21" s="12" t="str">
        <f aca="false">IF($B21="","",IF($E21=1,"Never engaged",IF(AND($E21=2,$D21="Manage closely"),"Resistant, and high priority",IF(AND($L21&lt;&gt;"",$M21&gt;0),"Contact overdue by "&amp;$M21&amp;" days",IF($F21-$E21&gt;=2,"Gap of "&amp;($F21-$E21)&amp;" levels",IF($K21="","No contact recorded","OK"))))))</f>
        <v>Gap of 2 levels</v>
      </c>
    </row>
    <row r="22" customFormat="false" ht="15" hidden="false" customHeight="false" outlineLevel="0" collapsed="false">
      <c r="B22" s="7" t="s">
        <v>141</v>
      </c>
      <c r="C22" s="12" t="str">
        <f aca="false">IF($B22="","",IFERROR(INDEX(Register!$C$8:$C$32,MATCH($B22,Register!$B$8:$B$32,0)),"ID not on the Register"))</f>
        <v>G. Adeyemi</v>
      </c>
      <c r="D22" s="11" t="str">
        <f aca="false">IF($B22="","",IFERROR(INDEX(Register!$L$8:$L$32,MATCH($B22,Register!$B$8:$B$32,0)),""))</f>
        <v>Manage closely</v>
      </c>
      <c r="E22" s="10" t="n">
        <v>3</v>
      </c>
      <c r="F22" s="10" t="n">
        <v>4</v>
      </c>
      <c r="G22" s="11" t="str">
        <f aca="false">IF(OR($E22="",$F22=""),"",IF($F22-$E22&gt;0,"MOVE +"&amp;($F22-$E22)&amp;" level"&amp;IF($F22-$E22&gt;1,"s",""),IF($F22-$E22&lt;0,"Ahead of target","At target")))</f>
        <v>MOVE +1 level</v>
      </c>
      <c r="H22" s="9" t="s">
        <v>202</v>
      </c>
      <c r="I22" s="9" t="s">
        <v>204</v>
      </c>
      <c r="J22" s="9" t="s">
        <v>195</v>
      </c>
      <c r="K22" s="16" t="n">
        <v>46249</v>
      </c>
      <c r="L22" s="16" t="n">
        <v>46280</v>
      </c>
      <c r="M22" s="17" t="n">
        <f aca="true">IF($L22="","",TODAY()-$L22)</f>
        <v>-19</v>
      </c>
      <c r="N22" s="12" t="str">
        <f aca="false">IF($B22="","",IF($E22=1,"Never engaged",IF(AND($E22=2,$D22="Manage closely"),"Resistant, and high priority",IF(AND($L22&lt;&gt;"",$M22&gt;0),"Contact overdue by "&amp;$M22&amp;" days",IF($F22-$E22&gt;=2,"Gap of "&amp;($F22-$E22)&amp;" levels",IF($K22="","No contact recorded","OK"))))))</f>
        <v>OK</v>
      </c>
    </row>
    <row r="23" customFormat="false" ht="25.35" hidden="false" customHeight="false" outlineLevel="0" collapsed="false">
      <c r="B23" s="7" t="s">
        <v>149</v>
      </c>
      <c r="C23" s="12" t="str">
        <f aca="false">IF($B23="","",IFERROR(INDEX(Register!$C$8:$C$32,MATCH($B23,Register!$B$8:$B$32,0)),"ID not on the Register"))</f>
        <v>Ashfield Water and Sewer District</v>
      </c>
      <c r="D23" s="11" t="str">
        <f aca="false">IF($B23="","",IFERROR(INDEX(Register!$L$8:$L$32,MATCH($B23,Register!$B$8:$B$32,0)),""))</f>
        <v>Monitor</v>
      </c>
      <c r="E23" s="10" t="n">
        <v>3</v>
      </c>
      <c r="F23" s="10" t="n">
        <v>3</v>
      </c>
      <c r="G23" s="11" t="str">
        <f aca="false">IF(OR($E23="",$F23=""),"",IF($F23-$E23&gt;0,"MOVE +"&amp;($F23-$E23)&amp;" level"&amp;IF($F23-$E23&gt;1,"s",""),IF($F23-$E23&lt;0,"Ahead of target","At target")))</f>
        <v>At target</v>
      </c>
      <c r="H23" s="9" t="s">
        <v>202</v>
      </c>
      <c r="I23" s="9" t="s">
        <v>9</v>
      </c>
      <c r="J23" s="9" t="s">
        <v>206</v>
      </c>
      <c r="K23" s="16" t="n">
        <v>46238</v>
      </c>
      <c r="L23" s="16" t="n">
        <v>46295</v>
      </c>
      <c r="M23" s="17" t="n">
        <f aca="true">IF($L23="","",TODAY()-$L23)</f>
        <v>-34</v>
      </c>
      <c r="N23" s="12" t="str">
        <f aca="false">IF($B23="","",IF($E23=1,"Never engaged",IF(AND($E23=2,$D23="Manage closely"),"Resistant, and high priority",IF(AND($L23&lt;&gt;"",$M23&gt;0),"Contact overdue by "&amp;$M23&amp;" days",IF($F23-$E23&gt;=2,"Gap of "&amp;($F23-$E23)&amp;" levels",IF($K23="","No contact recorded","OK"))))))</f>
        <v>OK</v>
      </c>
    </row>
    <row r="24" customFormat="false" ht="25.35" hidden="false" customHeight="false" outlineLevel="0" collapsed="false">
      <c r="B24" s="7" t="s">
        <v>156</v>
      </c>
      <c r="C24" s="12" t="str">
        <f aca="false">IF($B24="","",IFERROR(INDEX(Register!$C$8:$C$32,MATCH($B24,Register!$B$8:$B$32,0)),"ID not on the Register"))</f>
        <v>County Emergency Management</v>
      </c>
      <c r="D24" s="11" t="str">
        <f aca="false">IF($B24="","",IFERROR(INDEX(Register!$L$8:$L$32,MATCH($B24,Register!$B$8:$B$32,0)),""))</f>
        <v>Monitor</v>
      </c>
      <c r="E24" s="10" t="n">
        <v>1</v>
      </c>
      <c r="F24" s="10" t="n">
        <v>3</v>
      </c>
      <c r="G24" s="11" t="str">
        <f aca="false">IF(OR($E24="",$F24=""),"",IF($F24-$E24&gt;0,"MOVE +"&amp;($F24-$E24)&amp;" level"&amp;IF($F24-$E24&gt;1,"s",""),IF($F24-$E24&lt;0,"Ahead of target","At target")))</f>
        <v>MOVE +2 levels</v>
      </c>
      <c r="H24" s="9" t="s">
        <v>207</v>
      </c>
      <c r="I24" s="9" t="s">
        <v>9</v>
      </c>
      <c r="J24" s="9" t="s">
        <v>201</v>
      </c>
      <c r="K24" s="16"/>
      <c r="L24" s="16" t="n">
        <v>46295</v>
      </c>
      <c r="M24" s="17" t="n">
        <f aca="true">IF($L24="","",TODAY()-$L24)</f>
        <v>-34</v>
      </c>
      <c r="N24" s="12" t="str">
        <f aca="false">IF($B24="","",IF($E24=1,"Never engaged",IF(AND($E24=2,$D24="Manage closely"),"Resistant, and high priority",IF(AND($L24&lt;&gt;"",$M24&gt;0),"Contact overdue by "&amp;$M24&amp;" days",IF($F24-$E24&gt;=2,"Gap of "&amp;($F24-$E24)&amp;" levels",IF($K24="","No contact recorded","OK"))))))</f>
        <v>Never engaged</v>
      </c>
    </row>
    <row r="25" customFormat="false" ht="15" hidden="false" customHeight="false" outlineLevel="0" collapsed="false">
      <c r="B25" s="7" t="s">
        <v>164</v>
      </c>
      <c r="C25" s="12" t="str">
        <f aca="false">IF($B25="","",IFERROR(INDEX(Register!$C$8:$C$32,MATCH($B25,Register!$B$8:$B$32,0)),"ID not on the Register"))</f>
        <v>K. Rasmussen</v>
      </c>
      <c r="D25" s="11" t="str">
        <f aca="false">IF($B25="","",IFERROR(INDEX(Register!$L$8:$L$32,MATCH($B25,Register!$B$8:$B$32,0)),""))</f>
        <v>Manage closely</v>
      </c>
      <c r="E25" s="10" t="n">
        <v>4</v>
      </c>
      <c r="F25" s="10" t="n">
        <v>5</v>
      </c>
      <c r="G25" s="11" t="str">
        <f aca="false">IF(OR($E25="",$F25=""),"",IF($F25-$E25&gt;0,"MOVE +"&amp;($F25-$E25)&amp;" level"&amp;IF($F25-$E25&gt;1,"s",""),IF($F25-$E25&lt;0,"Ahead of target","At target")))</f>
        <v>MOVE +1 level</v>
      </c>
      <c r="H25" s="9" t="s">
        <v>199</v>
      </c>
      <c r="I25" s="9" t="s">
        <v>194</v>
      </c>
      <c r="J25" s="9" t="s">
        <v>197</v>
      </c>
      <c r="K25" s="16" t="n">
        <v>46259</v>
      </c>
      <c r="L25" s="16" t="n">
        <v>46266</v>
      </c>
      <c r="M25" s="17" t="n">
        <f aca="true">IF($L25="","",TODAY()-$L25)</f>
        <v>-5</v>
      </c>
      <c r="N25" s="12" t="str">
        <f aca="false">IF($B25="","",IF($E25=1,"Never engaged",IF(AND($E25=2,$D25="Manage closely"),"Resistant, and high priority",IF(AND($L25&lt;&gt;"",$M25&gt;0),"Contact overdue by "&amp;$M25&amp;" days",IF($F25-$E25&gt;=2,"Gap of "&amp;($F25-$E25)&amp;" levels",IF($K25="","No contact recorded","OK"))))))</f>
        <v>OK</v>
      </c>
    </row>
    <row r="26" customFormat="false" ht="15" hidden="false" customHeight="false" outlineLevel="0" collapsed="false">
      <c r="B26" s="7" t="s">
        <v>172</v>
      </c>
      <c r="C26" s="12" t="str">
        <f aca="false">IF($B26="","",IFERROR(INDEX(Register!$C$8:$C$32,MATCH($B26,Register!$B$8:$B$32,0)),"ID not on the Register"))</f>
        <v>J. Castellanos</v>
      </c>
      <c r="D26" s="11" t="str">
        <f aca="false">IF($B26="","",IFERROR(INDEX(Register!$L$8:$L$32,MATCH($B26,Register!$B$8:$B$32,0)),""))</f>
        <v>Manage closely</v>
      </c>
      <c r="E26" s="10" t="n">
        <v>4</v>
      </c>
      <c r="F26" s="10" t="n">
        <v>5</v>
      </c>
      <c r="G26" s="11" t="str">
        <f aca="false">IF(OR($E26="",$F26=""),"",IF($F26-$E26&gt;0,"MOVE +"&amp;($F26-$E26)&amp;" level"&amp;IF($F26-$E26&gt;1,"s",""),IF($F26-$E26&lt;0,"Ahead of target","At target")))</f>
        <v>MOVE +1 level</v>
      </c>
      <c r="H26" s="9" t="s">
        <v>196</v>
      </c>
      <c r="I26" s="9" t="s">
        <v>194</v>
      </c>
      <c r="J26" s="9" t="s">
        <v>197</v>
      </c>
      <c r="K26" s="16" t="n">
        <v>46259</v>
      </c>
      <c r="L26" s="16" t="n">
        <v>46266</v>
      </c>
      <c r="M26" s="17" t="n">
        <f aca="true">IF($L26="","",TODAY()-$L26)</f>
        <v>-5</v>
      </c>
      <c r="N26" s="12" t="str">
        <f aca="false">IF($B26="","",IF($E26=1,"Never engaged",IF(AND($E26=2,$D26="Manage closely"),"Resistant, and high priority",IF(AND($L26&lt;&gt;"",$M26&gt;0),"Contact overdue by "&amp;$M26&amp;" days",IF($F26-$E26&gt;=2,"Gap of "&amp;($F26-$E26)&amp;" levels",IF($K26="","No contact recorded","OK"))))))</f>
        <v>OK</v>
      </c>
    </row>
    <row r="27" customFormat="false" ht="15" hidden="false" customHeight="false" outlineLevel="0" collapsed="false">
      <c r="B27" s="7"/>
      <c r="C27" s="12" t="str">
        <f aca="false">IF($B27="","",IFERROR(INDEX(Register!$C$8:$C$32,MATCH($B27,Register!$B$8:$B$32,0)),"ID not on the Register"))</f>
        <v/>
      </c>
      <c r="D27" s="11" t="str">
        <f aca="false">IF($B27="","",IFERROR(INDEX(Register!$L$8:$L$32,MATCH($B27,Register!$B$8:$B$32,0)),""))</f>
        <v/>
      </c>
      <c r="E27" s="10"/>
      <c r="F27" s="10"/>
      <c r="G27" s="11" t="str">
        <f aca="false">IF(OR($E27="",$F27=""),"",IF($F27-$E27&gt;0,"MOVE +"&amp;($F27-$E27)&amp;" level"&amp;IF($F27-$E27&gt;1,"s",""),IF($F27-$E27&lt;0,"Ahead of target","At target")))</f>
        <v/>
      </c>
      <c r="H27" s="9"/>
      <c r="I27" s="9"/>
      <c r="J27" s="9"/>
      <c r="K27" s="16"/>
      <c r="L27" s="16"/>
      <c r="M27" s="17" t="str">
        <f aca="true">IF($L27="","",TODAY()-$L27)</f>
        <v/>
      </c>
      <c r="N27" s="12" t="str">
        <f aca="false">IF($B27="","",IF($E27=1,"Never engaged",IF(AND($E27=2,$D27="Manage closely"),"Resistant, and high priority",IF(AND($L27&lt;&gt;"",$M27&gt;0),"Contact overdue by "&amp;$M27&amp;" days",IF($F27-$E27&gt;=2,"Gap of "&amp;($F27-$E27)&amp;" levels",IF($K27="","No contact recorded","OK"))))))</f>
        <v/>
      </c>
    </row>
    <row r="28" customFormat="false" ht="15" hidden="false" customHeight="false" outlineLevel="0" collapsed="false">
      <c r="B28" s="7"/>
      <c r="C28" s="12" t="str">
        <f aca="false">IF($B28="","",IFERROR(INDEX(Register!$C$8:$C$32,MATCH($B28,Register!$B$8:$B$32,0)),"ID not on the Register"))</f>
        <v/>
      </c>
      <c r="D28" s="11" t="str">
        <f aca="false">IF($B28="","",IFERROR(INDEX(Register!$L$8:$L$32,MATCH($B28,Register!$B$8:$B$32,0)),""))</f>
        <v/>
      </c>
      <c r="E28" s="10"/>
      <c r="F28" s="10"/>
      <c r="G28" s="11" t="str">
        <f aca="false">IF(OR($E28="",$F28=""),"",IF($F28-$E28&gt;0,"MOVE +"&amp;($F28-$E28)&amp;" level"&amp;IF($F28-$E28&gt;1,"s",""),IF($F28-$E28&lt;0,"Ahead of target","At target")))</f>
        <v/>
      </c>
      <c r="H28" s="9"/>
      <c r="I28" s="9"/>
      <c r="J28" s="9"/>
      <c r="K28" s="16"/>
      <c r="L28" s="16"/>
      <c r="M28" s="17" t="str">
        <f aca="true">IF($L28="","",TODAY()-$L28)</f>
        <v/>
      </c>
      <c r="N28" s="12" t="str">
        <f aca="false">IF($B28="","",IF($E28=1,"Never engaged",IF(AND($E28=2,$D28="Manage closely"),"Resistant, and high priority",IF(AND($L28&lt;&gt;"",$M28&gt;0),"Contact overdue by "&amp;$M28&amp;" days",IF($F28-$E28&gt;=2,"Gap of "&amp;($F28-$E28)&amp;" levels",IF($K28="","No contact recorded","OK"))))))</f>
        <v/>
      </c>
    </row>
    <row r="29" customFormat="false" ht="15" hidden="false" customHeight="false" outlineLevel="0" collapsed="false">
      <c r="B29" s="7"/>
      <c r="C29" s="12" t="str">
        <f aca="false">IF($B29="","",IFERROR(INDEX(Register!$C$8:$C$32,MATCH($B29,Register!$B$8:$B$32,0)),"ID not on the Register"))</f>
        <v/>
      </c>
      <c r="D29" s="11" t="str">
        <f aca="false">IF($B29="","",IFERROR(INDEX(Register!$L$8:$L$32,MATCH($B29,Register!$B$8:$B$32,0)),""))</f>
        <v/>
      </c>
      <c r="E29" s="10"/>
      <c r="F29" s="10"/>
      <c r="G29" s="11" t="str">
        <f aca="false">IF(OR($E29="",$F29=""),"",IF($F29-$E29&gt;0,"MOVE +"&amp;($F29-$E29)&amp;" level"&amp;IF($F29-$E29&gt;1,"s",""),IF($F29-$E29&lt;0,"Ahead of target","At target")))</f>
        <v/>
      </c>
      <c r="H29" s="9"/>
      <c r="I29" s="9"/>
      <c r="J29" s="9"/>
      <c r="K29" s="16"/>
      <c r="L29" s="16"/>
      <c r="M29" s="17" t="str">
        <f aca="true">IF($L29="","",TODAY()-$L29)</f>
        <v/>
      </c>
      <c r="N29" s="12" t="str">
        <f aca="false">IF($B29="","",IF($E29=1,"Never engaged",IF(AND($E29=2,$D29="Manage closely"),"Resistant, and high priority",IF(AND($L29&lt;&gt;"",$M29&gt;0),"Contact overdue by "&amp;$M29&amp;" days",IF($F29-$E29&gt;=2,"Gap of "&amp;($F29-$E29)&amp;" levels",IF($K29="","No contact recorded","OK"))))))</f>
        <v/>
      </c>
    </row>
    <row r="30" customFormat="false" ht="15" hidden="false" customHeight="false" outlineLevel="0" collapsed="false">
      <c r="B30" s="7"/>
      <c r="C30" s="12" t="str">
        <f aca="false">IF($B30="","",IFERROR(INDEX(Register!$C$8:$C$32,MATCH($B30,Register!$B$8:$B$32,0)),"ID not on the Register"))</f>
        <v/>
      </c>
      <c r="D30" s="11" t="str">
        <f aca="false">IF($B30="","",IFERROR(INDEX(Register!$L$8:$L$32,MATCH($B30,Register!$B$8:$B$32,0)),""))</f>
        <v/>
      </c>
      <c r="E30" s="10"/>
      <c r="F30" s="10"/>
      <c r="G30" s="11" t="str">
        <f aca="false">IF(OR($E30="",$F30=""),"",IF($F30-$E30&gt;0,"MOVE +"&amp;($F30-$E30)&amp;" level"&amp;IF($F30-$E30&gt;1,"s",""),IF($F30-$E30&lt;0,"Ahead of target","At target")))</f>
        <v/>
      </c>
      <c r="H30" s="9"/>
      <c r="I30" s="9"/>
      <c r="J30" s="9"/>
      <c r="K30" s="16"/>
      <c r="L30" s="16"/>
      <c r="M30" s="17" t="str">
        <f aca="true">IF($L30="","",TODAY()-$L30)</f>
        <v/>
      </c>
      <c r="N30" s="12" t="str">
        <f aca="false">IF($B30="","",IF($E30=1,"Never engaged",IF(AND($E30=2,$D30="Manage closely"),"Resistant, and high priority",IF(AND($L30&lt;&gt;"",$M30&gt;0),"Contact overdue by "&amp;$M30&amp;" days",IF($F30-$E30&gt;=2,"Gap of "&amp;($F30-$E30)&amp;" levels",IF($K30="","No contact recorded","OK"))))))</f>
        <v/>
      </c>
    </row>
    <row r="31" customFormat="false" ht="15" hidden="false" customHeight="false" outlineLevel="0" collapsed="false">
      <c r="B31" s="7"/>
      <c r="C31" s="12" t="str">
        <f aca="false">IF($B31="","",IFERROR(INDEX(Register!$C$8:$C$32,MATCH($B31,Register!$B$8:$B$32,0)),"ID not on the Register"))</f>
        <v/>
      </c>
      <c r="D31" s="11" t="str">
        <f aca="false">IF($B31="","",IFERROR(INDEX(Register!$L$8:$L$32,MATCH($B31,Register!$B$8:$B$32,0)),""))</f>
        <v/>
      </c>
      <c r="E31" s="10"/>
      <c r="F31" s="10"/>
      <c r="G31" s="11" t="str">
        <f aca="false">IF(OR($E31="",$F31=""),"",IF($F31-$E31&gt;0,"MOVE +"&amp;($F31-$E31)&amp;" level"&amp;IF($F31-$E31&gt;1,"s",""),IF($F31-$E31&lt;0,"Ahead of target","At target")))</f>
        <v/>
      </c>
      <c r="H31" s="9"/>
      <c r="I31" s="9"/>
      <c r="J31" s="9"/>
      <c r="K31" s="16"/>
      <c r="L31" s="16"/>
      <c r="M31" s="17" t="str">
        <f aca="true">IF($L31="","",TODAY()-$L31)</f>
        <v/>
      </c>
      <c r="N31" s="12" t="str">
        <f aca="false">IF($B31="","",IF($E31=1,"Never engaged",IF(AND($E31=2,$D31="Manage closely"),"Resistant, and high priority",IF(AND($L31&lt;&gt;"",$M31&gt;0),"Contact overdue by "&amp;$M31&amp;" days",IF($F31-$E31&gt;=2,"Gap of "&amp;($F31-$E31)&amp;" levels",IF($K31="","No contact recorded","OK"))))))</f>
        <v/>
      </c>
    </row>
    <row r="32" customFormat="false" ht="15" hidden="false" customHeight="false" outlineLevel="0" collapsed="false">
      <c r="B32" s="7"/>
      <c r="C32" s="12" t="str">
        <f aca="false">IF($B32="","",IFERROR(INDEX(Register!$C$8:$C$32,MATCH($B32,Register!$B$8:$B$32,0)),"ID not on the Register"))</f>
        <v/>
      </c>
      <c r="D32" s="11" t="str">
        <f aca="false">IF($B32="","",IFERROR(INDEX(Register!$L$8:$L$32,MATCH($B32,Register!$B$8:$B$32,0)),""))</f>
        <v/>
      </c>
      <c r="E32" s="10"/>
      <c r="F32" s="10"/>
      <c r="G32" s="11" t="str">
        <f aca="false">IF(OR($E32="",$F32=""),"",IF($F32-$E32&gt;0,"MOVE +"&amp;($F32-$E32)&amp;" level"&amp;IF($F32-$E32&gt;1,"s",""),IF($F32-$E32&lt;0,"Ahead of target","At target")))</f>
        <v/>
      </c>
      <c r="H32" s="9"/>
      <c r="I32" s="9"/>
      <c r="J32" s="9"/>
      <c r="K32" s="16"/>
      <c r="L32" s="16"/>
      <c r="M32" s="17" t="str">
        <f aca="true">IF($L32="","",TODAY()-$L32)</f>
        <v/>
      </c>
      <c r="N32" s="12" t="str">
        <f aca="false">IF($B32="","",IF($E32=1,"Never engaged",IF(AND($E32=2,$D32="Manage closely"),"Resistant, and high priority",IF(AND($L32&lt;&gt;"",$M32&gt;0),"Contact overdue by "&amp;$M32&amp;" days",IF($F32-$E32&gt;=2,"Gap of "&amp;($F32-$E32)&amp;" levels",IF($K32="","No contact recorded","OK"))))))</f>
        <v/>
      </c>
    </row>
    <row r="34" customFormat="false" ht="17.25" hidden="false" customHeight="true" outlineLevel="0" collapsed="false">
      <c r="B34" s="14" t="s">
        <v>208</v>
      </c>
      <c r="C34" s="14"/>
      <c r="D34" s="14"/>
      <c r="E34" s="14"/>
      <c r="F34" s="14"/>
      <c r="G34" s="14"/>
      <c r="H34" s="14"/>
      <c r="I34" s="14"/>
      <c r="J34" s="14"/>
      <c r="K34" s="14"/>
      <c r="L34" s="14"/>
      <c r="M34" s="14"/>
      <c r="N34" s="14"/>
    </row>
    <row r="36" customFormat="false" ht="18" hidden="false" customHeight="true" outlineLevel="0" collapsed="false">
      <c r="B36" s="15" t="s">
        <v>181</v>
      </c>
      <c r="C36" s="15"/>
      <c r="D36" s="15"/>
      <c r="E36" s="15"/>
      <c r="F36" s="15"/>
      <c r="G36" s="15"/>
      <c r="H36" s="15"/>
      <c r="I36" s="15"/>
      <c r="J36" s="15"/>
      <c r="K36" s="15"/>
      <c r="L36" s="15"/>
      <c r="M36" s="15"/>
      <c r="N36" s="15"/>
    </row>
  </sheetData>
  <mergeCells count="7">
    <mergeCell ref="B1:N1"/>
    <mergeCell ref="B2:N2"/>
    <mergeCell ref="B3:N3"/>
    <mergeCell ref="B4:N4"/>
    <mergeCell ref="B6:N6"/>
    <mergeCell ref="B34:N34"/>
    <mergeCell ref="B36:N36"/>
  </mergeCells>
  <conditionalFormatting sqref="B3:N3">
    <cfRule type="expression" priority="2" aboveAverage="0" equalAverage="0" bottom="0" percent="0" rank="0" text="" dxfId="0">
      <formula>LEN($B$3)&gt;0</formula>
    </cfRule>
  </conditionalFormatting>
  <conditionalFormatting sqref="N8:N32">
    <cfRule type="expression" priority="3" aboveAverage="0" equalAverage="0" bottom="0" percent="0" rank="0" text="" dxfId="1">
      <formula>AND($N8&lt;&gt;"",$N8&lt;&gt;"OK")</formula>
    </cfRule>
  </conditionalFormatting>
  <conditionalFormatting sqref="B8:N32">
    <cfRule type="expression" priority="4" aboveAverage="0" equalAverage="0" bottom="0" percent="0" rank="0" text="" dxfId="2">
      <formula>LEFT($G8,7)="MOVE +4"</formula>
    </cfRule>
    <cfRule type="expression" priority="5" aboveAverage="0" equalAverage="0" bottom="0" percent="0" rank="0" text="" dxfId="2">
      <formula>LEFT($G8,7)="MOVE +3"</formula>
    </cfRule>
    <cfRule type="expression" priority="6" aboveAverage="0" equalAverage="0" bottom="0" percent="0" rank="0" text="" dxfId="5">
      <formula>LEFT($G8,7)="MOVE +2"</formula>
    </cfRule>
    <cfRule type="expression" priority="7" aboveAverage="0" equalAverage="0" bottom="0" percent="0" rank="0" text="" dxfId="0">
      <formula>LEFT($G8,7)="MOVE +1"</formula>
    </cfRule>
    <cfRule type="expression" priority="8" aboveAverage="0" equalAverage="0" bottom="0" percent="0" rank="0" text="" dxfId="6">
      <formula>LEFT($G8,9)="At target"</formula>
    </cfRule>
  </conditionalFormatting>
  <dataValidations count="125">
    <dataValidation allowBlank="true" errorStyle="stop" operator="between" showDropDown="false" showErrorMessage="false" showInputMessage="false" sqref="H8" type="list">
      <formula1>Reference!$H$6:$H$11</formula1>
      <formula2>0</formula2>
    </dataValidation>
    <dataValidation allowBlank="true" errorStyle="stop" operator="between" showDropDown="false" showErrorMessage="false" showInputMessage="false" sqref="I8" type="list">
      <formula1>Reference!$I$6:$I$12</formula1>
      <formula2>0</formula2>
    </dataValidation>
    <dataValidation allowBlank="true" errorStyle="stop" operator="between" showDropDown="false" showErrorMessage="false" showInputMessage="false" sqref="J8" type="list">
      <formula1>Reference!$J$6:$J$11</formula1>
      <formula2>0</formula2>
    </dataValidation>
    <dataValidation allowBlank="true" errorStyle="stop" operator="between" showDropDown="false" showErrorMessage="false" showInputMessage="false" sqref="E8" type="list">
      <formula1>"1,2,3,4,5"</formula1>
      <formula2>0</formula2>
    </dataValidation>
    <dataValidation allowBlank="true" errorStyle="stop" operator="between" showDropDown="false" showErrorMessage="false" showInputMessage="false" sqref="F8" type="list">
      <formula1>"1,2,3,4,5"</formula1>
      <formula2>0</formula2>
    </dataValidation>
    <dataValidation allowBlank="true" errorStyle="stop" operator="between" showDropDown="false" showErrorMessage="false" showInputMessage="false" sqref="H9" type="list">
      <formula1>Reference!$H$6:$H$11</formula1>
      <formula2>0</formula2>
    </dataValidation>
    <dataValidation allowBlank="true" errorStyle="stop" operator="between" showDropDown="false" showErrorMessage="false" showInputMessage="false" sqref="I9" type="list">
      <formula1>Reference!$I$6:$I$12</formula1>
      <formula2>0</formula2>
    </dataValidation>
    <dataValidation allowBlank="true" errorStyle="stop" operator="between" showDropDown="false" showErrorMessage="false" showInputMessage="false" sqref="J9" type="list">
      <formula1>Reference!$J$6:$J$11</formula1>
      <formula2>0</formula2>
    </dataValidation>
    <dataValidation allowBlank="true" errorStyle="stop" operator="between" showDropDown="false" showErrorMessage="false" showInputMessage="false" sqref="E9" type="list">
      <formula1>"1,2,3,4,5"</formula1>
      <formula2>0</formula2>
    </dataValidation>
    <dataValidation allowBlank="true" errorStyle="stop" operator="between" showDropDown="false" showErrorMessage="false" showInputMessage="false" sqref="F9" type="list">
      <formula1>"1,2,3,4,5"</formula1>
      <formula2>0</formula2>
    </dataValidation>
    <dataValidation allowBlank="true" errorStyle="stop" operator="between" showDropDown="false" showErrorMessage="false" showInputMessage="false" sqref="H10" type="list">
      <formula1>Reference!$H$6:$H$11</formula1>
      <formula2>0</formula2>
    </dataValidation>
    <dataValidation allowBlank="true" errorStyle="stop" operator="between" showDropDown="false" showErrorMessage="false" showInputMessage="false" sqref="I10" type="list">
      <formula1>Reference!$I$6:$I$12</formula1>
      <formula2>0</formula2>
    </dataValidation>
    <dataValidation allowBlank="true" errorStyle="stop" operator="between" showDropDown="false" showErrorMessage="false" showInputMessage="false" sqref="J10" type="list">
      <formula1>Reference!$J$6:$J$11</formula1>
      <formula2>0</formula2>
    </dataValidation>
    <dataValidation allowBlank="true" errorStyle="stop" operator="between" showDropDown="false" showErrorMessage="false" showInputMessage="false" sqref="E10" type="list">
      <formula1>"1,2,3,4,5"</formula1>
      <formula2>0</formula2>
    </dataValidation>
    <dataValidation allowBlank="true" errorStyle="stop" operator="between" showDropDown="false" showErrorMessage="false" showInputMessage="false" sqref="F10" type="list">
      <formula1>"1,2,3,4,5"</formula1>
      <formula2>0</formula2>
    </dataValidation>
    <dataValidation allowBlank="true" errorStyle="stop" operator="between" showDropDown="false" showErrorMessage="false" showInputMessage="false" sqref="H11" type="list">
      <formula1>Reference!$H$6:$H$11</formula1>
      <formula2>0</formula2>
    </dataValidation>
    <dataValidation allowBlank="true" errorStyle="stop" operator="between" showDropDown="false" showErrorMessage="false" showInputMessage="false" sqref="I11" type="list">
      <formula1>Reference!$I$6:$I$12</formula1>
      <formula2>0</formula2>
    </dataValidation>
    <dataValidation allowBlank="true" errorStyle="stop" operator="between" showDropDown="false" showErrorMessage="false" showInputMessage="false" sqref="J11" type="list">
      <formula1>Reference!$J$6:$J$11</formula1>
      <formula2>0</formula2>
    </dataValidation>
    <dataValidation allowBlank="true" errorStyle="stop" operator="between" showDropDown="false" showErrorMessage="false" showInputMessage="false" sqref="E11" type="list">
      <formula1>"1,2,3,4,5"</formula1>
      <formula2>0</formula2>
    </dataValidation>
    <dataValidation allowBlank="true" errorStyle="stop" operator="between" showDropDown="false" showErrorMessage="false" showInputMessage="false" sqref="F11" type="list">
      <formula1>"1,2,3,4,5"</formula1>
      <formula2>0</formula2>
    </dataValidation>
    <dataValidation allowBlank="true" errorStyle="stop" operator="between" showDropDown="false" showErrorMessage="false" showInputMessage="false" sqref="H12" type="list">
      <formula1>Reference!$H$6:$H$11</formula1>
      <formula2>0</formula2>
    </dataValidation>
    <dataValidation allowBlank="true" errorStyle="stop" operator="between" showDropDown="false" showErrorMessage="false" showInputMessage="false" sqref="I12" type="list">
      <formula1>Reference!$I$6:$I$12</formula1>
      <formula2>0</formula2>
    </dataValidation>
    <dataValidation allowBlank="true" errorStyle="stop" operator="between" showDropDown="false" showErrorMessage="false" showInputMessage="false" sqref="J12" type="list">
      <formula1>Reference!$J$6:$J$11</formula1>
      <formula2>0</formula2>
    </dataValidation>
    <dataValidation allowBlank="true" errorStyle="stop" operator="between" showDropDown="false" showErrorMessage="false" showInputMessage="false" sqref="E12" type="list">
      <formula1>"1,2,3,4,5"</formula1>
      <formula2>0</formula2>
    </dataValidation>
    <dataValidation allowBlank="true" errorStyle="stop" operator="between" showDropDown="false" showErrorMessage="false" showInputMessage="false" sqref="F12" type="list">
      <formula1>"1,2,3,4,5"</formula1>
      <formula2>0</formula2>
    </dataValidation>
    <dataValidation allowBlank="true" errorStyle="stop" operator="between" showDropDown="false" showErrorMessage="false" showInputMessage="false" sqref="H13" type="list">
      <formula1>Reference!$H$6:$H$11</formula1>
      <formula2>0</formula2>
    </dataValidation>
    <dataValidation allowBlank="true" errorStyle="stop" operator="between" showDropDown="false" showErrorMessage="false" showInputMessage="false" sqref="I13" type="list">
      <formula1>Reference!$I$6:$I$12</formula1>
      <formula2>0</formula2>
    </dataValidation>
    <dataValidation allowBlank="true" errorStyle="stop" operator="between" showDropDown="false" showErrorMessage="false" showInputMessage="false" sqref="J13" type="list">
      <formula1>Reference!$J$6:$J$11</formula1>
      <formula2>0</formula2>
    </dataValidation>
    <dataValidation allowBlank="true" errorStyle="stop" operator="between" showDropDown="false" showErrorMessage="false" showInputMessage="false" sqref="E13" type="list">
      <formula1>"1,2,3,4,5"</formula1>
      <formula2>0</formula2>
    </dataValidation>
    <dataValidation allowBlank="true" errorStyle="stop" operator="between" showDropDown="false" showErrorMessage="false" showInputMessage="false" sqref="F13" type="list">
      <formula1>"1,2,3,4,5"</formula1>
      <formula2>0</formula2>
    </dataValidation>
    <dataValidation allowBlank="true" errorStyle="stop" operator="between" showDropDown="false" showErrorMessage="false" showInputMessage="false" sqref="H14" type="list">
      <formula1>Reference!$H$6:$H$11</formula1>
      <formula2>0</formula2>
    </dataValidation>
    <dataValidation allowBlank="true" errorStyle="stop" operator="between" showDropDown="false" showErrorMessage="false" showInputMessage="false" sqref="I14" type="list">
      <formula1>Reference!$I$6:$I$12</formula1>
      <formula2>0</formula2>
    </dataValidation>
    <dataValidation allowBlank="true" errorStyle="stop" operator="between" showDropDown="false" showErrorMessage="false" showInputMessage="false" sqref="J14" type="list">
      <formula1>Reference!$J$6:$J$11</formula1>
      <formula2>0</formula2>
    </dataValidation>
    <dataValidation allowBlank="true" errorStyle="stop" operator="between" showDropDown="false" showErrorMessage="false" showInputMessage="false" sqref="E14" type="list">
      <formula1>"1,2,3,4,5"</formula1>
      <formula2>0</formula2>
    </dataValidation>
    <dataValidation allowBlank="true" errorStyle="stop" operator="between" showDropDown="false" showErrorMessage="false" showInputMessage="false" sqref="F14" type="list">
      <formula1>"1,2,3,4,5"</formula1>
      <formula2>0</formula2>
    </dataValidation>
    <dataValidation allowBlank="true" errorStyle="stop" operator="between" showDropDown="false" showErrorMessage="false" showInputMessage="false" sqref="H15" type="list">
      <formula1>Reference!$H$6:$H$11</formula1>
      <formula2>0</formula2>
    </dataValidation>
    <dataValidation allowBlank="true" errorStyle="stop" operator="between" showDropDown="false" showErrorMessage="false" showInputMessage="false" sqref="I15" type="list">
      <formula1>Reference!$I$6:$I$12</formula1>
      <formula2>0</formula2>
    </dataValidation>
    <dataValidation allowBlank="true" errorStyle="stop" operator="between" showDropDown="false" showErrorMessage="false" showInputMessage="false" sqref="J15" type="list">
      <formula1>Reference!$J$6:$J$11</formula1>
      <formula2>0</formula2>
    </dataValidation>
    <dataValidation allowBlank="true" errorStyle="stop" operator="between" showDropDown="false" showErrorMessage="false" showInputMessage="false" sqref="E15" type="list">
      <formula1>"1,2,3,4,5"</formula1>
      <formula2>0</formula2>
    </dataValidation>
    <dataValidation allowBlank="true" errorStyle="stop" operator="between" showDropDown="false" showErrorMessage="false" showInputMessage="false" sqref="F15" type="list">
      <formula1>"1,2,3,4,5"</formula1>
      <formula2>0</formula2>
    </dataValidation>
    <dataValidation allowBlank="true" errorStyle="stop" operator="between" showDropDown="false" showErrorMessage="false" showInputMessage="false" sqref="H16" type="list">
      <formula1>Reference!$H$6:$H$11</formula1>
      <formula2>0</formula2>
    </dataValidation>
    <dataValidation allowBlank="true" errorStyle="stop" operator="between" showDropDown="false" showErrorMessage="false" showInputMessage="false" sqref="I16" type="list">
      <formula1>Reference!$I$6:$I$12</formula1>
      <formula2>0</formula2>
    </dataValidation>
    <dataValidation allowBlank="true" errorStyle="stop" operator="between" showDropDown="false" showErrorMessage="false" showInputMessage="false" sqref="J16" type="list">
      <formula1>Reference!$J$6:$J$11</formula1>
      <formula2>0</formula2>
    </dataValidation>
    <dataValidation allowBlank="true" errorStyle="stop" operator="between" showDropDown="false" showErrorMessage="false" showInputMessage="false" sqref="E16" type="list">
      <formula1>"1,2,3,4,5"</formula1>
      <formula2>0</formula2>
    </dataValidation>
    <dataValidation allowBlank="true" errorStyle="stop" operator="between" showDropDown="false" showErrorMessage="false" showInputMessage="false" sqref="F16" type="list">
      <formula1>"1,2,3,4,5"</formula1>
      <formula2>0</formula2>
    </dataValidation>
    <dataValidation allowBlank="true" errorStyle="stop" operator="between" showDropDown="false" showErrorMessage="false" showInputMessage="false" sqref="H17" type="list">
      <formula1>Reference!$H$6:$H$11</formula1>
      <formula2>0</formula2>
    </dataValidation>
    <dataValidation allowBlank="true" errorStyle="stop" operator="between" showDropDown="false" showErrorMessage="false" showInputMessage="false" sqref="I17" type="list">
      <formula1>Reference!$I$6:$I$12</formula1>
      <formula2>0</formula2>
    </dataValidation>
    <dataValidation allowBlank="true" errorStyle="stop" operator="between" showDropDown="false" showErrorMessage="false" showInputMessage="false" sqref="J17" type="list">
      <formula1>Reference!$J$6:$J$11</formula1>
      <formula2>0</formula2>
    </dataValidation>
    <dataValidation allowBlank="true" errorStyle="stop" operator="between" showDropDown="false" showErrorMessage="false" showInputMessage="false" sqref="E17" type="list">
      <formula1>"1,2,3,4,5"</formula1>
      <formula2>0</formula2>
    </dataValidation>
    <dataValidation allowBlank="true" errorStyle="stop" operator="between" showDropDown="false" showErrorMessage="false" showInputMessage="false" sqref="F17" type="list">
      <formula1>"1,2,3,4,5"</formula1>
      <formula2>0</formula2>
    </dataValidation>
    <dataValidation allowBlank="true" errorStyle="stop" operator="between" showDropDown="false" showErrorMessage="false" showInputMessage="false" sqref="H18" type="list">
      <formula1>Reference!$H$6:$H$11</formula1>
      <formula2>0</formula2>
    </dataValidation>
    <dataValidation allowBlank="true" errorStyle="stop" operator="between" showDropDown="false" showErrorMessage="false" showInputMessage="false" sqref="I18" type="list">
      <formula1>Reference!$I$6:$I$12</formula1>
      <formula2>0</formula2>
    </dataValidation>
    <dataValidation allowBlank="true" errorStyle="stop" operator="between" showDropDown="false" showErrorMessage="false" showInputMessage="false" sqref="J18" type="list">
      <formula1>Reference!$J$6:$J$11</formula1>
      <formula2>0</formula2>
    </dataValidation>
    <dataValidation allowBlank="true" errorStyle="stop" operator="between" showDropDown="false" showErrorMessage="false" showInputMessage="false" sqref="E18" type="list">
      <formula1>"1,2,3,4,5"</formula1>
      <formula2>0</formula2>
    </dataValidation>
    <dataValidation allowBlank="true" errorStyle="stop" operator="between" showDropDown="false" showErrorMessage="false" showInputMessage="false" sqref="F18" type="list">
      <formula1>"1,2,3,4,5"</formula1>
      <formula2>0</formula2>
    </dataValidation>
    <dataValidation allowBlank="true" errorStyle="stop" operator="between" showDropDown="false" showErrorMessage="false" showInputMessage="false" sqref="H19" type="list">
      <formula1>Reference!$H$6:$H$11</formula1>
      <formula2>0</formula2>
    </dataValidation>
    <dataValidation allowBlank="true" errorStyle="stop" operator="between" showDropDown="false" showErrorMessage="false" showInputMessage="false" sqref="I19" type="list">
      <formula1>Reference!$I$6:$I$12</formula1>
      <formula2>0</formula2>
    </dataValidation>
    <dataValidation allowBlank="true" errorStyle="stop" operator="between" showDropDown="false" showErrorMessage="false" showInputMessage="false" sqref="J19" type="list">
      <formula1>Reference!$J$6:$J$11</formula1>
      <formula2>0</formula2>
    </dataValidation>
    <dataValidation allowBlank="true" errorStyle="stop" operator="between" showDropDown="false" showErrorMessage="false" showInputMessage="false" sqref="E19" type="list">
      <formula1>"1,2,3,4,5"</formula1>
      <formula2>0</formula2>
    </dataValidation>
    <dataValidation allowBlank="true" errorStyle="stop" operator="between" showDropDown="false" showErrorMessage="false" showInputMessage="false" sqref="F19" type="list">
      <formula1>"1,2,3,4,5"</formula1>
      <formula2>0</formula2>
    </dataValidation>
    <dataValidation allowBlank="true" errorStyle="stop" operator="between" showDropDown="false" showErrorMessage="false" showInputMessage="false" sqref="H20" type="list">
      <formula1>Reference!$H$6:$H$11</formula1>
      <formula2>0</formula2>
    </dataValidation>
    <dataValidation allowBlank="true" errorStyle="stop" operator="between" showDropDown="false" showErrorMessage="false" showInputMessage="false" sqref="I20" type="list">
      <formula1>Reference!$I$6:$I$12</formula1>
      <formula2>0</formula2>
    </dataValidation>
    <dataValidation allowBlank="true" errorStyle="stop" operator="between" showDropDown="false" showErrorMessage="false" showInputMessage="false" sqref="J20" type="list">
      <formula1>Reference!$J$6:$J$11</formula1>
      <formula2>0</formula2>
    </dataValidation>
    <dataValidation allowBlank="true" errorStyle="stop" operator="between" showDropDown="false" showErrorMessage="false" showInputMessage="false" sqref="E20" type="list">
      <formula1>"1,2,3,4,5"</formula1>
      <formula2>0</formula2>
    </dataValidation>
    <dataValidation allowBlank="true" errorStyle="stop" operator="between" showDropDown="false" showErrorMessage="false" showInputMessage="false" sqref="F20" type="list">
      <formula1>"1,2,3,4,5"</formula1>
      <formula2>0</formula2>
    </dataValidation>
    <dataValidation allowBlank="true" errorStyle="stop" operator="between" showDropDown="false" showErrorMessage="false" showInputMessage="false" sqref="H21" type="list">
      <formula1>Reference!$H$6:$H$11</formula1>
      <formula2>0</formula2>
    </dataValidation>
    <dataValidation allowBlank="true" errorStyle="stop" operator="between" showDropDown="false" showErrorMessage="false" showInputMessage="false" sqref="I21" type="list">
      <formula1>Reference!$I$6:$I$12</formula1>
      <formula2>0</formula2>
    </dataValidation>
    <dataValidation allowBlank="true" errorStyle="stop" operator="between" showDropDown="false" showErrorMessage="false" showInputMessage="false" sqref="J21" type="list">
      <formula1>Reference!$J$6:$J$11</formula1>
      <formula2>0</formula2>
    </dataValidation>
    <dataValidation allowBlank="true" errorStyle="stop" operator="between" showDropDown="false" showErrorMessage="false" showInputMessage="false" sqref="E21" type="list">
      <formula1>"1,2,3,4,5"</formula1>
      <formula2>0</formula2>
    </dataValidation>
    <dataValidation allowBlank="true" errorStyle="stop" operator="between" showDropDown="false" showErrorMessage="false" showInputMessage="false" sqref="F21" type="list">
      <formula1>"1,2,3,4,5"</formula1>
      <formula2>0</formula2>
    </dataValidation>
    <dataValidation allowBlank="true" errorStyle="stop" operator="between" showDropDown="false" showErrorMessage="false" showInputMessage="false" sqref="H22" type="list">
      <formula1>Reference!$H$6:$H$11</formula1>
      <formula2>0</formula2>
    </dataValidation>
    <dataValidation allowBlank="true" errorStyle="stop" operator="between" showDropDown="false" showErrorMessage="false" showInputMessage="false" sqref="I22" type="list">
      <formula1>Reference!$I$6:$I$12</formula1>
      <formula2>0</formula2>
    </dataValidation>
    <dataValidation allowBlank="true" errorStyle="stop" operator="between" showDropDown="false" showErrorMessage="false" showInputMessage="false" sqref="J22" type="list">
      <formula1>Reference!$J$6:$J$11</formula1>
      <formula2>0</formula2>
    </dataValidation>
    <dataValidation allowBlank="true" errorStyle="stop" operator="between" showDropDown="false" showErrorMessage="false" showInputMessage="false" sqref="E22" type="list">
      <formula1>"1,2,3,4,5"</formula1>
      <formula2>0</formula2>
    </dataValidation>
    <dataValidation allowBlank="true" errorStyle="stop" operator="between" showDropDown="false" showErrorMessage="false" showInputMessage="false" sqref="F22" type="list">
      <formula1>"1,2,3,4,5"</formula1>
      <formula2>0</formula2>
    </dataValidation>
    <dataValidation allowBlank="true" errorStyle="stop" operator="between" showDropDown="false" showErrorMessage="false" showInputMessage="false" sqref="H23" type="list">
      <formula1>Reference!$H$6:$H$11</formula1>
      <formula2>0</formula2>
    </dataValidation>
    <dataValidation allowBlank="true" errorStyle="stop" operator="between" showDropDown="false" showErrorMessage="false" showInputMessage="false" sqref="I23" type="list">
      <formula1>Reference!$I$6:$I$12</formula1>
      <formula2>0</formula2>
    </dataValidation>
    <dataValidation allowBlank="true" errorStyle="stop" operator="between" showDropDown="false" showErrorMessage="false" showInputMessage="false" sqref="J23" type="list">
      <formula1>Reference!$J$6:$J$11</formula1>
      <formula2>0</formula2>
    </dataValidation>
    <dataValidation allowBlank="true" errorStyle="stop" operator="between" showDropDown="false" showErrorMessage="false" showInputMessage="false" sqref="E23" type="list">
      <formula1>"1,2,3,4,5"</formula1>
      <formula2>0</formula2>
    </dataValidation>
    <dataValidation allowBlank="true" errorStyle="stop" operator="between" showDropDown="false" showErrorMessage="false" showInputMessage="false" sqref="F23" type="list">
      <formula1>"1,2,3,4,5"</formula1>
      <formula2>0</formula2>
    </dataValidation>
    <dataValidation allowBlank="true" errorStyle="stop" operator="between" showDropDown="false" showErrorMessage="false" showInputMessage="false" sqref="H24" type="list">
      <formula1>Reference!$H$6:$H$11</formula1>
      <formula2>0</formula2>
    </dataValidation>
    <dataValidation allowBlank="true" errorStyle="stop" operator="between" showDropDown="false" showErrorMessage="false" showInputMessage="false" sqref="I24" type="list">
      <formula1>Reference!$I$6:$I$12</formula1>
      <formula2>0</formula2>
    </dataValidation>
    <dataValidation allowBlank="true" errorStyle="stop" operator="between" showDropDown="false" showErrorMessage="false" showInputMessage="false" sqref="J24" type="list">
      <formula1>Reference!$J$6:$J$11</formula1>
      <formula2>0</formula2>
    </dataValidation>
    <dataValidation allowBlank="true" errorStyle="stop" operator="between" showDropDown="false" showErrorMessage="false" showInputMessage="false" sqref="E24" type="list">
      <formula1>"1,2,3,4,5"</formula1>
      <formula2>0</formula2>
    </dataValidation>
    <dataValidation allowBlank="true" errorStyle="stop" operator="between" showDropDown="false" showErrorMessage="false" showInputMessage="false" sqref="F24" type="list">
      <formula1>"1,2,3,4,5"</formula1>
      <formula2>0</formula2>
    </dataValidation>
    <dataValidation allowBlank="true" errorStyle="stop" operator="between" showDropDown="false" showErrorMessage="false" showInputMessage="false" sqref="H25" type="list">
      <formula1>Reference!$H$6:$H$11</formula1>
      <formula2>0</formula2>
    </dataValidation>
    <dataValidation allowBlank="true" errorStyle="stop" operator="between" showDropDown="false" showErrorMessage="false" showInputMessage="false" sqref="I25" type="list">
      <formula1>Reference!$I$6:$I$12</formula1>
      <formula2>0</formula2>
    </dataValidation>
    <dataValidation allowBlank="true" errorStyle="stop" operator="between" showDropDown="false" showErrorMessage="false" showInputMessage="false" sqref="J25" type="list">
      <formula1>Reference!$J$6:$J$11</formula1>
      <formula2>0</formula2>
    </dataValidation>
    <dataValidation allowBlank="true" errorStyle="stop" operator="between" showDropDown="false" showErrorMessage="false" showInputMessage="false" sqref="E25" type="list">
      <formula1>"1,2,3,4,5"</formula1>
      <formula2>0</formula2>
    </dataValidation>
    <dataValidation allowBlank="true" errorStyle="stop" operator="between" showDropDown="false" showErrorMessage="false" showInputMessage="false" sqref="F25" type="list">
      <formula1>"1,2,3,4,5"</formula1>
      <formula2>0</formula2>
    </dataValidation>
    <dataValidation allowBlank="true" errorStyle="stop" operator="between" showDropDown="false" showErrorMessage="false" showInputMessage="false" sqref="H26" type="list">
      <formula1>Reference!$H$6:$H$11</formula1>
      <formula2>0</formula2>
    </dataValidation>
    <dataValidation allowBlank="true" errorStyle="stop" operator="between" showDropDown="false" showErrorMessage="false" showInputMessage="false" sqref="I26" type="list">
      <formula1>Reference!$I$6:$I$12</formula1>
      <formula2>0</formula2>
    </dataValidation>
    <dataValidation allowBlank="true" errorStyle="stop" operator="between" showDropDown="false" showErrorMessage="false" showInputMessage="false" sqref="J26" type="list">
      <formula1>Reference!$J$6:$J$11</formula1>
      <formula2>0</formula2>
    </dataValidation>
    <dataValidation allowBlank="true" errorStyle="stop" operator="between" showDropDown="false" showErrorMessage="false" showInputMessage="false" sqref="E26" type="list">
      <formula1>"1,2,3,4,5"</formula1>
      <formula2>0</formula2>
    </dataValidation>
    <dataValidation allowBlank="true" errorStyle="stop" operator="between" showDropDown="false" showErrorMessage="false" showInputMessage="false" sqref="F26" type="list">
      <formula1>"1,2,3,4,5"</formula1>
      <formula2>0</formula2>
    </dataValidation>
    <dataValidation allowBlank="true" errorStyle="stop" operator="between" showDropDown="false" showErrorMessage="false" showInputMessage="false" sqref="H27" type="list">
      <formula1>Reference!$H$6:$H$11</formula1>
      <formula2>0</formula2>
    </dataValidation>
    <dataValidation allowBlank="true" errorStyle="stop" operator="between" showDropDown="false" showErrorMessage="false" showInputMessage="false" sqref="I27" type="list">
      <formula1>Reference!$I$6:$I$12</formula1>
      <formula2>0</formula2>
    </dataValidation>
    <dataValidation allowBlank="true" errorStyle="stop" operator="between" showDropDown="false" showErrorMessage="false" showInputMessage="false" sqref="J27" type="list">
      <formula1>Reference!$J$6:$J$11</formula1>
      <formula2>0</formula2>
    </dataValidation>
    <dataValidation allowBlank="true" errorStyle="stop" operator="between" showDropDown="false" showErrorMessage="false" showInputMessage="false" sqref="E27" type="list">
      <formula1>"1,2,3,4,5"</formula1>
      <formula2>0</formula2>
    </dataValidation>
    <dataValidation allowBlank="true" errorStyle="stop" operator="between" showDropDown="false" showErrorMessage="false" showInputMessage="false" sqref="F27" type="list">
      <formula1>"1,2,3,4,5"</formula1>
      <formula2>0</formula2>
    </dataValidation>
    <dataValidation allowBlank="true" errorStyle="stop" operator="between" showDropDown="false" showErrorMessage="false" showInputMessage="false" sqref="H28" type="list">
      <formula1>Reference!$H$6:$H$11</formula1>
      <formula2>0</formula2>
    </dataValidation>
    <dataValidation allowBlank="true" errorStyle="stop" operator="between" showDropDown="false" showErrorMessage="false" showInputMessage="false" sqref="I28" type="list">
      <formula1>Reference!$I$6:$I$12</formula1>
      <formula2>0</formula2>
    </dataValidation>
    <dataValidation allowBlank="true" errorStyle="stop" operator="between" showDropDown="false" showErrorMessage="false" showInputMessage="false" sqref="J28" type="list">
      <formula1>Reference!$J$6:$J$11</formula1>
      <formula2>0</formula2>
    </dataValidation>
    <dataValidation allowBlank="true" errorStyle="stop" operator="between" showDropDown="false" showErrorMessage="false" showInputMessage="false" sqref="E28" type="list">
      <formula1>"1,2,3,4,5"</formula1>
      <formula2>0</formula2>
    </dataValidation>
    <dataValidation allowBlank="true" errorStyle="stop" operator="between" showDropDown="false" showErrorMessage="false" showInputMessage="false" sqref="F28" type="list">
      <formula1>"1,2,3,4,5"</formula1>
      <formula2>0</formula2>
    </dataValidation>
    <dataValidation allowBlank="true" errorStyle="stop" operator="between" showDropDown="false" showErrorMessage="false" showInputMessage="false" sqref="H29" type="list">
      <formula1>Reference!$H$6:$H$11</formula1>
      <formula2>0</formula2>
    </dataValidation>
    <dataValidation allowBlank="true" errorStyle="stop" operator="between" showDropDown="false" showErrorMessage="false" showInputMessage="false" sqref="I29" type="list">
      <formula1>Reference!$I$6:$I$12</formula1>
      <formula2>0</formula2>
    </dataValidation>
    <dataValidation allowBlank="true" errorStyle="stop" operator="between" showDropDown="false" showErrorMessage="false" showInputMessage="false" sqref="J29" type="list">
      <formula1>Reference!$J$6:$J$11</formula1>
      <formula2>0</formula2>
    </dataValidation>
    <dataValidation allowBlank="true" errorStyle="stop" operator="between" showDropDown="false" showErrorMessage="false" showInputMessage="false" sqref="E29" type="list">
      <formula1>"1,2,3,4,5"</formula1>
      <formula2>0</formula2>
    </dataValidation>
    <dataValidation allowBlank="true" errorStyle="stop" operator="between" showDropDown="false" showErrorMessage="false" showInputMessage="false" sqref="F29" type="list">
      <formula1>"1,2,3,4,5"</formula1>
      <formula2>0</formula2>
    </dataValidation>
    <dataValidation allowBlank="true" errorStyle="stop" operator="between" showDropDown="false" showErrorMessage="false" showInputMessage="false" sqref="H30" type="list">
      <formula1>Reference!$H$6:$H$11</formula1>
      <formula2>0</formula2>
    </dataValidation>
    <dataValidation allowBlank="true" errorStyle="stop" operator="between" showDropDown="false" showErrorMessage="false" showInputMessage="false" sqref="I30" type="list">
      <formula1>Reference!$I$6:$I$12</formula1>
      <formula2>0</formula2>
    </dataValidation>
    <dataValidation allowBlank="true" errorStyle="stop" operator="between" showDropDown="false" showErrorMessage="false" showInputMessage="false" sqref="J30" type="list">
      <formula1>Reference!$J$6:$J$11</formula1>
      <formula2>0</formula2>
    </dataValidation>
    <dataValidation allowBlank="true" errorStyle="stop" operator="between" showDropDown="false" showErrorMessage="false" showInputMessage="false" sqref="E30" type="list">
      <formula1>"1,2,3,4,5"</formula1>
      <formula2>0</formula2>
    </dataValidation>
    <dataValidation allowBlank="true" errorStyle="stop" operator="between" showDropDown="false" showErrorMessage="false" showInputMessage="false" sqref="F30" type="list">
      <formula1>"1,2,3,4,5"</formula1>
      <formula2>0</formula2>
    </dataValidation>
    <dataValidation allowBlank="true" errorStyle="stop" operator="between" showDropDown="false" showErrorMessage="false" showInputMessage="false" sqref="H31" type="list">
      <formula1>Reference!$H$6:$H$11</formula1>
      <formula2>0</formula2>
    </dataValidation>
    <dataValidation allowBlank="true" errorStyle="stop" operator="between" showDropDown="false" showErrorMessage="false" showInputMessage="false" sqref="I31" type="list">
      <formula1>Reference!$I$6:$I$12</formula1>
      <formula2>0</formula2>
    </dataValidation>
    <dataValidation allowBlank="true" errorStyle="stop" operator="between" showDropDown="false" showErrorMessage="false" showInputMessage="false" sqref="J31" type="list">
      <formula1>Reference!$J$6:$J$11</formula1>
      <formula2>0</formula2>
    </dataValidation>
    <dataValidation allowBlank="true" errorStyle="stop" operator="between" showDropDown="false" showErrorMessage="false" showInputMessage="false" sqref="E31" type="list">
      <formula1>"1,2,3,4,5"</formula1>
      <formula2>0</formula2>
    </dataValidation>
    <dataValidation allowBlank="true" errorStyle="stop" operator="between" showDropDown="false" showErrorMessage="false" showInputMessage="false" sqref="F31" type="list">
      <formula1>"1,2,3,4,5"</formula1>
      <formula2>0</formula2>
    </dataValidation>
    <dataValidation allowBlank="true" errorStyle="stop" operator="between" showDropDown="false" showErrorMessage="false" showInputMessage="false" sqref="H32" type="list">
      <formula1>Reference!$H$6:$H$11</formula1>
      <formula2>0</formula2>
    </dataValidation>
    <dataValidation allowBlank="true" errorStyle="stop" operator="between" showDropDown="false" showErrorMessage="false" showInputMessage="false" sqref="I32" type="list">
      <formula1>Reference!$I$6:$I$12</formula1>
      <formula2>0</formula2>
    </dataValidation>
    <dataValidation allowBlank="true" errorStyle="stop" operator="between" showDropDown="false" showErrorMessage="false" showInputMessage="false" sqref="J32" type="list">
      <formula1>Reference!$J$6:$J$11</formula1>
      <formula2>0</formula2>
    </dataValidation>
    <dataValidation allowBlank="true" errorStyle="stop" operator="between" showDropDown="false" showErrorMessage="false" showInputMessage="false" sqref="E32" type="list">
      <formula1>"1,2,3,4,5"</formula1>
      <formula2>0</formula2>
    </dataValidation>
    <dataValidation allowBlank="true" errorStyle="stop" operator="between" showDropDown="false" showErrorMessage="false" showInputMessage="false" sqref="F32" type="list">
      <formula1>"1,2,3,4,5"</formula1>
      <formula2>0</formula2>
    </dataValidation>
  </dataValidations>
  <hyperlinks>
    <hyperlink ref="B36" r:id="rId1" display="Visit mastt.com"/>
  </hyperlinks>
  <printOptions headings="false" gridLines="false" gridLinesSet="true" horizontalCentered="false" verticalCentered="false"/>
  <pageMargins left="0.3" right="0.3" top="0.4" bottom="0.4" header="0.511811023622047" footer="0.15"/>
  <pageSetup paperSize="8" scale="100" fitToWidth="1" fitToHeight="0" pageOrder="downThenOver" orientation="landscape" blackAndWhite="false" draft="false" cellComments="none" horizontalDpi="300" verticalDpi="300" copies="1"/>
  <headerFooter differentFirst="false" differentOddEven="false">
    <oddHeader/>
    <oddFooter>&amp;R&amp;9 &amp;K3480bcVisit mastt.com</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K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6"/>
    <col collapsed="false" customWidth="true" hidden="false" outlineLevel="0" max="3" min="3" style="0" width="26"/>
    <col collapsed="false" customWidth="true" hidden="false" outlineLevel="0" max="4" min="4" style="0" width="32"/>
    <col collapsed="false" customWidth="true" hidden="false" outlineLevel="0" max="5" min="5" style="0" width="22"/>
    <col collapsed="false" customWidth="true" hidden="false" outlineLevel="0" max="6" min="6" style="0" width="25"/>
    <col collapsed="false" customWidth="true" hidden="false" outlineLevel="0" max="8" min="7" style="0" width="13"/>
    <col collapsed="false" customWidth="true" hidden="false" outlineLevel="0" max="9" min="9" style="0" width="16"/>
    <col collapsed="false" customWidth="true" hidden="false" outlineLevel="0" max="10" min="10" style="0" width="12"/>
    <col collapsed="false" customWidth="true" hidden="false" outlineLevel="0" max="11" min="11" style="0" width="26"/>
  </cols>
  <sheetData>
    <row r="1" customFormat="false" ht="33.75" hidden="false" customHeight="true" outlineLevel="0" collapsed="false">
      <c r="B1" s="1" t="s">
        <v>0</v>
      </c>
      <c r="C1" s="1"/>
      <c r="D1" s="1"/>
      <c r="E1" s="1"/>
      <c r="F1" s="1"/>
      <c r="G1" s="1"/>
      <c r="H1" s="1"/>
      <c r="I1" s="1"/>
      <c r="J1" s="1"/>
      <c r="K1" s="1"/>
    </row>
    <row r="2" customFormat="false" ht="4.5" hidden="false" customHeight="true" outlineLevel="0" collapsed="false">
      <c r="B2" s="2"/>
      <c r="C2" s="2"/>
      <c r="D2" s="2"/>
      <c r="E2" s="2"/>
      <c r="F2" s="2"/>
      <c r="G2" s="2"/>
      <c r="H2" s="2"/>
      <c r="I2" s="2"/>
      <c r="J2" s="2"/>
      <c r="K2" s="2"/>
    </row>
    <row r="3" customFormat="false" ht="16.5" hidden="false" customHeight="true" outlineLevel="0" collapsed="false">
      <c r="B3" s="3" t="str">
        <f aca="false">""</f>
        <v/>
      </c>
      <c r="C3" s="3"/>
      <c r="D3" s="3"/>
      <c r="E3" s="3"/>
      <c r="F3" s="3"/>
      <c r="G3" s="3"/>
      <c r="H3" s="3"/>
      <c r="I3" s="3"/>
      <c r="J3" s="3"/>
      <c r="K3" s="3"/>
    </row>
    <row r="4" customFormat="false" ht="25.5" hidden="false" customHeight="true" outlineLevel="0" collapsed="false">
      <c r="B4" s="4" t="s">
        <v>209</v>
      </c>
      <c r="C4" s="4"/>
      <c r="D4" s="4"/>
      <c r="E4" s="4"/>
      <c r="F4" s="4"/>
      <c r="G4" s="4"/>
      <c r="H4" s="4"/>
      <c r="I4" s="4"/>
      <c r="J4" s="4"/>
      <c r="K4" s="4"/>
    </row>
    <row r="6" customFormat="false" ht="21.75" hidden="false" customHeight="true" outlineLevel="0" collapsed="false">
      <c r="B6" s="5" t="s">
        <v>210</v>
      </c>
      <c r="C6" s="5"/>
      <c r="D6" s="5"/>
      <c r="E6" s="5"/>
      <c r="F6" s="5"/>
      <c r="G6" s="5"/>
      <c r="H6" s="5"/>
      <c r="I6" s="5"/>
      <c r="J6" s="5"/>
      <c r="K6" s="5"/>
    </row>
    <row r="7" customFormat="false" ht="34.5" hidden="false" customHeight="true" outlineLevel="0" collapsed="false">
      <c r="B7" s="6" t="s">
        <v>3</v>
      </c>
      <c r="C7" s="6" t="s">
        <v>211</v>
      </c>
      <c r="D7" s="6" t="s">
        <v>212</v>
      </c>
      <c r="E7" s="6" t="s">
        <v>213</v>
      </c>
      <c r="F7" s="6" t="s">
        <v>17</v>
      </c>
      <c r="G7" s="6" t="s">
        <v>214</v>
      </c>
      <c r="H7" s="6" t="s">
        <v>215</v>
      </c>
      <c r="I7" s="6" t="s">
        <v>216</v>
      </c>
      <c r="J7" s="6" t="s">
        <v>217</v>
      </c>
      <c r="K7" s="6" t="s">
        <v>18</v>
      </c>
    </row>
    <row r="8" customFormat="false" ht="25.35" hidden="false" customHeight="false" outlineLevel="0" collapsed="false">
      <c r="B8" s="7" t="s">
        <v>46</v>
      </c>
      <c r="C8" s="12" t="str">
        <f aca="false">IF($B8="","",IFERROR(INDEX(Register!$D$8:$D$32,MATCH($B8,Register!$B$8:$B$32,0)),"ID not on the Register"))</f>
        <v>Planning Department</v>
      </c>
      <c r="D8" s="8" t="s">
        <v>218</v>
      </c>
      <c r="E8" s="9" t="s">
        <v>219</v>
      </c>
      <c r="F8" s="9" t="s">
        <v>220</v>
      </c>
      <c r="G8" s="16" t="n">
        <v>46203</v>
      </c>
      <c r="H8" s="16" t="n">
        <v>46295</v>
      </c>
      <c r="I8" s="7" t="s">
        <v>221</v>
      </c>
      <c r="J8" s="7" t="s">
        <v>222</v>
      </c>
      <c r="K8" s="12" t="str">
        <f aca="true">IF($B8="","",IF($F8="Refused","REFUSED - resubmission lead time applies",IF(AND($F8="Not started",$J8="Yes"),"NOT STARTED, on the critical path",IF(AND($G8="",$H8&lt;&gt;"",$H8-TODAY()&lt;60),"Decision due in "&amp;($H8-TODAY())&amp;" days, nothing submitted",IF(AND($H8&lt;&gt;"",$H8&lt;TODAY(),$F8&lt;&gt;"Granted",$F8&lt;&gt;"Granted with conditions"),"Decision date passed",IF($F8="Not started","Not started","OK"))))))</f>
        <v>OK</v>
      </c>
    </row>
    <row r="9" customFormat="false" ht="25.35" hidden="false" customHeight="false" outlineLevel="0" collapsed="false">
      <c r="B9" s="7" t="s">
        <v>57</v>
      </c>
      <c r="C9" s="12" t="str">
        <f aca="false">IF($B9="","",IFERROR(INDEX(Register!$D$8:$D$32,MATCH($B9,Register!$B$8:$B$32,0)),"ID not on the Register"))</f>
        <v>Building Department</v>
      </c>
      <c r="D9" s="8" t="s">
        <v>223</v>
      </c>
      <c r="E9" s="9" t="s">
        <v>224</v>
      </c>
      <c r="F9" s="9" t="s">
        <v>225</v>
      </c>
      <c r="G9" s="16"/>
      <c r="H9" s="16" t="n">
        <v>46341</v>
      </c>
      <c r="I9" s="7" t="s">
        <v>226</v>
      </c>
      <c r="J9" s="7" t="s">
        <v>222</v>
      </c>
      <c r="K9" s="12" t="str">
        <f aca="true">IF($B9="","",IF($F9="Refused","REFUSED - resubmission lead time applies",IF(AND($F9="Not started",$J9="Yes"),"NOT STARTED, on the critical path",IF(AND($G9="",$H9&lt;&gt;"",$H9-TODAY()&lt;60),"Decision due in "&amp;($H9-TODAY())&amp;" days, nothing submitted",IF(AND($H9&lt;&gt;"",$H9&lt;TODAY(),$F9&lt;&gt;"Granted",$F9&lt;&gt;"Granted with conditions"),"Decision date passed",IF($F9="Not started","Not started","OK"))))))</f>
        <v>OK</v>
      </c>
    </row>
    <row r="10" customFormat="false" ht="25.35" hidden="false" customHeight="false" outlineLevel="0" collapsed="false">
      <c r="B10" s="7" t="s">
        <v>64</v>
      </c>
      <c r="C10" s="12" t="str">
        <f aca="false">IF($B10="","",IFERROR(INDEX(Register!$D$8:$D$32,MATCH($B10,Register!$B$8:$B$32,0)),"ID not on the Register"))</f>
        <v>District 4</v>
      </c>
      <c r="D10" s="8" t="s">
        <v>227</v>
      </c>
      <c r="E10" s="9" t="s">
        <v>224</v>
      </c>
      <c r="F10" s="9" t="s">
        <v>228</v>
      </c>
      <c r="G10" s="16"/>
      <c r="H10" s="16" t="n">
        <v>46310</v>
      </c>
      <c r="I10" s="7" t="s">
        <v>229</v>
      </c>
      <c r="J10" s="7" t="s">
        <v>222</v>
      </c>
      <c r="K10" s="12" t="str">
        <f aca="true">IF($B10="","",IF($F10="Refused","REFUSED - resubmission lead time applies",IF(AND($F10="Not started",$J10="Yes"),"NOT STARTED, on the critical path",IF(AND($G10="",$H10&lt;&gt;"",$H10-TODAY()&lt;60),"Decision due in "&amp;($H10-TODAY())&amp;" days, nothing submitted",IF(AND($H10&lt;&gt;"",$H10&lt;TODAY(),$F10&lt;&gt;"Granted",$F10&lt;&gt;"Granted with conditions"),"Decision date passed",IF($F10="Not started","Not started","OK"))))))</f>
        <v>NOT STARTED, on the critical path</v>
      </c>
    </row>
    <row r="11" customFormat="false" ht="25.35" hidden="false" customHeight="false" outlineLevel="0" collapsed="false">
      <c r="B11" s="7" t="s">
        <v>72</v>
      </c>
      <c r="C11" s="12" t="str">
        <f aca="false">IF($B11="","",IFERROR(INDEX(Register!$D$8:$D$32,MATCH($B11,Register!$B$8:$B$32,0)),"ID not on the Register"))</f>
        <v>Water Division</v>
      </c>
      <c r="D11" s="8" t="s">
        <v>230</v>
      </c>
      <c r="E11" s="9" t="s">
        <v>231</v>
      </c>
      <c r="F11" s="9" t="s">
        <v>232</v>
      </c>
      <c r="G11" s="16" t="n">
        <v>46160</v>
      </c>
      <c r="H11" s="16" t="n">
        <v>46325</v>
      </c>
      <c r="I11" s="7" t="s">
        <v>233</v>
      </c>
      <c r="J11" s="7" t="s">
        <v>222</v>
      </c>
      <c r="K11" s="12" t="str">
        <f aca="true">IF($B11="","",IF($F11="Refused","REFUSED - resubmission lead time applies",IF(AND($F11="Not started",$J11="Yes"),"NOT STARTED, on the critical path",IF(AND($G11="",$H11&lt;&gt;"",$H11-TODAY()&lt;60),"Decision due in "&amp;($H11-TODAY())&amp;" days, nothing submitted",IF(AND($H11&lt;&gt;"",$H11&lt;TODAY(),$F11&lt;&gt;"Granted",$F11&lt;&gt;"Granted with conditions"),"Decision date passed",IF($F11="Not started","Not started","OK"))))))</f>
        <v>REFUSED - resubmission lead time applies</v>
      </c>
    </row>
    <row r="12" customFormat="false" ht="25.35" hidden="false" customHeight="false" outlineLevel="0" collapsed="false">
      <c r="B12" s="7" t="s">
        <v>81</v>
      </c>
      <c r="C12" s="12" t="str">
        <f aca="false">IF($B12="","",IFERROR(INDEX(Register!$D$8:$D$32,MATCH($B12,Register!$B$8:$B$32,0)),"ID not on the Register"))</f>
        <v>Wynford Fire District</v>
      </c>
      <c r="D12" s="8" t="s">
        <v>234</v>
      </c>
      <c r="E12" s="9" t="s">
        <v>224</v>
      </c>
      <c r="F12" s="9" t="s">
        <v>225</v>
      </c>
      <c r="G12" s="16"/>
      <c r="H12" s="16" t="n">
        <v>46296</v>
      </c>
      <c r="I12" s="7" t="s">
        <v>235</v>
      </c>
      <c r="J12" s="7" t="s">
        <v>236</v>
      </c>
      <c r="K12" s="12" t="str">
        <f aca="true">IF($B12="","",IF($F12="Refused","REFUSED - resubmission lead time applies",IF(AND($F12="Not started",$J12="Yes"),"NOT STARTED, on the critical path",IF(AND($G12="",$H12&lt;&gt;"",$H12-TODAY()&lt;60),"Decision due in "&amp;($H12-TODAY())&amp;" days, nothing submitted",IF(AND($H12&lt;&gt;"",$H12&lt;TODAY(),$F12&lt;&gt;"Granted",$F12&lt;&gt;"Granted with conditions"),"Decision date passed",IF($F12="Not started","Not started","OK"))))))</f>
        <v>Decision due in 35 days, nothing submitted</v>
      </c>
    </row>
    <row r="13" customFormat="false" ht="25.35" hidden="false" customHeight="false" outlineLevel="0" collapsed="false">
      <c r="B13" s="7" t="s">
        <v>89</v>
      </c>
      <c r="C13" s="12" t="str">
        <f aca="false">IF($B13="","",IFERROR(INDEX(Register!$D$8:$D$32,MATCH($B13,Register!$B$8:$B$32,0)),"ID not on the Register"))</f>
        <v>Grants management office</v>
      </c>
      <c r="D13" s="8" t="s">
        <v>237</v>
      </c>
      <c r="E13" s="9" t="s">
        <v>238</v>
      </c>
      <c r="F13" s="9" t="s">
        <v>214</v>
      </c>
      <c r="G13" s="16" t="n">
        <v>46239</v>
      </c>
      <c r="H13" s="16" t="n">
        <v>46285</v>
      </c>
      <c r="I13" s="7" t="s">
        <v>239</v>
      </c>
      <c r="J13" s="7" t="s">
        <v>222</v>
      </c>
      <c r="K13" s="12" t="str">
        <f aca="true">IF($B13="","",IF($F13="Refused","REFUSED - resubmission lead time applies",IF(AND($F13="Not started",$J13="Yes"),"NOT STARTED, on the critical path",IF(AND($G13="",$H13&lt;&gt;"",$H13-TODAY()&lt;60),"Decision due in "&amp;($H13-TODAY())&amp;" days, nothing submitted",IF(AND($H13&lt;&gt;"",$H13&lt;TODAY(),$F13&lt;&gt;"Granted",$F13&lt;&gt;"Granted with conditions"),"Decision date passed",IF($F13="Not started","Not started","OK"))))))</f>
        <v>OK</v>
      </c>
    </row>
    <row r="14" customFormat="false" ht="25.35" hidden="false" customHeight="false" outlineLevel="0" collapsed="false">
      <c r="B14" s="7" t="s">
        <v>97</v>
      </c>
      <c r="C14" s="12" t="str">
        <f aca="false">IF($B14="","",IFERROR(INDEX(Register!$D$8:$D$32,MATCH($B14,Register!$B$8:$B$32,0)),"ID not on the Register"))</f>
        <v>Utility provider</v>
      </c>
      <c r="D14" s="8" t="s">
        <v>240</v>
      </c>
      <c r="E14" s="9" t="s">
        <v>241</v>
      </c>
      <c r="F14" s="9" t="s">
        <v>220</v>
      </c>
      <c r="G14" s="16" t="n">
        <v>46217</v>
      </c>
      <c r="H14" s="16" t="n">
        <v>46315</v>
      </c>
      <c r="I14" s="7" t="s">
        <v>242</v>
      </c>
      <c r="J14" s="7" t="s">
        <v>222</v>
      </c>
      <c r="K14" s="12" t="str">
        <f aca="true">IF($B14="","",IF($F14="Refused","REFUSED - resubmission lead time applies",IF(AND($F14="Not started",$J14="Yes"),"NOT STARTED, on the critical path",IF(AND($G14="",$H14&lt;&gt;"",$H14-TODAY()&lt;60),"Decision due in "&amp;($H14-TODAY())&amp;" days, nothing submitted",IF(AND($H14&lt;&gt;"",$H14&lt;TODAY(),$F14&lt;&gt;"Granted",$F14&lt;&gt;"Granted with conditions"),"Decision date passed",IF($F14="Not started","Not started","OK"))))))</f>
        <v>OK</v>
      </c>
    </row>
    <row r="15" customFormat="false" ht="25.35" hidden="false" customHeight="false" outlineLevel="0" collapsed="false">
      <c r="B15" s="7" t="s">
        <v>141</v>
      </c>
      <c r="C15" s="12" t="str">
        <f aca="false">IF($B15="","",IFERROR(INDEX(Register!$D$8:$D$32,MATCH($B15,Register!$B$8:$B$32,0)),"ID not on the Register"))</f>
        <v>Wynford Retail Holdings</v>
      </c>
      <c r="D15" s="8" t="s">
        <v>243</v>
      </c>
      <c r="E15" s="9" t="s">
        <v>244</v>
      </c>
      <c r="F15" s="9" t="s">
        <v>225</v>
      </c>
      <c r="G15" s="16"/>
      <c r="H15" s="16" t="n">
        <v>46326</v>
      </c>
      <c r="I15" s="7" t="s">
        <v>245</v>
      </c>
      <c r="J15" s="7" t="s">
        <v>222</v>
      </c>
      <c r="K15" s="12" t="str">
        <f aca="true">IF($B15="","",IF($F15="Refused","REFUSED - resubmission lead time applies",IF(AND($F15="Not started",$J15="Yes"),"NOT STARTED, on the critical path",IF(AND($G15="",$H15&lt;&gt;"",$H15-TODAY()&lt;60),"Decision due in "&amp;($H15-TODAY())&amp;" days, nothing submitted",IF(AND($H15&lt;&gt;"",$H15&lt;TODAY(),$F15&lt;&gt;"Granted",$F15&lt;&gt;"Granted with conditions"),"Decision date passed",IF($F15="Not started","Not started","OK"))))))</f>
        <v>OK</v>
      </c>
    </row>
    <row r="16" customFormat="false" ht="25.35" hidden="false" customHeight="false" outlineLevel="0" collapsed="false">
      <c r="B16" s="7" t="s">
        <v>149</v>
      </c>
      <c r="C16" s="12" t="str">
        <f aca="false">IF($B16="","",IFERROR(INDEX(Register!$D$8:$D$32,MATCH($B16,Register!$B$8:$B$32,0)),"ID not on the Register"))</f>
        <v>Utility provider</v>
      </c>
      <c r="D16" s="8" t="s">
        <v>246</v>
      </c>
      <c r="E16" s="9" t="s">
        <v>247</v>
      </c>
      <c r="F16" s="9" t="s">
        <v>248</v>
      </c>
      <c r="G16" s="16" t="n">
        <v>46175</v>
      </c>
      <c r="H16" s="16" t="n">
        <v>46249</v>
      </c>
      <c r="I16" s="7" t="s">
        <v>226</v>
      </c>
      <c r="J16" s="7" t="s">
        <v>236</v>
      </c>
      <c r="K16" s="12" t="str">
        <f aca="true">IF($B16="","",IF($F16="Refused","REFUSED - resubmission lead time applies",IF(AND($F16="Not started",$J16="Yes"),"NOT STARTED, on the critical path",IF(AND($G16="",$H16&lt;&gt;"",$H16-TODAY()&lt;60),"Decision due in "&amp;($H16-TODAY())&amp;" days, nothing submitted",IF(AND($H16&lt;&gt;"",$H16&lt;TODAY(),$F16&lt;&gt;"Granted",$F16&lt;&gt;"Granted with conditions"),"Decision date passed",IF($F16="Not started","Not started","OK"))))))</f>
        <v>OK</v>
      </c>
    </row>
    <row r="17" customFormat="false" ht="15" hidden="false" customHeight="false" outlineLevel="0" collapsed="false">
      <c r="B17" s="7"/>
      <c r="C17" s="12" t="str">
        <f aca="false">IF($B17="","",IFERROR(INDEX(Register!$D$8:$D$32,MATCH($B17,Register!$B$8:$B$32,0)),"ID not on the Register"))</f>
        <v/>
      </c>
      <c r="D17" s="8"/>
      <c r="E17" s="9"/>
      <c r="F17" s="9"/>
      <c r="G17" s="16"/>
      <c r="H17" s="16"/>
      <c r="I17" s="7"/>
      <c r="J17" s="7"/>
      <c r="K17" s="12" t="str">
        <f aca="true">IF($B17="","",IF($F17="Refused","REFUSED - resubmission lead time applies",IF(AND($F17="Not started",$J17="Yes"),"NOT STARTED, on the critical path",IF(AND($G17="",$H17&lt;&gt;"",$H17-TODAY()&lt;60),"Decision due in "&amp;($H17-TODAY())&amp;" days, nothing submitted",IF(AND($H17&lt;&gt;"",$H17&lt;TODAY(),$F17&lt;&gt;"Granted",$F17&lt;&gt;"Granted with conditions"),"Decision date passed",IF($F17="Not started","Not started","OK"))))))</f>
        <v/>
      </c>
    </row>
    <row r="18" customFormat="false" ht="15" hidden="false" customHeight="false" outlineLevel="0" collapsed="false">
      <c r="B18" s="7"/>
      <c r="C18" s="12" t="str">
        <f aca="false">IF($B18="","",IFERROR(INDEX(Register!$D$8:$D$32,MATCH($B18,Register!$B$8:$B$32,0)),"ID not on the Register"))</f>
        <v/>
      </c>
      <c r="D18" s="8"/>
      <c r="E18" s="9"/>
      <c r="F18" s="9"/>
      <c r="G18" s="16"/>
      <c r="H18" s="16"/>
      <c r="I18" s="7"/>
      <c r="J18" s="7"/>
      <c r="K18" s="12" t="str">
        <f aca="true">IF($B18="","",IF($F18="Refused","REFUSED - resubmission lead time applies",IF(AND($F18="Not started",$J18="Yes"),"NOT STARTED, on the critical path",IF(AND($G18="",$H18&lt;&gt;"",$H18-TODAY()&lt;60),"Decision due in "&amp;($H18-TODAY())&amp;" days, nothing submitted",IF(AND($H18&lt;&gt;"",$H18&lt;TODAY(),$F18&lt;&gt;"Granted",$F18&lt;&gt;"Granted with conditions"),"Decision date passed",IF($F18="Not started","Not started","OK"))))))</f>
        <v/>
      </c>
    </row>
    <row r="19" customFormat="false" ht="15" hidden="false" customHeight="false" outlineLevel="0" collapsed="false">
      <c r="B19" s="7"/>
      <c r="C19" s="12" t="str">
        <f aca="false">IF($B19="","",IFERROR(INDEX(Register!$D$8:$D$32,MATCH($B19,Register!$B$8:$B$32,0)),"ID not on the Register"))</f>
        <v/>
      </c>
      <c r="D19" s="8"/>
      <c r="E19" s="9"/>
      <c r="F19" s="9"/>
      <c r="G19" s="16"/>
      <c r="H19" s="16"/>
      <c r="I19" s="7"/>
      <c r="J19" s="7"/>
      <c r="K19" s="12" t="str">
        <f aca="true">IF($B19="","",IF($F19="Refused","REFUSED - resubmission lead time applies",IF(AND($F19="Not started",$J19="Yes"),"NOT STARTED, on the critical path",IF(AND($G19="",$H19&lt;&gt;"",$H19-TODAY()&lt;60),"Decision due in "&amp;($H19-TODAY())&amp;" days, nothing submitted",IF(AND($H19&lt;&gt;"",$H19&lt;TODAY(),$F19&lt;&gt;"Granted",$F19&lt;&gt;"Granted with conditions"),"Decision date passed",IF($F19="Not started","Not started","OK"))))))</f>
        <v/>
      </c>
    </row>
    <row r="20" customFormat="false" ht="15" hidden="false" customHeight="false" outlineLevel="0" collapsed="false">
      <c r="B20" s="7"/>
      <c r="C20" s="12" t="str">
        <f aca="false">IF($B20="","",IFERROR(INDEX(Register!$D$8:$D$32,MATCH($B20,Register!$B$8:$B$32,0)),"ID not on the Register"))</f>
        <v/>
      </c>
      <c r="D20" s="8"/>
      <c r="E20" s="9"/>
      <c r="F20" s="9"/>
      <c r="G20" s="16"/>
      <c r="H20" s="16"/>
      <c r="I20" s="7"/>
      <c r="J20" s="7"/>
      <c r="K20" s="12" t="str">
        <f aca="true">IF($B20="","",IF($F20="Refused","REFUSED - resubmission lead time applies",IF(AND($F20="Not started",$J20="Yes"),"NOT STARTED, on the critical path",IF(AND($G20="",$H20&lt;&gt;"",$H20-TODAY()&lt;60),"Decision due in "&amp;($H20-TODAY())&amp;" days, nothing submitted",IF(AND($H20&lt;&gt;"",$H20&lt;TODAY(),$F20&lt;&gt;"Granted",$F20&lt;&gt;"Granted with conditions"),"Decision date passed",IF($F20="Not started","Not started","OK"))))))</f>
        <v/>
      </c>
    </row>
    <row r="21" customFormat="false" ht="15" hidden="false" customHeight="false" outlineLevel="0" collapsed="false">
      <c r="B21" s="7"/>
      <c r="C21" s="12" t="str">
        <f aca="false">IF($B21="","",IFERROR(INDEX(Register!$D$8:$D$32,MATCH($B21,Register!$B$8:$B$32,0)),"ID not on the Register"))</f>
        <v/>
      </c>
      <c r="D21" s="8"/>
      <c r="E21" s="9"/>
      <c r="F21" s="9"/>
      <c r="G21" s="16"/>
      <c r="H21" s="16"/>
      <c r="I21" s="7"/>
      <c r="J21" s="7"/>
      <c r="K21" s="12" t="str">
        <f aca="true">IF($B21="","",IF($F21="Refused","REFUSED - resubmission lead time applies",IF(AND($F21="Not started",$J21="Yes"),"NOT STARTED, on the critical path",IF(AND($G21="",$H21&lt;&gt;"",$H21-TODAY()&lt;60),"Decision due in "&amp;($H21-TODAY())&amp;" days, nothing submitted",IF(AND($H21&lt;&gt;"",$H21&lt;TODAY(),$F21&lt;&gt;"Granted",$F21&lt;&gt;"Granted with conditions"),"Decision date passed",IF($F21="Not started","Not started","OK"))))))</f>
        <v/>
      </c>
    </row>
    <row r="22" customFormat="false" ht="15" hidden="false" customHeight="false" outlineLevel="0" collapsed="false">
      <c r="B22" s="7"/>
      <c r="C22" s="12" t="str">
        <f aca="false">IF($B22="","",IFERROR(INDEX(Register!$D$8:$D$32,MATCH($B22,Register!$B$8:$B$32,0)),"ID not on the Register"))</f>
        <v/>
      </c>
      <c r="D22" s="8"/>
      <c r="E22" s="9"/>
      <c r="F22" s="9"/>
      <c r="G22" s="16"/>
      <c r="H22" s="16"/>
      <c r="I22" s="7"/>
      <c r="J22" s="7"/>
      <c r="K22" s="12" t="str">
        <f aca="true">IF($B22="","",IF($F22="Refused","REFUSED - resubmission lead time applies",IF(AND($F22="Not started",$J22="Yes"),"NOT STARTED, on the critical path",IF(AND($G22="",$H22&lt;&gt;"",$H22-TODAY()&lt;60),"Decision due in "&amp;($H22-TODAY())&amp;" days, nothing submitted",IF(AND($H22&lt;&gt;"",$H22&lt;TODAY(),$F22&lt;&gt;"Granted",$F22&lt;&gt;"Granted with conditions"),"Decision date passed",IF($F22="Not started","Not started","OK"))))))</f>
        <v/>
      </c>
    </row>
    <row r="24" customFormat="false" ht="21.75" hidden="false" customHeight="true" outlineLevel="0" collapsed="false">
      <c r="B24" s="13" t="str">
        <f aca="false">SUMPRODUCT(--($K$8:$K$22&lt;&gt;""),--($K$8:$K$22&lt;&gt;"OK"))&amp;" of "&amp;COUNTIF($B$8:$B$22,"?*")&amp;" consents need attention, and "&amp;SUMPRODUCT(--($J$8:$J$22="Yes"),--($F$8:$F$22&lt;&gt;"Granted"),--($F$8:$F$22&lt;&gt;"Granted with conditions"))&amp;" critical-path consents are not yet granted"</f>
        <v>3 of 9 consents need attention, and 7 critical-path consents are not yet granted</v>
      </c>
      <c r="C24" s="13"/>
      <c r="D24" s="13"/>
      <c r="E24" s="13"/>
      <c r="F24" s="13"/>
      <c r="G24" s="13"/>
      <c r="H24" s="13"/>
      <c r="I24" s="13"/>
      <c r="J24" s="13"/>
      <c r="K24" s="13"/>
    </row>
    <row r="26" customFormat="false" ht="28.5" hidden="false" customHeight="true" outlineLevel="0" collapsed="false">
      <c r="B26" s="14" t="s">
        <v>249</v>
      </c>
      <c r="C26" s="14"/>
      <c r="D26" s="14"/>
      <c r="E26" s="14"/>
      <c r="F26" s="14"/>
      <c r="G26" s="14"/>
      <c r="H26" s="14"/>
      <c r="I26" s="14"/>
      <c r="J26" s="14"/>
      <c r="K26" s="14"/>
    </row>
    <row r="28" customFormat="false" ht="18" hidden="false" customHeight="true" outlineLevel="0" collapsed="false">
      <c r="B28" s="15" t="s">
        <v>181</v>
      </c>
      <c r="C28" s="15"/>
      <c r="D28" s="15"/>
      <c r="E28" s="15"/>
      <c r="F28" s="15"/>
      <c r="G28" s="15"/>
      <c r="H28" s="15"/>
      <c r="I28" s="15"/>
      <c r="J28" s="15"/>
      <c r="K28" s="15"/>
    </row>
  </sheetData>
  <mergeCells count="8">
    <mergeCell ref="B1:K1"/>
    <mergeCell ref="B2:K2"/>
    <mergeCell ref="B3:K3"/>
    <mergeCell ref="B4:K4"/>
    <mergeCell ref="B6:K6"/>
    <mergeCell ref="B24:K24"/>
    <mergeCell ref="B26:K26"/>
    <mergeCell ref="B28:K28"/>
  </mergeCells>
  <conditionalFormatting sqref="B3:K3">
    <cfRule type="expression" priority="2" aboveAverage="0" equalAverage="0" bottom="0" percent="0" rank="0" text="" dxfId="0">
      <formula>LEN($B$3)&gt;0</formula>
    </cfRule>
  </conditionalFormatting>
  <conditionalFormatting sqref="B8:K22">
    <cfRule type="expression" priority="3" aboveAverage="0" equalAverage="0" bottom="0" percent="0" rank="0" text="" dxfId="2">
      <formula>LEFT($K8,7)="REFUSED"</formula>
    </cfRule>
    <cfRule type="expression" priority="4" aboveAverage="0" equalAverage="0" bottom="0" percent="0" rank="0" text="" dxfId="2">
      <formula>LEFT($K8,11)="NOT STARTED"</formula>
    </cfRule>
    <cfRule type="expression" priority="5" aboveAverage="0" equalAverage="0" bottom="0" percent="0" rank="0" text="" dxfId="5">
      <formula>LEFT($K8,12)="Decision due"</formula>
    </cfRule>
    <cfRule type="expression" priority="6" aboveAverage="0" equalAverage="0" bottom="0" percent="0" rank="0" text="" dxfId="5">
      <formula>LEFT($K8,20)="Decision date passed"</formula>
    </cfRule>
    <cfRule type="expression" priority="7" aboveAverage="0" equalAverage="0" bottom="0" percent="0" rank="0" text="" dxfId="0">
      <formula>LEFT($K8,11)="Not started"</formula>
    </cfRule>
  </conditionalFormatting>
  <dataValidations count="30">
    <dataValidation allowBlank="true" errorStyle="stop" operator="between" showDropDown="false" showErrorMessage="false" showInputMessage="false" sqref="F8" type="list">
      <formula1>Reference!$L$6:$L$12</formula1>
      <formula2>0</formula2>
    </dataValidation>
    <dataValidation allowBlank="true" errorStyle="stop" operator="between" showDropDown="false" showErrorMessage="false" showInputMessage="false" sqref="J8" type="list">
      <formula1>"Yes,No"</formula1>
      <formula2>0</formula2>
    </dataValidation>
    <dataValidation allowBlank="true" errorStyle="stop" operator="between" showDropDown="false" showErrorMessage="false" showInputMessage="false" sqref="F9" type="list">
      <formula1>Reference!$L$6:$L$12</formula1>
      <formula2>0</formula2>
    </dataValidation>
    <dataValidation allowBlank="true" errorStyle="stop" operator="between" showDropDown="false" showErrorMessage="false" showInputMessage="false" sqref="J9" type="list">
      <formula1>"Yes,No"</formula1>
      <formula2>0</formula2>
    </dataValidation>
    <dataValidation allowBlank="true" errorStyle="stop" operator="between" showDropDown="false" showErrorMessage="false" showInputMessage="false" sqref="F10" type="list">
      <formula1>Reference!$L$6:$L$12</formula1>
      <formula2>0</formula2>
    </dataValidation>
    <dataValidation allowBlank="true" errorStyle="stop" operator="between" showDropDown="false" showErrorMessage="false" showInputMessage="false" sqref="J10" type="list">
      <formula1>"Yes,No"</formula1>
      <formula2>0</formula2>
    </dataValidation>
    <dataValidation allowBlank="true" errorStyle="stop" operator="between" showDropDown="false" showErrorMessage="false" showInputMessage="false" sqref="F11" type="list">
      <formula1>Reference!$L$6:$L$12</formula1>
      <formula2>0</formula2>
    </dataValidation>
    <dataValidation allowBlank="true" errorStyle="stop" operator="between" showDropDown="false" showErrorMessage="false" showInputMessage="false" sqref="J11" type="list">
      <formula1>"Yes,No"</formula1>
      <formula2>0</formula2>
    </dataValidation>
    <dataValidation allowBlank="true" errorStyle="stop" operator="between" showDropDown="false" showErrorMessage="false" showInputMessage="false" sqref="F12" type="list">
      <formula1>Reference!$L$6:$L$12</formula1>
      <formula2>0</formula2>
    </dataValidation>
    <dataValidation allowBlank="true" errorStyle="stop" operator="between" showDropDown="false" showErrorMessage="false" showInputMessage="false" sqref="J12" type="list">
      <formula1>"Yes,No"</formula1>
      <formula2>0</formula2>
    </dataValidation>
    <dataValidation allowBlank="true" errorStyle="stop" operator="between" showDropDown="false" showErrorMessage="false" showInputMessage="false" sqref="F13" type="list">
      <formula1>Reference!$L$6:$L$12</formula1>
      <formula2>0</formula2>
    </dataValidation>
    <dataValidation allowBlank="true" errorStyle="stop" operator="between" showDropDown="false" showErrorMessage="false" showInputMessage="false" sqref="J13" type="list">
      <formula1>"Yes,No"</formula1>
      <formula2>0</formula2>
    </dataValidation>
    <dataValidation allowBlank="true" errorStyle="stop" operator="between" showDropDown="false" showErrorMessage="false" showInputMessage="false" sqref="F14" type="list">
      <formula1>Reference!$L$6:$L$12</formula1>
      <formula2>0</formula2>
    </dataValidation>
    <dataValidation allowBlank="true" errorStyle="stop" operator="between" showDropDown="false" showErrorMessage="false" showInputMessage="false" sqref="J14" type="list">
      <formula1>"Yes,No"</formula1>
      <formula2>0</formula2>
    </dataValidation>
    <dataValidation allowBlank="true" errorStyle="stop" operator="between" showDropDown="false" showErrorMessage="false" showInputMessage="false" sqref="F15" type="list">
      <formula1>Reference!$L$6:$L$12</formula1>
      <formula2>0</formula2>
    </dataValidation>
    <dataValidation allowBlank="true" errorStyle="stop" operator="between" showDropDown="false" showErrorMessage="false" showInputMessage="false" sqref="J15" type="list">
      <formula1>"Yes,No"</formula1>
      <formula2>0</formula2>
    </dataValidation>
    <dataValidation allowBlank="true" errorStyle="stop" operator="between" showDropDown="false" showErrorMessage="false" showInputMessage="false" sqref="F16" type="list">
      <formula1>Reference!$L$6:$L$12</formula1>
      <formula2>0</formula2>
    </dataValidation>
    <dataValidation allowBlank="true" errorStyle="stop" operator="between" showDropDown="false" showErrorMessage="false" showInputMessage="false" sqref="J16" type="list">
      <formula1>"Yes,No"</formula1>
      <formula2>0</formula2>
    </dataValidation>
    <dataValidation allowBlank="true" errorStyle="stop" operator="between" showDropDown="false" showErrorMessage="false" showInputMessage="false" sqref="F17" type="list">
      <formula1>Reference!$L$6:$L$12</formula1>
      <formula2>0</formula2>
    </dataValidation>
    <dataValidation allowBlank="true" errorStyle="stop" operator="between" showDropDown="false" showErrorMessage="false" showInputMessage="false" sqref="J17" type="list">
      <formula1>"Yes,No"</formula1>
      <formula2>0</formula2>
    </dataValidation>
    <dataValidation allowBlank="true" errorStyle="stop" operator="between" showDropDown="false" showErrorMessage="false" showInputMessage="false" sqref="F18" type="list">
      <formula1>Reference!$L$6:$L$12</formula1>
      <formula2>0</formula2>
    </dataValidation>
    <dataValidation allowBlank="true" errorStyle="stop" operator="between" showDropDown="false" showErrorMessage="false" showInputMessage="false" sqref="J18" type="list">
      <formula1>"Yes,No"</formula1>
      <formula2>0</formula2>
    </dataValidation>
    <dataValidation allowBlank="true" errorStyle="stop" operator="between" showDropDown="false" showErrorMessage="false" showInputMessage="false" sqref="F19" type="list">
      <formula1>Reference!$L$6:$L$12</formula1>
      <formula2>0</formula2>
    </dataValidation>
    <dataValidation allowBlank="true" errorStyle="stop" operator="between" showDropDown="false" showErrorMessage="false" showInputMessage="false" sqref="J19" type="list">
      <formula1>"Yes,No"</formula1>
      <formula2>0</formula2>
    </dataValidation>
    <dataValidation allowBlank="true" errorStyle="stop" operator="between" showDropDown="false" showErrorMessage="false" showInputMessage="false" sqref="F20" type="list">
      <formula1>Reference!$L$6:$L$12</formula1>
      <formula2>0</formula2>
    </dataValidation>
    <dataValidation allowBlank="true" errorStyle="stop" operator="between" showDropDown="false" showErrorMessage="false" showInputMessage="false" sqref="J20" type="list">
      <formula1>"Yes,No"</formula1>
      <formula2>0</formula2>
    </dataValidation>
    <dataValidation allowBlank="true" errorStyle="stop" operator="between" showDropDown="false" showErrorMessage="false" showInputMessage="false" sqref="F21" type="list">
      <formula1>Reference!$L$6:$L$12</formula1>
      <formula2>0</formula2>
    </dataValidation>
    <dataValidation allowBlank="true" errorStyle="stop" operator="between" showDropDown="false" showErrorMessage="false" showInputMessage="false" sqref="J21" type="list">
      <formula1>"Yes,No"</formula1>
      <formula2>0</formula2>
    </dataValidation>
    <dataValidation allowBlank="true" errorStyle="stop" operator="between" showDropDown="false" showErrorMessage="false" showInputMessage="false" sqref="F22" type="list">
      <formula1>Reference!$L$6:$L$12</formula1>
      <formula2>0</formula2>
    </dataValidation>
    <dataValidation allowBlank="true" errorStyle="stop" operator="between" showDropDown="false" showErrorMessage="false" showInputMessage="false" sqref="J22" type="list">
      <formula1>"Yes,No"</formula1>
      <formula2>0</formula2>
    </dataValidation>
  </dataValidations>
  <hyperlinks>
    <hyperlink ref="B28" r:id="rId1" display="Visit mastt.com"/>
  </hyperlinks>
  <printOptions headings="false" gridLines="false" gridLinesSet="true" horizontalCentered="false" verticalCentered="false"/>
  <pageMargins left="0.3" right="0.3" top="0.4" bottom="0.4" header="0.511811023622047" footer="0.15"/>
  <pageSetup paperSize="8" scale="100" fitToWidth="1" fitToHeight="0" pageOrder="downThenOver" orientation="landscape" blackAndWhite="false" draft="false" cellComments="none" horizontalDpi="300" verticalDpi="300" copies="1"/>
  <headerFooter differentFirst="false" differentOddEven="false">
    <oddHeader/>
    <oddFooter>&amp;R&amp;9 &amp;K3480bcVisit mastt.com</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M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13" min="2" style="0" width="12.3"/>
  </cols>
  <sheetData>
    <row r="1" customFormat="false" ht="33.75" hidden="false" customHeight="true" outlineLevel="0" collapsed="false">
      <c r="B1" s="1" t="s">
        <v>0</v>
      </c>
      <c r="C1" s="1"/>
      <c r="D1" s="1"/>
      <c r="E1" s="1"/>
      <c r="F1" s="1"/>
      <c r="G1" s="1"/>
      <c r="H1" s="1"/>
      <c r="I1" s="1"/>
      <c r="J1" s="1"/>
      <c r="K1" s="1"/>
      <c r="L1" s="1"/>
      <c r="M1" s="1"/>
    </row>
    <row r="2" customFormat="false" ht="4.5" hidden="false" customHeight="true" outlineLevel="0" collapsed="false">
      <c r="B2" s="2"/>
      <c r="C2" s="2"/>
      <c r="D2" s="2"/>
      <c r="E2" s="2"/>
      <c r="F2" s="2"/>
      <c r="G2" s="2"/>
      <c r="H2" s="2"/>
      <c r="I2" s="2"/>
      <c r="J2" s="2"/>
      <c r="K2" s="2"/>
      <c r="L2" s="2"/>
      <c r="M2" s="2"/>
    </row>
    <row r="3" customFormat="false" ht="16.5" hidden="false" customHeight="true" outlineLevel="0" collapsed="false">
      <c r="B3" s="3" t="str">
        <f aca="false">""</f>
        <v/>
      </c>
      <c r="C3" s="3"/>
      <c r="D3" s="3"/>
      <c r="E3" s="3"/>
      <c r="F3" s="3"/>
      <c r="G3" s="3"/>
      <c r="H3" s="3"/>
      <c r="I3" s="3"/>
      <c r="J3" s="3"/>
      <c r="K3" s="3"/>
      <c r="L3" s="3"/>
      <c r="M3" s="3"/>
    </row>
    <row r="4" customFormat="false" ht="25.5" hidden="false" customHeight="true" outlineLevel="0" collapsed="false">
      <c r="B4" s="4" t="s">
        <v>250</v>
      </c>
      <c r="C4" s="4"/>
      <c r="D4" s="4"/>
      <c r="E4" s="4"/>
      <c r="F4" s="4"/>
      <c r="G4" s="4"/>
      <c r="H4" s="4"/>
      <c r="I4" s="4"/>
      <c r="J4" s="4"/>
      <c r="K4" s="4"/>
      <c r="L4" s="4"/>
      <c r="M4" s="4"/>
    </row>
    <row r="6" customFormat="false" ht="25.5" hidden="false" customHeight="true" outlineLevel="0" collapsed="false">
      <c r="B6" s="18" t="str">
        <f aca="false">IF(COUNTIF(Register!$B$8:$B$32,"?*")=0,"Add stakeholders on the Register sheet.",SUMPRODUCT(--(Engagement!$G$8:$G$32&lt;&gt;"At target"),--(Engagement!$G$8:$G$32&lt;&gt;""))&amp;" of "&amp;COUNTIF(Register!$B$8:$B$32,"?*")&amp;" stakeholders are not yet at the engagement level this project needs")</f>
        <v>13 of 19 stakeholders are not yet at the engagement level this project needs</v>
      </c>
      <c r="C6" s="18"/>
      <c r="D6" s="18"/>
      <c r="E6" s="18"/>
      <c r="F6" s="18"/>
      <c r="G6" s="18"/>
      <c r="H6" s="18"/>
      <c r="I6" s="18"/>
      <c r="J6" s="18"/>
      <c r="K6" s="18"/>
      <c r="L6" s="18"/>
      <c r="M6" s="18"/>
    </row>
    <row r="8" customFormat="false" ht="12.75" hidden="false" customHeight="true" outlineLevel="0" collapsed="false">
      <c r="B8" s="19" t="s">
        <v>251</v>
      </c>
      <c r="C8" s="19"/>
      <c r="E8" s="19" t="s">
        <v>252</v>
      </c>
      <c r="F8" s="19"/>
      <c r="H8" s="19" t="s">
        <v>253</v>
      </c>
      <c r="I8" s="19"/>
      <c r="K8" s="19" t="s">
        <v>254</v>
      </c>
      <c r="L8" s="19"/>
    </row>
    <row r="9" customFormat="false" ht="30" hidden="false" customHeight="true" outlineLevel="0" collapsed="false">
      <c r="B9" s="20" t="n">
        <f aca="false">COUNTIF(Register!$B$8:$B$32,"?*")</f>
        <v>19</v>
      </c>
      <c r="C9" s="20"/>
      <c r="E9" s="20" t="n">
        <f aca="false">SUMPRODUCT(--(Register!$L$8:$L$32="Manage closely"))</f>
        <v>6</v>
      </c>
      <c r="F9" s="20"/>
      <c r="H9" s="20" t="n">
        <f aca="false">SUMPRODUCT(--(Engagement!$E$8:$E$32=1))</f>
        <v>2</v>
      </c>
      <c r="I9" s="20"/>
      <c r="K9" s="20" t="n">
        <f aca="false">SUMPRODUCT(--(Consents!$F$8:$F$22&lt;&gt;""),--(Consents!$F$8:$F$22&lt;&gt;"Granted"),--(Consents!$F$8:$F$22&lt;&gt;"Granted with conditions"))</f>
        <v>8</v>
      </c>
      <c r="L9" s="20"/>
    </row>
    <row r="10" customFormat="false" ht="25.5" hidden="false" customHeight="true" outlineLevel="0" collapsed="false">
      <c r="B10" s="21" t="str">
        <f aca="false">"on the register"</f>
        <v>on the register</v>
      </c>
      <c r="C10" s="21"/>
      <c r="E10" s="21" t="str">
        <f aca="false">"high influence, high interest"</f>
        <v>high influence, high interest</v>
      </c>
      <c r="F10" s="21"/>
      <c r="H10" s="21" t="str">
        <f aca="false">"never contacted, or unaware"</f>
        <v>never contacted, or unaware</v>
      </c>
      <c r="I10" s="21"/>
      <c r="K10" s="21" t="str">
        <f aca="false">"permits and approvals not yet granted"</f>
        <v>permits and approvals not yet granted</v>
      </c>
      <c r="L10" s="21"/>
    </row>
    <row r="12" customFormat="false" ht="21.75" hidden="false" customHeight="true" outlineLevel="0" collapsed="false">
      <c r="B12" s="5" t="s">
        <v>255</v>
      </c>
      <c r="C12" s="5"/>
      <c r="D12" s="5"/>
      <c r="E12" s="5"/>
      <c r="F12" s="5"/>
      <c r="G12" s="5"/>
      <c r="H12" s="5"/>
      <c r="I12" s="5"/>
      <c r="J12" s="5"/>
      <c r="K12" s="5"/>
      <c r="L12" s="5"/>
      <c r="M12" s="5"/>
    </row>
    <row r="13" customFormat="false" ht="25.5" hidden="false" customHeight="true" outlineLevel="0" collapsed="false">
      <c r="B13" s="22" t="s">
        <v>8</v>
      </c>
      <c r="C13" s="22"/>
      <c r="D13" s="22"/>
      <c r="E13" s="23" t="s">
        <v>256</v>
      </c>
      <c r="F13" s="23" t="s">
        <v>257</v>
      </c>
      <c r="G13" s="23" t="s">
        <v>50</v>
      </c>
      <c r="H13" s="23" t="s">
        <v>258</v>
      </c>
      <c r="I13" s="22" t="s">
        <v>259</v>
      </c>
      <c r="J13" s="22"/>
      <c r="K13" s="22"/>
      <c r="L13" s="22"/>
      <c r="M13" s="22"/>
    </row>
    <row r="14" customFormat="false" ht="19.5" hidden="false" customHeight="true" outlineLevel="0" collapsed="false">
      <c r="B14" s="24" t="s">
        <v>24</v>
      </c>
      <c r="C14" s="24"/>
      <c r="D14" s="24"/>
      <c r="E14" s="25" t="n">
        <f aca="false">COUNTIF(Register!$G$8:$G$32,"Client and governance")</f>
        <v>3</v>
      </c>
      <c r="F14" s="25" t="n">
        <f aca="false">SUMPRODUCT(--(Register!$G$8:$G$32="Client and governance"),--(Register!$L$8:$L$32="Manage closely"))</f>
        <v>1</v>
      </c>
      <c r="G14" s="25" t="n">
        <f aca="false">SUMPRODUCT(--(Register!$G$8:$G$32="Client and governance"),--(Register!$F$8:$F$32="Statutory"))</f>
        <v>0</v>
      </c>
      <c r="H14" s="25" t="n">
        <f aca="false">SUMPRODUCT(--(Register!$G$8:$G$32="Client and governance"),--(LEFT(Register!$R$8:$R$32,4)="MOVE"))</f>
        <v>0</v>
      </c>
      <c r="I14" s="11" t="str">
        <f aca="false">IF(COUNTIF(Register!$G$8:$G$32,"Client and governance")=0,"NOBODY IDENTIFIED IN THIS CATEGORY",IF(SUMPRODUCT(--(Register!$G$8:$G$32="Client and governance"),--(LEFT(Register!$R$8:$R$32,4)="MOVE"))=0,"All at target",SUMPRODUCT(--(Register!$G$8:$G$32="Client and governance"),--(LEFT(Register!$R$8:$R$32,4)="MOVE"))&amp;" of "&amp;COUNTIF(Register!$G$8:$G$32,"Client and governance")&amp;" need to move"))</f>
        <v>All at target</v>
      </c>
      <c r="J14" s="11"/>
      <c r="K14" s="11"/>
      <c r="L14" s="11"/>
      <c r="M14" s="11"/>
    </row>
    <row r="15" customFormat="false" ht="19.5" hidden="false" customHeight="true" outlineLevel="0" collapsed="false">
      <c r="B15" s="24" t="s">
        <v>51</v>
      </c>
      <c r="C15" s="24"/>
      <c r="D15" s="24"/>
      <c r="E15" s="25" t="n">
        <f aca="false">COUNTIF(Register!$G$8:$G$32,"Statutory and regulatory")</f>
        <v>6</v>
      </c>
      <c r="F15" s="25" t="n">
        <f aca="false">SUMPRODUCT(--(Register!$G$8:$G$32="Statutory and regulatory"),--(Register!$L$8:$L$32="Manage closely"))</f>
        <v>2</v>
      </c>
      <c r="G15" s="25" t="n">
        <f aca="false">SUMPRODUCT(--(Register!$G$8:$G$32="Statutory and regulatory"),--(Register!$F$8:$F$32="Statutory"))</f>
        <v>6</v>
      </c>
      <c r="H15" s="25" t="n">
        <f aca="false">SUMPRODUCT(--(Register!$G$8:$G$32="Statutory and regulatory"),--(LEFT(Register!$R$8:$R$32,4)="MOVE"))</f>
        <v>4</v>
      </c>
      <c r="I15" s="11" t="str">
        <f aca="false">IF(COUNTIF(Register!$G$8:$G$32,"Statutory and regulatory")=0,"NOBODY IDENTIFIED IN THIS CATEGORY",IF(SUMPRODUCT(--(Register!$G$8:$G$32="Statutory and regulatory"),--(LEFT(Register!$R$8:$R$32,4)="MOVE"))=0,"All at target",SUMPRODUCT(--(Register!$G$8:$G$32="Statutory and regulatory"),--(LEFT(Register!$R$8:$R$32,4)="MOVE"))&amp;" of "&amp;COUNTIF(Register!$G$8:$G$32,"Statutory and regulatory")&amp;" need to move"))</f>
        <v>4 of 6 need to move</v>
      </c>
      <c r="J15" s="11"/>
      <c r="K15" s="11"/>
      <c r="L15" s="11"/>
      <c r="M15" s="11"/>
    </row>
    <row r="16" customFormat="false" ht="19.5" hidden="false" customHeight="true" outlineLevel="0" collapsed="false">
      <c r="B16" s="24" t="s">
        <v>102</v>
      </c>
      <c r="C16" s="24"/>
      <c r="D16" s="24"/>
      <c r="E16" s="25" t="n">
        <f aca="false">COUNTIF(Register!$G$8:$G$32,"Utilities and service providers")</f>
        <v>2</v>
      </c>
      <c r="F16" s="25" t="n">
        <f aca="false">SUMPRODUCT(--(Register!$G$8:$G$32="Utilities and service providers"),--(Register!$L$8:$L$32="Manage closely"))</f>
        <v>0</v>
      </c>
      <c r="G16" s="25" t="n">
        <f aca="false">SUMPRODUCT(--(Register!$G$8:$G$32="Utilities and service providers"),--(Register!$F$8:$F$32="Statutory"))</f>
        <v>0</v>
      </c>
      <c r="H16" s="25" t="n">
        <f aca="false">SUMPRODUCT(--(Register!$G$8:$G$32="Utilities and service providers"),--(LEFT(Register!$R$8:$R$32,4)="MOVE"))</f>
        <v>1</v>
      </c>
      <c r="I16" s="11" t="str">
        <f aca="false">IF(COUNTIF(Register!$G$8:$G$32,"Utilities and service providers")=0,"NOBODY IDENTIFIED IN THIS CATEGORY",IF(SUMPRODUCT(--(Register!$G$8:$G$32="Utilities and service providers"),--(LEFT(Register!$R$8:$R$32,4)="MOVE"))=0,"All at target",SUMPRODUCT(--(Register!$G$8:$G$32="Utilities and service providers"),--(LEFT(Register!$R$8:$R$32,4)="MOVE"))&amp;" of "&amp;COUNTIF(Register!$G$8:$G$32,"Utilities and service providers")&amp;" need to move"))</f>
        <v>1 of 2 need to move</v>
      </c>
      <c r="J16" s="11"/>
      <c r="K16" s="11"/>
      <c r="L16" s="11"/>
      <c r="M16" s="11"/>
    </row>
    <row r="17" customFormat="false" ht="19.5" hidden="false" customHeight="true" outlineLevel="0" collapsed="false">
      <c r="B17" s="24" t="s">
        <v>120</v>
      </c>
      <c r="C17" s="24"/>
      <c r="D17" s="24"/>
      <c r="E17" s="25" t="n">
        <f aca="false">COUNTIF(Register!$G$8:$G$32,"Community and neighbors")</f>
        <v>4</v>
      </c>
      <c r="F17" s="25" t="n">
        <f aca="false">SUMPRODUCT(--(Register!$G$8:$G$32="Community and neighbors"),--(Register!$L$8:$L$32="Manage closely"))</f>
        <v>1</v>
      </c>
      <c r="G17" s="25" t="n">
        <f aca="false">SUMPRODUCT(--(Register!$G$8:$G$32="Community and neighbors"),--(Register!$F$8:$F$32="Statutory"))</f>
        <v>0</v>
      </c>
      <c r="H17" s="25" t="n">
        <f aca="false">SUMPRODUCT(--(Register!$G$8:$G$32="Community and neighbors"),--(LEFT(Register!$R$8:$R$32,4)="MOVE"))</f>
        <v>4</v>
      </c>
      <c r="I17" s="11" t="str">
        <f aca="false">IF(COUNTIF(Register!$G$8:$G$32,"Community and neighbors")=0,"NOBODY IDENTIFIED IN THIS CATEGORY",IF(SUMPRODUCT(--(Register!$G$8:$G$32="Community and neighbors"),--(LEFT(Register!$R$8:$R$32,4)="MOVE"))=0,"All at target",SUMPRODUCT(--(Register!$G$8:$G$32="Community and neighbors"),--(LEFT(Register!$R$8:$R$32,4)="MOVE"))&amp;" of "&amp;COUNTIF(Register!$G$8:$G$32,"Community and neighbors")&amp;" need to move"))</f>
        <v>4 of 4 need to move</v>
      </c>
      <c r="J17" s="11"/>
      <c r="K17" s="11"/>
      <c r="L17" s="11"/>
      <c r="M17" s="11"/>
    </row>
    <row r="18" customFormat="false" ht="19.5" hidden="false" customHeight="true" outlineLevel="0" collapsed="false">
      <c r="B18" s="24" t="s">
        <v>167</v>
      </c>
      <c r="C18" s="24"/>
      <c r="D18" s="24"/>
      <c r="E18" s="25" t="n">
        <f aca="false">COUNTIF(Register!$G$8:$G$32,"Delivery team")</f>
        <v>2</v>
      </c>
      <c r="F18" s="25" t="n">
        <f aca="false">SUMPRODUCT(--(Register!$G$8:$G$32="Delivery team"),--(Register!$L$8:$L$32="Manage closely"))</f>
        <v>2</v>
      </c>
      <c r="G18" s="25" t="n">
        <f aca="false">SUMPRODUCT(--(Register!$G$8:$G$32="Delivery team"),--(Register!$F$8:$F$32="Statutory"))</f>
        <v>0</v>
      </c>
      <c r="H18" s="25" t="n">
        <f aca="false">SUMPRODUCT(--(Register!$G$8:$G$32="Delivery team"),--(LEFT(Register!$R$8:$R$32,4)="MOVE"))</f>
        <v>2</v>
      </c>
      <c r="I18" s="11" t="str">
        <f aca="false">IF(COUNTIF(Register!$G$8:$G$32,"Delivery team")=0,"NOBODY IDENTIFIED IN THIS CATEGORY",IF(SUMPRODUCT(--(Register!$G$8:$G$32="Delivery team"),--(LEFT(Register!$R$8:$R$32,4)="MOVE"))=0,"All at target",SUMPRODUCT(--(Register!$G$8:$G$32="Delivery team"),--(LEFT(Register!$R$8:$R$32,4)="MOVE"))&amp;" of "&amp;COUNTIF(Register!$G$8:$G$32,"Delivery team")&amp;" need to move"))</f>
        <v>2 of 2 need to move</v>
      </c>
      <c r="J18" s="11"/>
      <c r="K18" s="11"/>
      <c r="L18" s="11"/>
      <c r="M18" s="11"/>
    </row>
    <row r="19" customFormat="false" ht="19.5" hidden="false" customHeight="true" outlineLevel="0" collapsed="false">
      <c r="B19" s="24" t="s">
        <v>111</v>
      </c>
      <c r="C19" s="24"/>
      <c r="D19" s="24"/>
      <c r="E19" s="25" t="n">
        <f aca="false">COUNTIF(Register!$G$8:$G$32,"End users and operations")</f>
        <v>2</v>
      </c>
      <c r="F19" s="25" t="n">
        <f aca="false">SUMPRODUCT(--(Register!$G$8:$G$32="End users and operations"),--(Register!$L$8:$L$32="Manage closely"))</f>
        <v>0</v>
      </c>
      <c r="G19" s="25" t="n">
        <f aca="false">SUMPRODUCT(--(Register!$G$8:$G$32="End users and operations"),--(Register!$F$8:$F$32="Statutory"))</f>
        <v>0</v>
      </c>
      <c r="H19" s="25" t="n">
        <f aca="false">SUMPRODUCT(--(Register!$G$8:$G$32="End users and operations"),--(LEFT(Register!$R$8:$R$32,4)="MOVE"))</f>
        <v>2</v>
      </c>
      <c r="I19" s="11" t="str">
        <f aca="false">IF(COUNTIF(Register!$G$8:$G$32,"End users and operations")=0,"NOBODY IDENTIFIED IN THIS CATEGORY",IF(SUMPRODUCT(--(Register!$G$8:$G$32="End users and operations"),--(LEFT(Register!$R$8:$R$32,4)="MOVE"))=0,"All at target",SUMPRODUCT(--(Register!$G$8:$G$32="End users and operations"),--(LEFT(Register!$R$8:$R$32,4)="MOVE"))&amp;" of "&amp;COUNTIF(Register!$G$8:$G$32,"End users and operations")&amp;" need to move"))</f>
        <v>2 of 2 need to move</v>
      </c>
      <c r="J19" s="11"/>
      <c r="K19" s="11"/>
      <c r="L19" s="11"/>
      <c r="M19" s="11"/>
    </row>
    <row r="20" customFormat="false" ht="28.5" hidden="false" customHeight="true" outlineLevel="0" collapsed="false">
      <c r="B20" s="14" t="s">
        <v>260</v>
      </c>
      <c r="C20" s="14"/>
      <c r="D20" s="14"/>
      <c r="E20" s="14"/>
      <c r="F20" s="14"/>
      <c r="G20" s="14"/>
      <c r="H20" s="14"/>
      <c r="I20" s="14"/>
      <c r="J20" s="14"/>
      <c r="K20" s="14"/>
      <c r="L20" s="14"/>
      <c r="M20" s="14"/>
    </row>
    <row r="22" customFormat="false" ht="21.75" hidden="false" customHeight="true" outlineLevel="0" collapsed="false">
      <c r="B22" s="5" t="s">
        <v>261</v>
      </c>
      <c r="C22" s="5"/>
      <c r="D22" s="5"/>
      <c r="E22" s="5"/>
      <c r="F22" s="5"/>
      <c r="G22" s="5"/>
      <c r="H22" s="5"/>
      <c r="I22" s="5"/>
      <c r="J22" s="5"/>
      <c r="K22" s="5"/>
      <c r="L22" s="5"/>
      <c r="M22" s="5"/>
    </row>
    <row r="23" customFormat="false" ht="25.5" hidden="false" customHeight="true" outlineLevel="0" collapsed="false">
      <c r="B23" s="22" t="s">
        <v>16</v>
      </c>
      <c r="C23" s="22"/>
      <c r="D23" s="22"/>
      <c r="E23" s="23" t="s">
        <v>262</v>
      </c>
      <c r="F23" s="23" t="s">
        <v>263</v>
      </c>
      <c r="G23" s="23" t="s">
        <v>264</v>
      </c>
      <c r="H23" s="23" t="s">
        <v>265</v>
      </c>
      <c r="I23" s="22" t="s">
        <v>266</v>
      </c>
      <c r="J23" s="22"/>
      <c r="K23" s="22"/>
      <c r="L23" s="22"/>
      <c r="M23" s="22"/>
    </row>
    <row r="24" customFormat="false" ht="19.5" hidden="false" customHeight="true" outlineLevel="0" collapsed="false">
      <c r="B24" s="24" t="s">
        <v>56</v>
      </c>
      <c r="C24" s="24"/>
      <c r="D24" s="24"/>
      <c r="E24" s="25" t="n">
        <f aca="false">COUNTIF(Register!$O$8:$O$32,"Approvals Lead")</f>
        <v>3</v>
      </c>
      <c r="F24" s="25" t="n">
        <f aca="false">COUNTIF(Register!$O$8:$O$32,"Approvals Lead")-SUMPRODUCT(--(Register!$O$8:$O$32="Approvals Lead"),--(LEFT(Register!$R$8:$R$32,4)="MOVE"))</f>
        <v>1</v>
      </c>
      <c r="G24" s="25" t="n">
        <f aca="false">SUMPRODUCT(--(Register!$O$8:$O$32="Approvals Lead"),--(LEFT(Register!$R$8:$R$32,4)="MOVE"))</f>
        <v>2</v>
      </c>
      <c r="H24" s="25" t="n">
        <f aca="false">SUMPRODUCT(--(Register!$O$8:$O$32="Approvals Lead"),--(Register!$S$8:$S$32&gt;0))</f>
        <v>0</v>
      </c>
      <c r="I24" s="11" t="str">
        <f aca="false">IF(COUNTIF(Register!$O$8:$O$32,"Approvals Lead")=0,"None assigned",IF(SUMPRODUCT(--(Register!$O$8:$O$32="Approvals Lead"),--(Register!$S$8:$S$32&gt;0))&gt;0,SUMPRODUCT(--(Register!$O$8:$O$32="Approvals Lead"),--(Register!$S$8:$S$32&gt;0))&amp;" overdue for contact",IF(SUMPRODUCT(--(Register!$O$8:$O$32="Approvals Lead"),--(LEFT(Register!$R$8:$R$32,4)="MOVE"))=0,"All at target",SUMPRODUCT(--(Register!$O$8:$O$32="Approvals Lead"),--(LEFT(Register!$R$8:$R$32,4)="MOVE"))&amp;" to move, none overdue")))</f>
        <v>2 to move, none overdue</v>
      </c>
      <c r="J24" s="11"/>
      <c r="K24" s="11"/>
      <c r="L24" s="11"/>
      <c r="M24" s="11"/>
    </row>
    <row r="25" customFormat="false" ht="19.5" hidden="false" customHeight="true" outlineLevel="0" collapsed="false">
      <c r="B25" s="24" t="s">
        <v>45</v>
      </c>
      <c r="C25" s="24"/>
      <c r="D25" s="24"/>
      <c r="E25" s="25" t="n">
        <f aca="false">COUNTIF(Register!$O$8:$O$32,"Cost Manager")</f>
        <v>1</v>
      </c>
      <c r="F25" s="25" t="n">
        <f aca="false">COUNTIF(Register!$O$8:$O$32,"Cost Manager")-SUMPRODUCT(--(Register!$O$8:$O$32="Cost Manager"),--(LEFT(Register!$R$8:$R$32,4)="MOVE"))</f>
        <v>1</v>
      </c>
      <c r="G25" s="25" t="n">
        <f aca="false">SUMPRODUCT(--(Register!$O$8:$O$32="Cost Manager"),--(LEFT(Register!$R$8:$R$32,4)="MOVE"))</f>
        <v>0</v>
      </c>
      <c r="H25" s="25" t="n">
        <f aca="false">SUMPRODUCT(--(Register!$O$8:$O$32="Cost Manager"),--(Register!$S$8:$S$32&gt;0))</f>
        <v>0</v>
      </c>
      <c r="I25" s="11" t="str">
        <f aca="false">IF(COUNTIF(Register!$O$8:$O$32,"Cost Manager")=0,"None assigned",IF(SUMPRODUCT(--(Register!$O$8:$O$32="Cost Manager"),--(Register!$S$8:$S$32&gt;0))&gt;0,SUMPRODUCT(--(Register!$O$8:$O$32="Cost Manager"),--(Register!$S$8:$S$32&gt;0))&amp;" overdue for contact",IF(SUMPRODUCT(--(Register!$O$8:$O$32="Cost Manager"),--(LEFT(Register!$R$8:$R$32,4)="MOVE"))=0,"All at target",SUMPRODUCT(--(Register!$O$8:$O$32="Cost Manager"),--(LEFT(Register!$R$8:$R$32,4)="MOVE"))&amp;" to move, none overdue")))</f>
        <v>All at target</v>
      </c>
      <c r="J25" s="11"/>
      <c r="K25" s="11"/>
      <c r="L25" s="11"/>
      <c r="M25" s="11"/>
    </row>
    <row r="26" customFormat="false" ht="19.5" hidden="false" customHeight="true" outlineLevel="0" collapsed="false">
      <c r="B26" s="24" t="s">
        <v>80</v>
      </c>
      <c r="C26" s="24"/>
      <c r="D26" s="24"/>
      <c r="E26" s="25" t="n">
        <f aca="false">COUNTIF(Register!$O$8:$O$32,"Design Lead")</f>
        <v>2</v>
      </c>
      <c r="F26" s="25" t="n">
        <f aca="false">COUNTIF(Register!$O$8:$O$32,"Design Lead")-SUMPRODUCT(--(Register!$O$8:$O$32="Design Lead"),--(LEFT(Register!$R$8:$R$32,4)="MOVE"))</f>
        <v>0</v>
      </c>
      <c r="G26" s="25" t="n">
        <f aca="false">SUMPRODUCT(--(Register!$O$8:$O$32="Design Lead"),--(LEFT(Register!$R$8:$R$32,4)="MOVE"))</f>
        <v>2</v>
      </c>
      <c r="H26" s="25" t="n">
        <f aca="false">SUMPRODUCT(--(Register!$O$8:$O$32="Design Lead"),--(Register!$S$8:$S$32&gt;0))</f>
        <v>1</v>
      </c>
      <c r="I26" s="11" t="str">
        <f aca="false">IF(COUNTIF(Register!$O$8:$O$32,"Design Lead")=0,"None assigned",IF(SUMPRODUCT(--(Register!$O$8:$O$32="Design Lead"),--(Register!$S$8:$S$32&gt;0))&gt;0,SUMPRODUCT(--(Register!$O$8:$O$32="Design Lead"),--(Register!$S$8:$S$32&gt;0))&amp;" overdue for contact",IF(SUMPRODUCT(--(Register!$O$8:$O$32="Design Lead"),--(LEFT(Register!$R$8:$R$32,4)="MOVE"))=0,"All at target",SUMPRODUCT(--(Register!$O$8:$O$32="Design Lead"),--(LEFT(Register!$R$8:$R$32,4)="MOVE"))&amp;" to move, none overdue")))</f>
        <v>1 overdue for contact</v>
      </c>
      <c r="J26" s="11"/>
      <c r="K26" s="11"/>
      <c r="L26" s="11"/>
      <c r="M26" s="11"/>
    </row>
    <row r="27" customFormat="false" ht="19.5" hidden="false" customHeight="true" outlineLevel="0" collapsed="false">
      <c r="B27" s="24" t="s">
        <v>125</v>
      </c>
      <c r="C27" s="24"/>
      <c r="D27" s="24"/>
      <c r="E27" s="25" t="n">
        <f aca="false">COUNTIF(Register!$O$8:$O$32,"Engagement Lead")</f>
        <v>3</v>
      </c>
      <c r="F27" s="25" t="n">
        <f aca="false">COUNTIF(Register!$O$8:$O$32,"Engagement Lead")-SUMPRODUCT(--(Register!$O$8:$O$32="Engagement Lead"),--(LEFT(Register!$R$8:$R$32,4)="MOVE"))</f>
        <v>0</v>
      </c>
      <c r="G27" s="25" t="n">
        <f aca="false">SUMPRODUCT(--(Register!$O$8:$O$32="Engagement Lead"),--(LEFT(Register!$R$8:$R$32,4)="MOVE"))</f>
        <v>3</v>
      </c>
      <c r="H27" s="25" t="n">
        <f aca="false">SUMPRODUCT(--(Register!$O$8:$O$32="Engagement Lead"),--(Register!$S$8:$S$32&gt;0))</f>
        <v>0</v>
      </c>
      <c r="I27" s="11" t="str">
        <f aca="false">IF(COUNTIF(Register!$O$8:$O$32,"Engagement Lead")=0,"None assigned",IF(SUMPRODUCT(--(Register!$O$8:$O$32="Engagement Lead"),--(Register!$S$8:$S$32&gt;0))&gt;0,SUMPRODUCT(--(Register!$O$8:$O$32="Engagement Lead"),--(Register!$S$8:$S$32&gt;0))&amp;" overdue for contact",IF(SUMPRODUCT(--(Register!$O$8:$O$32="Engagement Lead"),--(LEFT(Register!$R$8:$R$32,4)="MOVE"))=0,"All at target",SUMPRODUCT(--(Register!$O$8:$O$32="Engagement Lead"),--(LEFT(Register!$R$8:$R$32,4)="MOVE"))&amp;" to move, none overdue")))</f>
        <v>3 to move, none overdue</v>
      </c>
      <c r="J27" s="11"/>
      <c r="K27" s="11"/>
      <c r="L27" s="11"/>
      <c r="M27" s="11"/>
    </row>
    <row r="28" customFormat="false" ht="19.5" hidden="false" customHeight="true" outlineLevel="0" collapsed="false">
      <c r="B28" s="24" t="s">
        <v>29</v>
      </c>
      <c r="C28" s="24"/>
      <c r="D28" s="24"/>
      <c r="E28" s="25" t="n">
        <f aca="false">COUNTIF(Register!$O$8:$O$32,"Project Director")</f>
        <v>4</v>
      </c>
      <c r="F28" s="25" t="n">
        <f aca="false">COUNTIF(Register!$O$8:$O$32,"Project Director")-SUMPRODUCT(--(Register!$O$8:$O$32="Project Director"),--(LEFT(Register!$R$8:$R$32,4)="MOVE"))</f>
        <v>3</v>
      </c>
      <c r="G28" s="25" t="n">
        <f aca="false">SUMPRODUCT(--(Register!$O$8:$O$32="Project Director"),--(LEFT(Register!$R$8:$R$32,4)="MOVE"))</f>
        <v>1</v>
      </c>
      <c r="H28" s="25" t="n">
        <f aca="false">SUMPRODUCT(--(Register!$O$8:$O$32="Project Director"),--(Register!$S$8:$S$32&gt;0))</f>
        <v>0</v>
      </c>
      <c r="I28" s="11" t="str">
        <f aca="false">IF(COUNTIF(Register!$O$8:$O$32,"Project Director")=0,"None assigned",IF(SUMPRODUCT(--(Register!$O$8:$O$32="Project Director"),--(Register!$S$8:$S$32&gt;0))&gt;0,SUMPRODUCT(--(Register!$O$8:$O$32="Project Director"),--(Register!$S$8:$S$32&gt;0))&amp;" overdue for contact",IF(SUMPRODUCT(--(Register!$O$8:$O$32="Project Director"),--(LEFT(Register!$R$8:$R$32,4)="MOVE"))=0,"All at target",SUMPRODUCT(--(Register!$O$8:$O$32="Project Director"),--(LEFT(Register!$R$8:$R$32,4)="MOVE"))&amp;" to move, none overdue")))</f>
        <v>1 to move, none overdue</v>
      </c>
      <c r="J28" s="11"/>
      <c r="K28" s="11"/>
      <c r="L28" s="11"/>
      <c r="M28" s="11"/>
    </row>
    <row r="29" customFormat="false" ht="19.5" hidden="false" customHeight="true" outlineLevel="0" collapsed="false">
      <c r="B29" s="24" t="s">
        <v>107</v>
      </c>
      <c r="C29" s="24"/>
      <c r="D29" s="24"/>
      <c r="E29" s="25" t="n">
        <f aca="false">COUNTIF(Register!$O$8:$O$32,"Project Manager")</f>
        <v>5</v>
      </c>
      <c r="F29" s="25" t="n">
        <f aca="false">COUNTIF(Register!$O$8:$O$32,"Project Manager")-SUMPRODUCT(--(Register!$O$8:$O$32="Project Manager"),--(LEFT(Register!$R$8:$R$32,4)="MOVE"))</f>
        <v>1</v>
      </c>
      <c r="G29" s="25" t="n">
        <f aca="false">SUMPRODUCT(--(Register!$O$8:$O$32="Project Manager"),--(LEFT(Register!$R$8:$R$32,4)="MOVE"))</f>
        <v>4</v>
      </c>
      <c r="H29" s="25" t="n">
        <f aca="false">SUMPRODUCT(--(Register!$O$8:$O$32="Project Manager"),--(Register!$S$8:$S$32&gt;0))</f>
        <v>0</v>
      </c>
      <c r="I29" s="11" t="str">
        <f aca="false">IF(COUNTIF(Register!$O$8:$O$32,"Project Manager")=0,"None assigned",IF(SUMPRODUCT(--(Register!$O$8:$O$32="Project Manager"),--(Register!$S$8:$S$32&gt;0))&gt;0,SUMPRODUCT(--(Register!$O$8:$O$32="Project Manager"),--(Register!$S$8:$S$32&gt;0))&amp;" overdue for contact",IF(SUMPRODUCT(--(Register!$O$8:$O$32="Project Manager"),--(LEFT(Register!$R$8:$R$32,4)="MOVE"))=0,"All at target",SUMPRODUCT(--(Register!$O$8:$O$32="Project Manager"),--(LEFT(Register!$R$8:$R$32,4)="MOVE"))&amp;" to move, none overdue")))</f>
        <v>4 to move, none overdue</v>
      </c>
      <c r="J29" s="11"/>
      <c r="K29" s="11"/>
      <c r="L29" s="11"/>
      <c r="M29" s="11"/>
    </row>
    <row r="31" customFormat="false" ht="17.25" hidden="false" customHeight="true" outlineLevel="0" collapsed="false">
      <c r="B31" s="14" t="s">
        <v>267</v>
      </c>
      <c r="C31" s="14"/>
      <c r="D31" s="14"/>
      <c r="E31" s="14"/>
      <c r="F31" s="14"/>
      <c r="G31" s="14"/>
      <c r="H31" s="14"/>
      <c r="I31" s="14"/>
      <c r="J31" s="14"/>
      <c r="K31" s="14"/>
      <c r="L31" s="14"/>
      <c r="M31" s="14"/>
    </row>
    <row r="33" customFormat="false" ht="18" hidden="false" customHeight="true" outlineLevel="0" collapsed="false">
      <c r="B33" s="15" t="s">
        <v>181</v>
      </c>
      <c r="C33" s="15"/>
      <c r="D33" s="15"/>
      <c r="E33" s="15"/>
      <c r="F33" s="15"/>
      <c r="G33" s="15"/>
      <c r="H33" s="15"/>
      <c r="I33" s="15"/>
      <c r="J33" s="15"/>
      <c r="K33" s="15"/>
      <c r="L33" s="15"/>
      <c r="M33" s="15"/>
    </row>
  </sheetData>
  <mergeCells count="50">
    <mergeCell ref="B1:M1"/>
    <mergeCell ref="B2:M2"/>
    <mergeCell ref="B3:M3"/>
    <mergeCell ref="B4:M4"/>
    <mergeCell ref="B6:M6"/>
    <mergeCell ref="B8:C8"/>
    <mergeCell ref="E8:F8"/>
    <mergeCell ref="H8:I8"/>
    <mergeCell ref="K8:L8"/>
    <mergeCell ref="B9:C9"/>
    <mergeCell ref="E9:F9"/>
    <mergeCell ref="H9:I9"/>
    <mergeCell ref="K9:L9"/>
    <mergeCell ref="B10:C10"/>
    <mergeCell ref="E10:F10"/>
    <mergeCell ref="H10:I10"/>
    <mergeCell ref="K10:L10"/>
    <mergeCell ref="B12:M12"/>
    <mergeCell ref="B13:D13"/>
    <mergeCell ref="I13:M13"/>
    <mergeCell ref="B14:D14"/>
    <mergeCell ref="I14:M14"/>
    <mergeCell ref="B15:D15"/>
    <mergeCell ref="I15:M15"/>
    <mergeCell ref="B16:D16"/>
    <mergeCell ref="I16:M16"/>
    <mergeCell ref="B17:D17"/>
    <mergeCell ref="I17:M17"/>
    <mergeCell ref="B18:D18"/>
    <mergeCell ref="I18:M18"/>
    <mergeCell ref="B19:D19"/>
    <mergeCell ref="I19:M19"/>
    <mergeCell ref="B20:M20"/>
    <mergeCell ref="B22:M22"/>
    <mergeCell ref="B23:D23"/>
    <mergeCell ref="I23:M23"/>
    <mergeCell ref="B24:D24"/>
    <mergeCell ref="I24:M24"/>
    <mergeCell ref="B25:D25"/>
    <mergeCell ref="I25:M25"/>
    <mergeCell ref="B26:D26"/>
    <mergeCell ref="I26:M26"/>
    <mergeCell ref="B27:D27"/>
    <mergeCell ref="I27:M27"/>
    <mergeCell ref="B28:D28"/>
    <mergeCell ref="I28:M28"/>
    <mergeCell ref="B29:D29"/>
    <mergeCell ref="I29:M29"/>
    <mergeCell ref="B31:M31"/>
    <mergeCell ref="B33:M33"/>
  </mergeCells>
  <conditionalFormatting sqref="B3:M3">
    <cfRule type="expression" priority="2" aboveAverage="0" equalAverage="0" bottom="0" percent="0" rank="0" text="" dxfId="0">
      <formula>LEN($B$3)&gt;0</formula>
    </cfRule>
  </conditionalFormatting>
  <conditionalFormatting sqref="B8:C10">
    <cfRule type="expression" priority="3" aboveAverage="0" equalAverage="0" bottom="0" percent="0" rank="0" text="" dxfId="4">
      <formula>1=1</formula>
    </cfRule>
  </conditionalFormatting>
  <conditionalFormatting sqref="E8:F10">
    <cfRule type="expression" priority="4" aboveAverage="0" equalAverage="0" bottom="0" percent="0" rank="0" text="" dxfId="2">
      <formula>SUMPRODUCT(--(Register!$L$8:$L$32="Manage closely"))&gt;=COUNTIF(Register!$B$8:$B$32,"?*")/3</formula>
    </cfRule>
    <cfRule type="expression" priority="5" aboveAverage="0" equalAverage="0" bottom="0" percent="0" rank="0" text="" dxfId="0">
      <formula>1=1</formula>
    </cfRule>
  </conditionalFormatting>
  <conditionalFormatting sqref="H8:I10">
    <cfRule type="expression" priority="6" aboveAverage="0" equalAverage="0" bottom="0" percent="0" rank="0" text="" dxfId="2">
      <formula>SUMPRODUCT(--(Engagement!$E$8:$E$32=1))&gt;0</formula>
    </cfRule>
    <cfRule type="expression" priority="7" aboveAverage="0" equalAverage="0" bottom="0" percent="0" rank="0" text="" dxfId="6">
      <formula>1=1</formula>
    </cfRule>
  </conditionalFormatting>
  <conditionalFormatting sqref="K8:L10">
    <cfRule type="expression" priority="8" aboveAverage="0" equalAverage="0" bottom="0" percent="0" rank="0" text="" dxfId="2">
      <formula>SUMPRODUCT(--(Consents!$J$8:$J$22="Yes"),--(Consents!$F$8:$F$22="Not started"))&gt;0</formula>
    </cfRule>
    <cfRule type="expression" priority="9" aboveAverage="0" equalAverage="0" bottom="0" percent="0" rank="0" text="" dxfId="0">
      <formula>1=1</formula>
    </cfRule>
  </conditionalFormatting>
  <conditionalFormatting sqref="B14:M19">
    <cfRule type="expression" priority="10" aboveAverage="0" equalAverage="0" bottom="0" percent="0" rank="0" text="" dxfId="2">
      <formula>ISNUMBER(SEARCH("NOBODY",$I14))</formula>
    </cfRule>
    <cfRule type="expression" priority="11" aboveAverage="0" equalAverage="0" bottom="0" percent="0" rank="0" text="" dxfId="6">
      <formula>EXACT($I14,"All at target")</formula>
    </cfRule>
    <cfRule type="expression" priority="12" aboveAverage="0" equalAverage="0" bottom="0" percent="0" rank="0" text="" dxfId="0">
      <formula>ISNUMBER(SEARCH("need to move",$I14))</formula>
    </cfRule>
  </conditionalFormatting>
  <conditionalFormatting sqref="B24:M29">
    <cfRule type="expression" priority="13" aboveAverage="0" equalAverage="0" bottom="0" percent="0" rank="0" text="" dxfId="2">
      <formula>ISNUMBER(SEARCH("overdue for contact",$I24))</formula>
    </cfRule>
    <cfRule type="expression" priority="14" aboveAverage="0" equalAverage="0" bottom="0" percent="0" rank="0" text="" dxfId="6">
      <formula>EXACT($I24,"All at target")</formula>
    </cfRule>
    <cfRule type="expression" priority="15" aboveAverage="0" equalAverage="0" bottom="0" percent="0" rank="0" text="" dxfId="2">
      <formula>EXACT($I24,"None assigned")</formula>
    </cfRule>
    <cfRule type="expression" priority="16" aboveAverage="0" equalAverage="0" bottom="0" percent="0" rank="0" text="" dxfId="0">
      <formula>ISNUMBER(SEARCH("to move",$I24))</formula>
    </cfRule>
  </conditionalFormatting>
  <hyperlinks>
    <hyperlink ref="B33" r:id="rId1" display="Visit mastt.com"/>
  </hyperlinks>
  <printOptions headings="false" gridLines="false" gridLinesSet="true" horizontalCentered="false" verticalCentered="false"/>
  <pageMargins left="0.3" right="0.3" top="0.4" bottom="0.4" header="0.511811023622047" footer="0.15"/>
  <pageSetup paperSize="9" scale="100" fitToWidth="1" fitToHeight="1" pageOrder="downThenOver" orientation="landscape" blackAndWhite="false" draft="false" cellComments="none" horizontalDpi="300" verticalDpi="300" copies="1"/>
  <headerFooter differentFirst="false" differentOddEven="false">
    <oddHeader/>
    <oddFooter>&amp;R&amp;9 &amp;K3480bcVisit mastt.com</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4"/>
    <col collapsed="false" customWidth="true" hidden="false" outlineLevel="0" max="3" min="3" style="0" width="6"/>
    <col collapsed="false" customWidth="true" hidden="false" outlineLevel="0" max="4" min="4" style="0" width="22"/>
    <col collapsed="false" customWidth="true" hidden="false" outlineLevel="0" max="5" min="5" style="0" width="19"/>
    <col collapsed="false" customWidth="true" hidden="false" outlineLevel="0" max="6" min="6" style="0" width="48"/>
    <col collapsed="false" customWidth="true" hidden="false" outlineLevel="0" max="7" min="7" style="0" width="40"/>
    <col collapsed="false" customWidth="true" hidden="false" outlineLevel="0" max="8" min="8" style="0" width="19"/>
    <col collapsed="false" customWidth="true" hidden="false" outlineLevel="0" max="9" min="9" style="0" width="14"/>
  </cols>
  <sheetData>
    <row r="1" customFormat="false" ht="33.75" hidden="false" customHeight="true" outlineLevel="0" collapsed="false">
      <c r="B1" s="1" t="s">
        <v>0</v>
      </c>
      <c r="C1" s="1"/>
      <c r="D1" s="1"/>
      <c r="E1" s="1"/>
      <c r="F1" s="1"/>
      <c r="G1" s="1"/>
      <c r="H1" s="1"/>
      <c r="I1" s="1"/>
    </row>
    <row r="2" customFormat="false" ht="4.5" hidden="false" customHeight="true" outlineLevel="0" collapsed="false">
      <c r="B2" s="2"/>
      <c r="C2" s="2"/>
      <c r="D2" s="2"/>
      <c r="E2" s="2"/>
      <c r="F2" s="2"/>
      <c r="G2" s="2"/>
      <c r="H2" s="2"/>
      <c r="I2" s="2"/>
    </row>
    <row r="3" customFormat="false" ht="16.5" hidden="false" customHeight="true" outlineLevel="0" collapsed="false">
      <c r="B3" s="3" t="str">
        <f aca="false">""</f>
        <v/>
      </c>
      <c r="C3" s="3"/>
      <c r="D3" s="3"/>
      <c r="E3" s="3"/>
      <c r="F3" s="3"/>
      <c r="G3" s="3"/>
      <c r="H3" s="3"/>
      <c r="I3" s="3"/>
    </row>
    <row r="4" customFormat="false" ht="25.5" hidden="false" customHeight="true" outlineLevel="0" collapsed="false">
      <c r="B4" s="4" t="s">
        <v>268</v>
      </c>
      <c r="C4" s="4"/>
      <c r="D4" s="4"/>
      <c r="E4" s="4"/>
      <c r="F4" s="4"/>
      <c r="G4" s="4"/>
      <c r="H4" s="4"/>
      <c r="I4" s="4"/>
    </row>
    <row r="6" customFormat="false" ht="21.75" hidden="false" customHeight="true" outlineLevel="0" collapsed="false">
      <c r="B6" s="5" t="s">
        <v>269</v>
      </c>
      <c r="C6" s="5"/>
      <c r="D6" s="5"/>
      <c r="E6" s="5"/>
      <c r="F6" s="5"/>
      <c r="G6" s="5"/>
      <c r="H6" s="5"/>
      <c r="I6" s="5"/>
    </row>
    <row r="7" customFormat="false" ht="24" hidden="false" customHeight="true" outlineLevel="0" collapsed="false">
      <c r="B7" s="6" t="s">
        <v>270</v>
      </c>
      <c r="C7" s="6" t="s">
        <v>3</v>
      </c>
      <c r="D7" s="6" t="s">
        <v>4</v>
      </c>
      <c r="E7" s="6" t="s">
        <v>188</v>
      </c>
      <c r="F7" s="6" t="s">
        <v>271</v>
      </c>
      <c r="G7" s="6" t="s">
        <v>272</v>
      </c>
      <c r="H7" s="6" t="s">
        <v>273</v>
      </c>
      <c r="I7" s="6" t="s">
        <v>274</v>
      </c>
    </row>
    <row r="8" customFormat="false" ht="40.5" hidden="false" customHeight="true" outlineLevel="0" collapsed="false">
      <c r="B8" s="16" t="n">
        <v>46259</v>
      </c>
      <c r="C8" s="7" t="s">
        <v>172</v>
      </c>
      <c r="D8" s="12" t="str">
        <f aca="false">IF($C8="","",IFERROR(INDEX(Register!$C$8:$C$32,MATCH($C8,Register!$B$8:$B$32,0)),"ID not on the Register"))</f>
        <v>J. Castellanos</v>
      </c>
      <c r="E8" s="9" t="s">
        <v>194</v>
      </c>
      <c r="F8" s="8" t="s">
        <v>275</v>
      </c>
      <c r="G8" s="8" t="s">
        <v>276</v>
      </c>
      <c r="H8" s="9" t="s">
        <v>107</v>
      </c>
      <c r="I8" s="16" t="n">
        <v>46270</v>
      </c>
    </row>
    <row r="9" customFormat="false" ht="28.5" hidden="false" customHeight="true" outlineLevel="0" collapsed="false">
      <c r="B9" s="16" t="n">
        <v>46258</v>
      </c>
      <c r="C9" s="7" t="s">
        <v>31</v>
      </c>
      <c r="D9" s="12" t="str">
        <f aca="false">IF($C9="","",IFERROR(INDEX(Register!$C$8:$C$32,MATCH($C9,Register!$B$8:$B$32,0)),"ID not on the Register"))</f>
        <v>M. Anyabwile</v>
      </c>
      <c r="E9" s="9" t="s">
        <v>194</v>
      </c>
      <c r="F9" s="8" t="s">
        <v>277</v>
      </c>
      <c r="G9" s="8" t="s">
        <v>278</v>
      </c>
      <c r="H9" s="9" t="s">
        <v>80</v>
      </c>
      <c r="I9" s="16" t="n">
        <v>46274</v>
      </c>
    </row>
    <row r="10" customFormat="false" ht="40.5" hidden="false" customHeight="true" outlineLevel="0" collapsed="false">
      <c r="B10" s="16" t="n">
        <v>46256</v>
      </c>
      <c r="C10" s="7" t="s">
        <v>133</v>
      </c>
      <c r="D10" s="12" t="str">
        <f aca="false">IF($C10="","",IFERROR(INDEX(Register!$C$8:$C$32,MATCH($C10,Register!$B$8:$B$32,0)),"ID not on the Register"))</f>
        <v>P. Okwuosa</v>
      </c>
      <c r="E10" s="9" t="s">
        <v>205</v>
      </c>
      <c r="F10" s="8" t="s">
        <v>279</v>
      </c>
      <c r="G10" s="8" t="s">
        <v>280</v>
      </c>
      <c r="H10" s="9" t="s">
        <v>125</v>
      </c>
      <c r="I10" s="16" t="n">
        <v>46277</v>
      </c>
    </row>
    <row r="11" customFormat="false" ht="40.5" hidden="false" customHeight="true" outlineLevel="0" collapsed="false">
      <c r="B11" s="16" t="n">
        <v>46255</v>
      </c>
      <c r="C11" s="7" t="s">
        <v>97</v>
      </c>
      <c r="D11" s="12" t="str">
        <f aca="false">IF($C11="","",IFERROR(INDEX(Register!$C$8:$C$32,MATCH($C11,Register!$B$8:$B$32,0)),"ID not on the Register"))</f>
        <v>Ashfield Electric</v>
      </c>
      <c r="E11" s="9" t="s">
        <v>194</v>
      </c>
      <c r="F11" s="8" t="s">
        <v>281</v>
      </c>
      <c r="G11" s="8" t="s">
        <v>282</v>
      </c>
      <c r="H11" s="9" t="s">
        <v>107</v>
      </c>
      <c r="I11" s="16" t="n">
        <v>46283</v>
      </c>
    </row>
    <row r="12" customFormat="false" ht="40.5" hidden="false" customHeight="true" outlineLevel="0" collapsed="false">
      <c r="B12" s="16" t="n">
        <v>46254</v>
      </c>
      <c r="C12" s="7" t="s">
        <v>46</v>
      </c>
      <c r="D12" s="12" t="str">
        <f aca="false">IF($C12="","",IFERROR(INDEX(Register!$C$8:$C$32,MATCH($C12,Register!$B$8:$B$32,0)),"ID not on the Register"))</f>
        <v>City of Wynford</v>
      </c>
      <c r="E12" s="9" t="s">
        <v>194</v>
      </c>
      <c r="F12" s="8" t="s">
        <v>283</v>
      </c>
      <c r="G12" s="8" t="s">
        <v>284</v>
      </c>
      <c r="H12" s="9" t="s">
        <v>56</v>
      </c>
      <c r="I12" s="16" t="n">
        <v>46270</v>
      </c>
    </row>
    <row r="13" customFormat="false" ht="40.5" hidden="false" customHeight="true" outlineLevel="0" collapsed="false">
      <c r="B13" s="16" t="n">
        <v>46253</v>
      </c>
      <c r="C13" s="7" t="s">
        <v>72</v>
      </c>
      <c r="D13" s="12" t="str">
        <f aca="false">IF($C13="","",IFERROR(INDEX(Register!$C$8:$C$32,MATCH($C13,Register!$B$8:$B$32,0)),"ID not on the Register"))</f>
        <v>State Environmental Agency</v>
      </c>
      <c r="E13" s="9" t="s">
        <v>200</v>
      </c>
      <c r="F13" s="8" t="s">
        <v>285</v>
      </c>
      <c r="G13" s="8" t="s">
        <v>286</v>
      </c>
      <c r="H13" s="9" t="s">
        <v>80</v>
      </c>
      <c r="I13" s="16" t="n">
        <v>46274</v>
      </c>
    </row>
    <row r="14" customFormat="false" ht="40.5" hidden="false" customHeight="true" outlineLevel="0" collapsed="false">
      <c r="B14" s="16" t="n">
        <v>46249</v>
      </c>
      <c r="C14" s="7" t="s">
        <v>141</v>
      </c>
      <c r="D14" s="12" t="str">
        <f aca="false">IF($C14="","",IFERROR(INDEX(Register!$C$8:$C$32,MATCH($C14,Register!$B$8:$B$32,0)),"ID not on the Register"))</f>
        <v>G. Adeyemi</v>
      </c>
      <c r="E14" s="9" t="s">
        <v>204</v>
      </c>
      <c r="F14" s="8" t="s">
        <v>287</v>
      </c>
      <c r="G14" s="8" t="s">
        <v>288</v>
      </c>
      <c r="H14" s="9" t="s">
        <v>29</v>
      </c>
      <c r="I14" s="16" t="n">
        <v>46280</v>
      </c>
    </row>
    <row r="15" customFormat="false" ht="28.5" hidden="false" customHeight="true" outlineLevel="0" collapsed="false">
      <c r="B15" s="16" t="n">
        <v>46247</v>
      </c>
      <c r="C15" s="7" t="s">
        <v>116</v>
      </c>
      <c r="D15" s="12" t="str">
        <f aca="false">IF($C15="","",IFERROR(INDEX(Register!$C$8:$C$32,MATCH($C15,Register!$B$8:$B$32,0)),"ID not on the Register"))</f>
        <v>L. Hidalgo</v>
      </c>
      <c r="E15" s="9" t="s">
        <v>204</v>
      </c>
      <c r="F15" s="8" t="s">
        <v>289</v>
      </c>
      <c r="G15" s="8" t="s">
        <v>290</v>
      </c>
      <c r="H15" s="9" t="s">
        <v>80</v>
      </c>
      <c r="I15" s="16" t="n">
        <v>46282</v>
      </c>
    </row>
    <row r="16" customFormat="false" ht="28.5" hidden="false" customHeight="true" outlineLevel="0" collapsed="false">
      <c r="B16" s="16" t="n">
        <v>46240</v>
      </c>
      <c r="C16" s="7" t="s">
        <v>64</v>
      </c>
      <c r="D16" s="12" t="str">
        <f aca="false">IF($C16="","",IFERROR(INDEX(Register!$C$8:$C$32,MATCH($C16,Register!$B$8:$B$32,0)),"ID not on the Register"))</f>
        <v>State Department of Transportation</v>
      </c>
      <c r="E16" s="9" t="s">
        <v>194</v>
      </c>
      <c r="F16" s="8" t="s">
        <v>291</v>
      </c>
      <c r="G16" s="8" t="s">
        <v>292</v>
      </c>
      <c r="H16" s="9" t="s">
        <v>56</v>
      </c>
      <c r="I16" s="16" t="n">
        <v>46268</v>
      </c>
    </row>
    <row r="17" customFormat="false" ht="28.5" hidden="false" customHeight="true" outlineLevel="0" collapsed="false">
      <c r="B17" s="16" t="n">
        <v>46184</v>
      </c>
      <c r="C17" s="7" t="s">
        <v>81</v>
      </c>
      <c r="D17" s="12" t="str">
        <f aca="false">IF($C17="","",IFERROR(INDEX(Register!$C$8:$C$32,MATCH($C17,Register!$B$8:$B$32,0)),"ID not on the Register"))</f>
        <v>Fire Marshal</v>
      </c>
      <c r="E17" s="9" t="s">
        <v>194</v>
      </c>
      <c r="F17" s="8" t="s">
        <v>293</v>
      </c>
      <c r="G17" s="8" t="s">
        <v>294</v>
      </c>
      <c r="H17" s="9" t="s">
        <v>80</v>
      </c>
      <c r="I17" s="16" t="n">
        <v>46218</v>
      </c>
    </row>
    <row r="18" customFormat="false" ht="25.5" hidden="false" customHeight="true" outlineLevel="0" collapsed="false">
      <c r="B18" s="16"/>
      <c r="C18" s="7"/>
      <c r="D18" s="12" t="str">
        <f aca="false">IF($C18="","",IFERROR(INDEX(Register!$C$8:$C$32,MATCH($C18,Register!$B$8:$B$32,0)),"ID not on the Register"))</f>
        <v/>
      </c>
      <c r="E18" s="9"/>
      <c r="F18" s="8"/>
      <c r="G18" s="8"/>
      <c r="H18" s="9"/>
      <c r="I18" s="16"/>
    </row>
    <row r="19" customFormat="false" ht="25.5" hidden="false" customHeight="true" outlineLevel="0" collapsed="false">
      <c r="B19" s="16"/>
      <c r="C19" s="7"/>
      <c r="D19" s="12" t="str">
        <f aca="false">IF($C19="","",IFERROR(INDEX(Register!$C$8:$C$32,MATCH($C19,Register!$B$8:$B$32,0)),"ID not on the Register"))</f>
        <v/>
      </c>
      <c r="E19" s="9"/>
      <c r="F19" s="8"/>
      <c r="G19" s="8"/>
      <c r="H19" s="9"/>
      <c r="I19" s="16"/>
    </row>
    <row r="20" customFormat="false" ht="25.5" hidden="false" customHeight="true" outlineLevel="0" collapsed="false">
      <c r="B20" s="16"/>
      <c r="C20" s="7"/>
      <c r="D20" s="12" t="str">
        <f aca="false">IF($C20="","",IFERROR(INDEX(Register!$C$8:$C$32,MATCH($C20,Register!$B$8:$B$32,0)),"ID not on the Register"))</f>
        <v/>
      </c>
      <c r="E20" s="9"/>
      <c r="F20" s="8"/>
      <c r="G20" s="8"/>
      <c r="H20" s="9"/>
      <c r="I20" s="16"/>
    </row>
    <row r="21" customFormat="false" ht="25.5" hidden="false" customHeight="true" outlineLevel="0" collapsed="false">
      <c r="B21" s="16"/>
      <c r="C21" s="7"/>
      <c r="D21" s="12" t="str">
        <f aca="false">IF($C21="","",IFERROR(INDEX(Register!$C$8:$C$32,MATCH($C21,Register!$B$8:$B$32,0)),"ID not on the Register"))</f>
        <v/>
      </c>
      <c r="E21" s="9"/>
      <c r="F21" s="8"/>
      <c r="G21" s="8"/>
      <c r="H21" s="9"/>
      <c r="I21" s="16"/>
    </row>
    <row r="22" customFormat="false" ht="25.5" hidden="false" customHeight="true" outlineLevel="0" collapsed="false">
      <c r="B22" s="16"/>
      <c r="C22" s="7"/>
      <c r="D22" s="12" t="str">
        <f aca="false">IF($C22="","",IFERROR(INDEX(Register!$C$8:$C$32,MATCH($C22,Register!$B$8:$B$32,0)),"ID not on the Register"))</f>
        <v/>
      </c>
      <c r="E22" s="9"/>
      <c r="F22" s="8"/>
      <c r="G22" s="8"/>
      <c r="H22" s="9"/>
      <c r="I22" s="16"/>
    </row>
    <row r="23" customFormat="false" ht="25.5" hidden="false" customHeight="true" outlineLevel="0" collapsed="false">
      <c r="B23" s="16"/>
      <c r="C23" s="7"/>
      <c r="D23" s="12" t="str">
        <f aca="false">IF($C23="","",IFERROR(INDEX(Register!$C$8:$C$32,MATCH($C23,Register!$B$8:$B$32,0)),"ID not on the Register"))</f>
        <v/>
      </c>
      <c r="E23" s="9"/>
      <c r="F23" s="8"/>
      <c r="G23" s="8"/>
      <c r="H23" s="9"/>
      <c r="I23" s="16"/>
    </row>
    <row r="25" customFormat="false" ht="21.75" hidden="false" customHeight="true" outlineLevel="0" collapsed="false">
      <c r="B25" s="13" t="str">
        <f aca="true">COUNTIF($C$8:$C$23,"?*")&amp;" entries  ·  "&amp;SUMPRODUCT(--($I$8:$I$23&lt;&gt;""),--(N($I$8:$I$23)&lt;TODAY()))&amp;" action(s) past their due date"</f>
        <v>10 entries  ·  1 action(s) past their due date</v>
      </c>
      <c r="C25" s="13"/>
      <c r="D25" s="13"/>
      <c r="E25" s="13"/>
      <c r="F25" s="13"/>
      <c r="G25" s="13"/>
      <c r="H25" s="13"/>
      <c r="I25" s="13"/>
    </row>
    <row r="27" customFormat="false" ht="17.25" hidden="false" customHeight="true" outlineLevel="0" collapsed="false">
      <c r="B27" s="14" t="s">
        <v>295</v>
      </c>
      <c r="C27" s="14"/>
      <c r="D27" s="14"/>
      <c r="E27" s="14"/>
      <c r="F27" s="14"/>
      <c r="G27" s="14"/>
      <c r="H27" s="14"/>
      <c r="I27" s="14"/>
    </row>
    <row r="29" customFormat="false" ht="18" hidden="false" customHeight="true" outlineLevel="0" collapsed="false">
      <c r="B29" s="15" t="s">
        <v>181</v>
      </c>
      <c r="C29" s="15"/>
      <c r="D29" s="15"/>
      <c r="E29" s="15"/>
      <c r="F29" s="15"/>
      <c r="G29" s="15"/>
      <c r="H29" s="15"/>
      <c r="I29" s="15"/>
    </row>
  </sheetData>
  <mergeCells count="8">
    <mergeCell ref="B1:I1"/>
    <mergeCell ref="B2:I2"/>
    <mergeCell ref="B3:I3"/>
    <mergeCell ref="B4:I4"/>
    <mergeCell ref="B6:I6"/>
    <mergeCell ref="B25:I25"/>
    <mergeCell ref="B27:I27"/>
    <mergeCell ref="B29:I29"/>
  </mergeCells>
  <conditionalFormatting sqref="B3:I3">
    <cfRule type="expression" priority="2" aboveAverage="0" equalAverage="0" bottom="0" percent="0" rank="0" text="" dxfId="0">
      <formula>LEN($B$3)&gt;0</formula>
    </cfRule>
  </conditionalFormatting>
  <conditionalFormatting sqref="B8:I23">
    <cfRule type="expression" priority="3" aboveAverage="0" equalAverage="0" bottom="0" percent="0" rank="0" text="" dxfId="0">
      <formula>AND($I8&lt;&gt;"",$I8&lt;TODAY())</formula>
    </cfRule>
  </conditionalFormatting>
  <dataValidations count="32">
    <dataValidation allowBlank="true" errorStyle="stop" operator="between" showDropDown="false" showErrorMessage="false" showInputMessage="false" sqref="E8" type="list">
      <formula1>Reference!$I$6:$I$12</formula1>
      <formula2>0</formula2>
    </dataValidation>
    <dataValidation allowBlank="true" errorStyle="stop" operator="between" showDropDown="false" showErrorMessage="false" showInputMessage="false" sqref="H8" type="list">
      <formula1>Reference!$M$6:$M$11</formula1>
      <formula2>0</formula2>
    </dataValidation>
    <dataValidation allowBlank="true" errorStyle="stop" operator="between" showDropDown="false" showErrorMessage="false" showInputMessage="false" sqref="E9" type="list">
      <formula1>Reference!$I$6:$I$12</formula1>
      <formula2>0</formula2>
    </dataValidation>
    <dataValidation allowBlank="true" errorStyle="stop" operator="between" showDropDown="false" showErrorMessage="false" showInputMessage="false" sqref="H9" type="list">
      <formula1>Reference!$M$6:$M$11</formula1>
      <formula2>0</formula2>
    </dataValidation>
    <dataValidation allowBlank="true" errorStyle="stop" operator="between" showDropDown="false" showErrorMessage="false" showInputMessage="false" sqref="E10" type="list">
      <formula1>Reference!$I$6:$I$12</formula1>
      <formula2>0</formula2>
    </dataValidation>
    <dataValidation allowBlank="true" errorStyle="stop" operator="between" showDropDown="false" showErrorMessage="false" showInputMessage="false" sqref="H10" type="list">
      <formula1>Reference!$M$6:$M$11</formula1>
      <formula2>0</formula2>
    </dataValidation>
    <dataValidation allowBlank="true" errorStyle="stop" operator="between" showDropDown="false" showErrorMessage="false" showInputMessage="false" sqref="E11" type="list">
      <formula1>Reference!$I$6:$I$12</formula1>
      <formula2>0</formula2>
    </dataValidation>
    <dataValidation allowBlank="true" errorStyle="stop" operator="between" showDropDown="false" showErrorMessage="false" showInputMessage="false" sqref="H11" type="list">
      <formula1>Reference!$M$6:$M$11</formula1>
      <formula2>0</formula2>
    </dataValidation>
    <dataValidation allowBlank="true" errorStyle="stop" operator="between" showDropDown="false" showErrorMessage="false" showInputMessage="false" sqref="E12" type="list">
      <formula1>Reference!$I$6:$I$12</formula1>
      <formula2>0</formula2>
    </dataValidation>
    <dataValidation allowBlank="true" errorStyle="stop" operator="between" showDropDown="false" showErrorMessage="false" showInputMessage="false" sqref="H12" type="list">
      <formula1>Reference!$M$6:$M$11</formula1>
      <formula2>0</formula2>
    </dataValidation>
    <dataValidation allowBlank="true" errorStyle="stop" operator="between" showDropDown="false" showErrorMessage="false" showInputMessage="false" sqref="E13" type="list">
      <formula1>Reference!$I$6:$I$12</formula1>
      <formula2>0</formula2>
    </dataValidation>
    <dataValidation allowBlank="true" errorStyle="stop" operator="between" showDropDown="false" showErrorMessage="false" showInputMessage="false" sqref="H13" type="list">
      <formula1>Reference!$M$6:$M$11</formula1>
      <formula2>0</formula2>
    </dataValidation>
    <dataValidation allowBlank="true" errorStyle="stop" operator="between" showDropDown="false" showErrorMessage="false" showInputMessage="false" sqref="E14" type="list">
      <formula1>Reference!$I$6:$I$12</formula1>
      <formula2>0</formula2>
    </dataValidation>
    <dataValidation allowBlank="true" errorStyle="stop" operator="between" showDropDown="false" showErrorMessage="false" showInputMessage="false" sqref="H14" type="list">
      <formula1>Reference!$M$6:$M$11</formula1>
      <formula2>0</formula2>
    </dataValidation>
    <dataValidation allowBlank="true" errorStyle="stop" operator="between" showDropDown="false" showErrorMessage="false" showInputMessage="false" sqref="E15" type="list">
      <formula1>Reference!$I$6:$I$12</formula1>
      <formula2>0</formula2>
    </dataValidation>
    <dataValidation allowBlank="true" errorStyle="stop" operator="between" showDropDown="false" showErrorMessage="false" showInputMessage="false" sqref="H15" type="list">
      <formula1>Reference!$M$6:$M$11</formula1>
      <formula2>0</formula2>
    </dataValidation>
    <dataValidation allowBlank="true" errorStyle="stop" operator="between" showDropDown="false" showErrorMessage="false" showInputMessage="false" sqref="E16" type="list">
      <formula1>Reference!$I$6:$I$12</formula1>
      <formula2>0</formula2>
    </dataValidation>
    <dataValidation allowBlank="true" errorStyle="stop" operator="between" showDropDown="false" showErrorMessage="false" showInputMessage="false" sqref="H16" type="list">
      <formula1>Reference!$M$6:$M$11</formula1>
      <formula2>0</formula2>
    </dataValidation>
    <dataValidation allowBlank="true" errorStyle="stop" operator="between" showDropDown="false" showErrorMessage="false" showInputMessage="false" sqref="E17" type="list">
      <formula1>Reference!$I$6:$I$12</formula1>
      <formula2>0</formula2>
    </dataValidation>
    <dataValidation allowBlank="true" errorStyle="stop" operator="between" showDropDown="false" showErrorMessage="false" showInputMessage="false" sqref="H17" type="list">
      <formula1>Reference!$M$6:$M$11</formula1>
      <formula2>0</formula2>
    </dataValidation>
    <dataValidation allowBlank="true" errorStyle="stop" operator="between" showDropDown="false" showErrorMessage="false" showInputMessage="false" sqref="E18" type="list">
      <formula1>Reference!$I$6:$I$12</formula1>
      <formula2>0</formula2>
    </dataValidation>
    <dataValidation allowBlank="true" errorStyle="stop" operator="between" showDropDown="false" showErrorMessage="false" showInputMessage="false" sqref="H18" type="list">
      <formula1>Reference!$M$6:$M$11</formula1>
      <formula2>0</formula2>
    </dataValidation>
    <dataValidation allowBlank="true" errorStyle="stop" operator="between" showDropDown="false" showErrorMessage="false" showInputMessage="false" sqref="E19" type="list">
      <formula1>Reference!$I$6:$I$12</formula1>
      <formula2>0</formula2>
    </dataValidation>
    <dataValidation allowBlank="true" errorStyle="stop" operator="between" showDropDown="false" showErrorMessage="false" showInputMessage="false" sqref="H19" type="list">
      <formula1>Reference!$M$6:$M$11</formula1>
      <formula2>0</formula2>
    </dataValidation>
    <dataValidation allowBlank="true" errorStyle="stop" operator="between" showDropDown="false" showErrorMessage="false" showInputMessage="false" sqref="E20" type="list">
      <formula1>Reference!$I$6:$I$12</formula1>
      <formula2>0</formula2>
    </dataValidation>
    <dataValidation allowBlank="true" errorStyle="stop" operator="between" showDropDown="false" showErrorMessage="false" showInputMessage="false" sqref="H20" type="list">
      <formula1>Reference!$M$6:$M$11</formula1>
      <formula2>0</formula2>
    </dataValidation>
    <dataValidation allowBlank="true" errorStyle="stop" operator="between" showDropDown="false" showErrorMessage="false" showInputMessage="false" sqref="E21" type="list">
      <formula1>Reference!$I$6:$I$12</formula1>
      <formula2>0</formula2>
    </dataValidation>
    <dataValidation allowBlank="true" errorStyle="stop" operator="between" showDropDown="false" showErrorMessage="false" showInputMessage="false" sqref="H21" type="list">
      <formula1>Reference!$M$6:$M$11</formula1>
      <formula2>0</formula2>
    </dataValidation>
    <dataValidation allowBlank="true" errorStyle="stop" operator="between" showDropDown="false" showErrorMessage="false" showInputMessage="false" sqref="E22" type="list">
      <formula1>Reference!$I$6:$I$12</formula1>
      <formula2>0</formula2>
    </dataValidation>
    <dataValidation allowBlank="true" errorStyle="stop" operator="between" showDropDown="false" showErrorMessage="false" showInputMessage="false" sqref="H22" type="list">
      <formula1>Reference!$M$6:$M$11</formula1>
      <formula2>0</formula2>
    </dataValidation>
    <dataValidation allowBlank="true" errorStyle="stop" operator="between" showDropDown="false" showErrorMessage="false" showInputMessage="false" sqref="E23" type="list">
      <formula1>Reference!$I$6:$I$12</formula1>
      <formula2>0</formula2>
    </dataValidation>
    <dataValidation allowBlank="true" errorStyle="stop" operator="between" showDropDown="false" showErrorMessage="false" showInputMessage="false" sqref="H23" type="list">
      <formula1>Reference!$M$6:$M$11</formula1>
      <formula2>0</formula2>
    </dataValidation>
  </dataValidations>
  <hyperlinks>
    <hyperlink ref="B29" r:id="rId1" display="Visit mastt.com"/>
  </hyperlinks>
  <printOptions headings="false" gridLines="false" gridLinesSet="true" horizontalCentered="false" verticalCentered="false"/>
  <pageMargins left="0.3" right="0.3" top="0.4" bottom="0.4" header="0.511811023622047" footer="0.15"/>
  <pageSetup paperSize="8" scale="100" fitToWidth="1" fitToHeight="0" pageOrder="downThenOver" orientation="landscape" blackAndWhite="false" draft="false" cellComments="none" horizontalDpi="300" verticalDpi="300" copies="1"/>
  <headerFooter differentFirst="false" differentOddEven="false">
    <oddHeader/>
    <oddFooter>&amp;R&amp;9 &amp;K3480bcVisit mastt.com</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M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0"/>
    <col collapsed="false" customWidth="true" hidden="false" outlineLevel="0" max="3" min="3" style="0" width="26"/>
    <col collapsed="false" customWidth="true" hidden="false" outlineLevel="0" max="4" min="4" style="0" width="34"/>
    <col collapsed="false" customWidth="true" hidden="false" outlineLevel="0" max="5" min="5" style="0" width="78"/>
    <col collapsed="false" customWidth="true" hidden="true" outlineLevel="0" max="13" min="7" style="0" width="24"/>
  </cols>
  <sheetData>
    <row r="1" customFormat="false" ht="33.75" hidden="false" customHeight="true" outlineLevel="0" collapsed="false">
      <c r="B1" s="1" t="s">
        <v>0</v>
      </c>
      <c r="C1" s="1"/>
      <c r="D1" s="1"/>
      <c r="E1" s="1"/>
    </row>
    <row r="2" customFormat="false" ht="4.5" hidden="false" customHeight="true" outlineLevel="0" collapsed="false">
      <c r="B2" s="2"/>
      <c r="C2" s="2"/>
      <c r="D2" s="2"/>
      <c r="E2" s="2"/>
    </row>
    <row r="3" customFormat="false" ht="16.5" hidden="false" customHeight="true" outlineLevel="0" collapsed="false">
      <c r="B3" s="3" t="str">
        <f aca="false">""</f>
        <v/>
      </c>
      <c r="C3" s="3"/>
      <c r="D3" s="3"/>
      <c r="E3" s="3"/>
    </row>
    <row r="4" customFormat="false" ht="25.5" hidden="false" customHeight="true" outlineLevel="0" collapsed="false">
      <c r="B4" s="4" t="s">
        <v>296</v>
      </c>
      <c r="C4" s="4"/>
      <c r="D4" s="4"/>
      <c r="E4" s="4"/>
    </row>
    <row r="5" customFormat="false" ht="15" hidden="false" customHeight="false" outlineLevel="0" collapsed="false">
      <c r="G5" s="26" t="s">
        <v>7</v>
      </c>
      <c r="H5" s="26" t="s">
        <v>297</v>
      </c>
      <c r="I5" s="26" t="s">
        <v>188</v>
      </c>
      <c r="J5" s="26" t="s">
        <v>189</v>
      </c>
      <c r="K5" s="26" t="s">
        <v>17</v>
      </c>
      <c r="L5" s="26" t="s">
        <v>298</v>
      </c>
      <c r="M5" s="26" t="s">
        <v>16</v>
      </c>
    </row>
    <row r="6" customFormat="false" ht="21.75" hidden="false" customHeight="true" outlineLevel="0" collapsed="false">
      <c r="B6" s="5" t="s">
        <v>299</v>
      </c>
      <c r="C6" s="5"/>
      <c r="D6" s="5"/>
      <c r="E6" s="5"/>
      <c r="G6" s="27" t="s">
        <v>23</v>
      </c>
      <c r="H6" s="27" t="s">
        <v>193</v>
      </c>
      <c r="I6" s="27" t="s">
        <v>194</v>
      </c>
      <c r="J6" s="27" t="s">
        <v>197</v>
      </c>
      <c r="K6" s="27" t="s">
        <v>30</v>
      </c>
      <c r="L6" s="27" t="s">
        <v>228</v>
      </c>
      <c r="M6" s="27" t="s">
        <v>56</v>
      </c>
    </row>
    <row r="7" customFormat="false" ht="15" hidden="false" customHeight="false" outlineLevel="0" collapsed="false">
      <c r="B7" s="28" t="s">
        <v>300</v>
      </c>
      <c r="C7" s="29" t="s">
        <v>301</v>
      </c>
      <c r="D7" s="30" t="s">
        <v>302</v>
      </c>
      <c r="E7" s="30"/>
      <c r="G7" s="27" t="s">
        <v>101</v>
      </c>
      <c r="H7" s="27" t="s">
        <v>199</v>
      </c>
      <c r="I7" s="27" t="s">
        <v>204</v>
      </c>
      <c r="J7" s="27" t="s">
        <v>303</v>
      </c>
      <c r="K7" s="27" t="s">
        <v>304</v>
      </c>
      <c r="L7" s="27" t="s">
        <v>225</v>
      </c>
      <c r="M7" s="27" t="s">
        <v>45</v>
      </c>
    </row>
    <row r="8" customFormat="false" ht="18" hidden="false" customHeight="true" outlineLevel="0" collapsed="false">
      <c r="B8" s="31" t="n">
        <v>1</v>
      </c>
      <c r="C8" s="9" t="s">
        <v>305</v>
      </c>
      <c r="D8" s="32" t="s">
        <v>306</v>
      </c>
      <c r="E8" s="32"/>
      <c r="G8" s="27" t="s">
        <v>50</v>
      </c>
      <c r="H8" s="27" t="s">
        <v>202</v>
      </c>
      <c r="I8" s="27" t="s">
        <v>9</v>
      </c>
      <c r="J8" s="27" t="s">
        <v>195</v>
      </c>
      <c r="K8" s="27" t="s">
        <v>307</v>
      </c>
      <c r="L8" s="27" t="s">
        <v>214</v>
      </c>
      <c r="M8" s="27" t="s">
        <v>80</v>
      </c>
    </row>
    <row r="9" customFormat="false" ht="18" hidden="false" customHeight="true" outlineLevel="0" collapsed="false">
      <c r="B9" s="33" t="n">
        <v>2</v>
      </c>
      <c r="C9" s="9" t="s">
        <v>308</v>
      </c>
      <c r="D9" s="32" t="s">
        <v>309</v>
      </c>
      <c r="E9" s="32"/>
      <c r="H9" s="27" t="s">
        <v>196</v>
      </c>
      <c r="I9" s="27" t="s">
        <v>200</v>
      </c>
      <c r="J9" s="27" t="s">
        <v>201</v>
      </c>
      <c r="L9" s="27" t="s">
        <v>220</v>
      </c>
      <c r="M9" s="27" t="s">
        <v>125</v>
      </c>
    </row>
    <row r="10" customFormat="false" ht="18" hidden="false" customHeight="true" outlineLevel="0" collapsed="false">
      <c r="B10" s="34" t="n">
        <v>3</v>
      </c>
      <c r="C10" s="9" t="s">
        <v>310</v>
      </c>
      <c r="D10" s="32" t="s">
        <v>311</v>
      </c>
      <c r="E10" s="32"/>
      <c r="H10" s="27" t="s">
        <v>203</v>
      </c>
      <c r="I10" s="27" t="s">
        <v>205</v>
      </c>
      <c r="J10" s="27" t="s">
        <v>198</v>
      </c>
      <c r="L10" s="27" t="s">
        <v>312</v>
      </c>
      <c r="M10" s="27" t="s">
        <v>29</v>
      </c>
    </row>
    <row r="11" customFormat="false" ht="18" hidden="false" customHeight="true" outlineLevel="0" collapsed="false">
      <c r="B11" s="35" t="n">
        <v>4</v>
      </c>
      <c r="C11" s="9" t="s">
        <v>313</v>
      </c>
      <c r="D11" s="32" t="s">
        <v>314</v>
      </c>
      <c r="E11" s="32"/>
      <c r="H11" s="27" t="s">
        <v>207</v>
      </c>
      <c r="I11" s="27" t="s">
        <v>315</v>
      </c>
      <c r="J11" s="27" t="s">
        <v>206</v>
      </c>
      <c r="L11" s="27" t="s">
        <v>248</v>
      </c>
      <c r="M11" s="27" t="s">
        <v>107</v>
      </c>
    </row>
    <row r="12" customFormat="false" ht="18" hidden="false" customHeight="true" outlineLevel="0" collapsed="false">
      <c r="B12" s="35" t="n">
        <v>5</v>
      </c>
      <c r="C12" s="9" t="s">
        <v>316</v>
      </c>
      <c r="D12" s="32" t="s">
        <v>317</v>
      </c>
      <c r="E12" s="32"/>
      <c r="I12" s="27" t="s">
        <v>318</v>
      </c>
      <c r="L12" s="27" t="s">
        <v>232</v>
      </c>
    </row>
    <row r="14" customFormat="false" ht="17.25" hidden="false" customHeight="true" outlineLevel="0" collapsed="false">
      <c r="B14" s="14" t="s">
        <v>319</v>
      </c>
      <c r="C14" s="14"/>
      <c r="D14" s="14"/>
      <c r="E14" s="14"/>
    </row>
    <row r="16" customFormat="false" ht="21.75" hidden="false" customHeight="true" outlineLevel="0" collapsed="false">
      <c r="B16" s="5" t="s">
        <v>320</v>
      </c>
      <c r="C16" s="5"/>
      <c r="D16" s="5"/>
      <c r="E16" s="5"/>
    </row>
    <row r="17" customFormat="false" ht="15" hidden="false" customHeight="false" outlineLevel="0" collapsed="false">
      <c r="B17" s="29" t="s">
        <v>321</v>
      </c>
      <c r="C17" s="29" t="s">
        <v>322</v>
      </c>
      <c r="D17" s="30" t="s">
        <v>323</v>
      </c>
      <c r="E17" s="30"/>
    </row>
    <row r="18" customFormat="false" ht="28.5" hidden="false" customHeight="true" outlineLevel="0" collapsed="false">
      <c r="B18" s="36" t="s">
        <v>324</v>
      </c>
      <c r="C18" s="37" t="s">
        <v>325</v>
      </c>
      <c r="D18" s="32" t="s">
        <v>326</v>
      </c>
      <c r="E18" s="32"/>
    </row>
    <row r="19" customFormat="false" ht="28.5" hidden="false" customHeight="true" outlineLevel="0" collapsed="false">
      <c r="B19" s="38" t="s">
        <v>327</v>
      </c>
      <c r="C19" s="37" t="s">
        <v>328</v>
      </c>
      <c r="D19" s="32" t="s">
        <v>329</v>
      </c>
      <c r="E19" s="32"/>
    </row>
    <row r="20" customFormat="false" ht="28.5" hidden="false" customHeight="true" outlineLevel="0" collapsed="false">
      <c r="B20" s="39" t="s">
        <v>330</v>
      </c>
      <c r="C20" s="37" t="s">
        <v>331</v>
      </c>
      <c r="D20" s="32" t="s">
        <v>332</v>
      </c>
      <c r="E20" s="32"/>
    </row>
    <row r="21" customFormat="false" ht="28.5" hidden="false" customHeight="true" outlineLevel="0" collapsed="false">
      <c r="B21" s="40" t="s">
        <v>333</v>
      </c>
      <c r="C21" s="37" t="s">
        <v>334</v>
      </c>
      <c r="D21" s="32" t="s">
        <v>335</v>
      </c>
      <c r="E21" s="32"/>
    </row>
    <row r="23" customFormat="false" ht="21.75" hidden="false" customHeight="true" outlineLevel="0" collapsed="false">
      <c r="B23" s="5" t="s">
        <v>336</v>
      </c>
      <c r="C23" s="5"/>
      <c r="D23" s="5"/>
      <c r="E23" s="5"/>
    </row>
    <row r="24" customFormat="false" ht="18" hidden="false" customHeight="true" outlineLevel="0" collapsed="false">
      <c r="B24" s="9" t="s">
        <v>24</v>
      </c>
      <c r="C24" s="9"/>
      <c r="D24" s="41" t="s">
        <v>337</v>
      </c>
      <c r="E24" s="41"/>
    </row>
    <row r="25" customFormat="false" ht="18" hidden="false" customHeight="true" outlineLevel="0" collapsed="false">
      <c r="B25" s="9" t="s">
        <v>51</v>
      </c>
      <c r="C25" s="9"/>
      <c r="D25" s="41" t="s">
        <v>338</v>
      </c>
      <c r="E25" s="41"/>
    </row>
    <row r="26" customFormat="false" ht="18" hidden="false" customHeight="true" outlineLevel="0" collapsed="false">
      <c r="B26" s="9" t="s">
        <v>102</v>
      </c>
      <c r="C26" s="9"/>
      <c r="D26" s="41" t="s">
        <v>339</v>
      </c>
      <c r="E26" s="41"/>
    </row>
    <row r="27" customFormat="false" ht="18" hidden="false" customHeight="true" outlineLevel="0" collapsed="false">
      <c r="B27" s="9" t="s">
        <v>120</v>
      </c>
      <c r="C27" s="9"/>
      <c r="D27" s="41" t="s">
        <v>340</v>
      </c>
      <c r="E27" s="41"/>
    </row>
    <row r="28" customFormat="false" ht="18" hidden="false" customHeight="true" outlineLevel="0" collapsed="false">
      <c r="B28" s="9" t="s">
        <v>167</v>
      </c>
      <c r="C28" s="9"/>
      <c r="D28" s="41" t="s">
        <v>341</v>
      </c>
      <c r="E28" s="41"/>
    </row>
    <row r="29" customFormat="false" ht="18" hidden="false" customHeight="true" outlineLevel="0" collapsed="false">
      <c r="B29" s="9" t="s">
        <v>111</v>
      </c>
      <c r="C29" s="9"/>
      <c r="D29" s="41" t="s">
        <v>342</v>
      </c>
      <c r="E29" s="41"/>
    </row>
    <row r="31" customFormat="false" ht="21.75" hidden="false" customHeight="true" outlineLevel="0" collapsed="false">
      <c r="B31" s="5" t="s">
        <v>343</v>
      </c>
      <c r="C31" s="5"/>
      <c r="D31" s="5"/>
      <c r="E31" s="5"/>
    </row>
    <row r="32" customFormat="false" ht="18" hidden="false" customHeight="true" outlineLevel="0" collapsed="false">
      <c r="B32" s="42" t="s">
        <v>7</v>
      </c>
      <c r="C32" s="42"/>
      <c r="D32" s="32" t="s">
        <v>344</v>
      </c>
      <c r="E32" s="32"/>
    </row>
    <row r="33" customFormat="false" ht="18" hidden="false" customHeight="true" outlineLevel="0" collapsed="false">
      <c r="B33" s="42" t="s">
        <v>297</v>
      </c>
      <c r="C33" s="42"/>
      <c r="D33" s="32" t="s">
        <v>345</v>
      </c>
      <c r="E33" s="32"/>
    </row>
    <row r="34" customFormat="false" ht="18" hidden="false" customHeight="true" outlineLevel="0" collapsed="false">
      <c r="B34" s="42" t="s">
        <v>188</v>
      </c>
      <c r="C34" s="42"/>
      <c r="D34" s="32" t="s">
        <v>346</v>
      </c>
      <c r="E34" s="32"/>
    </row>
    <row r="35" customFormat="false" ht="18" hidden="false" customHeight="true" outlineLevel="0" collapsed="false">
      <c r="B35" s="42" t="s">
        <v>189</v>
      </c>
      <c r="C35" s="42"/>
      <c r="D35" s="32" t="s">
        <v>347</v>
      </c>
      <c r="E35" s="32"/>
    </row>
    <row r="36" customFormat="false" ht="18" hidden="false" customHeight="true" outlineLevel="0" collapsed="false">
      <c r="B36" s="42" t="s">
        <v>17</v>
      </c>
      <c r="C36" s="42"/>
      <c r="D36" s="32" t="s">
        <v>348</v>
      </c>
      <c r="E36" s="32"/>
    </row>
    <row r="37" customFormat="false" ht="18" hidden="false" customHeight="true" outlineLevel="0" collapsed="false">
      <c r="B37" s="42" t="s">
        <v>298</v>
      </c>
      <c r="C37" s="42"/>
      <c r="D37" s="32" t="s">
        <v>349</v>
      </c>
      <c r="E37" s="32"/>
    </row>
    <row r="38" customFormat="false" ht="18" hidden="false" customHeight="true" outlineLevel="0" collapsed="false">
      <c r="B38" s="42" t="s">
        <v>16</v>
      </c>
      <c r="C38" s="42"/>
      <c r="D38" s="32" t="s">
        <v>350</v>
      </c>
      <c r="E38" s="32"/>
    </row>
    <row r="40" customFormat="false" ht="28.5" hidden="false" customHeight="true" outlineLevel="0" collapsed="false">
      <c r="B40" s="14" t="s">
        <v>351</v>
      </c>
      <c r="C40" s="14"/>
      <c r="D40" s="14"/>
      <c r="E40" s="14"/>
    </row>
    <row r="42" customFormat="false" ht="18" hidden="false" customHeight="true" outlineLevel="0" collapsed="false">
      <c r="B42" s="15" t="s">
        <v>181</v>
      </c>
      <c r="C42" s="15"/>
      <c r="D42" s="15"/>
      <c r="E42" s="15"/>
    </row>
  </sheetData>
  <mergeCells count="48">
    <mergeCell ref="B1:E1"/>
    <mergeCell ref="B2:E2"/>
    <mergeCell ref="B3:E3"/>
    <mergeCell ref="B4:E4"/>
    <mergeCell ref="B6:E6"/>
    <mergeCell ref="D7:E7"/>
    <mergeCell ref="D8:E8"/>
    <mergeCell ref="D9:E9"/>
    <mergeCell ref="D10:E10"/>
    <mergeCell ref="D11:E11"/>
    <mergeCell ref="D12:E12"/>
    <mergeCell ref="B14:E14"/>
    <mergeCell ref="B16:E16"/>
    <mergeCell ref="D17:E17"/>
    <mergeCell ref="D18:E18"/>
    <mergeCell ref="D19:E19"/>
    <mergeCell ref="D20:E20"/>
    <mergeCell ref="D21:E21"/>
    <mergeCell ref="B23:E23"/>
    <mergeCell ref="B24:C24"/>
    <mergeCell ref="D24:E24"/>
    <mergeCell ref="B25:C25"/>
    <mergeCell ref="D25:E25"/>
    <mergeCell ref="B26:C26"/>
    <mergeCell ref="D26:E26"/>
    <mergeCell ref="B27:C27"/>
    <mergeCell ref="D27:E27"/>
    <mergeCell ref="B28:C28"/>
    <mergeCell ref="D28:E28"/>
    <mergeCell ref="B29:C29"/>
    <mergeCell ref="D29:E29"/>
    <mergeCell ref="B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40:E40"/>
    <mergeCell ref="B42:E42"/>
  </mergeCells>
  <conditionalFormatting sqref="B3:E3">
    <cfRule type="expression" priority="2" aboveAverage="0" equalAverage="0" bottom="0" percent="0" rank="0" text="" dxfId="0">
      <formula>LEN($B$3)&gt;0</formula>
    </cfRule>
  </conditionalFormatting>
  <hyperlinks>
    <hyperlink ref="B42" r:id="rId1" display="Visit mastt.com"/>
  </hyperlinks>
  <printOptions headings="false" gridLines="false" gridLinesSet="true" horizontalCentered="false" verticalCentered="false"/>
  <pageMargins left="0.3" right="0.3" top="0.4" bottom="0.4" header="0.511811023622047" footer="0.15"/>
  <pageSetup paperSize="9" scale="100" fitToWidth="1" fitToHeight="0" pageOrder="downThenOver" orientation="landscape" blackAndWhite="false" draft="false" cellComments="none" horizontalDpi="300" verticalDpi="300" copies="1"/>
  <headerFooter differentFirst="false" differentOddEven="false">
    <oddHeader/>
    <oddFooter>&amp;R&amp;9 &amp;K3480bcVisit mastt.com</oddFooter>
  </headerFooter>
  <rowBreaks count="1" manualBreakCount="1">
    <brk id="21" man="true" max="16383" min="0"/>
  </rowBreak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0"/>
    <col collapsed="false" customWidth="true" hidden="false" outlineLevel="0" max="3" min="3" style="0" width="72"/>
  </cols>
  <sheetData>
    <row r="1" customFormat="false" ht="33.75" hidden="false" customHeight="true" outlineLevel="0" collapsed="false">
      <c r="B1" s="1" t="s">
        <v>0</v>
      </c>
      <c r="C1" s="1"/>
    </row>
    <row r="2" customFormat="false" ht="4.5" hidden="false" customHeight="true" outlineLevel="0" collapsed="false">
      <c r="B2" s="2"/>
      <c r="C2" s="2"/>
    </row>
    <row r="3" customFormat="false" ht="16.5" hidden="false" customHeight="true" outlineLevel="0" collapsed="false">
      <c r="B3" s="3" t="str">
        <f aca="false">""</f>
        <v/>
      </c>
      <c r="C3" s="3"/>
    </row>
    <row r="4" customFormat="false" ht="25.5" hidden="false" customHeight="true" outlineLevel="0" collapsed="false">
      <c r="B4" s="4" t="s">
        <v>352</v>
      </c>
      <c r="C4" s="4"/>
    </row>
    <row r="6" customFormat="false" ht="21.75" hidden="false" customHeight="true" outlineLevel="0" collapsed="false">
      <c r="B6" s="5" t="s">
        <v>353</v>
      </c>
      <c r="C6" s="5"/>
    </row>
    <row r="7" customFormat="false" ht="28.5" hidden="false" customHeight="true" outlineLevel="0" collapsed="false">
      <c r="B7" s="43" t="s">
        <v>354</v>
      </c>
      <c r="C7" s="44" t="s">
        <v>355</v>
      </c>
    </row>
    <row r="8" customFormat="false" ht="40.5" hidden="false" customHeight="true" outlineLevel="0" collapsed="false">
      <c r="B8" s="43" t="s">
        <v>356</v>
      </c>
      <c r="C8" s="44" t="s">
        <v>357</v>
      </c>
    </row>
    <row r="9" customFormat="false" ht="28.5" hidden="false" customHeight="true" outlineLevel="0" collapsed="false">
      <c r="B9" s="43" t="s">
        <v>358</v>
      </c>
      <c r="C9" s="44" t="s">
        <v>359</v>
      </c>
    </row>
    <row r="10" customFormat="false" ht="40.5" hidden="false" customHeight="true" outlineLevel="0" collapsed="false">
      <c r="B10" s="43" t="s">
        <v>360</v>
      </c>
      <c r="C10" s="44" t="s">
        <v>361</v>
      </c>
    </row>
    <row r="11" customFormat="false" ht="40.5" hidden="false" customHeight="true" outlineLevel="0" collapsed="false">
      <c r="B11" s="43" t="s">
        <v>362</v>
      </c>
      <c r="C11" s="44" t="s">
        <v>363</v>
      </c>
    </row>
    <row r="13" customFormat="false" ht="21.75" hidden="false" customHeight="true" outlineLevel="0" collapsed="false">
      <c r="B13" s="5" t="s">
        <v>364</v>
      </c>
      <c r="C13" s="5"/>
    </row>
    <row r="14" customFormat="false" ht="40.5" hidden="false" customHeight="true" outlineLevel="0" collapsed="false">
      <c r="B14" s="43" t="s">
        <v>365</v>
      </c>
      <c r="C14" s="44" t="s">
        <v>366</v>
      </c>
    </row>
    <row r="15" customFormat="false" ht="52.5" hidden="false" customHeight="true" outlineLevel="0" collapsed="false">
      <c r="B15" s="43" t="s">
        <v>367</v>
      </c>
      <c r="C15" s="44" t="s">
        <v>368</v>
      </c>
    </row>
    <row r="16" customFormat="false" ht="40.5" hidden="false" customHeight="true" outlineLevel="0" collapsed="false">
      <c r="B16" s="43" t="s">
        <v>369</v>
      </c>
      <c r="C16" s="44" t="s">
        <v>370</v>
      </c>
    </row>
    <row r="17" customFormat="false" ht="40.5" hidden="false" customHeight="true" outlineLevel="0" collapsed="false">
      <c r="B17" s="43" t="s">
        <v>371</v>
      </c>
      <c r="C17" s="44" t="s">
        <v>372</v>
      </c>
    </row>
    <row r="18" customFormat="false" ht="52.5" hidden="false" customHeight="true" outlineLevel="0" collapsed="false">
      <c r="B18" s="43" t="s">
        <v>373</v>
      </c>
      <c r="C18" s="44" t="s">
        <v>374</v>
      </c>
    </row>
    <row r="20" customFormat="false" ht="21.75" hidden="false" customHeight="true" outlineLevel="0" collapsed="false">
      <c r="B20" s="5" t="s">
        <v>375</v>
      </c>
      <c r="C20" s="5"/>
    </row>
    <row r="21" customFormat="false" ht="52.5" hidden="false" customHeight="true" outlineLevel="0" collapsed="false">
      <c r="B21" s="43" t="s">
        <v>376</v>
      </c>
      <c r="C21" s="44" t="s">
        <v>377</v>
      </c>
    </row>
    <row r="22" customFormat="false" ht="52.5" hidden="false" customHeight="true" outlineLevel="0" collapsed="false">
      <c r="B22" s="43" t="s">
        <v>378</v>
      </c>
      <c r="C22" s="44" t="s">
        <v>379</v>
      </c>
    </row>
    <row r="23" customFormat="false" ht="52.5" hidden="false" customHeight="true" outlineLevel="0" collapsed="false">
      <c r="B23" s="43" t="s">
        <v>380</v>
      </c>
      <c r="C23" s="44" t="s">
        <v>381</v>
      </c>
    </row>
    <row r="24" customFormat="false" ht="52.5" hidden="false" customHeight="true" outlineLevel="0" collapsed="false">
      <c r="B24" s="43" t="s">
        <v>382</v>
      </c>
      <c r="C24" s="44" t="s">
        <v>383</v>
      </c>
    </row>
    <row r="26" customFormat="false" ht="21.75" hidden="false" customHeight="true" outlineLevel="0" collapsed="false">
      <c r="B26" s="5" t="s">
        <v>384</v>
      </c>
      <c r="C26" s="5"/>
    </row>
    <row r="27" customFormat="false" ht="76.5" hidden="false" customHeight="true" outlineLevel="0" collapsed="false">
      <c r="B27" s="45" t="s">
        <v>385</v>
      </c>
      <c r="C27" s="45"/>
    </row>
    <row r="29" customFormat="false" ht="18" hidden="false" customHeight="true" outlineLevel="0" collapsed="false">
      <c r="B29" s="15" t="s">
        <v>181</v>
      </c>
      <c r="C29" s="15"/>
    </row>
  </sheetData>
  <mergeCells count="10">
    <mergeCell ref="B1:C1"/>
    <mergeCell ref="B2:C2"/>
    <mergeCell ref="B3:C3"/>
    <mergeCell ref="B4:C4"/>
    <mergeCell ref="B6:C6"/>
    <mergeCell ref="B13:C13"/>
    <mergeCell ref="B20:C20"/>
    <mergeCell ref="B26:C26"/>
    <mergeCell ref="B27:C27"/>
    <mergeCell ref="B29:C29"/>
  </mergeCells>
  <conditionalFormatting sqref="B3:C3">
    <cfRule type="expression" priority="2" aboveAverage="0" equalAverage="0" bottom="0" percent="0" rank="0" text="" dxfId="0">
      <formula>LEN($B$3)&gt;0</formula>
    </cfRule>
  </conditionalFormatting>
  <hyperlinks>
    <hyperlink ref="B29" r:id="rId1" display="Visit mastt.com"/>
  </hyperlinks>
  <printOptions headings="false" gridLines="false" gridLinesSet="true" horizontalCentered="false" verticalCentered="false"/>
  <pageMargins left="0.3" right="0.3" top="0.4" bottom="0.4" header="0.511811023622047" footer="0.15"/>
  <pageSetup paperSize="9" scale="100" fitToWidth="1" fitToHeight="0" pageOrder="downThenOver" orientation="portrait" blackAndWhite="false" draft="false" cellComments="none" horizontalDpi="300" verticalDpi="300" copies="1"/>
  <headerFooter differentFirst="false" differentOddEven="false">
    <oddHeader/>
    <oddFooter>&amp;R&amp;9 &amp;K3480bcVisit mastt.com</oddFooter>
  </headerFooter>
  <rowBreaks count="1" manualBreakCount="1">
    <brk id="18" man="true" max="16383" min="0"/>
  </rowBreaks>
  <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2026-08-27T09:25:45Z</dcterms:created>
  <dc:creator>openpyxl</dc:creator>
  <dc:description/>
  <dc:language>en-US</dc:language>
  <cp:lastModifiedBy/>
  <dcterms:modified xsi:type="dcterms:W3CDTF">2026-08-27T09:25:46Z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