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7.xml.rels" ContentType="application/vnd.openxmlformats-package.relationships+xml"/>
  <Override PartName="/xl/worksheets/_rels/sheet6.xml.rels" ContentType="application/vnd.openxmlformats-package.relationships+xml"/>
  <Override PartName="/xl/worksheets/_rels/sheet5.xml.rels" ContentType="application/vnd.openxmlformats-package.relationships+xml"/>
  <Override PartName="/xl/worksheets/_rels/sheet4.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_rels/drawing7.xml.rels" ContentType="application/vnd.openxmlformats-package.relationships+xml"/>
  <Override PartName="/xl/drawings/_rels/drawing6.xml.rels" ContentType="application/vnd.openxmlformats-package.relationships+xml"/>
  <Override PartName="/xl/drawings/_rels/drawing5.xml.rels" ContentType="application/vnd.openxmlformats-package.relationships+xml"/>
  <Override PartName="/xl/drawings/_rels/drawing4.xml.rels" ContentType="application/vnd.openxmlformats-package.relationships+xml"/>
  <Override PartName="/xl/drawings/_rels/drawing3.xml.rels" ContentType="application/vnd.openxmlformats-package.relationships+xml"/>
  <Override PartName="/xl/drawings/_rels/drawing2.xml.rels" ContentType="application/vnd.openxmlformats-package.relationships+xml"/>
  <Override PartName="/xl/drawings/_rels/drawing1.xml.rels" ContentType="application/vnd.openxmlformats-package.relationship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_rels/workbook.xml.rels" ContentType="application/vnd.openxmlformats-package.relationships+xml"/>
  <Override PartName="/xl/media/image1.png" ContentType="image/pn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over" sheetId="1" state="visible" r:id="rId3"/>
    <sheet name="Plan" sheetId="2" state="visible" r:id="rId4"/>
    <sheet name="Framework" sheetId="3" state="visible" r:id="rId5"/>
    <sheet name="Dashboard" sheetId="4" state="visible" r:id="rId6"/>
    <sheet name="Rules" sheetId="5" state="visible" r:id="rId7"/>
    <sheet name="Reporting" sheetId="6" state="visible" r:id="rId8"/>
    <sheet name="Notes &amp; Assumptions" sheetId="7" state="visible" r:id="rId9"/>
  </sheets>
  <definedNames>
    <definedName function="false" hidden="false" localSheetId="0" name="_xlnm.Print_Area" vbProcedure="false">Cover!$A$1:$D$30</definedName>
    <definedName function="false" hidden="false" localSheetId="0" name="_xlnm.Print_Titles" vbProcedure="false">Cover!$1:$2</definedName>
    <definedName function="false" hidden="false" localSheetId="3" name="_xlnm.Print_Area" vbProcedure="false">Dashboard!$A$1:$I$21</definedName>
    <definedName function="false" hidden="false" localSheetId="3" name="_xlnm.Print_Titles" vbProcedure="false">Dashboard!$1:$2</definedName>
    <definedName function="false" hidden="false" localSheetId="2" name="_xlnm.Print_Area" vbProcedure="false">Framework!$A$1:$L$35</definedName>
    <definedName function="false" hidden="false" localSheetId="2" name="_xlnm.Print_Titles" vbProcedure="false">Framework!$1:$2</definedName>
    <definedName function="false" hidden="false" localSheetId="6" name="_xlnm.Print_Area" vbProcedure="false">'Notes &amp; Assumptions'!$A$1:$C$26</definedName>
    <definedName function="false" hidden="false" localSheetId="6" name="_xlnm.Print_Titles" vbProcedure="false">'Notes &amp; Assumptions'!$1:$2</definedName>
    <definedName function="false" hidden="false" localSheetId="1" name="_xlnm.Print_Area" vbProcedure="false">Plan!$A$1:$E$30</definedName>
    <definedName function="false" hidden="false" localSheetId="1" name="_xlnm.Print_Titles" vbProcedure="false">Plan!$1:$2</definedName>
    <definedName function="false" hidden="false" localSheetId="5" name="_xlnm.Print_Area" vbProcedure="false">Reporting!$A$1:$D$14</definedName>
    <definedName function="false" hidden="false" localSheetId="5" name="_xlnm.Print_Titles" vbProcedure="false">Reporting!$1:$2</definedName>
    <definedName function="false" hidden="false" localSheetId="4" name="_xlnm.Print_Area" vbProcedure="false">Rules!$A$1:$D$30</definedName>
    <definedName function="false" hidden="false" localSheetId="4" name="_xlnm.Print_Titles" vbProcedure="false">Rules!$1:$2</definedName>
  </definedNames>
  <calcPr fullCalcOnLoad="1"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<sst xmlns="http://schemas.openxmlformats.org/spreadsheetml/2006/main" count="300" uniqueCount="260">
  <si>
    <t xml:space="preserve">COST MANAGEMENT PLAN</t>
  </si>
  <si>
    <t xml:space="preserve">Set this up once. Every sheet in this file reads the thresholds on the Rules sheet, and the Framework scores every account against them.</t>
  </si>
  <si>
    <t xml:space="preserve">SET THIS UP ONCE</t>
  </si>
  <si>
    <t xml:space="preserve">Project</t>
  </si>
  <si>
    <t xml:space="preserve">Harbour Point Civic Precinct</t>
  </si>
  <si>
    <t xml:space="preserve">Project number</t>
  </si>
  <si>
    <t xml:space="preserve">HP-2026-004</t>
  </si>
  <si>
    <t xml:space="preserve">Client / owner</t>
  </si>
  <si>
    <t xml:space="preserve">Harbour Point City</t>
  </si>
  <si>
    <t xml:space="preserve">Delivery method</t>
  </si>
  <si>
    <t xml:space="preserve">Construct only, lump sum</t>
  </si>
  <si>
    <t xml:space="preserve">Plan version</t>
  </si>
  <si>
    <t xml:space="preserve">1.0</t>
  </si>
  <si>
    <t xml:space="preserve">Prepared by</t>
  </si>
  <si>
    <t xml:space="preserve">[Name, title]</t>
  </si>
  <si>
    <t xml:space="preserve">Approved by</t>
  </si>
  <si>
    <t xml:space="preserve">[Capital Projects Director]</t>
  </si>
  <si>
    <t xml:space="preserve">Date approved</t>
  </si>
  <si>
    <t xml:space="preserve">[Month DD, YYYY]</t>
  </si>
  <si>
    <t xml:space="preserve">Next review</t>
  </si>
  <si>
    <t xml:space="preserve">At each stage gate, or on any re-baseline</t>
  </si>
  <si>
    <t xml:space="preserve">Currency and basis</t>
  </si>
  <si>
    <t xml:space="preserve">USD, current-day dollars, escalation shown separately</t>
  </si>
  <si>
    <t xml:space="preserve">WHAT THIS PLAN COVERS</t>
  </si>
  <si>
    <t xml:space="preserve">What this plan controls</t>
  </si>
  <si>
    <t xml:space="preserve">Every dollar of the approved project budget, across all 16 control accounts, from budget authorization to final account. Includes owner-side costs, professional fees and owner-supplied equipment.</t>
  </si>
  <si>
    <t xml:space="preserve">What it does not control</t>
  </si>
  <si>
    <t xml:space="preserve">Operating cost after handover, the business case, and anything funded outside the approved project budget. Those belong to the asset owner, not the project.</t>
  </si>
  <si>
    <t xml:space="preserve">Who it binds</t>
  </si>
  <si>
    <t xml:space="preserve">Every named account owner, the Project Manager, the Project Director, and every consultant and contractor to the extent their agreement incorporates it.</t>
  </si>
  <si>
    <t xml:space="preserve">When it is reissued</t>
  </si>
  <si>
    <t xml:space="preserve">On any re-baseline, any change to the delegations, or at each stage gate - whichever comes first. A cost plan carrying superseded thresholds is worse than none.</t>
  </si>
  <si>
    <t xml:space="preserve">APPROVAL</t>
  </si>
  <si>
    <t xml:space="preserve">This plan is approved for issue. The thresholds on the Rules sheet are the delegations that apply until it is reissued.</t>
  </si>
  <si>
    <t xml:space="preserve">Capital Projects Director</t>
  </si>
  <si>
    <t xml:space="preserve">Signature and date</t>
  </si>
  <si>
    <t xml:space="preserve">Project Manager</t>
  </si>
  <si>
    <t xml:space="preserve">Finance Business Partner</t>
  </si>
  <si>
    <t xml:space="preserve">Visit mastt.com</t>
  </si>
  <si>
    <t xml:space="preserve">Twelve sections, and every one records a decision this project has made. Type over the blue cells; the grey column tells you how to set each one.</t>
  </si>
  <si>
    <t xml:space="preserve">Section</t>
  </si>
  <si>
    <t xml:space="preserve">What this project has decided</t>
  </si>
  <si>
    <t xml:space="preserve">How to set it</t>
  </si>
  <si>
    <t xml:space="preserve">1</t>
  </si>
  <si>
    <t xml:space="preserve">Purpose and scope</t>
  </si>
  <si>
    <t xml:space="preserve">Every dollar of the approved project budget, across all 16 control accounts, from budget authorization to final account</t>
  </si>
  <si>
    <t xml:space="preserve">Name what it covers and what it does not. Where this plan conflicts with the contract or a delegation register, those govern and this plan is corrected.</t>
  </si>
  <si>
    <t xml:space="preserve">2</t>
  </si>
  <si>
    <t xml:space="preserve">Cost authority</t>
  </si>
  <si>
    <t xml:space="preserve">The named account owner, within their own account only, up to the limits on the Rules sheet</t>
  </si>
  <si>
    <t xml:space="preserve">A dollar figure against a name, not a job title in the abstract. The Framework scores against the same numbers, so the two cannot disagree.</t>
  </si>
  <si>
    <t xml:space="preserve">3</t>
  </si>
  <si>
    <t xml:space="preserve">Cost breakdown structure</t>
  </si>
  <si>
    <t xml:space="preserve">Control account level - 16 accounts, each with one named owner</t>
  </si>
  <si>
    <t xml:space="preserve">The level at which one person can be held to a number. Not task level: a breakdown finer than the level of accountability produces variance nobody owns.</t>
  </si>
  <si>
    <t xml:space="preserve">4</t>
  </si>
  <si>
    <t xml:space="preserve">Estimating basis</t>
  </si>
  <si>
    <t xml:space="preserve">A Class 3 estimate at budget authorization, accuracy -10% to +30%</t>
  </si>
  <si>
    <t xml:space="preserve">State the class beside every budget line. A Class 5 number and a Class 1 number are not the same kind of fact and must not carry the same tolerance - the classes are below.</t>
  </si>
  <si>
    <t xml:space="preserve">5</t>
  </si>
  <si>
    <t xml:space="preserve">Budget and baseline</t>
  </si>
  <si>
    <t xml:space="preserve">Control accounts plus contingency. Set once at budget authorization; changes only by an approved change or a Board re-baseline. The original baseline is preserved beside any revision.</t>
  </si>
  <si>
    <t xml:space="preserve">6</t>
  </si>
  <si>
    <t xml:space="preserve">Commitment control</t>
  </si>
  <si>
    <t xml:space="preserve">The contract or purchase order is executed - not when it is invoiced</t>
  </si>
  <si>
    <t xml:space="preserve">No commitment is raised without an available balance in the account it is charged to. An executed contract is money gone; tracking invoices tracks the past.</t>
  </si>
  <si>
    <t xml:space="preserve">7</t>
  </si>
  <si>
    <t xml:space="preserve">Forecasting</t>
  </si>
  <si>
    <t xml:space="preserve">Monthly, by the account owner. Stale after 30 days and reported as stale</t>
  </si>
  <si>
    <t xml:space="preserve">Forecast to completion is a judgment about the work remaining. Budget minus spent-to-date is subtraction, and it is right only where nothing has changed.</t>
  </si>
  <si>
    <t xml:space="preserve">8</t>
  </si>
  <si>
    <t xml:space="preserve">Tolerance and variance response</t>
  </si>
  <si>
    <t xml:space="preserve">Deliberately tighter than any single account's, because accounts offset each other. Per-account notify and escalate tolerances are on the Framework; the response ladder is on the Rules sheet.</t>
  </si>
  <si>
    <t xml:space="preserve">9</t>
  </si>
  <si>
    <t xml:space="preserve">Contingency</t>
  </si>
  <si>
    <t xml:space="preserve">A reserve against risk. Never allocated to an account in advance, drawn only against a risk in the register that has occurred. Balance reported every cycle on the Dashboard; drawdown rules live in the risk management plan.</t>
  </si>
  <si>
    <t xml:space="preserve">10</t>
  </si>
  <si>
    <t xml:space="preserve">Change control</t>
  </si>
  <si>
    <t xml:space="preserve">An approved change, or a Board re-baseline</t>
  </si>
  <si>
    <t xml:space="preserve">A change moves budget between accounts or increases the approved budget; it never silently absorbs into a forecast. Instruments and routes are the change management plan's job.</t>
  </si>
  <si>
    <t xml:space="preserve">11</t>
  </si>
  <si>
    <t xml:space="preserve">Cost reporting</t>
  </si>
  <si>
    <t xml:space="preserve">Weekly to the Project Manager, monthly to the sponsor, quarterly to the Board</t>
  </si>
  <si>
    <t xml:space="preserve">Content and signatories are on the Reporting sheet. A framework nobody refreshes is a budget with extra columns.</t>
  </si>
  <si>
    <t xml:space="preserve">12</t>
  </si>
  <si>
    <t xml:space="preserve">Re-baselining</t>
  </si>
  <si>
    <t xml:space="preserve">By the Board, above 5% total movement, original baseline preserved alongside</t>
  </si>
  <si>
    <t xml:space="preserve">A project that re-baselines quietly has no variance, which is not the same as having no problem.</t>
  </si>
  <si>
    <t xml:space="preserve">SECTION 4  ·  ESTIMATE CLASS, AND THE ACCURACY THAT COMES WITH IT</t>
  </si>
  <si>
    <t xml:space="preserve">Class</t>
  </si>
  <si>
    <t xml:space="preserve">Typical use</t>
  </si>
  <si>
    <t xml:space="preserve">Class 5</t>
  </si>
  <si>
    <t xml:space="preserve">0% to 2% defined  ·  Concept screening  ·  accuracy  -20% to -50% low  /  +30% to +100% high</t>
  </si>
  <si>
    <t xml:space="preserve">Class 4</t>
  </si>
  <si>
    <t xml:space="preserve">1% to 15% defined  ·  Study or feasibility  ·  accuracy  -15% to -30% low  /  +20% to +50% high</t>
  </si>
  <si>
    <t xml:space="preserve">Class 3</t>
  </si>
  <si>
    <t xml:space="preserve">10% to 40% defined  ·  Budget authorization or control  ·  accuracy  -10% to -20% low  /  +10% to +30% high</t>
  </si>
  <si>
    <t xml:space="preserve">Class 2</t>
  </si>
  <si>
    <t xml:space="preserve">30% to 75% defined  ·  Control or bid/tender  ·  accuracy  -5% to -15% low  /  +5% to +20% high</t>
  </si>
  <si>
    <t xml:space="preserve">Class 1</t>
  </si>
  <si>
    <t xml:space="preserve">65% to 100% defined  ·  Check estimate or bid/tender  ·  accuracy  -3% to -10% low  /  +3% to +15% high</t>
  </si>
  <si>
    <t xml:space="preserve">Classes and ranges are AACE International Recommended Practice 18R-97. Maturity is indicated by percentage of complete definition, but it is the maturity of the defining deliverables that determines the class, not the percentage. State the class beside every budget line: a Class 5 number and a Class 1 number are not the same kind of fact and must not carry the same tolerance.</t>
  </si>
  <si>
    <t xml:space="preserve">One row per control account. A person owns each line and each line has its own tolerance - that is the whole idea. Type the white cells; everything shaded is computed.</t>
  </si>
  <si>
    <t xml:space="preserve">HARBOUR POINT CIVIC PRECINCT  ·  COST CONTROL FRAMEWORK</t>
  </si>
  <si>
    <t xml:space="preserve">Code</t>
  </si>
  <si>
    <t xml:space="preserve">Control account</t>
  </si>
  <si>
    <t xml:space="preserve">Owner</t>
  </si>
  <si>
    <t xml:space="preserve">Budget</t>
  </si>
  <si>
    <t xml:space="preserve">Committed</t>
  </si>
  <si>
    <t xml:space="preserve">Forecast</t>
  </si>
  <si>
    <t xml:space="preserve">Variance</t>
  </si>
  <si>
    <t xml:space="preserve">Var
%</t>
  </si>
  <si>
    <t xml:space="preserve">Noti-
fy</t>
  </si>
  <si>
    <t xml:space="preserve">Esca-
late</t>
  </si>
  <si>
    <t xml:space="preserve">Position on the ladder</t>
  </si>
  <si>
    <t xml:space="preserve">01</t>
  </si>
  <si>
    <t xml:space="preserve">Site preparation and demolition</t>
  </si>
  <si>
    <t xml:space="preserve">R. Okafor</t>
  </si>
  <si>
    <t xml:space="preserve">02</t>
  </si>
  <si>
    <t xml:space="preserve">Bulk earthworks and retention</t>
  </si>
  <si>
    <t xml:space="preserve">03</t>
  </si>
  <si>
    <t xml:space="preserve">Substructure</t>
  </si>
  <si>
    <t xml:space="preserve">04</t>
  </si>
  <si>
    <t xml:space="preserve">Superstructure and frame</t>
  </si>
  <si>
    <t xml:space="preserve">L. Marchetti</t>
  </si>
  <si>
    <t xml:space="preserve">05</t>
  </si>
  <si>
    <t xml:space="preserve">Facade and glazing</t>
  </si>
  <si>
    <t xml:space="preserve">06</t>
  </si>
  <si>
    <t xml:space="preserve">Roofing and waterproofing</t>
  </si>
  <si>
    <t xml:space="preserve">07</t>
  </si>
  <si>
    <t xml:space="preserve">Internal fit-out</t>
  </si>
  <si>
    <t xml:space="preserve">A. Bekele</t>
  </si>
  <si>
    <t xml:space="preserve">08</t>
  </si>
  <si>
    <t xml:space="preserve">Mechanical services</t>
  </si>
  <si>
    <t xml:space="preserve">S. Whelan</t>
  </si>
  <si>
    <t xml:space="preserve">09</t>
  </si>
  <si>
    <t xml:space="preserve">Electrical services</t>
  </si>
  <si>
    <t xml:space="preserve">Hydraulic and fire services</t>
  </si>
  <si>
    <t xml:space="preserve">Vertical transportation</t>
  </si>
  <si>
    <t xml:space="preserve">External works and landscape</t>
  </si>
  <si>
    <t xml:space="preserve">13</t>
  </si>
  <si>
    <t xml:space="preserve">Professional fees</t>
  </si>
  <si>
    <t xml:space="preserve">Project Director</t>
  </si>
  <si>
    <t xml:space="preserve">14</t>
  </si>
  <si>
    <t xml:space="preserve">Authority fees and charges</t>
  </si>
  <si>
    <t xml:space="preserve">15</t>
  </si>
  <si>
    <t xml:space="preserve">Owner-supplied equipment and FF&amp;E</t>
  </si>
  <si>
    <t xml:space="preserve">16</t>
  </si>
  <si>
    <t xml:space="preserve">Client-side project management</t>
  </si>
  <si>
    <t xml:space="preserve">TOTAL, ALL ACCOUNTS</t>
  </si>
  <si>
    <t xml:space="preserve">Contingency held</t>
  </si>
  <si>
    <t xml:space="preserve">APPROVED PROJECT BUDGET</t>
  </si>
  <si>
    <t xml:space="preserve">Forecast at the approved-budget line includes contingency DRAWN, not contingency held - undrawn contingency is not a forecast cost. Insert rows inside the account block so the totals follow.</t>
  </si>
  <si>
    <t xml:space="preserve">Read off the Framework sheet - there is nothing to type on this page.</t>
  </si>
  <si>
    <t xml:space="preserve">APPROVED BUDGET</t>
  </si>
  <si>
    <t xml:space="preserve">FORECAST</t>
  </si>
  <si>
    <t xml:space="preserve">THROUGH A THRESHOLD</t>
  </si>
  <si>
    <t xml:space="preserve">CONTINGENCY LEFT</t>
  </si>
  <si>
    <t xml:space="preserve">ACCOUNTS THROUGH A THRESHOLD  ·  BIGGEST MOVEMENT FIRST</t>
  </si>
  <si>
    <t xml:space="preserve">Rank</t>
  </si>
  <si>
    <t xml:space="preserve">Var %</t>
  </si>
  <si>
    <t xml:space="preserve">What happens next</t>
  </si>
  <si>
    <t xml:space="preserve">Only accounts through a threshold are listed. An empty table is the correct result on a project inside tolerance - it is not a broken formula.</t>
  </si>
  <si>
    <t xml:space="preserve">The six numbers the Framework reads, and the ladder every variance climbs. Set these from your own delegations before you use the framework.</t>
  </si>
  <si>
    <t xml:space="preserve">THE SIX NUMBERS</t>
  </si>
  <si>
    <t xml:space="preserve">Setting</t>
  </si>
  <si>
    <t xml:space="preserve">Value</t>
  </si>
  <si>
    <t xml:space="preserve">What it controls</t>
  </si>
  <si>
    <t xml:space="preserve">Default notify tolerance, per account</t>
  </si>
  <si>
    <t xml:space="preserve">Movement before the account owner tells the Project Director. Overridden per account on the Framework sheet - uniform tolerances make a cost plan ignorable.</t>
  </si>
  <si>
    <t xml:space="preserve">Default escalate tolerance, per account</t>
  </si>
  <si>
    <t xml:space="preserve">Movement before it goes to the Board with a revised forecast for the whole project.</t>
  </si>
  <si>
    <t xml:space="preserve">Total project tolerance</t>
  </si>
  <si>
    <t xml:space="preserve">DELIBERATELY TIGHTER THAN ANY SINGLE ACCOUNT. Accounts offset each other, so when the top moves this far, several have moved at once and the offsetting has run out.</t>
  </si>
  <si>
    <t xml:space="preserve">A forecast older than this is stale, in days</t>
  </si>
  <si>
    <t xml:space="preserve">An account whose forecast has not moved while its commitments have is not stable, it is unattended.</t>
  </si>
  <si>
    <t xml:space="preserve">Re-baseline only above this total movement</t>
  </si>
  <si>
    <t xml:space="preserve">And only by the Board, and only with the original baseline preserved beside it.</t>
  </si>
  <si>
    <t xml:space="preserve">Contingency drawn ahead of progress by</t>
  </si>
  <si>
    <t xml:space="preserve">Points of percent complete. Arithmetic rather than judgment, so it moves before the forecast does.</t>
  </si>
  <si>
    <t xml:space="preserve">THE VARIANCE LADDER  ·  WHAT HAPPENS, AND WHO HEARS ABOUT IT</t>
  </si>
  <si>
    <t xml:space="preserve">Where the variance is</t>
  </si>
  <si>
    <t xml:space="preserve">Who acts</t>
  </si>
  <si>
    <t xml:space="preserve">What happens</t>
  </si>
  <si>
    <t xml:space="preserve">Inside tolerance</t>
  </si>
  <si>
    <t xml:space="preserve">The account owner</t>
  </si>
  <si>
    <t xml:space="preserve">Recorded in the monthly cost report with a one-line reason. No action beyond that. Most movement lives here and it should - a plan that escalates everything escalates nothing.</t>
  </si>
  <si>
    <t xml:space="preserve">Through the notify threshold</t>
  </si>
  <si>
    <t xml:space="preserve">Account owner tells the Project Director</t>
  </si>
  <si>
    <t xml:space="preserve">A written cause, the recovery options and the date by which it will be back inside tolerance or confirmed as permanent. This is the step every published cost plan skips.</t>
  </si>
  <si>
    <t xml:space="preserve">Through the escalate threshold</t>
  </si>
  <si>
    <t xml:space="preserve">Project Director to the Board</t>
  </si>
  <si>
    <t xml:space="preserve">With a revised forecast to completion for the whole project, not just the account. A single account through its escalate threshold usually means the estimate basis is wrong somewhere else too.</t>
  </si>
  <si>
    <t xml:space="preserve">Total project forecast moves more than 2%</t>
  </si>
  <si>
    <t xml:space="preserve">Board, immediately</t>
  </si>
  <si>
    <t xml:space="preserve">The project-level tolerance is deliberately far tighter than any single account's, because accounts offset each other and a 2% move at the top means several have moved at once.</t>
  </si>
  <si>
    <t xml:space="preserve">Forecast exceeds budget plus contingency</t>
  </si>
  <si>
    <t xml:space="preserve">Board, before the next commitment</t>
  </si>
  <si>
    <t xml:space="preserve">There is no tolerance at this line. The project is asking for money it has not been given, and committing further spend before that is resolved is the decision nobody wants to defend.</t>
  </si>
  <si>
    <t xml:space="preserve">HOW COST IS CONTROLLED ON THIS PROJECT</t>
  </si>
  <si>
    <t xml:space="preserve">Who may commit money</t>
  </si>
  <si>
    <t xml:space="preserve">Only the named account owner, and only within their account. A commitment against an account somebody else owns is not a fast decision, it is an unallocated cost - and it surfaces two months later as a variance nobody can explain.</t>
  </si>
  <si>
    <t xml:space="preserve">Forecast, do not extrapolate</t>
  </si>
  <si>
    <t xml:space="preserve">A forecast to completion is a judgment about the work remaining, made by the person doing it. Budget minus spent-to-date is not a forecast; it is subtraction, and it is right only on a project where nothing has changed.</t>
  </si>
  <si>
    <t xml:space="preserve">A forecast has a shelf life</t>
  </si>
  <si>
    <t xml:space="preserve">Anything older than 30 days is stale and is reported as stale rather than quietly reused. The framework flags it - an account whose forecast has not moved in two months while its commitments have is not stable, it is unattended.</t>
  </si>
  <si>
    <t xml:space="preserve">Commitments are cost, whether or not they are invoiced</t>
  </si>
  <si>
    <t xml:space="preserve">An executed contract is money gone. Cost control that tracks invoices tracks the past; tracking commitments is what gives you time to do something.</t>
  </si>
  <si>
    <t xml:space="preserve">Contingency is a reserve, not a budget line</t>
  </si>
  <si>
    <t xml:space="preserve">It is drawn against a risk that has occurred, it is never allocated to an account in advance, and its balance is reported every cycle. See the boundary block: the risk management plan sets the drawdown rules and this file holds the balance.</t>
  </si>
  <si>
    <t xml:space="preserve">The baseline moves rarely and only one way</t>
  </si>
  <si>
    <t xml:space="preserve">A budget may be re-baselined only by the Board, only above a 5% total movement, and only with the original baseline preserved alongside. A project that re-baselines quietly has no variance, which is not the same as having no problem.</t>
  </si>
  <si>
    <t xml:space="preserve">Who produces what, and how often. A framework nobody refreshes is a budget with extra columns.</t>
  </si>
  <si>
    <t xml:space="preserve">REPORTING CYCLE</t>
  </si>
  <si>
    <t xml:space="preserve">When</t>
  </si>
  <si>
    <t xml:space="preserve">Who</t>
  </si>
  <si>
    <t xml:space="preserve">What</t>
  </si>
  <si>
    <t xml:space="preserve">Weekly</t>
  </si>
  <si>
    <t xml:space="preserve">Account owners to the Project Manager</t>
  </si>
  <si>
    <t xml:space="preserve">Commitments raised, forecast changes, anything through a notify threshold. Numbers only.</t>
  </si>
  <si>
    <t xml:space="preserve">Monthly</t>
  </si>
  <si>
    <t xml:space="preserve">Project Manager compiles; Project Director signs</t>
  </si>
  <si>
    <t xml:space="preserve">Full framework refresh: budget, committed, forecast, variance, contingency balance and the ladder position of every account. Feeds the monthly project report.</t>
  </si>
  <si>
    <t xml:space="preserve">Project Director to the sponsor</t>
  </si>
  <si>
    <t xml:space="preserve">Total forecast against budget, contingency drawn against percent complete, and every account through its escalate threshold with a name and a date against it.</t>
  </si>
  <si>
    <t xml:space="preserve">Quarterly</t>
  </si>
  <si>
    <t xml:space="preserve">Forecast to completion, cashflow against the S-curve, and any request to re-baseline.</t>
  </si>
  <si>
    <t xml:space="preserve">At each stage gate</t>
  </si>
  <si>
    <t xml:space="preserve">Whole project team</t>
  </si>
  <si>
    <t xml:space="preserve">Re-estimate rather than re-forecast. The basis of estimate changes at a gate and the framework's tolerances should be re-set against the new basis.</t>
  </si>
  <si>
    <t xml:space="preserve">How to use the framework, and where this file stops.</t>
  </si>
  <si>
    <t xml:space="preserve">HOW TO USE THE FRAMEWORK</t>
  </si>
  <si>
    <t xml:space="preserve">Replace the sixteen accounts with your own cost breakdown</t>
  </si>
  <si>
    <t xml:space="preserve">One row per control account - the level at which one person can actually be held to a number. Everything from Variance rightward is computed.</t>
  </si>
  <si>
    <t xml:space="preserve">Put a person in the Owner column, never a team</t>
  </si>
  <si>
    <t xml:space="preserve">'Services' does not own anything. The whole framework rests on there being one name per line who can be asked what happened.</t>
  </si>
  <si>
    <t xml:space="preserve">Set the two tolerances per account, not one for the project</t>
  </si>
  <si>
    <t xml:space="preserve">A fit-out account can move 5% without meaning much; an authority fees account moving 3% means something changed. Uniform tolerances are the fastest way to make a cost plan ignorable.</t>
  </si>
  <si>
    <t xml:space="preserve">Update forecasts monthly and let the stale flag do its job</t>
  </si>
  <si>
    <t xml:space="preserve">A forecast older than 30 days is reported as stale. That is not an administrative nag - an account whose forecast has not moved while its commitments have is the one to ask about.</t>
  </si>
  <si>
    <t xml:space="preserve">NOTES</t>
  </si>
  <si>
    <t xml:space="preserve">Why tolerance is per account and the project tolerance is tighter</t>
  </si>
  <si>
    <t xml:space="preserve">Individual accounts move in both directions and offset each other, so a project can look still while a great deal is happening underneath. The project-level threshold is 2% against 5% and 10% per account for exactly that reason: when the top moves, several accounts have moved at once and the offsetting has run out.</t>
  </si>
  <si>
    <t xml:space="preserve">Committed is the number that gives you time</t>
  </si>
  <si>
    <t xml:space="preserve">Budget is a decision, invoiced is history, and committed is the only one that tells you what you have already spent but not yet paid for. An account 90% committed at 40% complete has very little room left whatever its forecast says.</t>
  </si>
  <si>
    <t xml:space="preserve">Contingency drawn against progress is the early warning</t>
  </si>
  <si>
    <t xml:space="preserve">Cost variance lags because a forecast is a judgment and judgments are optimistic. Contingency drawn against percent complete is arithmetic. More than 10 points ahead of progress is a flag, and it is usually the first honest signal a project gives.</t>
  </si>
  <si>
    <t xml:space="preserve">What this file will not do for you</t>
  </si>
  <si>
    <t xml:space="preserve">It holds the framework and the current position. It does not produce the estimate, measure earned value, or draw the cashflow curve - and a cost management plan that tries to do all three is the Word document with headings that this file exists not to be.</t>
  </si>
  <si>
    <t xml:space="preserve">WHAT THIS FILE IS NOT</t>
  </si>
  <si>
    <t xml:space="preserve">It is not the estimate, and not the basis of it</t>
  </si>
  <si>
    <t xml:space="preserve">How the number was arrived at, and the assumptions behind it, are the Basis of Estimate and the Construction Estimate. Mastt publishes both. This file starts where they finish.</t>
  </si>
  <si>
    <t xml:space="preserve">It is not earned value and it is not the cashflow</t>
  </si>
  <si>
    <t xml:space="preserve">Performance measurement against work done is the Earned Value Analysis Template; the spend curve over time is the S Curve Excel Template. Both read from the budget this framework controls.</t>
  </si>
  <si>
    <t xml:space="preserve">It is not the change log or the payment record</t>
  </si>
  <si>
    <t xml:space="preserve">What moved the budget after award is the Change Log Template. Payment against work done is the Progress Claim Template. This file holds the totals those two produce.</t>
  </si>
  <si>
    <t xml:space="preserve">Contingency rules live in the risk management plan</t>
  </si>
  <si>
    <t xml:space="preserve">This file holds the contingency balance and reports it. The rules about when it may be drawn, against what, and by whom belong with the risks it covers - Mastt publishes a Construction Risk Management Plan for that.</t>
  </si>
  <si>
    <t xml:space="preserve">IMPORTANT</t>
  </si>
  <si>
    <t xml:space="preserve">This is a template and a worked example, not financial, accounting or legal advice. The project, the people and every figure in it are invented and illustrative - the budgets, the tolerances and the escalation thresholds must be set to your own project's value and your own delegations before this framework is used to make a decision. Figures held here are a project control summary and are not an accounting record: reconcile them to your finance system every cycle, and where the two disagree the finance system governs. Have the delegations and any commitment authority reviewed before you rely on them.</t>
  </si>
</sst>
</file>

<file path=xl/styles.xml><?xml version="1.0" encoding="utf-8"?>
<styleSheet xmlns="http://schemas.openxmlformats.org/spreadsheetml/2006/main">
  <numFmts count="6">
    <numFmt numFmtId="164" formatCode="General"/>
    <numFmt numFmtId="165" formatCode="\$#,##0;&quot;-$&quot;#,##0;\-"/>
    <numFmt numFmtId="166" formatCode="0%"/>
    <numFmt numFmtId="167" formatCode="&quot;+$&quot;#,##0;&quot;-$&quot;#,##0;\-"/>
    <numFmt numFmtId="168" formatCode="\+0.0%;\-0.0%;\-"/>
    <numFmt numFmtId="169" formatCode="#,##0;;\-"/>
  </numFmts>
  <fonts count="27">
    <font>
      <sz val="11"/>
      <color theme="1"/>
      <name val="Calibri"/>
      <family val="2"/>
      <charset val="1"/>
    </font>
    <font>
      <sz val="10"/>
      <name val="Arial"/>
      <family val="0"/>
    </font>
    <font>
      <sz val="10"/>
      <name val="Arial"/>
      <family val="0"/>
    </font>
    <font>
      <sz val="10"/>
      <name val="Arial"/>
      <family val="0"/>
    </font>
    <font>
      <b val="true"/>
      <sz val="13"/>
      <color rgb="FFFFFFFF"/>
      <name val="Inter"/>
      <family val="0"/>
      <charset val="1"/>
    </font>
    <font>
      <b val="true"/>
      <sz val="11"/>
      <color rgb="FFFFFFFF"/>
      <name val="Inter"/>
      <family val="0"/>
      <charset val="1"/>
    </font>
    <font>
      <b val="true"/>
      <sz val="9.5"/>
      <color rgb="FF1D3245"/>
      <name val="Inter"/>
      <family val="0"/>
      <charset val="1"/>
    </font>
    <font>
      <i val="true"/>
      <sz val="9"/>
      <color rgb="FF8E98A2"/>
      <name val="Inter"/>
      <family val="0"/>
      <charset val="1"/>
    </font>
    <font>
      <sz val="10"/>
      <color rgb="FF0D3C61"/>
      <name val="Inter"/>
      <family val="0"/>
      <charset val="1"/>
    </font>
    <font>
      <b val="true"/>
      <sz val="9.5"/>
      <color rgb="FF0D3C61"/>
      <name val="Inter"/>
      <family val="0"/>
      <charset val="1"/>
    </font>
    <font>
      <sz val="9"/>
      <color rgb="FF1D3245"/>
      <name val="Inter"/>
      <family val="0"/>
      <charset val="1"/>
    </font>
    <font>
      <i val="true"/>
      <sz val="8.5"/>
      <color rgb="FF8E98A2"/>
      <name val="Inter"/>
      <family val="0"/>
      <charset val="1"/>
    </font>
    <font>
      <u val="single"/>
      <sz val="9.5"/>
      <color rgb="FF3480BC"/>
      <name val="Inter"/>
      <family val="0"/>
      <charset val="1"/>
    </font>
    <font>
      <b val="true"/>
      <sz val="9"/>
      <color rgb="FF0D3C61"/>
      <name val="Inter"/>
      <family val="0"/>
      <charset val="1"/>
    </font>
    <font>
      <b val="true"/>
      <sz val="10"/>
      <color rgb="FF0D3C61"/>
      <name val="Inter"/>
      <family val="0"/>
      <charset val="1"/>
    </font>
    <font>
      <sz val="9"/>
      <color rgb="FF8E98A2"/>
      <name val="Inter"/>
      <family val="0"/>
      <charset val="1"/>
    </font>
    <font>
      <b val="true"/>
      <sz val="8.5"/>
      <color rgb="FF0D3C61"/>
      <name val="Inter"/>
      <family val="0"/>
      <charset val="1"/>
    </font>
    <font>
      <sz val="10"/>
      <color rgb="FF1D3245"/>
      <name val="Inter"/>
      <family val="0"/>
      <charset val="1"/>
    </font>
    <font>
      <b val="true"/>
      <sz val="10"/>
      <color rgb="FF1D3245"/>
      <name val="Inter"/>
      <family val="0"/>
      <charset val="1"/>
    </font>
    <font>
      <b val="true"/>
      <sz val="10"/>
      <color rgb="FFFFFFFF"/>
      <name val="Inter"/>
      <family val="0"/>
      <charset val="1"/>
    </font>
    <font>
      <b val="true"/>
      <sz val="12"/>
      <color rgb="FF1D3245"/>
      <name val="Inter"/>
      <family val="0"/>
      <charset val="1"/>
    </font>
    <font>
      <b val="true"/>
      <sz val="8"/>
      <color rgb="FF8E98A2"/>
      <name val="Inter"/>
      <family val="0"/>
      <charset val="1"/>
    </font>
    <font>
      <b val="true"/>
      <sz val="22"/>
      <color rgb="FF1D3245"/>
      <name val="Inter"/>
      <family val="0"/>
      <charset val="1"/>
    </font>
    <font>
      <i val="true"/>
      <sz val="8"/>
      <color rgb="FF8E98A2"/>
      <name val="Inter"/>
      <family val="0"/>
      <charset val="1"/>
    </font>
    <font>
      <sz val="9.5"/>
      <color rgb="FF1D3245"/>
      <name val="Inter"/>
      <family val="0"/>
      <charset val="1"/>
    </font>
    <font>
      <sz val="8.5"/>
      <color rgb="FF8E98A2"/>
      <name val="Inter"/>
      <family val="0"/>
      <charset val="1"/>
    </font>
    <font>
      <sz val="8.5"/>
      <color rgb="FF1D3245"/>
      <name val="Inter"/>
      <family val="0"/>
      <charset val="1"/>
    </font>
  </fonts>
  <fills count="14">
    <fill>
      <patternFill patternType="none"/>
    </fill>
    <fill>
      <patternFill patternType="gray125"/>
    </fill>
    <fill>
      <patternFill patternType="solid">
        <fgColor rgb="FF1D3245"/>
        <bgColor rgb="FF0D3C61"/>
      </patternFill>
    </fill>
    <fill>
      <patternFill patternType="solid">
        <fgColor rgb="FF3480BC"/>
        <bgColor rgb="FF339966"/>
      </patternFill>
    </fill>
    <fill>
      <patternFill patternType="solid">
        <fgColor rgb="FF0D3C61"/>
        <bgColor rgb="FF1D3245"/>
      </patternFill>
    </fill>
    <fill>
      <patternFill patternType="solid">
        <fgColor rgb="FFE3F0FA"/>
        <bgColor rgb="FFDCE9F4"/>
      </patternFill>
    </fill>
    <fill>
      <patternFill patternType="solid">
        <fgColor rgb="FFDCE9F4"/>
        <bgColor rgb="FFE3F0FA"/>
      </patternFill>
    </fill>
    <fill>
      <patternFill patternType="solid">
        <fgColor rgb="FFFDEBE9"/>
        <bgColor rgb="FFFDEBE0"/>
      </patternFill>
    </fill>
    <fill>
      <patternFill patternType="solid">
        <fgColor rgb="FFFDEBE0"/>
        <bgColor rgb="FFFDEBE9"/>
      </patternFill>
    </fill>
    <fill>
      <patternFill patternType="solid">
        <fgColor rgb="FFFFF4E0"/>
        <bgColor rgb="FFFDEBE0"/>
      </patternFill>
    </fill>
    <fill>
      <patternFill patternType="solid">
        <fgColor rgb="FFE8F5E9"/>
        <bgColor rgb="FFEEEEEE"/>
      </patternFill>
    </fill>
    <fill>
      <patternFill patternType="solid">
        <fgColor rgb="FFF6F9FC"/>
        <bgColor rgb="FFF5F5F5"/>
      </patternFill>
    </fill>
    <fill>
      <patternFill patternType="solid">
        <fgColor rgb="FFEEEEEE"/>
        <bgColor rgb="FFE8F5E9"/>
      </patternFill>
    </fill>
    <fill>
      <patternFill patternType="solid">
        <fgColor rgb="FFF5F5F5"/>
        <bgColor rgb="FFF6F9FC"/>
      </patternFill>
    </fill>
  </fills>
  <borders count="3">
    <border diagonalUp="false" diagonalDown="false">
      <left/>
      <right/>
      <top/>
      <bottom/>
      <diagonal/>
    </border>
    <border diagonalUp="false" diagonalDown="false">
      <left style="thin">
        <color rgb="FFE0E0E0"/>
      </left>
      <right style="thin">
        <color rgb="FFE0E0E0"/>
      </right>
      <top style="thin">
        <color rgb="FFE0E0E0"/>
      </top>
      <bottom style="thin">
        <color rgb="FFE0E0E0"/>
      </bottom>
      <diagonal/>
    </border>
    <border diagonalUp="false" diagonalDown="false">
      <left style="thin">
        <color rgb="FFE0E0E0"/>
      </left>
      <right style="thin">
        <color rgb="FFE0E0E0"/>
      </right>
      <top style="thin">
        <color rgb="FFE0E0E0"/>
      </top>
      <bottom style="medium">
        <color rgb="FF3480BC"/>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6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left" vertical="center" textRotation="0" wrapText="false" indent="15" shrinkToFit="false"/>
      <protection locked="true" hidden="false"/>
    </xf>
    <xf numFmtId="164" fontId="5" fillId="3" borderId="0" xfId="0" applyFont="true" applyBorder="true" applyAlignment="true" applyProtection="false">
      <alignment horizontal="left" vertical="center" textRotation="0" wrapText="false" indent="1" shrinkToFit="false"/>
      <protection locked="true" hidden="false"/>
    </xf>
    <xf numFmtId="164" fontId="6" fillId="0" borderId="0" xfId="0" applyFont="true" applyBorder="true" applyAlignment="true" applyProtection="false">
      <alignment horizontal="left" vertical="center" textRotation="0" wrapText="false" indent="1" shrinkToFit="false"/>
      <protection locked="true" hidden="false"/>
    </xf>
    <xf numFmtId="164" fontId="7" fillId="0" borderId="0" xfId="0" applyFont="true" applyBorder="true" applyAlignment="true" applyProtection="false">
      <alignment horizontal="left" vertical="top" textRotation="0" wrapText="true" indent="1" shrinkToFit="false"/>
      <protection locked="true" hidden="false"/>
    </xf>
    <xf numFmtId="164" fontId="5" fillId="4" borderId="0" xfId="0" applyFont="true" applyBorder="true" applyAlignment="true" applyProtection="false">
      <alignment horizontal="left" vertical="center" textRotation="0" wrapText="false" indent="1" shrinkToFit="false"/>
      <protection locked="true" hidden="false"/>
    </xf>
    <xf numFmtId="164" fontId="6" fillId="0" borderId="0" xfId="0" applyFont="true" applyBorder="false" applyAlignment="true" applyProtection="false">
      <alignment horizontal="left" vertical="center" textRotation="0" wrapText="false" indent="1" shrinkToFit="false"/>
      <protection locked="true" hidden="false"/>
    </xf>
    <xf numFmtId="164" fontId="8" fillId="5" borderId="1" xfId="0" applyFont="true" applyBorder="true" applyAlignment="true" applyProtection="false">
      <alignment horizontal="left" vertical="center" textRotation="0" wrapText="false" indent="1" shrinkToFit="false"/>
      <protection locked="true" hidden="false"/>
    </xf>
    <xf numFmtId="164" fontId="9" fillId="0" borderId="0" xfId="0" applyFont="true" applyBorder="false" applyAlignment="true" applyProtection="false">
      <alignment horizontal="left" vertical="top" textRotation="0" wrapText="true" indent="1" shrinkToFit="false"/>
      <protection locked="true" hidden="false"/>
    </xf>
    <xf numFmtId="164" fontId="10" fillId="0" borderId="0" xfId="0" applyFont="true" applyBorder="true" applyAlignment="true" applyProtection="false">
      <alignment horizontal="left" vertical="top" textRotation="0" wrapText="true" indent="1" shrinkToFit="false"/>
      <protection locked="true" hidden="false"/>
    </xf>
    <xf numFmtId="164" fontId="7" fillId="0" borderId="0" xfId="0" applyFont="true" applyBorder="true" applyAlignment="true" applyProtection="false">
      <alignment horizontal="left" vertical="center" textRotation="0" wrapText="true" indent="1" shrinkToFit="false"/>
      <protection locked="true" hidden="false"/>
    </xf>
    <xf numFmtId="164" fontId="11" fillId="0" borderId="0" xfId="0" applyFont="true" applyBorder="false" applyAlignment="true" applyProtection="false">
      <alignment horizontal="left" vertical="center" textRotation="0" wrapText="false" indent="1" shrinkToFit="false"/>
      <protection locked="true" hidden="false"/>
    </xf>
    <xf numFmtId="164" fontId="12" fillId="0" borderId="0" xfId="0" applyFont="true" applyBorder="true" applyAlignment="true" applyProtection="false">
      <alignment horizontal="right" vertical="center" textRotation="0" wrapText="false" indent="0" shrinkToFit="false"/>
      <protection locked="true" hidden="false"/>
    </xf>
    <xf numFmtId="164" fontId="13" fillId="6" borderId="0" xfId="0" applyFont="true" applyBorder="false" applyAlignment="true" applyProtection="false">
      <alignment horizontal="center" vertical="center" textRotation="0" wrapText="false" indent="0" shrinkToFit="false"/>
      <protection locked="true" hidden="false"/>
    </xf>
    <xf numFmtId="164" fontId="13" fillId="6" borderId="0" xfId="0" applyFont="true" applyBorder="false" applyAlignment="true" applyProtection="false">
      <alignment horizontal="left" vertical="center" textRotation="0" wrapText="false" indent="1" shrinkToFit="false"/>
      <protection locked="true" hidden="false"/>
    </xf>
    <xf numFmtId="164" fontId="14" fillId="0" borderId="0" xfId="0" applyFont="true" applyBorder="false" applyAlignment="true" applyProtection="false">
      <alignment horizontal="center" vertical="center" textRotation="0" wrapText="false" indent="0" shrinkToFit="false"/>
      <protection locked="true" hidden="false"/>
    </xf>
    <xf numFmtId="164" fontId="9" fillId="0" borderId="0" xfId="0" applyFont="true" applyBorder="false" applyAlignment="true" applyProtection="false">
      <alignment horizontal="left" vertical="center" textRotation="0" wrapText="true" indent="1" shrinkToFit="false"/>
      <protection locked="true" hidden="false"/>
    </xf>
    <xf numFmtId="164" fontId="8" fillId="5" borderId="1" xfId="0" applyFont="true" applyBorder="true" applyAlignment="true" applyProtection="false">
      <alignment horizontal="left" vertical="center" textRotation="0" wrapText="true" indent="1" shrinkToFit="false"/>
      <protection locked="true" hidden="false"/>
    </xf>
    <xf numFmtId="164" fontId="15" fillId="0" borderId="0" xfId="0" applyFont="true" applyBorder="false" applyAlignment="true" applyProtection="false">
      <alignment horizontal="left" vertical="center" textRotation="0" wrapText="true" indent="1" shrinkToFit="false"/>
      <protection locked="true" hidden="false"/>
    </xf>
    <xf numFmtId="165" fontId="8" fillId="5" borderId="1" xfId="0" applyFont="true" applyBorder="true" applyAlignment="true" applyProtection="false">
      <alignment horizontal="center" vertical="center" textRotation="0" wrapText="false" indent="1" shrinkToFit="false"/>
      <protection locked="true" hidden="false"/>
    </xf>
    <xf numFmtId="166" fontId="8" fillId="5" borderId="1" xfId="0" applyFont="true" applyBorder="true" applyAlignment="true" applyProtection="false">
      <alignment horizontal="center" vertical="center" textRotation="0" wrapText="false" indent="1" shrinkToFit="false"/>
      <protection locked="true" hidden="false"/>
    </xf>
    <xf numFmtId="164" fontId="13" fillId="6" borderId="0" xfId="0" applyFont="true" applyBorder="true" applyAlignment="true" applyProtection="false">
      <alignment horizontal="left" vertical="center" textRotation="0" wrapText="false" indent="1" shrinkToFit="false"/>
      <protection locked="true" hidden="false"/>
    </xf>
    <xf numFmtId="164" fontId="9" fillId="7" borderId="0" xfId="0" applyFont="true" applyBorder="true" applyAlignment="true" applyProtection="false">
      <alignment horizontal="left" vertical="center" textRotation="0" wrapText="false" indent="1" shrinkToFit="false"/>
      <protection locked="true" hidden="false"/>
    </xf>
    <xf numFmtId="164" fontId="10" fillId="0" borderId="0" xfId="0" applyFont="true" applyBorder="true" applyAlignment="true" applyProtection="false">
      <alignment horizontal="left" vertical="center" textRotation="0" wrapText="true" indent="1" shrinkToFit="false"/>
      <protection locked="true" hidden="false"/>
    </xf>
    <xf numFmtId="164" fontId="9" fillId="8" borderId="0" xfId="0" applyFont="true" applyBorder="true" applyAlignment="true" applyProtection="false">
      <alignment horizontal="left" vertical="center" textRotation="0" wrapText="false" indent="1" shrinkToFit="false"/>
      <protection locked="true" hidden="false"/>
    </xf>
    <xf numFmtId="164" fontId="9" fillId="9" borderId="0" xfId="0" applyFont="true" applyBorder="true" applyAlignment="true" applyProtection="false">
      <alignment horizontal="left" vertical="center" textRotation="0" wrapText="false" indent="1" shrinkToFit="false"/>
      <protection locked="true" hidden="false"/>
    </xf>
    <xf numFmtId="164" fontId="9" fillId="5" borderId="0" xfId="0" applyFont="true" applyBorder="true" applyAlignment="true" applyProtection="false">
      <alignment horizontal="left" vertical="center" textRotation="0" wrapText="false" indent="1" shrinkToFit="false"/>
      <protection locked="true" hidden="false"/>
    </xf>
    <xf numFmtId="164" fontId="9" fillId="10" borderId="0" xfId="0" applyFont="true" applyBorder="true" applyAlignment="true" applyProtection="false">
      <alignment horizontal="left" vertical="center" textRotation="0" wrapText="false" indent="1" shrinkToFit="false"/>
      <protection locked="true" hidden="false"/>
    </xf>
    <xf numFmtId="164" fontId="11" fillId="0" borderId="0" xfId="0" applyFont="true" applyBorder="true" applyAlignment="true" applyProtection="false">
      <alignment horizontal="left" vertical="top" textRotation="0" wrapText="true" indent="1" shrinkToFit="false"/>
      <protection locked="true" hidden="false"/>
    </xf>
    <xf numFmtId="164" fontId="16" fillId="6" borderId="2" xfId="0" applyFont="true" applyBorder="true" applyAlignment="true" applyProtection="false">
      <alignment horizontal="center" vertical="center" textRotation="0" wrapText="true" indent="0" shrinkToFit="false"/>
      <protection locked="true" hidden="false"/>
    </xf>
    <xf numFmtId="164" fontId="8" fillId="5" borderId="1" xfId="0" applyFont="true" applyBorder="true" applyAlignment="true" applyProtection="false">
      <alignment horizontal="center" vertical="center" textRotation="0" wrapText="false" indent="1" shrinkToFit="false"/>
      <protection locked="true" hidden="false"/>
    </xf>
    <xf numFmtId="165" fontId="8" fillId="5" borderId="1" xfId="0" applyFont="true" applyBorder="true" applyAlignment="true" applyProtection="false">
      <alignment horizontal="right" vertical="center" textRotation="0" wrapText="false" indent="1" shrinkToFit="false"/>
      <protection locked="true" hidden="false"/>
    </xf>
    <xf numFmtId="167" fontId="17" fillId="11" borderId="1" xfId="0" applyFont="true" applyBorder="true" applyAlignment="true" applyProtection="false">
      <alignment horizontal="right" vertical="center" textRotation="0" wrapText="false" indent="1" shrinkToFit="false"/>
      <protection locked="true" hidden="false"/>
    </xf>
    <xf numFmtId="168" fontId="17" fillId="11" borderId="1" xfId="0" applyFont="true" applyBorder="true" applyAlignment="true" applyProtection="false">
      <alignment horizontal="center" vertical="center" textRotation="0" wrapText="false" indent="1" shrinkToFit="false"/>
      <protection locked="true" hidden="false"/>
    </xf>
    <xf numFmtId="164" fontId="17" fillId="11" borderId="1" xfId="0" applyFont="true" applyBorder="true" applyAlignment="true" applyProtection="false">
      <alignment horizontal="left" vertical="center" textRotation="0" wrapText="false" indent="1" shrinkToFit="false"/>
      <protection locked="true" hidden="false"/>
    </xf>
    <xf numFmtId="169" fontId="17" fillId="11" borderId="1" xfId="0" applyFont="true" applyBorder="true" applyAlignment="true" applyProtection="false">
      <alignment horizontal="left" vertical="center" textRotation="0" wrapText="false" indent="1" shrinkToFit="false"/>
      <protection locked="true" hidden="false"/>
    </xf>
    <xf numFmtId="164" fontId="0" fillId="12" borderId="0" xfId="0" applyFont="false" applyBorder="false" applyAlignment="false" applyProtection="false">
      <alignment horizontal="general" vertical="bottom" textRotation="0" wrapText="false" indent="0" shrinkToFit="false"/>
      <protection locked="true" hidden="false"/>
    </xf>
    <xf numFmtId="164" fontId="6" fillId="12" borderId="0" xfId="0" applyFont="true" applyBorder="false" applyAlignment="true" applyProtection="false">
      <alignment horizontal="left" vertical="center" textRotation="0" wrapText="false" indent="1" shrinkToFit="false"/>
      <protection locked="true" hidden="false"/>
    </xf>
    <xf numFmtId="165" fontId="18" fillId="11" borderId="1" xfId="0" applyFont="true" applyBorder="true" applyAlignment="true" applyProtection="false">
      <alignment horizontal="right" vertical="center" textRotation="0" wrapText="false" indent="1" shrinkToFit="false"/>
      <protection locked="true" hidden="false"/>
    </xf>
    <xf numFmtId="167" fontId="18" fillId="11" borderId="1" xfId="0" applyFont="true" applyBorder="true" applyAlignment="true" applyProtection="false">
      <alignment horizontal="right" vertical="center" textRotation="0" wrapText="false" indent="1" shrinkToFit="false"/>
      <protection locked="true" hidden="false"/>
    </xf>
    <xf numFmtId="164" fontId="18" fillId="11" borderId="1" xfId="0" applyFont="true" applyBorder="true" applyAlignment="true" applyProtection="false">
      <alignment horizontal="left" vertical="center" textRotation="0" wrapText="false" indent="1" shrinkToFit="false"/>
      <protection locked="true" hidden="false"/>
    </xf>
    <xf numFmtId="164" fontId="9" fillId="0" borderId="0" xfId="0" applyFont="true" applyBorder="false" applyAlignment="true" applyProtection="false">
      <alignment horizontal="left" vertical="center" textRotation="0" wrapText="false" indent="1" shrinkToFit="false"/>
      <protection locked="true" hidden="false"/>
    </xf>
    <xf numFmtId="165" fontId="17" fillId="11" borderId="1" xfId="0" applyFont="true" applyBorder="true" applyAlignment="true" applyProtection="false">
      <alignment horizontal="right" vertical="center" textRotation="0" wrapText="false" indent="1" shrinkToFit="false"/>
      <protection locked="true" hidden="false"/>
    </xf>
    <xf numFmtId="164" fontId="0" fillId="4" borderId="0" xfId="0" applyFont="false" applyBorder="false" applyAlignment="false" applyProtection="false">
      <alignment horizontal="general" vertical="bottom" textRotation="0" wrapText="false" indent="0" shrinkToFit="false"/>
      <protection locked="true" hidden="false"/>
    </xf>
    <xf numFmtId="164" fontId="19" fillId="4" borderId="0" xfId="0" applyFont="true" applyBorder="false" applyAlignment="true" applyProtection="false">
      <alignment horizontal="left" vertical="center" textRotation="0" wrapText="false" indent="1" shrinkToFit="false"/>
      <protection locked="true" hidden="false"/>
    </xf>
    <xf numFmtId="164" fontId="20" fillId="0" borderId="0" xfId="0" applyFont="true" applyBorder="true" applyAlignment="true" applyProtection="false">
      <alignment horizontal="left" vertical="center" textRotation="0" wrapText="false" indent="1" shrinkToFit="false"/>
      <protection locked="true" hidden="false"/>
    </xf>
    <xf numFmtId="164" fontId="21" fillId="13" borderId="0" xfId="0" applyFont="true" applyBorder="true" applyAlignment="true" applyProtection="false">
      <alignment horizontal="center" vertical="bottom" textRotation="0" wrapText="false" indent="0" shrinkToFit="false"/>
      <protection locked="true" hidden="false"/>
    </xf>
    <xf numFmtId="165" fontId="22" fillId="13" borderId="0" xfId="0" applyFont="true" applyBorder="true" applyAlignment="true" applyProtection="false">
      <alignment horizontal="center" vertical="center" textRotation="0" wrapText="false" indent="0" shrinkToFit="false"/>
      <protection locked="true" hidden="false"/>
    </xf>
    <xf numFmtId="169" fontId="22" fillId="13" borderId="0" xfId="0" applyFont="true" applyBorder="true" applyAlignment="true" applyProtection="false">
      <alignment horizontal="center" vertical="center" textRotation="0" wrapText="false" indent="0" shrinkToFit="false"/>
      <protection locked="true" hidden="false"/>
    </xf>
    <xf numFmtId="164" fontId="23" fillId="13" borderId="0" xfId="0" applyFont="true" applyBorder="true" applyAlignment="true" applyProtection="false">
      <alignment horizontal="center" vertical="top" textRotation="0" wrapText="true" indent="0" shrinkToFit="false"/>
      <protection locked="true" hidden="false"/>
    </xf>
    <xf numFmtId="164" fontId="13" fillId="6" borderId="2" xfId="0" applyFont="true" applyBorder="true" applyAlignment="true" applyProtection="false">
      <alignment horizontal="center" vertical="center" textRotation="0" wrapText="true" indent="0" shrinkToFit="false"/>
      <protection locked="true" hidden="false"/>
    </xf>
    <xf numFmtId="169" fontId="17" fillId="11" borderId="1" xfId="0" applyFont="true" applyBorder="true" applyAlignment="true" applyProtection="false">
      <alignment horizontal="center" vertical="center" textRotation="0" wrapText="false" indent="1"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false" applyAlignment="true" applyProtection="false">
      <alignment horizontal="left" vertical="center" textRotation="0" wrapText="true" indent="1" shrinkToFit="false"/>
      <protection locked="true" hidden="false"/>
    </xf>
    <xf numFmtId="164" fontId="25" fillId="0" borderId="0" xfId="0" applyFont="true" applyBorder="false" applyAlignment="true" applyProtection="false">
      <alignment horizontal="left" vertical="center" textRotation="0" wrapText="true" indent="1" shrinkToFit="false"/>
      <protection locked="true" hidden="false"/>
    </xf>
    <xf numFmtId="169" fontId="8" fillId="5" borderId="1" xfId="0" applyFont="true" applyBorder="true" applyAlignment="true" applyProtection="false">
      <alignment horizontal="center" vertical="center" textRotation="0" wrapText="false" indent="1" shrinkToFit="false"/>
      <protection locked="true" hidden="false"/>
    </xf>
    <xf numFmtId="164" fontId="9" fillId="13" borderId="0" xfId="0" applyFont="true" applyBorder="false" applyAlignment="true" applyProtection="false">
      <alignment horizontal="left" vertical="center" textRotation="0" wrapText="true" indent="1" shrinkToFit="false"/>
      <protection locked="true" hidden="false"/>
    </xf>
    <xf numFmtId="164" fontId="26" fillId="0" borderId="0" xfId="0" applyFont="true" applyBorder="false" applyAlignment="true" applyProtection="false">
      <alignment horizontal="left" vertical="center" textRotation="0" wrapText="true" indent="1" shrinkToFit="false"/>
      <protection locked="true" hidden="false"/>
    </xf>
    <xf numFmtId="164" fontId="9" fillId="9" borderId="0" xfId="0" applyFont="true" applyBorder="false" applyAlignment="true" applyProtection="false">
      <alignment horizontal="left" vertical="center" textRotation="0" wrapText="true" indent="1" shrinkToFit="false"/>
      <protection locked="true" hidden="false"/>
    </xf>
    <xf numFmtId="164" fontId="9" fillId="8" borderId="0" xfId="0" applyFont="true" applyBorder="false" applyAlignment="true" applyProtection="false">
      <alignment horizontal="left" vertical="center" textRotation="0" wrapText="true" indent="1" shrinkToFit="false"/>
      <protection locked="true" hidden="false"/>
    </xf>
    <xf numFmtId="164" fontId="9" fillId="7" borderId="0" xfId="0" applyFont="true" applyBorder="false" applyAlignment="true" applyProtection="false">
      <alignment horizontal="left" vertical="center" textRotation="0" wrapText="true" indent="1" shrinkToFit="false"/>
      <protection locked="true" hidden="false"/>
    </xf>
    <xf numFmtId="164" fontId="10" fillId="0" borderId="0" xfId="0" applyFont="true" applyBorder="false" applyAlignment="true" applyProtection="false">
      <alignment horizontal="left" vertical="center" textRotation="0" wrapText="true" indent="1" shrinkToFit="false"/>
      <protection locked="true" hidden="false"/>
    </xf>
    <xf numFmtId="164" fontId="10" fillId="0" borderId="0" xfId="0" applyFont="true" applyBorder="false" applyAlignment="true" applyProtection="false">
      <alignment horizontal="left" vertical="top" textRotation="0" wrapText="true" indent="1"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4">
    <dxf>
      <fill>
        <patternFill>
          <bgColor rgb="FFFFF4E0"/>
        </patternFill>
      </fill>
    </dxf>
    <dxf>
      <fill>
        <patternFill>
          <bgColor rgb="FFFDEBE9"/>
        </patternFill>
      </fill>
    </dxf>
    <dxf>
      <fill>
        <patternFill>
          <bgColor rgb="FFE8F5E9"/>
        </patternFill>
      </fill>
    </dxf>
    <dxf>
      <fill>
        <patternFill>
          <bgColor rgb="FFF5F5F5"/>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EEEEEE"/>
      <rgbColor rgb="FF808080"/>
      <rgbColor rgb="FF9999FF"/>
      <rgbColor rgb="FF993366"/>
      <rgbColor rgb="FFFFF4E0"/>
      <rgbColor rgb="FFE3F0FA"/>
      <rgbColor rgb="FF660066"/>
      <rgbColor rgb="FFFF8080"/>
      <rgbColor rgb="FF0066CC"/>
      <rgbColor rgb="FFE0E0E0"/>
      <rgbColor rgb="FF000080"/>
      <rgbColor rgb="FFFF00FF"/>
      <rgbColor rgb="FFFFFF00"/>
      <rgbColor rgb="FF00FFFF"/>
      <rgbColor rgb="FF800080"/>
      <rgbColor rgb="FF800000"/>
      <rgbColor rgb="FF008080"/>
      <rgbColor rgb="FF0000FF"/>
      <rgbColor rgb="FF00CCFF"/>
      <rgbColor rgb="FFE8F5E9"/>
      <rgbColor rgb="FFDCE9F4"/>
      <rgbColor rgb="FFFDEBE0"/>
      <rgbColor rgb="FFF5F5F5"/>
      <rgbColor rgb="FFF6F9FC"/>
      <rgbColor rgb="FFCC99FF"/>
      <rgbColor rgb="FFFDEBE9"/>
      <rgbColor rgb="FF3480BC"/>
      <rgbColor rgb="FF33CCCC"/>
      <rgbColor rgb="FF99CC00"/>
      <rgbColor rgb="FFFFCC00"/>
      <rgbColor rgb="FFFF9900"/>
      <rgbColor rgb="FFFF6600"/>
      <rgbColor rgb="FF666699"/>
      <rgbColor rgb="FF8E98A2"/>
      <rgbColor rgb="FF0D3C61"/>
      <rgbColor rgb="FF339966"/>
      <rgbColor rgb="FF003300"/>
      <rgbColor rgb="FF333300"/>
      <rgbColor rgb="FF993300"/>
      <rgbColor rgb="FF993366"/>
      <rgbColor rgb="FF333399"/>
      <rgbColor rgb="FF1D3245"/>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_rels/drawing2.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_rels/drawing3.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_rels/drawing4.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_rels/drawing5.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_rels/drawing6.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_rels/drawing7.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1</xdr:col>
      <xdr:colOff>952200</xdr:colOff>
      <xdr:row>0</xdr:row>
      <xdr:rowOff>313920</xdr:rowOff>
    </xdr:to>
    <xdr:pic>
      <xdr:nvPicPr>
        <xdr:cNvPr id="0"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2</xdr:col>
      <xdr:colOff>599760</xdr:colOff>
      <xdr:row>0</xdr:row>
      <xdr:rowOff>313920</xdr:rowOff>
    </xdr:to>
    <xdr:pic>
      <xdr:nvPicPr>
        <xdr:cNvPr id="1"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2</xdr:col>
      <xdr:colOff>529200</xdr:colOff>
      <xdr:row>0</xdr:row>
      <xdr:rowOff>313920</xdr:rowOff>
    </xdr:to>
    <xdr:pic>
      <xdr:nvPicPr>
        <xdr:cNvPr id="2"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2</xdr:col>
      <xdr:colOff>247320</xdr:colOff>
      <xdr:row>0</xdr:row>
      <xdr:rowOff>313920</xdr:rowOff>
    </xdr:to>
    <xdr:pic>
      <xdr:nvPicPr>
        <xdr:cNvPr id="3"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1</xdr:col>
      <xdr:colOff>952200</xdr:colOff>
      <xdr:row>0</xdr:row>
      <xdr:rowOff>313920</xdr:rowOff>
    </xdr:to>
    <xdr:pic>
      <xdr:nvPicPr>
        <xdr:cNvPr id="4"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1</xdr:col>
      <xdr:colOff>952200</xdr:colOff>
      <xdr:row>0</xdr:row>
      <xdr:rowOff>313920</xdr:rowOff>
    </xdr:to>
    <xdr:pic>
      <xdr:nvPicPr>
        <xdr:cNvPr id="5"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1</xdr:col>
      <xdr:colOff>952200</xdr:colOff>
      <xdr:row>0</xdr:row>
      <xdr:rowOff>313920</xdr:rowOff>
    </xdr:to>
    <xdr:pic>
      <xdr:nvPicPr>
        <xdr:cNvPr id="6"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5.xml"/>
</Relationships>
</file>

<file path=xl/worksheets/_rels/sheet6.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6.xml"/>
</Relationships>
</file>

<file path=xl/worksheets/_rels/sheet7.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7.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D31"/>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30"/>
    <col collapsed="false" customWidth="true" hidden="false" outlineLevel="0" max="3" min="3" style="0" width="40"/>
    <col collapsed="false" customWidth="true" hidden="false" outlineLevel="0" max="4" min="4" style="0" width="76"/>
  </cols>
  <sheetData>
    <row r="1" customFormat="false" ht="33.75" hidden="false" customHeight="true" outlineLevel="0" collapsed="false">
      <c r="B1" s="1" t="s">
        <v>0</v>
      </c>
      <c r="C1" s="1"/>
      <c r="D1" s="1"/>
    </row>
    <row r="2" customFormat="false" ht="4.5" hidden="false" customHeight="true" outlineLevel="0" collapsed="false">
      <c r="B2" s="2"/>
      <c r="C2" s="2"/>
      <c r="D2" s="2"/>
    </row>
    <row r="3" customFormat="false" ht="16.5" hidden="false" customHeight="true" outlineLevel="0" collapsed="false">
      <c r="B3" s="3" t="str">
        <f aca="false">""</f>
        <v/>
      </c>
      <c r="C3" s="3"/>
      <c r="D3" s="3"/>
    </row>
    <row r="4" customFormat="false" ht="25.5" hidden="false" customHeight="true" outlineLevel="0" collapsed="false">
      <c r="B4" s="4" t="s">
        <v>1</v>
      </c>
      <c r="C4" s="4"/>
      <c r="D4" s="4"/>
    </row>
    <row r="6" customFormat="false" ht="21.75" hidden="false" customHeight="true" outlineLevel="0" collapsed="false">
      <c r="B6" s="5" t="s">
        <v>2</v>
      </c>
      <c r="C6" s="5"/>
      <c r="D6" s="5"/>
    </row>
    <row r="7" customFormat="false" ht="19.5" hidden="false" customHeight="true" outlineLevel="0" collapsed="false">
      <c r="B7" s="6" t="s">
        <v>3</v>
      </c>
      <c r="C7" s="7" t="s">
        <v>4</v>
      </c>
      <c r="D7" s="7"/>
    </row>
    <row r="8" customFormat="false" ht="19.5" hidden="false" customHeight="true" outlineLevel="0" collapsed="false">
      <c r="B8" s="6" t="s">
        <v>5</v>
      </c>
      <c r="C8" s="7" t="s">
        <v>6</v>
      </c>
      <c r="D8" s="7"/>
    </row>
    <row r="9" customFormat="false" ht="19.5" hidden="false" customHeight="true" outlineLevel="0" collapsed="false">
      <c r="B9" s="6" t="s">
        <v>7</v>
      </c>
      <c r="C9" s="7" t="s">
        <v>8</v>
      </c>
      <c r="D9" s="7"/>
    </row>
    <row r="10" customFormat="false" ht="19.5" hidden="false" customHeight="true" outlineLevel="0" collapsed="false">
      <c r="B10" s="6" t="s">
        <v>9</v>
      </c>
      <c r="C10" s="7" t="s">
        <v>10</v>
      </c>
      <c r="D10" s="7"/>
    </row>
    <row r="11" customFormat="false" ht="19.5" hidden="false" customHeight="true" outlineLevel="0" collapsed="false">
      <c r="B11" s="6" t="s">
        <v>11</v>
      </c>
      <c r="C11" s="7" t="s">
        <v>12</v>
      </c>
      <c r="D11" s="7"/>
    </row>
    <row r="12" customFormat="false" ht="19.5" hidden="false" customHeight="true" outlineLevel="0" collapsed="false">
      <c r="B12" s="6" t="s">
        <v>13</v>
      </c>
      <c r="C12" s="7" t="s">
        <v>14</v>
      </c>
      <c r="D12" s="7"/>
    </row>
    <row r="13" customFormat="false" ht="19.5" hidden="false" customHeight="true" outlineLevel="0" collapsed="false">
      <c r="B13" s="6" t="s">
        <v>15</v>
      </c>
      <c r="C13" s="7" t="s">
        <v>16</v>
      </c>
      <c r="D13" s="7"/>
    </row>
    <row r="14" customFormat="false" ht="19.5" hidden="false" customHeight="true" outlineLevel="0" collapsed="false">
      <c r="B14" s="6" t="s">
        <v>17</v>
      </c>
      <c r="C14" s="7" t="s">
        <v>18</v>
      </c>
      <c r="D14" s="7"/>
    </row>
    <row r="15" customFormat="false" ht="19.5" hidden="false" customHeight="true" outlineLevel="0" collapsed="false">
      <c r="B15" s="6" t="s">
        <v>19</v>
      </c>
      <c r="C15" s="7" t="s">
        <v>20</v>
      </c>
      <c r="D15" s="7"/>
    </row>
    <row r="16" customFormat="false" ht="19.5" hidden="false" customHeight="true" outlineLevel="0" collapsed="false">
      <c r="B16" s="6" t="s">
        <v>21</v>
      </c>
      <c r="C16" s="7" t="s">
        <v>22</v>
      </c>
      <c r="D16" s="7"/>
    </row>
    <row r="18" customFormat="false" ht="21.75" hidden="false" customHeight="true" outlineLevel="0" collapsed="false">
      <c r="B18" s="5" t="s">
        <v>23</v>
      </c>
      <c r="C18" s="5"/>
      <c r="D18" s="5"/>
    </row>
    <row r="19" customFormat="false" ht="30" hidden="false" customHeight="true" outlineLevel="0" collapsed="false">
      <c r="B19" s="8" t="s">
        <v>24</v>
      </c>
      <c r="C19" s="9" t="s">
        <v>25</v>
      </c>
      <c r="D19" s="9"/>
    </row>
    <row r="20" customFormat="false" ht="30" hidden="false" customHeight="true" outlineLevel="0" collapsed="false">
      <c r="B20" s="8" t="s">
        <v>26</v>
      </c>
      <c r="C20" s="9" t="s">
        <v>27</v>
      </c>
      <c r="D20" s="9"/>
    </row>
    <row r="21" customFormat="false" ht="30" hidden="false" customHeight="true" outlineLevel="0" collapsed="false">
      <c r="B21" s="8" t="s">
        <v>28</v>
      </c>
      <c r="C21" s="9" t="s">
        <v>29</v>
      </c>
      <c r="D21" s="9"/>
    </row>
    <row r="22" customFormat="false" ht="30" hidden="false" customHeight="true" outlineLevel="0" collapsed="false">
      <c r="B22" s="8" t="s">
        <v>30</v>
      </c>
      <c r="C22" s="9" t="s">
        <v>31</v>
      </c>
      <c r="D22" s="9"/>
    </row>
    <row r="24" customFormat="false" ht="21.75" hidden="false" customHeight="true" outlineLevel="0" collapsed="false">
      <c r="B24" s="5" t="s">
        <v>32</v>
      </c>
      <c r="C24" s="5"/>
      <c r="D24" s="5"/>
    </row>
    <row r="25" customFormat="false" ht="21.75" hidden="false" customHeight="true" outlineLevel="0" collapsed="false">
      <c r="B25" s="10" t="s">
        <v>33</v>
      </c>
      <c r="C25" s="10"/>
      <c r="D25" s="10"/>
    </row>
    <row r="26" customFormat="false" ht="24" hidden="false" customHeight="true" outlineLevel="0" collapsed="false">
      <c r="B26" s="6" t="s">
        <v>34</v>
      </c>
      <c r="C26" s="7"/>
      <c r="D26" s="11" t="s">
        <v>35</v>
      </c>
    </row>
    <row r="27" customFormat="false" ht="24" hidden="false" customHeight="true" outlineLevel="0" collapsed="false">
      <c r="B27" s="6" t="s">
        <v>36</v>
      </c>
      <c r="C27" s="7"/>
      <c r="D27" s="11" t="s">
        <v>35</v>
      </c>
    </row>
    <row r="28" customFormat="false" ht="24" hidden="false" customHeight="true" outlineLevel="0" collapsed="false">
      <c r="B28" s="6" t="s">
        <v>37</v>
      </c>
      <c r="C28" s="7"/>
      <c r="D28" s="11" t="s">
        <v>35</v>
      </c>
    </row>
    <row r="31" customFormat="false" ht="18" hidden="false" customHeight="true" outlineLevel="0" collapsed="false">
      <c r="B31" s="12" t="s">
        <v>38</v>
      </c>
      <c r="C31" s="12"/>
      <c r="D31" s="12"/>
    </row>
  </sheetData>
  <mergeCells count="23">
    <mergeCell ref="B1:D1"/>
    <mergeCell ref="B2:D2"/>
    <mergeCell ref="B3:D3"/>
    <mergeCell ref="B4:D4"/>
    <mergeCell ref="B6:D6"/>
    <mergeCell ref="C7:D7"/>
    <mergeCell ref="C8:D8"/>
    <mergeCell ref="C9:D9"/>
    <mergeCell ref="C10:D10"/>
    <mergeCell ref="C11:D11"/>
    <mergeCell ref="C12:D12"/>
    <mergeCell ref="C13:D13"/>
    <mergeCell ref="C14:D14"/>
    <mergeCell ref="C15:D15"/>
    <mergeCell ref="C16:D16"/>
    <mergeCell ref="B18:D18"/>
    <mergeCell ref="C19:D19"/>
    <mergeCell ref="C20:D20"/>
    <mergeCell ref="C21:D21"/>
    <mergeCell ref="C22:D22"/>
    <mergeCell ref="B24:D24"/>
    <mergeCell ref="B25:D25"/>
    <mergeCell ref="B31:D31"/>
  </mergeCells>
  <conditionalFormatting sqref="B3:D3">
    <cfRule type="expression" priority="2" aboveAverage="0" equalAverage="0" bottom="0" percent="0" rank="0" text="" dxfId="0">
      <formula>LEN($B$3)&gt;0</formula>
    </cfRule>
  </conditionalFormatting>
  <hyperlinks>
    <hyperlink ref="B31" r:id="rId1" display="Visit mastt.com"/>
  </hyperlinks>
  <printOptions headings="false" gridLines="false" gridLinesSet="true" horizontalCentered="false" verticalCentered="false"/>
  <pageMargins left="0.3" right="0.3" top="0.4" bottom="0.4" header="0.511811023622047" footer="0.15"/>
  <pageSetup paperSize="9" scale="100" fitToWidth="1" fitToHeight="1" pageOrder="downThenOver" orientation="landscape" blackAndWhite="false" draft="false" cellComments="none" horizontalDpi="300" verticalDpi="300" copies="1"/>
  <headerFooter differentFirst="false" differentOddEven="false">
    <oddHeader/>
    <oddFooter>&amp;R&amp;9 &amp;K3480bcVisit mastt.com</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E3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5"/>
    <col collapsed="false" customWidth="true" hidden="false" outlineLevel="0" max="3" min="3" style="0" width="28"/>
    <col collapsed="false" customWidth="true" hidden="false" outlineLevel="0" max="4" min="4" style="0" width="48"/>
    <col collapsed="false" customWidth="true" hidden="false" outlineLevel="0" max="5" min="5" style="0" width="76"/>
  </cols>
  <sheetData>
    <row r="1" customFormat="false" ht="33.75" hidden="false" customHeight="true" outlineLevel="0" collapsed="false">
      <c r="B1" s="1" t="s">
        <v>0</v>
      </c>
      <c r="C1" s="1"/>
      <c r="D1" s="1"/>
      <c r="E1" s="1"/>
    </row>
    <row r="2" customFormat="false" ht="4.5" hidden="false" customHeight="true" outlineLevel="0" collapsed="false">
      <c r="B2" s="2"/>
      <c r="C2" s="2"/>
      <c r="D2" s="2"/>
      <c r="E2" s="2"/>
    </row>
    <row r="3" customFormat="false" ht="16.5" hidden="false" customHeight="true" outlineLevel="0" collapsed="false">
      <c r="B3" s="3" t="str">
        <f aca="false">""</f>
        <v/>
      </c>
      <c r="C3" s="3"/>
      <c r="D3" s="3"/>
      <c r="E3" s="3"/>
    </row>
    <row r="4" customFormat="false" ht="25.5" hidden="false" customHeight="true" outlineLevel="0" collapsed="false">
      <c r="B4" s="4" t="s">
        <v>39</v>
      </c>
      <c r="C4" s="4"/>
      <c r="D4" s="4"/>
      <c r="E4" s="4"/>
    </row>
    <row r="6" customFormat="false" ht="21.75" hidden="false" customHeight="true" outlineLevel="0" collapsed="false">
      <c r="B6" s="5" t="s">
        <v>0</v>
      </c>
      <c r="C6" s="5"/>
      <c r="D6" s="5"/>
      <c r="E6" s="5"/>
    </row>
    <row r="7" customFormat="false" ht="15" hidden="false" customHeight="false" outlineLevel="0" collapsed="false">
      <c r="B7" s="13"/>
      <c r="C7" s="14" t="s">
        <v>40</v>
      </c>
      <c r="D7" s="14" t="s">
        <v>41</v>
      </c>
      <c r="E7" s="14" t="s">
        <v>42</v>
      </c>
    </row>
    <row r="8" customFormat="false" ht="40.5" hidden="false" customHeight="true" outlineLevel="0" collapsed="false">
      <c r="B8" s="15" t="s">
        <v>43</v>
      </c>
      <c r="C8" s="16" t="s">
        <v>44</v>
      </c>
      <c r="D8" s="17" t="s">
        <v>45</v>
      </c>
      <c r="E8" s="18" t="s">
        <v>46</v>
      </c>
    </row>
    <row r="9" customFormat="false" ht="28.5" hidden="false" customHeight="true" outlineLevel="0" collapsed="false">
      <c r="B9" s="15" t="s">
        <v>47</v>
      </c>
      <c r="C9" s="16" t="s">
        <v>48</v>
      </c>
      <c r="D9" s="17" t="s">
        <v>49</v>
      </c>
      <c r="E9" s="18" t="s">
        <v>50</v>
      </c>
    </row>
    <row r="10" customFormat="false" ht="28.5" hidden="false" customHeight="true" outlineLevel="0" collapsed="false">
      <c r="B10" s="15" t="s">
        <v>51</v>
      </c>
      <c r="C10" s="16" t="s">
        <v>52</v>
      </c>
      <c r="D10" s="17" t="s">
        <v>53</v>
      </c>
      <c r="E10" s="18" t="s">
        <v>54</v>
      </c>
    </row>
    <row r="11" customFormat="false" ht="40.5" hidden="false" customHeight="true" outlineLevel="0" collapsed="false">
      <c r="B11" s="15" t="s">
        <v>55</v>
      </c>
      <c r="C11" s="16" t="s">
        <v>56</v>
      </c>
      <c r="D11" s="17" t="s">
        <v>57</v>
      </c>
      <c r="E11" s="18" t="s">
        <v>58</v>
      </c>
    </row>
    <row r="12" customFormat="false" ht="40.5" hidden="false" customHeight="true" outlineLevel="0" collapsed="false">
      <c r="B12" s="15" t="s">
        <v>59</v>
      </c>
      <c r="C12" s="16" t="s">
        <v>60</v>
      </c>
      <c r="D12" s="19" t="n">
        <v>78350000</v>
      </c>
      <c r="E12" s="18" t="s">
        <v>61</v>
      </c>
    </row>
    <row r="13" customFormat="false" ht="28.5" hidden="false" customHeight="true" outlineLevel="0" collapsed="false">
      <c r="B13" s="15" t="s">
        <v>62</v>
      </c>
      <c r="C13" s="16" t="s">
        <v>63</v>
      </c>
      <c r="D13" s="17" t="s">
        <v>64</v>
      </c>
      <c r="E13" s="18" t="s">
        <v>65</v>
      </c>
    </row>
    <row r="14" customFormat="false" ht="28.5" hidden="false" customHeight="true" outlineLevel="0" collapsed="false">
      <c r="B14" s="15" t="s">
        <v>66</v>
      </c>
      <c r="C14" s="16" t="s">
        <v>67</v>
      </c>
      <c r="D14" s="17" t="s">
        <v>68</v>
      </c>
      <c r="E14" s="18" t="s">
        <v>69</v>
      </c>
    </row>
    <row r="15" customFormat="false" ht="40.5" hidden="false" customHeight="true" outlineLevel="0" collapsed="false">
      <c r="B15" s="15" t="s">
        <v>70</v>
      </c>
      <c r="C15" s="16" t="s">
        <v>71</v>
      </c>
      <c r="D15" s="20" t="n">
        <v>0.02</v>
      </c>
      <c r="E15" s="18" t="s">
        <v>72</v>
      </c>
    </row>
    <row r="16" customFormat="false" ht="40.5" hidden="false" customHeight="true" outlineLevel="0" collapsed="false">
      <c r="B16" s="15" t="s">
        <v>73</v>
      </c>
      <c r="C16" s="16" t="s">
        <v>74</v>
      </c>
      <c r="D16" s="19" t="n">
        <v>5600000</v>
      </c>
      <c r="E16" s="18" t="s">
        <v>75</v>
      </c>
    </row>
    <row r="17" customFormat="false" ht="40.5" hidden="false" customHeight="true" outlineLevel="0" collapsed="false">
      <c r="B17" s="15" t="s">
        <v>76</v>
      </c>
      <c r="C17" s="16" t="s">
        <v>77</v>
      </c>
      <c r="D17" s="17" t="s">
        <v>78</v>
      </c>
      <c r="E17" s="18" t="s">
        <v>79</v>
      </c>
    </row>
    <row r="18" customFormat="false" ht="28.5" hidden="false" customHeight="true" outlineLevel="0" collapsed="false">
      <c r="B18" s="15" t="s">
        <v>80</v>
      </c>
      <c r="C18" s="16" t="s">
        <v>81</v>
      </c>
      <c r="D18" s="17" t="s">
        <v>82</v>
      </c>
      <c r="E18" s="18" t="s">
        <v>83</v>
      </c>
    </row>
    <row r="19" customFormat="false" ht="28.5" hidden="false" customHeight="true" outlineLevel="0" collapsed="false">
      <c r="B19" s="15" t="s">
        <v>84</v>
      </c>
      <c r="C19" s="16" t="s">
        <v>85</v>
      </c>
      <c r="D19" s="17" t="s">
        <v>86</v>
      </c>
      <c r="E19" s="18" t="s">
        <v>87</v>
      </c>
    </row>
    <row r="21" customFormat="false" ht="21.75" hidden="false" customHeight="true" outlineLevel="0" collapsed="false">
      <c r="B21" s="5" t="s">
        <v>88</v>
      </c>
      <c r="C21" s="5"/>
      <c r="D21" s="5"/>
      <c r="E21" s="5"/>
    </row>
    <row r="22" customFormat="false" ht="15" hidden="false" customHeight="false" outlineLevel="0" collapsed="false">
      <c r="B22" s="21" t="s">
        <v>89</v>
      </c>
      <c r="C22" s="21"/>
      <c r="D22" s="14" t="s">
        <v>90</v>
      </c>
    </row>
    <row r="23" customFormat="false" ht="19.5" hidden="false" customHeight="true" outlineLevel="0" collapsed="false">
      <c r="B23" s="22" t="s">
        <v>91</v>
      </c>
      <c r="C23" s="22"/>
      <c r="D23" s="23" t="s">
        <v>92</v>
      </c>
      <c r="E23" s="23"/>
    </row>
    <row r="24" customFormat="false" ht="19.5" hidden="false" customHeight="true" outlineLevel="0" collapsed="false">
      <c r="B24" s="24" t="s">
        <v>93</v>
      </c>
      <c r="C24" s="24"/>
      <c r="D24" s="23" t="s">
        <v>94</v>
      </c>
      <c r="E24" s="23"/>
    </row>
    <row r="25" customFormat="false" ht="19.5" hidden="false" customHeight="true" outlineLevel="0" collapsed="false">
      <c r="B25" s="25" t="s">
        <v>95</v>
      </c>
      <c r="C25" s="25"/>
      <c r="D25" s="23" t="s">
        <v>96</v>
      </c>
      <c r="E25" s="23"/>
    </row>
    <row r="26" customFormat="false" ht="19.5" hidden="false" customHeight="true" outlineLevel="0" collapsed="false">
      <c r="B26" s="26" t="s">
        <v>97</v>
      </c>
      <c r="C26" s="26"/>
      <c r="D26" s="23" t="s">
        <v>98</v>
      </c>
      <c r="E26" s="23"/>
    </row>
    <row r="27" customFormat="false" ht="19.5" hidden="false" customHeight="true" outlineLevel="0" collapsed="false">
      <c r="B27" s="27" t="s">
        <v>99</v>
      </c>
      <c r="C27" s="27"/>
      <c r="D27" s="23" t="s">
        <v>100</v>
      </c>
      <c r="E27" s="23"/>
    </row>
    <row r="29" customFormat="false" ht="40.5" hidden="false" customHeight="true" outlineLevel="0" collapsed="false">
      <c r="B29" s="28" t="s">
        <v>101</v>
      </c>
      <c r="C29" s="28"/>
      <c r="D29" s="28"/>
      <c r="E29" s="28"/>
    </row>
    <row r="31" customFormat="false" ht="18" hidden="false" customHeight="true" outlineLevel="0" collapsed="false">
      <c r="B31" s="12" t="s">
        <v>38</v>
      </c>
      <c r="C31" s="12"/>
      <c r="D31" s="12"/>
      <c r="E31" s="12"/>
    </row>
  </sheetData>
  <mergeCells count="19">
    <mergeCell ref="B1:E1"/>
    <mergeCell ref="B2:E2"/>
    <mergeCell ref="B3:E3"/>
    <mergeCell ref="B4:E4"/>
    <mergeCell ref="B6:E6"/>
    <mergeCell ref="B21:E21"/>
    <mergeCell ref="B22:C22"/>
    <mergeCell ref="B23:C23"/>
    <mergeCell ref="D23:E23"/>
    <mergeCell ref="B24:C24"/>
    <mergeCell ref="D24:E24"/>
    <mergeCell ref="B25:C25"/>
    <mergeCell ref="D25:E25"/>
    <mergeCell ref="B26:C26"/>
    <mergeCell ref="D26:E26"/>
    <mergeCell ref="B27:C27"/>
    <mergeCell ref="D27:E27"/>
    <mergeCell ref="B29:E29"/>
    <mergeCell ref="B31:E31"/>
  </mergeCells>
  <conditionalFormatting sqref="B3:E3">
    <cfRule type="expression" priority="2" aboveAverage="0" equalAverage="0" bottom="0" percent="0" rank="0" text="" dxfId="0">
      <formula>LEN($B$3)&gt;0</formula>
    </cfRule>
  </conditionalFormatting>
  <hyperlinks>
    <hyperlink ref="B31" r:id="rId1" display="Visit mastt.com"/>
  </hyperlinks>
  <printOptions headings="false" gridLines="false" gridLinesSet="true" horizontalCentered="false" verticalCentered="false"/>
  <pageMargins left="0.3" right="0.3" top="0.4" bottom="0.4" header="0.511811023622047" footer="0.15"/>
  <pageSetup paperSize="9" scale="100" fitToWidth="1" fitToHeight="0" pageOrder="downThenOver" orientation="landscape" blackAndWhite="false" draft="false" cellComments="none" horizontalDpi="300" verticalDpi="300" copies="1"/>
  <headerFooter differentFirst="false" differentOddEven="false">
    <oddHeader/>
    <oddFooter>&amp;R&amp;9 &amp;K3480bcVisit mastt.com</oddFooter>
  </headerFooter>
  <rowBreaks count="1" manualBreakCount="1">
    <brk id="19" man="true" max="16383" min="0"/>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M3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4" ySplit="7" topLeftCell="E8" activePane="bottomRight" state="frozen"/>
      <selection pane="topLeft" activeCell="A1" activeCellId="0" sqref="A1"/>
      <selection pane="topRight" activeCell="E1" activeCellId="0" sqref="E1"/>
      <selection pane="bottomLeft" activeCell="A8" activeCellId="0" sqref="A8"/>
      <selection pane="bottomRigh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6"/>
    <col collapsed="false" customWidth="true" hidden="false" outlineLevel="0" max="3" min="3" style="0" width="30"/>
    <col collapsed="false" customWidth="true" hidden="false" outlineLevel="0" max="4" min="4" style="0" width="19"/>
    <col collapsed="false" customWidth="true" hidden="false" outlineLevel="0" max="7" min="5" style="0" width="14"/>
    <col collapsed="false" customWidth="true" hidden="false" outlineLevel="0" max="8" min="8" style="0" width="13"/>
    <col collapsed="false" customWidth="true" hidden="false" outlineLevel="0" max="11" min="9" style="0" width="8"/>
    <col collapsed="false" customWidth="true" hidden="false" outlineLevel="0" max="12" min="12" style="0" width="46"/>
    <col collapsed="false" customWidth="true" hidden="true" outlineLevel="0" max="13" min="13" style="0" width="6"/>
  </cols>
  <sheetData>
    <row r="1" customFormat="false" ht="33.75" hidden="false" customHeight="true" outlineLevel="0" collapsed="false">
      <c r="B1" s="1" t="s">
        <v>0</v>
      </c>
      <c r="C1" s="1"/>
      <c r="D1" s="1"/>
      <c r="E1" s="1"/>
      <c r="F1" s="1"/>
      <c r="G1" s="1"/>
      <c r="H1" s="1"/>
      <c r="I1" s="1"/>
      <c r="J1" s="1"/>
      <c r="K1" s="1"/>
      <c r="L1" s="1"/>
    </row>
    <row r="2" customFormat="false" ht="4.5" hidden="false" customHeight="true" outlineLevel="0" collapsed="false">
      <c r="B2" s="2"/>
      <c r="C2" s="2"/>
      <c r="D2" s="2"/>
      <c r="E2" s="2"/>
      <c r="F2" s="2"/>
      <c r="G2" s="2"/>
      <c r="H2" s="2"/>
      <c r="I2" s="2"/>
      <c r="J2" s="2"/>
      <c r="K2" s="2"/>
      <c r="L2" s="2"/>
    </row>
    <row r="3" customFormat="false" ht="16.5" hidden="false" customHeight="true" outlineLevel="0" collapsed="false">
      <c r="B3" s="3" t="str">
        <f aca="false">""</f>
        <v/>
      </c>
      <c r="C3" s="3"/>
      <c r="D3" s="3"/>
      <c r="E3" s="3"/>
      <c r="F3" s="3"/>
      <c r="G3" s="3"/>
      <c r="H3" s="3"/>
      <c r="I3" s="3"/>
      <c r="J3" s="3"/>
      <c r="K3" s="3"/>
      <c r="L3" s="3"/>
    </row>
    <row r="4" customFormat="false" ht="25.5" hidden="false" customHeight="true" outlineLevel="0" collapsed="false">
      <c r="B4" s="4" t="s">
        <v>102</v>
      </c>
      <c r="C4" s="4"/>
      <c r="D4" s="4"/>
      <c r="E4" s="4"/>
      <c r="F4" s="4"/>
      <c r="G4" s="4"/>
      <c r="H4" s="4"/>
      <c r="I4" s="4"/>
      <c r="J4" s="4"/>
      <c r="K4" s="4"/>
      <c r="L4" s="4"/>
    </row>
    <row r="6" customFormat="false" ht="21.75" hidden="false" customHeight="true" outlineLevel="0" collapsed="false">
      <c r="B6" s="5" t="s">
        <v>103</v>
      </c>
      <c r="C6" s="5"/>
      <c r="D6" s="5"/>
      <c r="E6" s="5"/>
      <c r="F6" s="5"/>
      <c r="G6" s="5"/>
      <c r="H6" s="5"/>
      <c r="I6" s="5"/>
      <c r="J6" s="5"/>
      <c r="K6" s="5"/>
      <c r="L6" s="5"/>
    </row>
    <row r="7" customFormat="false" ht="34.5" hidden="false" customHeight="true" outlineLevel="0" collapsed="false">
      <c r="B7" s="29" t="s">
        <v>104</v>
      </c>
      <c r="C7" s="29" t="s">
        <v>105</v>
      </c>
      <c r="D7" s="29" t="s">
        <v>106</v>
      </c>
      <c r="E7" s="29" t="s">
        <v>107</v>
      </c>
      <c r="F7" s="29" t="s">
        <v>108</v>
      </c>
      <c r="G7" s="29" t="s">
        <v>109</v>
      </c>
      <c r="H7" s="29" t="s">
        <v>110</v>
      </c>
      <c r="I7" s="29" t="s">
        <v>111</v>
      </c>
      <c r="J7" s="29" t="s">
        <v>112</v>
      </c>
      <c r="K7" s="29" t="s">
        <v>113</v>
      </c>
      <c r="L7" s="29" t="s">
        <v>114</v>
      </c>
    </row>
    <row r="8" customFormat="false" ht="15" hidden="false" customHeight="false" outlineLevel="0" collapsed="false">
      <c r="B8" s="30" t="s">
        <v>115</v>
      </c>
      <c r="C8" s="17" t="s">
        <v>116</v>
      </c>
      <c r="D8" s="7" t="s">
        <v>117</v>
      </c>
      <c r="E8" s="31" t="n">
        <v>2450000</v>
      </c>
      <c r="F8" s="31" t="n">
        <v>2410000</v>
      </c>
      <c r="G8" s="31" t="n">
        <v>2506000</v>
      </c>
      <c r="H8" s="32" t="n">
        <f aca="false">IF(OR($E8="",$G8=""),"",$G8-$E8)</f>
        <v>56000</v>
      </c>
      <c r="I8" s="33" t="n">
        <f aca="false">IF(OR($E8="",$G8=""),"",IFERROR($H8/$E8,""))</f>
        <v>0.0228571428571429</v>
      </c>
      <c r="J8" s="20" t="n">
        <v>0.05</v>
      </c>
      <c r="K8" s="20" t="n">
        <v>0.1</v>
      </c>
      <c r="L8" s="34" t="str">
        <f aca="false">IF($C8="","",IF($E8="","Set a budget",IF(ABS(IFERROR($H8/$E8,0))&gt;=IF($K8="",Rules!$C$9,$K8),"ESCALATE - Board, "&amp;TEXT(ABS(IFERROR($H8/$E8,0)),"0.0%")&amp;" against "&amp;TEXT(IF($K8="",Rules!$C$9,$K8),"0%"),IF(ABS(IFERROR($H8/$E8,0))&gt;=IF($J8="",Rules!$C$8,$J8),"NOTIFY - Project Director, "&amp;TEXT(ABS(IFERROR($H8/$E8,0)),"0.0%")&amp;" against "&amp;TEXT(IF($J8="",Rules!$C$8,$J8),"0%"),"Inside tolerance"))))</f>
        <v>Inside tolerance</v>
      </c>
      <c r="M8" s="35" t="n">
        <f aca="false">IF(OR($C8="",$E8=""),0,IF(LEFT($L8,6)="Inside",0,ABS(IFERROR($H8/$E8,0))*1000+(1000-ROW())))</f>
        <v>0</v>
      </c>
    </row>
    <row r="9" customFormat="false" ht="15" hidden="false" customHeight="false" outlineLevel="0" collapsed="false">
      <c r="B9" s="30" t="s">
        <v>118</v>
      </c>
      <c r="C9" s="17" t="s">
        <v>119</v>
      </c>
      <c r="D9" s="7" t="s">
        <v>117</v>
      </c>
      <c r="E9" s="31" t="n">
        <v>3100000</v>
      </c>
      <c r="F9" s="31" t="n">
        <v>3050000</v>
      </c>
      <c r="G9" s="31" t="n">
        <v>3420000</v>
      </c>
      <c r="H9" s="32" t="n">
        <f aca="false">IF(OR($E9="",$G9=""),"",$G9-$E9)</f>
        <v>320000</v>
      </c>
      <c r="I9" s="33" t="n">
        <f aca="false">IF(OR($E9="",$G9=""),"",IFERROR($H9/$E9,""))</f>
        <v>0.103225806451613</v>
      </c>
      <c r="J9" s="20" t="n">
        <v>0.05</v>
      </c>
      <c r="K9" s="20" t="n">
        <v>0.1</v>
      </c>
      <c r="L9" s="34" t="str">
        <f aca="false">IF($C9="","",IF($E9="","Set a budget",IF(ABS(IFERROR($H9/$E9,0))&gt;=IF($K9="",Rules!$C$9,$K9),"ESCALATE - Board, "&amp;TEXT(ABS(IFERROR($H9/$E9,0)),"0.0%")&amp;" against "&amp;TEXT(IF($K9="",Rules!$C$9,$K9),"0%"),IF(ABS(IFERROR($H9/$E9,0))&gt;=IF($J9="",Rules!$C$8,$J9),"NOTIFY - Project Director, "&amp;TEXT(ABS(IFERROR($H9/$E9,0)),"0.0%")&amp;" against "&amp;TEXT(IF($J9="",Rules!$C$8,$J9),"0%"),"Inside tolerance"))))</f>
        <v>ESCALATE - Board, 10.3% against 10%</v>
      </c>
      <c r="M9" s="35" t="n">
        <f aca="false">IF(OR($C9="",$E9=""),0,IF(LEFT($L9,6)="Inside",0,ABS(IFERROR($H9/$E9,0))*1000+(1000-ROW())))</f>
        <v>1094.22580645161</v>
      </c>
    </row>
    <row r="10" customFormat="false" ht="15" hidden="false" customHeight="false" outlineLevel="0" collapsed="false">
      <c r="B10" s="30" t="s">
        <v>120</v>
      </c>
      <c r="C10" s="17" t="s">
        <v>121</v>
      </c>
      <c r="D10" s="7" t="s">
        <v>117</v>
      </c>
      <c r="E10" s="31" t="n">
        <v>5800000</v>
      </c>
      <c r="F10" s="31" t="n">
        <v>5760000</v>
      </c>
      <c r="G10" s="31" t="n">
        <v>5812000</v>
      </c>
      <c r="H10" s="32" t="n">
        <f aca="false">IF(OR($E10="",$G10=""),"",$G10-$E10)</f>
        <v>12000</v>
      </c>
      <c r="I10" s="33" t="n">
        <f aca="false">IF(OR($E10="",$G10=""),"",IFERROR($H10/$E10,""))</f>
        <v>0.00206896551724138</v>
      </c>
      <c r="J10" s="20" t="n">
        <v>0.03</v>
      </c>
      <c r="K10" s="20" t="n">
        <v>0.08</v>
      </c>
      <c r="L10" s="34" t="str">
        <f aca="false">IF($C10="","",IF($E10="","Set a budget",IF(ABS(IFERROR($H10/$E10,0))&gt;=IF($K10="",Rules!$C$9,$K10),"ESCALATE - Board, "&amp;TEXT(ABS(IFERROR($H10/$E10,0)),"0.0%")&amp;" against "&amp;TEXT(IF($K10="",Rules!$C$9,$K10),"0%"),IF(ABS(IFERROR($H10/$E10,0))&gt;=IF($J10="",Rules!$C$8,$J10),"NOTIFY - Project Director, "&amp;TEXT(ABS(IFERROR($H10/$E10,0)),"0.0%")&amp;" against "&amp;TEXT(IF($J10="",Rules!$C$8,$J10),"0%"),"Inside tolerance"))))</f>
        <v>Inside tolerance</v>
      </c>
      <c r="M10" s="35" t="n">
        <f aca="false">IF(OR($C10="",$E10=""),0,IF(LEFT($L10,6)="Inside",0,ABS(IFERROR($H10/$E10,0))*1000+(1000-ROW())))</f>
        <v>0</v>
      </c>
    </row>
    <row r="11" customFormat="false" ht="15" hidden="false" customHeight="false" outlineLevel="0" collapsed="false">
      <c r="B11" s="30" t="s">
        <v>122</v>
      </c>
      <c r="C11" s="17" t="s">
        <v>123</v>
      </c>
      <c r="D11" s="7" t="s">
        <v>124</v>
      </c>
      <c r="E11" s="31" t="n">
        <v>12400000</v>
      </c>
      <c r="F11" s="31" t="n">
        <v>11900000</v>
      </c>
      <c r="G11" s="31" t="n">
        <v>12390000</v>
      </c>
      <c r="H11" s="32" t="n">
        <f aca="false">IF(OR($E11="",$G11=""),"",$G11-$E11)</f>
        <v>-10000</v>
      </c>
      <c r="I11" s="33" t="n">
        <f aca="false">IF(OR($E11="",$G11=""),"",IFERROR($H11/$E11,""))</f>
        <v>-0.000806451612903226</v>
      </c>
      <c r="J11" s="20" t="n">
        <v>0.03</v>
      </c>
      <c r="K11" s="20" t="n">
        <v>0.08</v>
      </c>
      <c r="L11" s="34" t="str">
        <f aca="false">IF($C11="","",IF($E11="","Set a budget",IF(ABS(IFERROR($H11/$E11,0))&gt;=IF($K11="",Rules!$C$9,$K11),"ESCALATE - Board, "&amp;TEXT(ABS(IFERROR($H11/$E11,0)),"0.0%")&amp;" against "&amp;TEXT(IF($K11="",Rules!$C$9,$K11),"0%"),IF(ABS(IFERROR($H11/$E11,0))&gt;=IF($J11="",Rules!$C$8,$J11),"NOTIFY - Project Director, "&amp;TEXT(ABS(IFERROR($H11/$E11,0)),"0.0%")&amp;" against "&amp;TEXT(IF($J11="",Rules!$C$8,$J11),"0%"),"Inside tolerance"))))</f>
        <v>Inside tolerance</v>
      </c>
      <c r="M11" s="35" t="n">
        <f aca="false">IF(OR($C11="",$E11=""),0,IF(LEFT($L11,6)="Inside",0,ABS(IFERROR($H11/$E11,0))*1000+(1000-ROW())))</f>
        <v>0</v>
      </c>
    </row>
    <row r="12" customFormat="false" ht="15" hidden="false" customHeight="false" outlineLevel="0" collapsed="false">
      <c r="B12" s="30" t="s">
        <v>125</v>
      </c>
      <c r="C12" s="17" t="s">
        <v>126</v>
      </c>
      <c r="D12" s="7" t="s">
        <v>124</v>
      </c>
      <c r="E12" s="31" t="n">
        <v>7250000</v>
      </c>
      <c r="F12" s="31" t="n">
        <v>6100000</v>
      </c>
      <c r="G12" s="31" t="n">
        <v>7640000</v>
      </c>
      <c r="H12" s="32" t="n">
        <f aca="false">IF(OR($E12="",$G12=""),"",$G12-$E12)</f>
        <v>390000</v>
      </c>
      <c r="I12" s="33" t="n">
        <f aca="false">IF(OR($E12="",$G12=""),"",IFERROR($H12/$E12,""))</f>
        <v>0.0537931034482759</v>
      </c>
      <c r="J12" s="20" t="n">
        <v>0.05</v>
      </c>
      <c r="K12" s="20" t="n">
        <v>0.1</v>
      </c>
      <c r="L12" s="34" t="str">
        <f aca="false">IF($C12="","",IF($E12="","Set a budget",IF(ABS(IFERROR($H12/$E12,0))&gt;=IF($K12="",Rules!$C$9,$K12),"ESCALATE - Board, "&amp;TEXT(ABS(IFERROR($H12/$E12,0)),"0.0%")&amp;" against "&amp;TEXT(IF($K12="",Rules!$C$9,$K12),"0%"),IF(ABS(IFERROR($H12/$E12,0))&gt;=IF($J12="",Rules!$C$8,$J12),"NOTIFY - Project Director, "&amp;TEXT(ABS(IFERROR($H12/$E12,0)),"0.0%")&amp;" against "&amp;TEXT(IF($J12="",Rules!$C$8,$J12),"0%"),"Inside tolerance"))))</f>
        <v>NOTIFY - Project Director, 5.4% against 5%</v>
      </c>
      <c r="M12" s="35" t="n">
        <f aca="false">IF(OR($C12="",$E12=""),0,IF(LEFT($L12,6)="Inside",0,ABS(IFERROR($H12/$E12,0))*1000+(1000-ROW())))</f>
        <v>1041.79310344828</v>
      </c>
    </row>
    <row r="13" customFormat="false" ht="15" hidden="false" customHeight="false" outlineLevel="0" collapsed="false">
      <c r="B13" s="30" t="s">
        <v>127</v>
      </c>
      <c r="C13" s="17" t="s">
        <v>128</v>
      </c>
      <c r="D13" s="7" t="s">
        <v>124</v>
      </c>
      <c r="E13" s="31" t="n">
        <v>2900000</v>
      </c>
      <c r="F13" s="31" t="n">
        <v>2780000</v>
      </c>
      <c r="G13" s="31" t="n">
        <v>2895000</v>
      </c>
      <c r="H13" s="32" t="n">
        <f aca="false">IF(OR($E13="",$G13=""),"",$G13-$E13)</f>
        <v>-5000</v>
      </c>
      <c r="I13" s="33" t="n">
        <f aca="false">IF(OR($E13="",$G13=""),"",IFERROR($H13/$E13,""))</f>
        <v>-0.00172413793103448</v>
      </c>
      <c r="J13" s="20" t="n">
        <v>0.05</v>
      </c>
      <c r="K13" s="20" t="n">
        <v>0.1</v>
      </c>
      <c r="L13" s="34" t="str">
        <f aca="false">IF($C13="","",IF($E13="","Set a budget",IF(ABS(IFERROR($H13/$E13,0))&gt;=IF($K13="",Rules!$C$9,$K13),"ESCALATE - Board, "&amp;TEXT(ABS(IFERROR($H13/$E13,0)),"0.0%")&amp;" against "&amp;TEXT(IF($K13="",Rules!$C$9,$K13),"0%"),IF(ABS(IFERROR($H13/$E13,0))&gt;=IF($J13="",Rules!$C$8,$J13),"NOTIFY - Project Director, "&amp;TEXT(ABS(IFERROR($H13/$E13,0)),"0.0%")&amp;" against "&amp;TEXT(IF($J13="",Rules!$C$8,$J13),"0%"),"Inside tolerance"))))</f>
        <v>Inside tolerance</v>
      </c>
      <c r="M13" s="35" t="n">
        <f aca="false">IF(OR($C13="",$E13=""),0,IF(LEFT($L13,6)="Inside",0,ABS(IFERROR($H13/$E13,0))*1000+(1000-ROW())))</f>
        <v>0</v>
      </c>
    </row>
    <row r="14" customFormat="false" ht="15" hidden="false" customHeight="false" outlineLevel="0" collapsed="false">
      <c r="B14" s="30" t="s">
        <v>129</v>
      </c>
      <c r="C14" s="17" t="s">
        <v>130</v>
      </c>
      <c r="D14" s="7" t="s">
        <v>131</v>
      </c>
      <c r="E14" s="31" t="n">
        <v>8600000</v>
      </c>
      <c r="F14" s="31" t="n">
        <v>4300000</v>
      </c>
      <c r="G14" s="31" t="n">
        <v>8600000</v>
      </c>
      <c r="H14" s="32" t="n">
        <f aca="false">IF(OR($E14="",$G14=""),"",$G14-$E14)</f>
        <v>0</v>
      </c>
      <c r="I14" s="33" t="n">
        <f aca="false">IF(OR($E14="",$G14=""),"",IFERROR($H14/$E14,""))</f>
        <v>0</v>
      </c>
      <c r="J14" s="20" t="n">
        <v>0.05</v>
      </c>
      <c r="K14" s="20" t="n">
        <v>0.12</v>
      </c>
      <c r="L14" s="34" t="str">
        <f aca="false">IF($C14="","",IF($E14="","Set a budget",IF(ABS(IFERROR($H14/$E14,0))&gt;=IF($K14="",Rules!$C$9,$K14),"ESCALATE - Board, "&amp;TEXT(ABS(IFERROR($H14/$E14,0)),"0.0%")&amp;" against "&amp;TEXT(IF($K14="",Rules!$C$9,$K14),"0%"),IF(ABS(IFERROR($H14/$E14,0))&gt;=IF($J14="",Rules!$C$8,$J14),"NOTIFY - Project Director, "&amp;TEXT(ABS(IFERROR($H14/$E14,0)),"0.0%")&amp;" against "&amp;TEXT(IF($J14="",Rules!$C$8,$J14),"0%"),"Inside tolerance"))))</f>
        <v>Inside tolerance</v>
      </c>
      <c r="M14" s="35" t="n">
        <f aca="false">IF(OR($C14="",$E14=""),0,IF(LEFT($L14,6)="Inside",0,ABS(IFERROR($H14/$E14,0))*1000+(1000-ROW())))</f>
        <v>0</v>
      </c>
    </row>
    <row r="15" customFormat="false" ht="15" hidden="false" customHeight="false" outlineLevel="0" collapsed="false">
      <c r="B15" s="30" t="s">
        <v>132</v>
      </c>
      <c r="C15" s="17" t="s">
        <v>133</v>
      </c>
      <c r="D15" s="7" t="s">
        <v>134</v>
      </c>
      <c r="E15" s="31" t="n">
        <v>6950000</v>
      </c>
      <c r="F15" s="31" t="n">
        <v>6800000</v>
      </c>
      <c r="G15" s="31" t="n">
        <v>7020000</v>
      </c>
      <c r="H15" s="32" t="n">
        <f aca="false">IF(OR($E15="",$G15=""),"",$G15-$E15)</f>
        <v>70000</v>
      </c>
      <c r="I15" s="33" t="n">
        <f aca="false">IF(OR($E15="",$G15=""),"",IFERROR($H15/$E15,""))</f>
        <v>0.0100719424460432</v>
      </c>
      <c r="J15" s="20" t="n">
        <v>0.04</v>
      </c>
      <c r="K15" s="20" t="n">
        <v>0.1</v>
      </c>
      <c r="L15" s="34" t="str">
        <f aca="false">IF($C15="","",IF($E15="","Set a budget",IF(ABS(IFERROR($H15/$E15,0))&gt;=IF($K15="",Rules!$C$9,$K15),"ESCALATE - Board, "&amp;TEXT(ABS(IFERROR($H15/$E15,0)),"0.0%")&amp;" against "&amp;TEXT(IF($K15="",Rules!$C$9,$K15),"0%"),IF(ABS(IFERROR($H15/$E15,0))&gt;=IF($J15="",Rules!$C$8,$J15),"NOTIFY - Project Director, "&amp;TEXT(ABS(IFERROR($H15/$E15,0)),"0.0%")&amp;" against "&amp;TEXT(IF($J15="",Rules!$C$8,$J15),"0%"),"Inside tolerance"))))</f>
        <v>Inside tolerance</v>
      </c>
      <c r="M15" s="35" t="n">
        <f aca="false">IF(OR($C15="",$E15=""),0,IF(LEFT($L15,6)="Inside",0,ABS(IFERROR($H15/$E15,0))*1000+(1000-ROW())))</f>
        <v>0</v>
      </c>
    </row>
    <row r="16" customFormat="false" ht="15" hidden="false" customHeight="false" outlineLevel="0" collapsed="false">
      <c r="B16" s="30" t="s">
        <v>135</v>
      </c>
      <c r="C16" s="17" t="s">
        <v>136</v>
      </c>
      <c r="D16" s="7" t="s">
        <v>134</v>
      </c>
      <c r="E16" s="31" t="n">
        <v>5400000</v>
      </c>
      <c r="F16" s="31" t="n">
        <v>5310000</v>
      </c>
      <c r="G16" s="31" t="n">
        <v>5386000</v>
      </c>
      <c r="H16" s="32" t="n">
        <f aca="false">IF(OR($E16="",$G16=""),"",$G16-$E16)</f>
        <v>-14000</v>
      </c>
      <c r="I16" s="33" t="n">
        <f aca="false">IF(OR($E16="",$G16=""),"",IFERROR($H16/$E16,""))</f>
        <v>-0.00259259259259259</v>
      </c>
      <c r="J16" s="20" t="n">
        <v>0.04</v>
      </c>
      <c r="K16" s="20" t="n">
        <v>0.1</v>
      </c>
      <c r="L16" s="34" t="str">
        <f aca="false">IF($C16="","",IF($E16="","Set a budget",IF(ABS(IFERROR($H16/$E16,0))&gt;=IF($K16="",Rules!$C$9,$K16),"ESCALATE - Board, "&amp;TEXT(ABS(IFERROR($H16/$E16,0)),"0.0%")&amp;" against "&amp;TEXT(IF($K16="",Rules!$C$9,$K16),"0%"),IF(ABS(IFERROR($H16/$E16,0))&gt;=IF($J16="",Rules!$C$8,$J16),"NOTIFY - Project Director, "&amp;TEXT(ABS(IFERROR($H16/$E16,0)),"0.0%")&amp;" against "&amp;TEXT(IF($J16="",Rules!$C$8,$J16),"0%"),"Inside tolerance"))))</f>
        <v>Inside tolerance</v>
      </c>
      <c r="M16" s="35" t="n">
        <f aca="false">IF(OR($C16="",$E16=""),0,IF(LEFT($L16,6)="Inside",0,ABS(IFERROR($H16/$E16,0))*1000+(1000-ROW())))</f>
        <v>0</v>
      </c>
    </row>
    <row r="17" customFormat="false" ht="15" hidden="false" customHeight="false" outlineLevel="0" collapsed="false">
      <c r="B17" s="30" t="s">
        <v>76</v>
      </c>
      <c r="C17" s="17" t="s">
        <v>137</v>
      </c>
      <c r="D17" s="7" t="s">
        <v>134</v>
      </c>
      <c r="E17" s="31" t="n">
        <v>3150000</v>
      </c>
      <c r="F17" s="31" t="n">
        <v>3090000</v>
      </c>
      <c r="G17" s="31" t="n">
        <v>3141000</v>
      </c>
      <c r="H17" s="32" t="n">
        <f aca="false">IF(OR($E17="",$G17=""),"",$G17-$E17)</f>
        <v>-9000</v>
      </c>
      <c r="I17" s="33" t="n">
        <f aca="false">IF(OR($E17="",$G17=""),"",IFERROR($H17/$E17,""))</f>
        <v>-0.00285714285714286</v>
      </c>
      <c r="J17" s="20" t="n">
        <v>0.04</v>
      </c>
      <c r="K17" s="20" t="n">
        <v>0.1</v>
      </c>
      <c r="L17" s="34" t="str">
        <f aca="false">IF($C17="","",IF($E17="","Set a budget",IF(ABS(IFERROR($H17/$E17,0))&gt;=IF($K17="",Rules!$C$9,$K17),"ESCALATE - Board, "&amp;TEXT(ABS(IFERROR($H17/$E17,0)),"0.0%")&amp;" against "&amp;TEXT(IF($K17="",Rules!$C$9,$K17),"0%"),IF(ABS(IFERROR($H17/$E17,0))&gt;=IF($J17="",Rules!$C$8,$J17),"NOTIFY - Project Director, "&amp;TEXT(ABS(IFERROR($H17/$E17,0)),"0.0%")&amp;" against "&amp;TEXT(IF($J17="",Rules!$C$8,$J17),"0%"),"Inside tolerance"))))</f>
        <v>Inside tolerance</v>
      </c>
      <c r="M17" s="35" t="n">
        <f aca="false">IF(OR($C17="",$E17=""),0,IF(LEFT($L17,6)="Inside",0,ABS(IFERROR($H17/$E17,0))*1000+(1000-ROW())))</f>
        <v>0</v>
      </c>
    </row>
    <row r="18" customFormat="false" ht="15" hidden="false" customHeight="false" outlineLevel="0" collapsed="false">
      <c r="B18" s="30" t="s">
        <v>80</v>
      </c>
      <c r="C18" s="17" t="s">
        <v>138</v>
      </c>
      <c r="D18" s="7" t="s">
        <v>134</v>
      </c>
      <c r="E18" s="31" t="n">
        <v>1850000</v>
      </c>
      <c r="F18" s="31" t="n">
        <v>1850000</v>
      </c>
      <c r="G18" s="31" t="n">
        <v>1850000</v>
      </c>
      <c r="H18" s="32" t="n">
        <f aca="false">IF(OR($E18="",$G18=""),"",$G18-$E18)</f>
        <v>0</v>
      </c>
      <c r="I18" s="33" t="n">
        <f aca="false">IF(OR($E18="",$G18=""),"",IFERROR($H18/$E18,""))</f>
        <v>0</v>
      </c>
      <c r="J18" s="20" t="n">
        <v>0.04</v>
      </c>
      <c r="K18" s="20" t="n">
        <v>0.1</v>
      </c>
      <c r="L18" s="34" t="str">
        <f aca="false">IF($C18="","",IF($E18="","Set a budget",IF(ABS(IFERROR($H18/$E18,0))&gt;=IF($K18="",Rules!$C$9,$K18),"ESCALATE - Board, "&amp;TEXT(ABS(IFERROR($H18/$E18,0)),"0.0%")&amp;" against "&amp;TEXT(IF($K18="",Rules!$C$9,$K18),"0%"),IF(ABS(IFERROR($H18/$E18,0))&gt;=IF($J18="",Rules!$C$8,$J18),"NOTIFY - Project Director, "&amp;TEXT(ABS(IFERROR($H18/$E18,0)),"0.0%")&amp;" against "&amp;TEXT(IF($J18="",Rules!$C$8,$J18),"0%"),"Inside tolerance"))))</f>
        <v>Inside tolerance</v>
      </c>
      <c r="M18" s="35" t="n">
        <f aca="false">IF(OR($C18="",$E18=""),0,IF(LEFT($L18,6)="Inside",0,ABS(IFERROR($H18/$E18,0))*1000+(1000-ROW())))</f>
        <v>0</v>
      </c>
    </row>
    <row r="19" customFormat="false" ht="15" hidden="false" customHeight="false" outlineLevel="0" collapsed="false">
      <c r="B19" s="30" t="s">
        <v>84</v>
      </c>
      <c r="C19" s="17" t="s">
        <v>139</v>
      </c>
      <c r="D19" s="7" t="s">
        <v>131</v>
      </c>
      <c r="E19" s="31" t="n">
        <v>2700000</v>
      </c>
      <c r="F19" s="31" t="n">
        <v>900000</v>
      </c>
      <c r="G19" s="31" t="n">
        <v>2700000</v>
      </c>
      <c r="H19" s="32" t="n">
        <f aca="false">IF(OR($E19="",$G19=""),"",$G19-$E19)</f>
        <v>0</v>
      </c>
      <c r="I19" s="33" t="n">
        <f aca="false">IF(OR($E19="",$G19=""),"",IFERROR($H19/$E19,""))</f>
        <v>0</v>
      </c>
      <c r="J19" s="20" t="n">
        <v>0.06</v>
      </c>
      <c r="K19" s="20" t="n">
        <v>0.12</v>
      </c>
      <c r="L19" s="34" t="str">
        <f aca="false">IF($C19="","",IF($E19="","Set a budget",IF(ABS(IFERROR($H19/$E19,0))&gt;=IF($K19="",Rules!$C$9,$K19),"ESCALATE - Board, "&amp;TEXT(ABS(IFERROR($H19/$E19,0)),"0.0%")&amp;" against "&amp;TEXT(IF($K19="",Rules!$C$9,$K19),"0%"),IF(ABS(IFERROR($H19/$E19,0))&gt;=IF($J19="",Rules!$C$8,$J19),"NOTIFY - Project Director, "&amp;TEXT(ABS(IFERROR($H19/$E19,0)),"0.0%")&amp;" against "&amp;TEXT(IF($J19="",Rules!$C$8,$J19),"0%"),"Inside tolerance"))))</f>
        <v>Inside tolerance</v>
      </c>
      <c r="M19" s="35" t="n">
        <f aca="false">IF(OR($C19="",$E19=""),0,IF(LEFT($L19,6)="Inside",0,ABS(IFERROR($H19/$E19,0))*1000+(1000-ROW())))</f>
        <v>0</v>
      </c>
    </row>
    <row r="20" customFormat="false" ht="15" hidden="false" customHeight="false" outlineLevel="0" collapsed="false">
      <c r="B20" s="30" t="s">
        <v>140</v>
      </c>
      <c r="C20" s="17" t="s">
        <v>141</v>
      </c>
      <c r="D20" s="7" t="s">
        <v>142</v>
      </c>
      <c r="E20" s="31" t="n">
        <v>4800000</v>
      </c>
      <c r="F20" s="31" t="n">
        <v>4150000</v>
      </c>
      <c r="G20" s="31" t="n">
        <v>5090000</v>
      </c>
      <c r="H20" s="32" t="n">
        <f aca="false">IF(OR($E20="",$G20=""),"",$G20-$E20)</f>
        <v>290000</v>
      </c>
      <c r="I20" s="33" t="n">
        <f aca="false">IF(OR($E20="",$G20=""),"",IFERROR($H20/$E20,""))</f>
        <v>0.0604166666666667</v>
      </c>
      <c r="J20" s="20" t="n">
        <v>0.05</v>
      </c>
      <c r="K20" s="20" t="n">
        <v>0.1</v>
      </c>
      <c r="L20" s="34" t="str">
        <f aca="false">IF($C20="","",IF($E20="","Set a budget",IF(ABS(IFERROR($H20/$E20,0))&gt;=IF($K20="",Rules!$C$9,$K20),"ESCALATE - Board, "&amp;TEXT(ABS(IFERROR($H20/$E20,0)),"0.0%")&amp;" against "&amp;TEXT(IF($K20="",Rules!$C$9,$K20),"0%"),IF(ABS(IFERROR($H20/$E20,0))&gt;=IF($J20="",Rules!$C$8,$J20),"NOTIFY - Project Director, "&amp;TEXT(ABS(IFERROR($H20/$E20,0)),"0.0%")&amp;" against "&amp;TEXT(IF($J20="",Rules!$C$8,$J20),"0%"),"Inside tolerance"))))</f>
        <v>NOTIFY - Project Director, 6.0% against 5%</v>
      </c>
      <c r="M20" s="35" t="n">
        <f aca="false">IF(OR($C20="",$E20=""),0,IF(LEFT($L20,6)="Inside",0,ABS(IFERROR($H20/$E20,0))*1000+(1000-ROW())))</f>
        <v>1040.41666666667</v>
      </c>
    </row>
    <row r="21" customFormat="false" ht="15" hidden="false" customHeight="false" outlineLevel="0" collapsed="false">
      <c r="B21" s="30" t="s">
        <v>143</v>
      </c>
      <c r="C21" s="17" t="s">
        <v>144</v>
      </c>
      <c r="D21" s="7" t="s">
        <v>142</v>
      </c>
      <c r="E21" s="31" t="n">
        <v>1200000</v>
      </c>
      <c r="F21" s="31" t="n">
        <v>1180000</v>
      </c>
      <c r="G21" s="31" t="n">
        <v>1198000</v>
      </c>
      <c r="H21" s="32" t="n">
        <f aca="false">IF(OR($E21="",$G21=""),"",$G21-$E21)</f>
        <v>-2000</v>
      </c>
      <c r="I21" s="33" t="n">
        <f aca="false">IF(OR($E21="",$G21=""),"",IFERROR($H21/$E21,""))</f>
        <v>-0.00166666666666667</v>
      </c>
      <c r="J21" s="20" t="n">
        <v>0.03</v>
      </c>
      <c r="K21" s="20" t="n">
        <v>0.08</v>
      </c>
      <c r="L21" s="34" t="str">
        <f aca="false">IF($C21="","",IF($E21="","Set a budget",IF(ABS(IFERROR($H21/$E21,0))&gt;=IF($K21="",Rules!$C$9,$K21),"ESCALATE - Board, "&amp;TEXT(ABS(IFERROR($H21/$E21,0)),"0.0%")&amp;" against "&amp;TEXT(IF($K21="",Rules!$C$9,$K21),"0%"),IF(ABS(IFERROR($H21/$E21,0))&gt;=IF($J21="",Rules!$C$8,$J21),"NOTIFY - Project Director, "&amp;TEXT(ABS(IFERROR($H21/$E21,0)),"0.0%")&amp;" against "&amp;TEXT(IF($J21="",Rules!$C$8,$J21),"0%"),"Inside tolerance"))))</f>
        <v>Inside tolerance</v>
      </c>
      <c r="M21" s="35" t="n">
        <f aca="false">IF(OR($C21="",$E21=""),0,IF(LEFT($L21,6)="Inside",0,ABS(IFERROR($H21/$E21,0))*1000+(1000-ROW())))</f>
        <v>0</v>
      </c>
    </row>
    <row r="22" customFormat="false" ht="25.35" hidden="false" customHeight="false" outlineLevel="0" collapsed="false">
      <c r="B22" s="30" t="s">
        <v>145</v>
      </c>
      <c r="C22" s="17" t="s">
        <v>146</v>
      </c>
      <c r="D22" s="7" t="s">
        <v>131</v>
      </c>
      <c r="E22" s="31" t="n">
        <v>2300000</v>
      </c>
      <c r="F22" s="31" t="n">
        <v>460000</v>
      </c>
      <c r="G22" s="31" t="n">
        <v>2300000</v>
      </c>
      <c r="H22" s="32" t="n">
        <f aca="false">IF(OR($E22="",$G22=""),"",$G22-$E22)</f>
        <v>0</v>
      </c>
      <c r="I22" s="33" t="n">
        <f aca="false">IF(OR($E22="",$G22=""),"",IFERROR($H22/$E22,""))</f>
        <v>0</v>
      </c>
      <c r="J22" s="20" t="n">
        <v>0.08</v>
      </c>
      <c r="K22" s="20" t="n">
        <v>0.15</v>
      </c>
      <c r="L22" s="34" t="str">
        <f aca="false">IF($C22="","",IF($E22="","Set a budget",IF(ABS(IFERROR($H22/$E22,0))&gt;=IF($K22="",Rules!$C$9,$K22),"ESCALATE - Board, "&amp;TEXT(ABS(IFERROR($H22/$E22,0)),"0.0%")&amp;" against "&amp;TEXT(IF($K22="",Rules!$C$9,$K22),"0%"),IF(ABS(IFERROR($H22/$E22,0))&gt;=IF($J22="",Rules!$C$8,$J22),"NOTIFY - Project Director, "&amp;TEXT(ABS(IFERROR($H22/$E22,0)),"0.0%")&amp;" against "&amp;TEXT(IF($J22="",Rules!$C$8,$J22),"0%"),"Inside tolerance"))))</f>
        <v>Inside tolerance</v>
      </c>
      <c r="M22" s="35" t="n">
        <f aca="false">IF(OR($C22="",$E22=""),0,IF(LEFT($L22,6)="Inside",0,ABS(IFERROR($H22/$E22,0))*1000+(1000-ROW())))</f>
        <v>0</v>
      </c>
    </row>
    <row r="23" customFormat="false" ht="15" hidden="false" customHeight="false" outlineLevel="0" collapsed="false">
      <c r="B23" s="30" t="s">
        <v>147</v>
      </c>
      <c r="C23" s="17" t="s">
        <v>148</v>
      </c>
      <c r="D23" s="7" t="s">
        <v>142</v>
      </c>
      <c r="E23" s="31" t="n">
        <v>1900000</v>
      </c>
      <c r="F23" s="31" t="n">
        <v>1620000</v>
      </c>
      <c r="G23" s="31" t="n">
        <v>1912000</v>
      </c>
      <c r="H23" s="32" t="n">
        <f aca="false">IF(OR($E23="",$G23=""),"",$G23-$E23)</f>
        <v>12000</v>
      </c>
      <c r="I23" s="33" t="n">
        <f aca="false">IF(OR($E23="",$G23=""),"",IFERROR($H23/$E23,""))</f>
        <v>0.00631578947368421</v>
      </c>
      <c r="J23" s="20" t="n">
        <v>0.05</v>
      </c>
      <c r="K23" s="20" t="n">
        <v>0.1</v>
      </c>
      <c r="L23" s="34" t="str">
        <f aca="false">IF($C23="","",IF($E23="","Set a budget",IF(ABS(IFERROR($H23/$E23,0))&gt;=IF($K23="",Rules!$C$9,$K23),"ESCALATE - Board, "&amp;TEXT(ABS(IFERROR($H23/$E23,0)),"0.0%")&amp;" against "&amp;TEXT(IF($K23="",Rules!$C$9,$K23),"0%"),IF(ABS(IFERROR($H23/$E23,0))&gt;=IF($J23="",Rules!$C$8,$J23),"NOTIFY - Project Director, "&amp;TEXT(ABS(IFERROR($H23/$E23,0)),"0.0%")&amp;" against "&amp;TEXT(IF($J23="",Rules!$C$8,$J23),"0%"),"Inside tolerance"))))</f>
        <v>Inside tolerance</v>
      </c>
      <c r="M23" s="35" t="n">
        <f aca="false">IF(OR($C23="",$E23=""),0,IF(LEFT($L23,6)="Inside",0,ABS(IFERROR($H23/$E23,0))*1000+(1000-ROW())))</f>
        <v>0</v>
      </c>
    </row>
    <row r="24" customFormat="false" ht="15" hidden="false" customHeight="false" outlineLevel="0" collapsed="false">
      <c r="B24" s="30"/>
      <c r="C24" s="17"/>
      <c r="D24" s="7"/>
      <c r="E24" s="31"/>
      <c r="F24" s="31"/>
      <c r="G24" s="31"/>
      <c r="H24" s="32" t="str">
        <f aca="false">IF(OR($E24="",$G24=""),"",$G24-$E24)</f>
        <v/>
      </c>
      <c r="I24" s="33" t="str">
        <f aca="false">IF(OR($E24="",$G24=""),"",IFERROR($H24/$E24,""))</f>
        <v/>
      </c>
      <c r="J24" s="20"/>
      <c r="K24" s="20"/>
      <c r="L24" s="34" t="str">
        <f aca="false">IF($C24="","",IF($E24="","Set a budget",IF(ABS(IFERROR($H24/$E24,0))&gt;=IF($K24="",Rules!$C$9,$K24),"ESCALATE - Board, "&amp;TEXT(ABS(IFERROR($H24/$E24,0)),"0.0%")&amp;" against "&amp;TEXT(IF($K24="",Rules!$C$9,$K24),"0%"),IF(ABS(IFERROR($H24/$E24,0))&gt;=IF($J24="",Rules!$C$8,$J24),"NOTIFY - Project Director, "&amp;TEXT(ABS(IFERROR($H24/$E24,0)),"0.0%")&amp;" against "&amp;TEXT(IF($J24="",Rules!$C$8,$J24),"0%"),"Inside tolerance"))))</f>
        <v/>
      </c>
      <c r="M24" s="35" t="n">
        <f aca="false">IF(OR($C24="",$E24=""),0,IF(LEFT($L24,6)="Inside",0,ABS(IFERROR($H24/$E24,0))*1000+(1000-ROW())))</f>
        <v>0</v>
      </c>
    </row>
    <row r="25" customFormat="false" ht="15" hidden="false" customHeight="false" outlineLevel="0" collapsed="false">
      <c r="B25" s="30"/>
      <c r="C25" s="17"/>
      <c r="D25" s="7"/>
      <c r="E25" s="31"/>
      <c r="F25" s="31"/>
      <c r="G25" s="31"/>
      <c r="H25" s="32" t="str">
        <f aca="false">IF(OR($E25="",$G25=""),"",$G25-$E25)</f>
        <v/>
      </c>
      <c r="I25" s="33" t="str">
        <f aca="false">IF(OR($E25="",$G25=""),"",IFERROR($H25/$E25,""))</f>
        <v/>
      </c>
      <c r="J25" s="20"/>
      <c r="K25" s="20"/>
      <c r="L25" s="34" t="str">
        <f aca="false">IF($C25="","",IF($E25="","Set a budget",IF(ABS(IFERROR($H25/$E25,0))&gt;=IF($K25="",Rules!$C$9,$K25),"ESCALATE - Board, "&amp;TEXT(ABS(IFERROR($H25/$E25,0)),"0.0%")&amp;" against "&amp;TEXT(IF($K25="",Rules!$C$9,$K25),"0%"),IF(ABS(IFERROR($H25/$E25,0))&gt;=IF($J25="",Rules!$C$8,$J25),"NOTIFY - Project Director, "&amp;TEXT(ABS(IFERROR($H25/$E25,0)),"0.0%")&amp;" against "&amp;TEXT(IF($J25="",Rules!$C$8,$J25),"0%"),"Inside tolerance"))))</f>
        <v/>
      </c>
      <c r="M25" s="35" t="n">
        <f aca="false">IF(OR($C25="",$E25=""),0,IF(LEFT($L25,6)="Inside",0,ABS(IFERROR($H25/$E25,0))*1000+(1000-ROW())))</f>
        <v>0</v>
      </c>
    </row>
    <row r="26" customFormat="false" ht="15" hidden="false" customHeight="false" outlineLevel="0" collapsed="false">
      <c r="B26" s="30"/>
      <c r="C26" s="17"/>
      <c r="D26" s="7"/>
      <c r="E26" s="31"/>
      <c r="F26" s="31"/>
      <c r="G26" s="31"/>
      <c r="H26" s="32" t="str">
        <f aca="false">IF(OR($E26="",$G26=""),"",$G26-$E26)</f>
        <v/>
      </c>
      <c r="I26" s="33" t="str">
        <f aca="false">IF(OR($E26="",$G26=""),"",IFERROR($H26/$E26,""))</f>
        <v/>
      </c>
      <c r="J26" s="20"/>
      <c r="K26" s="20"/>
      <c r="L26" s="34" t="str">
        <f aca="false">IF($C26="","",IF($E26="","Set a budget",IF(ABS(IFERROR($H26/$E26,0))&gt;=IF($K26="",Rules!$C$9,$K26),"ESCALATE - Board, "&amp;TEXT(ABS(IFERROR($H26/$E26,0)),"0.0%")&amp;" against "&amp;TEXT(IF($K26="",Rules!$C$9,$K26),"0%"),IF(ABS(IFERROR($H26/$E26,0))&gt;=IF($J26="",Rules!$C$8,$J26),"NOTIFY - Project Director, "&amp;TEXT(ABS(IFERROR($H26/$E26,0)),"0.0%")&amp;" against "&amp;TEXT(IF($J26="",Rules!$C$8,$J26),"0%"),"Inside tolerance"))))</f>
        <v/>
      </c>
      <c r="M26" s="35" t="n">
        <f aca="false">IF(OR($C26="",$E26=""),0,IF(LEFT($L26,6)="Inside",0,ABS(IFERROR($H26/$E26,0))*1000+(1000-ROW())))</f>
        <v>0</v>
      </c>
    </row>
    <row r="27" customFormat="false" ht="15" hidden="false" customHeight="false" outlineLevel="0" collapsed="false">
      <c r="B27" s="30"/>
      <c r="C27" s="17"/>
      <c r="D27" s="7"/>
      <c r="E27" s="31"/>
      <c r="F27" s="31"/>
      <c r="G27" s="31"/>
      <c r="H27" s="32" t="str">
        <f aca="false">IF(OR($E27="",$G27=""),"",$G27-$E27)</f>
        <v/>
      </c>
      <c r="I27" s="33" t="str">
        <f aca="false">IF(OR($E27="",$G27=""),"",IFERROR($H27/$E27,""))</f>
        <v/>
      </c>
      <c r="J27" s="20"/>
      <c r="K27" s="20"/>
      <c r="L27" s="34" t="str">
        <f aca="false">IF($C27="","",IF($E27="","Set a budget",IF(ABS(IFERROR($H27/$E27,0))&gt;=IF($K27="",Rules!$C$9,$K27),"ESCALATE - Board, "&amp;TEXT(ABS(IFERROR($H27/$E27,0)),"0.0%")&amp;" against "&amp;TEXT(IF($K27="",Rules!$C$9,$K27),"0%"),IF(ABS(IFERROR($H27/$E27,0))&gt;=IF($J27="",Rules!$C$8,$J27),"NOTIFY - Project Director, "&amp;TEXT(ABS(IFERROR($H27/$E27,0)),"0.0%")&amp;" against "&amp;TEXT(IF($J27="",Rules!$C$8,$J27),"0%"),"Inside tolerance"))))</f>
        <v/>
      </c>
      <c r="M27" s="35" t="n">
        <f aca="false">IF(OR($C27="",$E27=""),0,IF(LEFT($L27,6)="Inside",0,ABS(IFERROR($H27/$E27,0))*1000+(1000-ROW())))</f>
        <v>0</v>
      </c>
    </row>
    <row r="28" customFormat="false" ht="15" hidden="false" customHeight="false" outlineLevel="0" collapsed="false">
      <c r="B28" s="30"/>
      <c r="C28" s="17"/>
      <c r="D28" s="7"/>
      <c r="E28" s="31"/>
      <c r="F28" s="31"/>
      <c r="G28" s="31"/>
      <c r="H28" s="32" t="str">
        <f aca="false">IF(OR($E28="",$G28=""),"",$G28-$E28)</f>
        <v/>
      </c>
      <c r="I28" s="33" t="str">
        <f aca="false">IF(OR($E28="",$G28=""),"",IFERROR($H28/$E28,""))</f>
        <v/>
      </c>
      <c r="J28" s="20"/>
      <c r="K28" s="20"/>
      <c r="L28" s="34" t="str">
        <f aca="false">IF($C28="","",IF($E28="","Set a budget",IF(ABS(IFERROR($H28/$E28,0))&gt;=IF($K28="",Rules!$C$9,$K28),"ESCALATE - Board, "&amp;TEXT(ABS(IFERROR($H28/$E28,0)),"0.0%")&amp;" against "&amp;TEXT(IF($K28="",Rules!$C$9,$K28),"0%"),IF(ABS(IFERROR($H28/$E28,0))&gt;=IF($J28="",Rules!$C$8,$J28),"NOTIFY - Project Director, "&amp;TEXT(ABS(IFERROR($H28/$E28,0)),"0.0%")&amp;" against "&amp;TEXT(IF($J28="",Rules!$C$8,$J28),"0%"),"Inside tolerance"))))</f>
        <v/>
      </c>
      <c r="M28" s="35" t="n">
        <f aca="false">IF(OR($C28="",$E28=""),0,IF(LEFT($L28,6)="Inside",0,ABS(IFERROR($H28/$E28,0))*1000+(1000-ROW())))</f>
        <v>0</v>
      </c>
    </row>
    <row r="30" customFormat="false" ht="15" hidden="false" customHeight="false" outlineLevel="0" collapsed="false">
      <c r="B30" s="36"/>
      <c r="C30" s="37" t="s">
        <v>149</v>
      </c>
      <c r="D30" s="36"/>
      <c r="E30" s="38" t="n">
        <f aca="false">SUM(E8:E28)</f>
        <v>72750000</v>
      </c>
      <c r="F30" s="38" t="n">
        <f aca="false">SUM(F8:F28)</f>
        <v>61660000</v>
      </c>
      <c r="G30" s="38" t="n">
        <f aca="false">SUM(G8:G28)</f>
        <v>73860000</v>
      </c>
      <c r="H30" s="39" t="n">
        <f aca="false">$G30-$E30</f>
        <v>1110000</v>
      </c>
      <c r="I30" s="36"/>
      <c r="J30" s="36"/>
      <c r="K30" s="36"/>
      <c r="L30" s="40" t="str">
        <f aca="false">IF($E30=0,"",IF(ABS($H30/$E30)&gt;=Rules!$C$10,"BOARD NOW - project forecast has moved "&amp;TEXT($H30/$E30,"+0.0%;-0.0%")&amp;" against a "&amp;TEXT(Rules!$C$10,"0%")&amp;" project tolerance","Project total inside "&amp;TEXT(Rules!$C$10,"0%")))</f>
        <v>Project total inside 2%</v>
      </c>
    </row>
    <row r="31" customFormat="false" ht="15" hidden="false" customHeight="false" outlineLevel="0" collapsed="false">
      <c r="C31" s="41" t="s">
        <v>150</v>
      </c>
      <c r="E31" s="31" t="n">
        <v>5600000</v>
      </c>
      <c r="F31" s="31" t="n">
        <v>1910000</v>
      </c>
      <c r="G31" s="42" t="n">
        <f aca="false">$E31-$F31</f>
        <v>3690000</v>
      </c>
      <c r="L31" s="34" t="str">
        <f aca="false">IF($E31=0,"",TEXT($F31/$E31,"0%")&amp;" drawn, "&amp;TEXT($G31,"$#,##0")&amp;" remaining")</f>
        <v>34% drawn, $3,690,000 remaining</v>
      </c>
    </row>
    <row r="32" customFormat="false" ht="15" hidden="false" customHeight="false" outlineLevel="0" collapsed="false">
      <c r="B32" s="43"/>
      <c r="C32" s="44" t="s">
        <v>151</v>
      </c>
      <c r="D32" s="43"/>
      <c r="E32" s="38" t="n">
        <f aca="false">$E30+$E31</f>
        <v>78350000</v>
      </c>
      <c r="F32" s="38" t="n">
        <f aca="false">$F30+$F31</f>
        <v>63570000</v>
      </c>
      <c r="G32" s="38" t="n">
        <f aca="false">$G30+$F31</f>
        <v>75770000</v>
      </c>
      <c r="H32" s="43"/>
      <c r="I32" s="43"/>
      <c r="J32" s="43"/>
      <c r="K32" s="43"/>
      <c r="L32" s="40" t="str">
        <f aca="false">IF($E32=0,"",IF($G32&gt;$E32,"OVER APPROVED BUDGET by "&amp;TEXT($G32-$E32,"$#,##0")&amp;" - no tolerance at this line",TEXT($E32-$G32,"$#,##0")&amp;" of headroom against the approved budget"))</f>
        <v>$2,580,000 of headroom against the approved budget</v>
      </c>
    </row>
    <row r="34" customFormat="false" ht="17.25" hidden="false" customHeight="true" outlineLevel="0" collapsed="false">
      <c r="C34" s="28" t="s">
        <v>152</v>
      </c>
      <c r="D34" s="28"/>
      <c r="E34" s="28"/>
      <c r="F34" s="28"/>
      <c r="G34" s="28"/>
      <c r="H34" s="28"/>
      <c r="I34" s="28"/>
      <c r="J34" s="28"/>
      <c r="K34" s="28"/>
      <c r="L34" s="28"/>
    </row>
    <row r="36" customFormat="false" ht="18" hidden="false" customHeight="true" outlineLevel="0" collapsed="false">
      <c r="B36" s="12" t="s">
        <v>38</v>
      </c>
      <c r="C36" s="12"/>
      <c r="D36" s="12"/>
      <c r="E36" s="12"/>
      <c r="F36" s="12"/>
      <c r="G36" s="12"/>
      <c r="H36" s="12"/>
      <c r="I36" s="12"/>
      <c r="J36" s="12"/>
      <c r="K36" s="12"/>
      <c r="L36" s="12"/>
    </row>
  </sheetData>
  <mergeCells count="7">
    <mergeCell ref="B1:L1"/>
    <mergeCell ref="B2:L2"/>
    <mergeCell ref="B3:L3"/>
    <mergeCell ref="B4:L4"/>
    <mergeCell ref="B6:L6"/>
    <mergeCell ref="C34:L34"/>
    <mergeCell ref="B36:L36"/>
  </mergeCells>
  <conditionalFormatting sqref="B3:L3">
    <cfRule type="expression" priority="2" aboveAverage="0" equalAverage="0" bottom="0" percent="0" rank="0" text="" dxfId="0">
      <formula>LEN($B$3)&gt;0</formula>
    </cfRule>
  </conditionalFormatting>
  <conditionalFormatting sqref="B8:L28">
    <cfRule type="expression" priority="3" aboveAverage="0" equalAverage="0" bottom="0" percent="0" rank="0" text="" dxfId="1">
      <formula>LEFT($L8,8)="ESCALATE"</formula>
    </cfRule>
    <cfRule type="expression" priority="4" aboveAverage="0" equalAverage="0" bottom="0" percent="0" rank="0" text="" dxfId="0">
      <formula>LEFT($L8,6)="NOTIFY"</formula>
    </cfRule>
    <cfRule type="expression" priority="5" aboveAverage="0" equalAverage="0" bottom="0" percent="0" rank="0" text="" dxfId="2">
      <formula>LEFT($L8,16)="Inside tolerance"</formula>
    </cfRule>
  </conditionalFormatting>
  <conditionalFormatting sqref="B30:L30">
    <cfRule type="expression" priority="6" aboveAverage="0" equalAverage="0" bottom="0" percent="0" rank="0" text="" dxfId="1">
      <formula>LEFT($L$30,5)="BOARD"</formula>
    </cfRule>
  </conditionalFormatting>
  <conditionalFormatting sqref="B32:L32">
    <cfRule type="expression" priority="7" aboveAverage="0" equalAverage="0" bottom="0" percent="0" rank="0" text="" dxfId="1">
      <formula>LEFT($L$32,4)="OVER"</formula>
    </cfRule>
  </conditionalFormatting>
  <dataValidations count="21">
    <dataValidation allowBlank="true" errorStyle="stop" operator="between" showDropDown="false" showErrorMessage="false" showInputMessage="false" sqref="D8" type="list">
      <formula1>Rules!$F$6:$F$10</formula1>
      <formula2>0</formula2>
    </dataValidation>
    <dataValidation allowBlank="true" errorStyle="stop" operator="between" showDropDown="false" showErrorMessage="false" showInputMessage="false" sqref="D9" type="list">
      <formula1>Rules!$F$6:$F$10</formula1>
      <formula2>0</formula2>
    </dataValidation>
    <dataValidation allowBlank="true" errorStyle="stop" operator="between" showDropDown="false" showErrorMessage="false" showInputMessage="false" sqref="D10" type="list">
      <formula1>Rules!$F$6:$F$10</formula1>
      <formula2>0</formula2>
    </dataValidation>
    <dataValidation allowBlank="true" errorStyle="stop" operator="between" showDropDown="false" showErrorMessage="false" showInputMessage="false" sqref="D11" type="list">
      <formula1>Rules!$F$6:$F$10</formula1>
      <formula2>0</formula2>
    </dataValidation>
    <dataValidation allowBlank="true" errorStyle="stop" operator="between" showDropDown="false" showErrorMessage="false" showInputMessage="false" sqref="D12" type="list">
      <formula1>Rules!$F$6:$F$10</formula1>
      <formula2>0</formula2>
    </dataValidation>
    <dataValidation allowBlank="true" errorStyle="stop" operator="between" showDropDown="false" showErrorMessage="false" showInputMessage="false" sqref="D13" type="list">
      <formula1>Rules!$F$6:$F$10</formula1>
      <formula2>0</formula2>
    </dataValidation>
    <dataValidation allowBlank="true" errorStyle="stop" operator="between" showDropDown="false" showErrorMessage="false" showInputMessage="false" sqref="D14" type="list">
      <formula1>Rules!$F$6:$F$10</formula1>
      <formula2>0</formula2>
    </dataValidation>
    <dataValidation allowBlank="true" errorStyle="stop" operator="between" showDropDown="false" showErrorMessage="false" showInputMessage="false" sqref="D15" type="list">
      <formula1>Rules!$F$6:$F$10</formula1>
      <formula2>0</formula2>
    </dataValidation>
    <dataValidation allowBlank="true" errorStyle="stop" operator="between" showDropDown="false" showErrorMessage="false" showInputMessage="false" sqref="D16" type="list">
      <formula1>Rules!$F$6:$F$10</formula1>
      <formula2>0</formula2>
    </dataValidation>
    <dataValidation allowBlank="true" errorStyle="stop" operator="between" showDropDown="false" showErrorMessage="false" showInputMessage="false" sqref="D17" type="list">
      <formula1>Rules!$F$6:$F$10</formula1>
      <formula2>0</formula2>
    </dataValidation>
    <dataValidation allowBlank="true" errorStyle="stop" operator="between" showDropDown="false" showErrorMessage="false" showInputMessage="false" sqref="D18" type="list">
      <formula1>Rules!$F$6:$F$10</formula1>
      <formula2>0</formula2>
    </dataValidation>
    <dataValidation allowBlank="true" errorStyle="stop" operator="between" showDropDown="false" showErrorMessage="false" showInputMessage="false" sqref="D19" type="list">
      <formula1>Rules!$F$6:$F$10</formula1>
      <formula2>0</formula2>
    </dataValidation>
    <dataValidation allowBlank="true" errorStyle="stop" operator="between" showDropDown="false" showErrorMessage="false" showInputMessage="false" sqref="D20" type="list">
      <formula1>Rules!$F$6:$F$10</formula1>
      <formula2>0</formula2>
    </dataValidation>
    <dataValidation allowBlank="true" errorStyle="stop" operator="between" showDropDown="false" showErrorMessage="false" showInputMessage="false" sqref="D21" type="list">
      <formula1>Rules!$F$6:$F$10</formula1>
      <formula2>0</formula2>
    </dataValidation>
    <dataValidation allowBlank="true" errorStyle="stop" operator="between" showDropDown="false" showErrorMessage="false" showInputMessage="false" sqref="D22" type="list">
      <formula1>Rules!$F$6:$F$10</formula1>
      <formula2>0</formula2>
    </dataValidation>
    <dataValidation allowBlank="true" errorStyle="stop" operator="between" showDropDown="false" showErrorMessage="false" showInputMessage="false" sqref="D23" type="list">
      <formula1>Rules!$F$6:$F$10</formula1>
      <formula2>0</formula2>
    </dataValidation>
    <dataValidation allowBlank="true" errorStyle="stop" operator="between" showDropDown="false" showErrorMessage="false" showInputMessage="false" sqref="D24" type="list">
      <formula1>Rules!$F$6:$F$10</formula1>
      <formula2>0</formula2>
    </dataValidation>
    <dataValidation allowBlank="true" errorStyle="stop" operator="between" showDropDown="false" showErrorMessage="false" showInputMessage="false" sqref="D25" type="list">
      <formula1>Rules!$F$6:$F$10</formula1>
      <formula2>0</formula2>
    </dataValidation>
    <dataValidation allowBlank="true" errorStyle="stop" operator="between" showDropDown="false" showErrorMessage="false" showInputMessage="false" sqref="D26" type="list">
      <formula1>Rules!$F$6:$F$10</formula1>
      <formula2>0</formula2>
    </dataValidation>
    <dataValidation allowBlank="true" errorStyle="stop" operator="between" showDropDown="false" showErrorMessage="false" showInputMessage="false" sqref="D27" type="list">
      <formula1>Rules!$F$6:$F$10</formula1>
      <formula2>0</formula2>
    </dataValidation>
    <dataValidation allowBlank="true" errorStyle="stop" operator="between" showDropDown="false" showErrorMessage="false" showInputMessage="false" sqref="D28" type="list">
      <formula1>Rules!$F$6:$F$10</formula1>
      <formula2>0</formula2>
    </dataValidation>
  </dataValidations>
  <hyperlinks>
    <hyperlink ref="B36" r:id="rId1" display="Visit mastt.com"/>
  </hyperlinks>
  <printOptions headings="false" gridLines="false" gridLinesSet="true" horizontalCentered="false" verticalCentered="false"/>
  <pageMargins left="0.3" right="0.3" top="0.4" bottom="0.4" header="0.511811023622047" footer="0.15"/>
  <pageSetup paperSize="8" scale="100" fitToWidth="1" fitToHeight="0" pageOrder="downThenOver" orientation="landscape" blackAndWhite="false" draft="false" cellComments="none" horizontalDpi="300" verticalDpi="300" copies="1"/>
  <headerFooter differentFirst="false" differentOddEven="false">
    <oddHeader/>
    <oddFooter>&amp;R&amp;9 &amp;K3480bcVisit mastt.com</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I2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10"/>
    <col collapsed="false" customWidth="true" hidden="false" outlineLevel="0" max="3" min="3" style="0" width="34"/>
    <col collapsed="false" customWidth="true" hidden="false" outlineLevel="0" max="6" min="4" style="0" width="15"/>
    <col collapsed="false" customWidth="true" hidden="false" outlineLevel="0" max="7" min="7" style="0" width="11"/>
    <col collapsed="false" customWidth="true" hidden="false" outlineLevel="0" max="8" min="8" style="0" width="29"/>
    <col collapsed="false" customWidth="true" hidden="false" outlineLevel="0" max="9" min="9" style="0" width="13"/>
  </cols>
  <sheetData>
    <row r="1" customFormat="false" ht="33.75" hidden="false" customHeight="true" outlineLevel="0" collapsed="false">
      <c r="B1" s="1" t="s">
        <v>0</v>
      </c>
      <c r="C1" s="1"/>
      <c r="D1" s="1"/>
      <c r="E1" s="1"/>
      <c r="F1" s="1"/>
      <c r="G1" s="1"/>
      <c r="H1" s="1"/>
      <c r="I1" s="1"/>
    </row>
    <row r="2" customFormat="false" ht="4.5" hidden="false" customHeight="true" outlineLevel="0" collapsed="false">
      <c r="B2" s="2"/>
      <c r="C2" s="2"/>
      <c r="D2" s="2"/>
      <c r="E2" s="2"/>
      <c r="F2" s="2"/>
      <c r="G2" s="2"/>
      <c r="H2" s="2"/>
      <c r="I2" s="2"/>
    </row>
    <row r="3" customFormat="false" ht="16.5" hidden="false" customHeight="true" outlineLevel="0" collapsed="false">
      <c r="B3" s="3" t="str">
        <f aca="false">""</f>
        <v/>
      </c>
      <c r="C3" s="3"/>
      <c r="D3" s="3"/>
      <c r="E3" s="3"/>
      <c r="F3" s="3"/>
      <c r="G3" s="3"/>
      <c r="H3" s="3"/>
      <c r="I3" s="3"/>
    </row>
    <row r="4" customFormat="false" ht="25.5" hidden="false" customHeight="true" outlineLevel="0" collapsed="false">
      <c r="B4" s="4" t="s">
        <v>153</v>
      </c>
      <c r="C4" s="4"/>
      <c r="D4" s="4"/>
      <c r="E4" s="4"/>
      <c r="F4" s="4"/>
      <c r="G4" s="4"/>
      <c r="H4" s="4"/>
      <c r="I4" s="4"/>
    </row>
    <row r="6" customFormat="false" ht="33.75" hidden="false" customHeight="true" outlineLevel="0" collapsed="false">
      <c r="B6" s="45" t="str">
        <f aca="false">IF(COUNTIF(Framework!$C$8:$C$28,"?*")=0,"Add control accounts on the Framework sheet",IF(Framework!$G$32&gt;Framework!$E$32,"OVER APPROVED BUDGET by "&amp;TEXT(Framework!$G$32-Framework!$E$32,"$#,##0")&amp;" - no tolerance at this line",IF(SUMPRODUCT(--(LEFT(Framework!$L$8:$L$28,8)="ESCALATE"))&gt;0,SUMPRODUCT(--(LEFT(Framework!$L$8:$L$28,8)="ESCALATE"))&amp;IF(SUMPRODUCT(--(LEFT(Framework!$L$8:$L$28,8)="ESCALATE"))=1," account is"," accounts are")&amp;" through the escalate threshold - Board, with a revised forecast",IF(SUMPRODUCT(--(LEFT(Framework!$L$8:$L$28,6)="NOTIFY"))&gt;0,SUMPRODUCT(--(LEFT(Framework!$L$8:$L$28,6)="NOTIFY"))&amp;IF(SUMPRODUCT(--(LEFT(Framework!$L$8:$L$28,6)="NOTIFY"))=1," account is"," accounts are")&amp;" through the notify threshold - Project Director, within 5 working days","All "&amp;COUNTIF(Framework!$C$8:$C$28,"?*")&amp;" accounts inside tolerance, and the project total is too"))))</f>
        <v>1 account is through the escalate threshold - Board, with a revised forecast</v>
      </c>
      <c r="C6" s="45"/>
      <c r="D6" s="45"/>
      <c r="E6" s="45"/>
      <c r="F6" s="45"/>
      <c r="G6" s="45"/>
      <c r="H6" s="45"/>
    </row>
    <row r="8" customFormat="false" ht="12.75" hidden="false" customHeight="true" outlineLevel="0" collapsed="false">
      <c r="B8" s="46" t="s">
        <v>154</v>
      </c>
      <c r="C8" s="46"/>
      <c r="D8" s="46" t="s">
        <v>155</v>
      </c>
      <c r="E8" s="46"/>
      <c r="F8" s="46" t="s">
        <v>156</v>
      </c>
      <c r="G8" s="46"/>
      <c r="H8" s="46" t="s">
        <v>157</v>
      </c>
      <c r="I8" s="46"/>
    </row>
    <row r="9" customFormat="false" ht="30" hidden="false" customHeight="true" outlineLevel="0" collapsed="false">
      <c r="B9" s="47" t="n">
        <f aca="false">Framework!$E$32</f>
        <v>78350000</v>
      </c>
      <c r="C9" s="47"/>
      <c r="D9" s="47" t="n">
        <f aca="false">Framework!$G$32</f>
        <v>75770000</v>
      </c>
      <c r="E9" s="47"/>
      <c r="F9" s="48" t="n">
        <f aca="false">SUMPRODUCT(--(LEFT(Framework!$L$8:$L$28,8)="ESCALATE"))+SUMPRODUCT(--(LEFT(Framework!$L$8:$L$28,6)="NOTIFY"))</f>
        <v>3</v>
      </c>
      <c r="G9" s="48"/>
      <c r="H9" s="47" t="n">
        <f aca="false">Framework!$E$31-Framework!$F$31</f>
        <v>3690000</v>
      </c>
      <c r="I9" s="47"/>
    </row>
    <row r="10" customFormat="false" ht="15" hidden="false" customHeight="true" outlineLevel="0" collapsed="false">
      <c r="B10" s="49" t="str">
        <f aca="false">"control accounts plus contingency"</f>
        <v>control accounts plus contingency</v>
      </c>
      <c r="C10" s="49"/>
      <c r="D10" s="49" t="str">
        <f aca="false">IF(Framework!$G$32&gt;Framework!$E$32,TEXT(Framework!$G$32-Framework!$E$32,"$#,##0")&amp;" over",TEXT(Framework!$E$32-Framework!$G$32,"$#,##0")&amp;" of headroom")</f>
        <v>$2,580,000 of headroom</v>
      </c>
      <c r="E10" s="49"/>
      <c r="F10" s="49" t="str">
        <f aca="false">"of "&amp;COUNTIF(Framework!$C$8:$C$28,"?*")&amp;" accounts, "&amp;SUMPRODUCT(--(LEFT(Framework!$L$8:$L$28,8)="ESCALATE"))&amp;" at escalate"</f>
        <v>of 16 accounts, 1 at escalate</v>
      </c>
      <c r="G10" s="49"/>
      <c r="H10" s="49" t="str">
        <f aca="false">TEXT(Framework!$F$31/Framework!$E$31,"0%")&amp;" of "&amp;TEXT(Framework!$E$31,"$#,##0")&amp;" drawn"</f>
        <v>34% of $5,600,000 drawn</v>
      </c>
      <c r="I10" s="49"/>
    </row>
    <row r="12" customFormat="false" ht="21.75" hidden="false" customHeight="true" outlineLevel="0" collapsed="false">
      <c r="B12" s="5" t="s">
        <v>158</v>
      </c>
      <c r="C12" s="5"/>
      <c r="D12" s="5"/>
      <c r="E12" s="5"/>
      <c r="F12" s="5"/>
      <c r="G12" s="5"/>
      <c r="H12" s="5"/>
    </row>
    <row r="13" customFormat="false" ht="24" hidden="false" customHeight="true" outlineLevel="0" collapsed="false">
      <c r="B13" s="50" t="s">
        <v>159</v>
      </c>
      <c r="C13" s="50" t="s">
        <v>105</v>
      </c>
      <c r="D13" s="50" t="s">
        <v>107</v>
      </c>
      <c r="E13" s="50" t="s">
        <v>109</v>
      </c>
      <c r="F13" s="50" t="s">
        <v>110</v>
      </c>
      <c r="G13" s="50" t="s">
        <v>160</v>
      </c>
      <c r="H13" s="50" t="s">
        <v>161</v>
      </c>
    </row>
    <row r="14" customFormat="false" ht="19.5" hidden="false" customHeight="true" outlineLevel="0" collapsed="false">
      <c r="B14" s="51" t="n">
        <f aca="false">IF(IFERROR(LARGE(Framework!$M$8:$M$28,1),0)=0,"",1)</f>
        <v>1</v>
      </c>
      <c r="C14" s="34" t="str">
        <f aca="false">IFERROR(IF(LARGE(Framework!$M$8:$M$28,1)=0,"",INDEX(Framework!$C$8:$C$28,MATCH(LARGE(Framework!$M$8:$M$28,1),Framework!$M$8:$M$28,0))),"")</f>
        <v>Bulk earthworks and retention</v>
      </c>
      <c r="D14" s="42" t="n">
        <f aca="false">IFERROR(IF(LARGE(Framework!$M$8:$M$28,1)=0,"",INDEX(Framework!$E$8:$E$28,MATCH(LARGE(Framework!$M$8:$M$28,1),Framework!$M$8:$M$28,0))),"")</f>
        <v>3100000</v>
      </c>
      <c r="E14" s="42" t="n">
        <f aca="false">IFERROR(IF(LARGE(Framework!$M$8:$M$28,1)=0,"",INDEX(Framework!$G$8:$G$28,MATCH(LARGE(Framework!$M$8:$M$28,1),Framework!$M$8:$M$28,0))),"")</f>
        <v>3420000</v>
      </c>
      <c r="F14" s="32" t="n">
        <f aca="false">IFERROR(IF(LARGE(Framework!$M$8:$M$28,1)=0,"",INDEX(Framework!$H$8:$H$28,MATCH(LARGE(Framework!$M$8:$M$28,1),Framework!$M$8:$M$28,0))),"")</f>
        <v>320000</v>
      </c>
      <c r="G14" s="33" t="n">
        <f aca="false">IFERROR(IF(LARGE(Framework!$M$8:$M$28,1)=0,"",INDEX(Framework!$I$8:$I$28,MATCH(LARGE(Framework!$M$8:$M$28,1),Framework!$M$8:$M$28,0))),"")</f>
        <v>0.103225806451613</v>
      </c>
      <c r="H14" s="34" t="str">
        <f aca="false">IFERROR(IF(LARGE(Framework!$M$8:$M$28,1)=0,"",INDEX(Framework!$L$8:$L$28,MATCH(LARGE(Framework!$M$8:$M$28,1),Framework!$M$8:$M$28,0))),"")</f>
        <v>ESCALATE - Board, 10.3% against 10%</v>
      </c>
    </row>
    <row r="15" customFormat="false" ht="19.5" hidden="false" customHeight="true" outlineLevel="0" collapsed="false">
      <c r="B15" s="51" t="n">
        <f aca="false">IF(IFERROR(LARGE(Framework!$M$8:$M$28,2),0)=0,"",2)</f>
        <v>2</v>
      </c>
      <c r="C15" s="34" t="str">
        <f aca="false">IFERROR(IF(LARGE(Framework!$M$8:$M$28,2)=0,"",INDEX(Framework!$C$8:$C$28,MATCH(LARGE(Framework!$M$8:$M$28,2),Framework!$M$8:$M$28,0))),"")</f>
        <v>Facade and glazing</v>
      </c>
      <c r="D15" s="42" t="n">
        <f aca="false">IFERROR(IF(LARGE(Framework!$M$8:$M$28,2)=0,"",INDEX(Framework!$E$8:$E$28,MATCH(LARGE(Framework!$M$8:$M$28,2),Framework!$M$8:$M$28,0))),"")</f>
        <v>7250000</v>
      </c>
      <c r="E15" s="42" t="n">
        <f aca="false">IFERROR(IF(LARGE(Framework!$M$8:$M$28,2)=0,"",INDEX(Framework!$G$8:$G$28,MATCH(LARGE(Framework!$M$8:$M$28,2),Framework!$M$8:$M$28,0))),"")</f>
        <v>7640000</v>
      </c>
      <c r="F15" s="32" t="n">
        <f aca="false">IFERROR(IF(LARGE(Framework!$M$8:$M$28,2)=0,"",INDEX(Framework!$H$8:$H$28,MATCH(LARGE(Framework!$M$8:$M$28,2),Framework!$M$8:$M$28,0))),"")</f>
        <v>390000</v>
      </c>
      <c r="G15" s="33" t="n">
        <f aca="false">IFERROR(IF(LARGE(Framework!$M$8:$M$28,2)=0,"",INDEX(Framework!$I$8:$I$28,MATCH(LARGE(Framework!$M$8:$M$28,2),Framework!$M$8:$M$28,0))),"")</f>
        <v>0.0537931034482759</v>
      </c>
      <c r="H15" s="34" t="str">
        <f aca="false">IFERROR(IF(LARGE(Framework!$M$8:$M$28,2)=0,"",INDEX(Framework!$L$8:$L$28,MATCH(LARGE(Framework!$M$8:$M$28,2),Framework!$M$8:$M$28,0))),"")</f>
        <v>NOTIFY - Project Director, 5.4% against 5%</v>
      </c>
    </row>
    <row r="16" customFormat="false" ht="19.5" hidden="false" customHeight="true" outlineLevel="0" collapsed="false">
      <c r="B16" s="51" t="n">
        <f aca="false">IF(IFERROR(LARGE(Framework!$M$8:$M$28,3),0)=0,"",3)</f>
        <v>3</v>
      </c>
      <c r="C16" s="34" t="str">
        <f aca="false">IFERROR(IF(LARGE(Framework!$M$8:$M$28,3)=0,"",INDEX(Framework!$C$8:$C$28,MATCH(LARGE(Framework!$M$8:$M$28,3),Framework!$M$8:$M$28,0))),"")</f>
        <v>Professional fees</v>
      </c>
      <c r="D16" s="42" t="n">
        <f aca="false">IFERROR(IF(LARGE(Framework!$M$8:$M$28,3)=0,"",INDEX(Framework!$E$8:$E$28,MATCH(LARGE(Framework!$M$8:$M$28,3),Framework!$M$8:$M$28,0))),"")</f>
        <v>4800000</v>
      </c>
      <c r="E16" s="42" t="n">
        <f aca="false">IFERROR(IF(LARGE(Framework!$M$8:$M$28,3)=0,"",INDEX(Framework!$G$8:$G$28,MATCH(LARGE(Framework!$M$8:$M$28,3),Framework!$M$8:$M$28,0))),"")</f>
        <v>5090000</v>
      </c>
      <c r="F16" s="32" t="n">
        <f aca="false">IFERROR(IF(LARGE(Framework!$M$8:$M$28,3)=0,"",INDEX(Framework!$H$8:$H$28,MATCH(LARGE(Framework!$M$8:$M$28,3),Framework!$M$8:$M$28,0))),"")</f>
        <v>290000</v>
      </c>
      <c r="G16" s="33" t="n">
        <f aca="false">IFERROR(IF(LARGE(Framework!$M$8:$M$28,3)=0,"",INDEX(Framework!$I$8:$I$28,MATCH(LARGE(Framework!$M$8:$M$28,3),Framework!$M$8:$M$28,0))),"")</f>
        <v>0.0604166666666667</v>
      </c>
      <c r="H16" s="34" t="str">
        <f aca="false">IFERROR(IF(LARGE(Framework!$M$8:$M$28,3)=0,"",INDEX(Framework!$L$8:$L$28,MATCH(LARGE(Framework!$M$8:$M$28,3),Framework!$M$8:$M$28,0))),"")</f>
        <v>NOTIFY - Project Director, 6.0% against 5%</v>
      </c>
    </row>
    <row r="17" customFormat="false" ht="19.5" hidden="false" customHeight="true" outlineLevel="0" collapsed="false">
      <c r="B17" s="51" t="str">
        <f aca="false">IF(IFERROR(LARGE(Framework!$M$8:$M$28,4),0)=0,"",4)</f>
        <v/>
      </c>
      <c r="C17" s="34" t="str">
        <f aca="false">IFERROR(IF(LARGE(Framework!$M$8:$M$28,4)=0,"",INDEX(Framework!$C$8:$C$28,MATCH(LARGE(Framework!$M$8:$M$28,4),Framework!$M$8:$M$28,0))),"")</f>
        <v/>
      </c>
      <c r="D17" s="42" t="str">
        <f aca="false">IFERROR(IF(LARGE(Framework!$M$8:$M$28,4)=0,"",INDEX(Framework!$E$8:$E$28,MATCH(LARGE(Framework!$M$8:$M$28,4),Framework!$M$8:$M$28,0))),"")</f>
        <v/>
      </c>
      <c r="E17" s="42" t="str">
        <f aca="false">IFERROR(IF(LARGE(Framework!$M$8:$M$28,4)=0,"",INDEX(Framework!$G$8:$G$28,MATCH(LARGE(Framework!$M$8:$M$28,4),Framework!$M$8:$M$28,0))),"")</f>
        <v/>
      </c>
      <c r="F17" s="32" t="str">
        <f aca="false">IFERROR(IF(LARGE(Framework!$M$8:$M$28,4)=0,"",INDEX(Framework!$H$8:$H$28,MATCH(LARGE(Framework!$M$8:$M$28,4),Framework!$M$8:$M$28,0))),"")</f>
        <v/>
      </c>
      <c r="G17" s="33" t="str">
        <f aca="false">IFERROR(IF(LARGE(Framework!$M$8:$M$28,4)=0,"",INDEX(Framework!$I$8:$I$28,MATCH(LARGE(Framework!$M$8:$M$28,4),Framework!$M$8:$M$28,0))),"")</f>
        <v/>
      </c>
      <c r="H17" s="34" t="str">
        <f aca="false">IFERROR(IF(LARGE(Framework!$M$8:$M$28,4)=0,"",INDEX(Framework!$L$8:$L$28,MATCH(LARGE(Framework!$M$8:$M$28,4),Framework!$M$8:$M$28,0))),"")</f>
        <v/>
      </c>
    </row>
    <row r="18" customFormat="false" ht="19.5" hidden="false" customHeight="true" outlineLevel="0" collapsed="false">
      <c r="B18" s="51" t="str">
        <f aca="false">IF(IFERROR(LARGE(Framework!$M$8:$M$28,5),0)=0,"",5)</f>
        <v/>
      </c>
      <c r="C18" s="34" t="str">
        <f aca="false">IFERROR(IF(LARGE(Framework!$M$8:$M$28,5)=0,"",INDEX(Framework!$C$8:$C$28,MATCH(LARGE(Framework!$M$8:$M$28,5),Framework!$M$8:$M$28,0))),"")</f>
        <v/>
      </c>
      <c r="D18" s="42" t="str">
        <f aca="false">IFERROR(IF(LARGE(Framework!$M$8:$M$28,5)=0,"",INDEX(Framework!$E$8:$E$28,MATCH(LARGE(Framework!$M$8:$M$28,5),Framework!$M$8:$M$28,0))),"")</f>
        <v/>
      </c>
      <c r="E18" s="42" t="str">
        <f aca="false">IFERROR(IF(LARGE(Framework!$M$8:$M$28,5)=0,"",INDEX(Framework!$G$8:$G$28,MATCH(LARGE(Framework!$M$8:$M$28,5),Framework!$M$8:$M$28,0))),"")</f>
        <v/>
      </c>
      <c r="F18" s="32" t="str">
        <f aca="false">IFERROR(IF(LARGE(Framework!$M$8:$M$28,5)=0,"",INDEX(Framework!$H$8:$H$28,MATCH(LARGE(Framework!$M$8:$M$28,5),Framework!$M$8:$M$28,0))),"")</f>
        <v/>
      </c>
      <c r="G18" s="33" t="str">
        <f aca="false">IFERROR(IF(LARGE(Framework!$M$8:$M$28,5)=0,"",INDEX(Framework!$I$8:$I$28,MATCH(LARGE(Framework!$M$8:$M$28,5),Framework!$M$8:$M$28,0))),"")</f>
        <v/>
      </c>
      <c r="H18" s="34" t="str">
        <f aca="false">IFERROR(IF(LARGE(Framework!$M$8:$M$28,5)=0,"",INDEX(Framework!$L$8:$L$28,MATCH(LARGE(Framework!$M$8:$M$28,5),Framework!$M$8:$M$28,0))),"")</f>
        <v/>
      </c>
    </row>
    <row r="19" customFormat="false" ht="19.5" hidden="false" customHeight="true" outlineLevel="0" collapsed="false">
      <c r="B19" s="51" t="str">
        <f aca="false">IF(IFERROR(LARGE(Framework!$M$8:$M$28,6),0)=0,"",6)</f>
        <v/>
      </c>
      <c r="C19" s="34" t="str">
        <f aca="false">IFERROR(IF(LARGE(Framework!$M$8:$M$28,6)=0,"",INDEX(Framework!$C$8:$C$28,MATCH(LARGE(Framework!$M$8:$M$28,6),Framework!$M$8:$M$28,0))),"")</f>
        <v/>
      </c>
      <c r="D19" s="42" t="str">
        <f aca="false">IFERROR(IF(LARGE(Framework!$M$8:$M$28,6)=0,"",INDEX(Framework!$E$8:$E$28,MATCH(LARGE(Framework!$M$8:$M$28,6),Framework!$M$8:$M$28,0))),"")</f>
        <v/>
      </c>
      <c r="E19" s="42" t="str">
        <f aca="false">IFERROR(IF(LARGE(Framework!$M$8:$M$28,6)=0,"",INDEX(Framework!$G$8:$G$28,MATCH(LARGE(Framework!$M$8:$M$28,6),Framework!$M$8:$M$28,0))),"")</f>
        <v/>
      </c>
      <c r="F19" s="32" t="str">
        <f aca="false">IFERROR(IF(LARGE(Framework!$M$8:$M$28,6)=0,"",INDEX(Framework!$H$8:$H$28,MATCH(LARGE(Framework!$M$8:$M$28,6),Framework!$M$8:$M$28,0))),"")</f>
        <v/>
      </c>
      <c r="G19" s="33" t="str">
        <f aca="false">IFERROR(IF(LARGE(Framework!$M$8:$M$28,6)=0,"",INDEX(Framework!$I$8:$I$28,MATCH(LARGE(Framework!$M$8:$M$28,6),Framework!$M$8:$M$28,0))),"")</f>
        <v/>
      </c>
      <c r="H19" s="34" t="str">
        <f aca="false">IFERROR(IF(LARGE(Framework!$M$8:$M$28,6)=0,"",INDEX(Framework!$L$8:$L$28,MATCH(LARGE(Framework!$M$8:$M$28,6),Framework!$M$8:$M$28,0))),"")</f>
        <v/>
      </c>
    </row>
    <row r="20" customFormat="false" ht="17.25" hidden="false" customHeight="true" outlineLevel="0" collapsed="false">
      <c r="B20" s="28" t="s">
        <v>162</v>
      </c>
      <c r="C20" s="28"/>
      <c r="D20" s="28"/>
      <c r="E20" s="28"/>
      <c r="F20" s="28"/>
      <c r="G20" s="28"/>
      <c r="H20" s="28"/>
      <c r="I20" s="28"/>
    </row>
    <row r="22" customFormat="false" ht="18" hidden="false" customHeight="true" outlineLevel="0" collapsed="false">
      <c r="B22" s="12" t="s">
        <v>38</v>
      </c>
      <c r="C22" s="12"/>
      <c r="D22" s="12"/>
      <c r="E22" s="12"/>
      <c r="F22" s="12"/>
      <c r="G22" s="12"/>
      <c r="H22" s="12"/>
      <c r="I22" s="12"/>
    </row>
  </sheetData>
  <mergeCells count="20">
    <mergeCell ref="B1:I1"/>
    <mergeCell ref="B2:I2"/>
    <mergeCell ref="B3:I3"/>
    <mergeCell ref="B4:I4"/>
    <mergeCell ref="B6:H6"/>
    <mergeCell ref="B8:C8"/>
    <mergeCell ref="D8:E8"/>
    <mergeCell ref="F8:G8"/>
    <mergeCell ref="H8:I8"/>
    <mergeCell ref="B9:C9"/>
    <mergeCell ref="D9:E9"/>
    <mergeCell ref="F9:G9"/>
    <mergeCell ref="H9:I9"/>
    <mergeCell ref="B10:C10"/>
    <mergeCell ref="D10:E10"/>
    <mergeCell ref="F10:G10"/>
    <mergeCell ref="H10:I10"/>
    <mergeCell ref="B12:H12"/>
    <mergeCell ref="B20:I20"/>
    <mergeCell ref="B22:I22"/>
  </mergeCells>
  <conditionalFormatting sqref="B3:I3">
    <cfRule type="expression" priority="2" aboveAverage="0" equalAverage="0" bottom="0" percent="0" rank="0" text="" dxfId="0">
      <formula>LEN($B$3)&gt;0</formula>
    </cfRule>
  </conditionalFormatting>
  <conditionalFormatting sqref="B6:H6">
    <cfRule type="expression" priority="3" aboveAverage="0" equalAverage="0" bottom="0" percent="0" rank="0" text="" dxfId="1">
      <formula>LEFT($B$6,1)="▲"</formula>
    </cfRule>
    <cfRule type="expression" priority="4" aboveAverage="0" equalAverage="0" bottom="0" percent="0" rank="0" text="" dxfId="0">
      <formula>LEFT($B$6,1)="●"</formula>
    </cfRule>
    <cfRule type="expression" priority="5" aboveAverage="0" equalAverage="0" bottom="0" percent="0" rank="0" text="" dxfId="2">
      <formula>LEFT($B$6,1)="✓"</formula>
    </cfRule>
  </conditionalFormatting>
  <conditionalFormatting sqref="B8:C10">
    <cfRule type="expression" priority="6" aboveAverage="0" equalAverage="0" bottom="0" percent="0" rank="0" text="" dxfId="3">
      <formula>A1&gt;=0</formula>
    </cfRule>
  </conditionalFormatting>
  <conditionalFormatting sqref="D8:E10">
    <cfRule type="expression" priority="7" aboveAverage="0" equalAverage="0" bottom="0" percent="0" rank="0" text="" dxfId="1">
      <formula>Framework!$G$32&gt;Framework!$E$32</formula>
    </cfRule>
    <cfRule type="expression" priority="8" aboveAverage="0" equalAverage="0" bottom="0" percent="0" rank="0" text="" dxfId="2">
      <formula>Framework!$G$32&lt;=Framework!$E$32</formula>
    </cfRule>
  </conditionalFormatting>
  <conditionalFormatting sqref="F8:G10">
    <cfRule type="expression" priority="9" aboveAverage="0" equalAverage="0" bottom="0" percent="0" rank="0" text="" dxfId="1">
      <formula>SUMPRODUCT(--(LEFT(Framework!$L$8:$L$28,8)="ESCALATE"))&gt;0</formula>
    </cfRule>
    <cfRule type="expression" priority="10" aboveAverage="0" equalAverage="0" bottom="0" percent="0" rank="0" text="" dxfId="0">
      <formula>SUMPRODUCT(--(LEFT(Framework!$L$8:$L$28,6)="NOTIFY"))&gt;0</formula>
    </cfRule>
    <cfRule type="expression" priority="11" aboveAverage="0" equalAverage="0" bottom="0" percent="0" rank="0" text="" dxfId="2">
      <formula>SUMPRODUCT(--(LEFT(Framework!$L$8:$L$28,6)="NOTIFY"))+SUMPRODUCT(--(LEFT(Framework!$L$8:$L$28,8)="ESCALATE"))=0</formula>
    </cfRule>
  </conditionalFormatting>
  <conditionalFormatting sqref="H8:I10">
    <cfRule type="expression" priority="12" aboveAverage="0" equalAverage="0" bottom="0" percent="0" rank="0" text="" dxfId="1">
      <formula>Framework!$F$31/Framework!$E$31&gt;0.75</formula>
    </cfRule>
    <cfRule type="expression" priority="13" aboveAverage="0" equalAverage="0" bottom="0" percent="0" rank="0" text="" dxfId="0">
      <formula>Framework!$F$31/Framework!$E$31&gt;0.5</formula>
    </cfRule>
    <cfRule type="expression" priority="14" aboveAverage="0" equalAverage="0" bottom="0" percent="0" rank="0" text="" dxfId="2">
      <formula>Framework!$F$31/Framework!$E$31&lt;=0.5</formula>
    </cfRule>
  </conditionalFormatting>
  <conditionalFormatting sqref="B14:H19">
    <cfRule type="expression" priority="15" aboveAverage="0" equalAverage="0" bottom="0" percent="0" rank="0" text="" dxfId="1">
      <formula>LEFT($H14,8)="ESCALATE"</formula>
    </cfRule>
    <cfRule type="expression" priority="16" aboveAverage="0" equalAverage="0" bottom="0" percent="0" rank="0" text="" dxfId="0">
      <formula>LEFT($H14,6)="NOTIFY"</formula>
    </cfRule>
  </conditionalFormatting>
  <hyperlinks>
    <hyperlink ref="B22" r:id="rId1" display="Visit mastt.com"/>
  </hyperlinks>
  <printOptions headings="false" gridLines="false" gridLinesSet="true" horizontalCentered="false" verticalCentered="false"/>
  <pageMargins left="0.3" right="0.3" top="0.4" bottom="0.4" header="0.511811023622047" footer="0.15"/>
  <pageSetup paperSize="9" scale="100" fitToWidth="1" fitToHeight="1" pageOrder="downThenOver" orientation="landscape" blackAndWhite="false" draft="false" cellComments="none" horizontalDpi="300" verticalDpi="300" copies="1"/>
  <headerFooter differentFirst="false" differentOddEven="false">
    <oddHeader/>
    <oddFooter>&amp;R&amp;9 &amp;K3480bcVisit mastt.com</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F3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44"/>
    <col collapsed="false" customWidth="true" hidden="false" outlineLevel="0" max="3" min="3" style="0" width="26"/>
    <col collapsed="false" customWidth="true" hidden="false" outlineLevel="0" max="4" min="4" style="0" width="74"/>
    <col collapsed="false" customWidth="true" hidden="true" outlineLevel="0" max="6" min="6" style="0" width="22"/>
  </cols>
  <sheetData>
    <row r="1" customFormat="false" ht="33.75" hidden="false" customHeight="true" outlineLevel="0" collapsed="false">
      <c r="B1" s="1" t="s">
        <v>0</v>
      </c>
      <c r="C1" s="1"/>
      <c r="D1" s="1"/>
    </row>
    <row r="2" customFormat="false" ht="4.5" hidden="false" customHeight="true" outlineLevel="0" collapsed="false">
      <c r="B2" s="2"/>
      <c r="C2" s="2"/>
      <c r="D2" s="2"/>
    </row>
    <row r="3" customFormat="false" ht="16.5" hidden="false" customHeight="true" outlineLevel="0" collapsed="false">
      <c r="B3" s="3" t="str">
        <f aca="false">""</f>
        <v/>
      </c>
      <c r="C3" s="3"/>
      <c r="D3" s="3"/>
    </row>
    <row r="4" customFormat="false" ht="25.5" hidden="false" customHeight="true" outlineLevel="0" collapsed="false">
      <c r="B4" s="4" t="s">
        <v>163</v>
      </c>
      <c r="C4" s="4"/>
      <c r="D4" s="4"/>
    </row>
    <row r="6" customFormat="false" ht="21.75" hidden="false" customHeight="true" outlineLevel="0" collapsed="false">
      <c r="B6" s="5" t="s">
        <v>164</v>
      </c>
      <c r="C6" s="5"/>
      <c r="D6" s="5"/>
      <c r="F6" s="52" t="s">
        <v>131</v>
      </c>
    </row>
    <row r="7" customFormat="false" ht="15" hidden="false" customHeight="false" outlineLevel="0" collapsed="false">
      <c r="B7" s="14" t="s">
        <v>165</v>
      </c>
      <c r="C7" s="13" t="s">
        <v>166</v>
      </c>
      <c r="D7" s="14" t="s">
        <v>167</v>
      </c>
      <c r="F7" s="52" t="s">
        <v>124</v>
      </c>
    </row>
    <row r="8" customFormat="false" ht="31.5" hidden="false" customHeight="true" outlineLevel="0" collapsed="false">
      <c r="B8" s="53" t="s">
        <v>168</v>
      </c>
      <c r="C8" s="20" t="n">
        <v>0.05</v>
      </c>
      <c r="D8" s="54" t="s">
        <v>169</v>
      </c>
      <c r="F8" s="52" t="s">
        <v>142</v>
      </c>
    </row>
    <row r="9" customFormat="false" ht="31.5" hidden="false" customHeight="true" outlineLevel="0" collapsed="false">
      <c r="B9" s="53" t="s">
        <v>170</v>
      </c>
      <c r="C9" s="20" t="n">
        <v>0.1</v>
      </c>
      <c r="D9" s="54" t="s">
        <v>171</v>
      </c>
      <c r="F9" s="52" t="s">
        <v>117</v>
      </c>
    </row>
    <row r="10" customFormat="false" ht="40.5" hidden="false" customHeight="true" outlineLevel="0" collapsed="false">
      <c r="B10" s="53" t="s">
        <v>172</v>
      </c>
      <c r="C10" s="20" t="n">
        <v>0.02</v>
      </c>
      <c r="D10" s="54" t="s">
        <v>173</v>
      </c>
      <c r="F10" s="52" t="s">
        <v>134</v>
      </c>
    </row>
    <row r="11" customFormat="false" ht="31.5" hidden="false" customHeight="true" outlineLevel="0" collapsed="false">
      <c r="B11" s="53" t="s">
        <v>174</v>
      </c>
      <c r="C11" s="55" t="n">
        <v>30</v>
      </c>
      <c r="D11" s="54" t="s">
        <v>175</v>
      </c>
    </row>
    <row r="12" customFormat="false" ht="31.5" hidden="false" customHeight="true" outlineLevel="0" collapsed="false">
      <c r="B12" s="53" t="s">
        <v>176</v>
      </c>
      <c r="C12" s="20" t="n">
        <v>0.05</v>
      </c>
      <c r="D12" s="54" t="s">
        <v>177</v>
      </c>
    </row>
    <row r="13" customFormat="false" ht="31.5" hidden="false" customHeight="true" outlineLevel="0" collapsed="false">
      <c r="B13" s="53" t="s">
        <v>178</v>
      </c>
      <c r="C13" s="20" t="n">
        <v>0.1</v>
      </c>
      <c r="D13" s="54" t="s">
        <v>179</v>
      </c>
    </row>
    <row r="15" customFormat="false" ht="21.75" hidden="false" customHeight="true" outlineLevel="0" collapsed="false">
      <c r="B15" s="5" t="s">
        <v>180</v>
      </c>
      <c r="C15" s="5"/>
      <c r="D15" s="5"/>
    </row>
    <row r="16" customFormat="false" ht="15" hidden="false" customHeight="false" outlineLevel="0" collapsed="false">
      <c r="B16" s="14" t="s">
        <v>181</v>
      </c>
      <c r="C16" s="14" t="s">
        <v>182</v>
      </c>
      <c r="D16" s="14" t="s">
        <v>183</v>
      </c>
    </row>
    <row r="17" customFormat="false" ht="40.5" hidden="false" customHeight="true" outlineLevel="0" collapsed="false">
      <c r="B17" s="56" t="s">
        <v>184</v>
      </c>
      <c r="C17" s="57" t="s">
        <v>185</v>
      </c>
      <c r="D17" s="57" t="s">
        <v>186</v>
      </c>
    </row>
    <row r="18" customFormat="false" ht="40.5" hidden="false" customHeight="true" outlineLevel="0" collapsed="false">
      <c r="B18" s="58" t="s">
        <v>187</v>
      </c>
      <c r="C18" s="57" t="s">
        <v>188</v>
      </c>
      <c r="D18" s="57" t="s">
        <v>189</v>
      </c>
    </row>
    <row r="19" customFormat="false" ht="40.5" hidden="false" customHeight="true" outlineLevel="0" collapsed="false">
      <c r="B19" s="59" t="s">
        <v>190</v>
      </c>
      <c r="C19" s="57" t="s">
        <v>191</v>
      </c>
      <c r="D19" s="57" t="s">
        <v>192</v>
      </c>
    </row>
    <row r="20" customFormat="false" ht="40.5" hidden="false" customHeight="true" outlineLevel="0" collapsed="false">
      <c r="B20" s="60" t="s">
        <v>193</v>
      </c>
      <c r="C20" s="57" t="s">
        <v>194</v>
      </c>
      <c r="D20" s="57" t="s">
        <v>195</v>
      </c>
    </row>
    <row r="21" customFormat="false" ht="40.5" hidden="false" customHeight="true" outlineLevel="0" collapsed="false">
      <c r="B21" s="60" t="s">
        <v>196</v>
      </c>
      <c r="C21" s="57" t="s">
        <v>197</v>
      </c>
      <c r="D21" s="57" t="s">
        <v>198</v>
      </c>
    </row>
    <row r="23" customFormat="false" ht="21.75" hidden="false" customHeight="true" outlineLevel="0" collapsed="false">
      <c r="B23" s="5" t="s">
        <v>199</v>
      </c>
      <c r="C23" s="5"/>
      <c r="D23" s="5"/>
    </row>
    <row r="24" customFormat="false" ht="40.5" hidden="false" customHeight="true" outlineLevel="0" collapsed="false">
      <c r="B24" s="8" t="s">
        <v>200</v>
      </c>
      <c r="C24" s="9" t="s">
        <v>201</v>
      </c>
      <c r="D24" s="9"/>
    </row>
    <row r="25" customFormat="false" ht="28.5" hidden="false" customHeight="true" outlineLevel="0" collapsed="false">
      <c r="B25" s="8" t="s">
        <v>202</v>
      </c>
      <c r="C25" s="9" t="s">
        <v>203</v>
      </c>
      <c r="D25" s="9"/>
    </row>
    <row r="26" customFormat="false" ht="28.5" hidden="false" customHeight="true" outlineLevel="0" collapsed="false">
      <c r="B26" s="8" t="s">
        <v>204</v>
      </c>
      <c r="C26" s="9" t="s">
        <v>205</v>
      </c>
      <c r="D26" s="9"/>
    </row>
    <row r="27" customFormat="false" ht="28.5" hidden="false" customHeight="true" outlineLevel="0" collapsed="false">
      <c r="B27" s="8" t="s">
        <v>206</v>
      </c>
      <c r="C27" s="9" t="s">
        <v>207</v>
      </c>
      <c r="D27" s="9"/>
    </row>
    <row r="28" customFormat="false" ht="40.5" hidden="false" customHeight="true" outlineLevel="0" collapsed="false">
      <c r="B28" s="8" t="s">
        <v>208</v>
      </c>
      <c r="C28" s="9" t="s">
        <v>209</v>
      </c>
      <c r="D28" s="9"/>
    </row>
    <row r="29" customFormat="false" ht="40.5" hidden="false" customHeight="true" outlineLevel="0" collapsed="false">
      <c r="B29" s="8" t="s">
        <v>210</v>
      </c>
      <c r="C29" s="9" t="s">
        <v>211</v>
      </c>
      <c r="D29" s="9"/>
    </row>
    <row r="31" customFormat="false" ht="18" hidden="false" customHeight="true" outlineLevel="0" collapsed="false">
      <c r="B31" s="12" t="s">
        <v>38</v>
      </c>
      <c r="C31" s="12"/>
      <c r="D31" s="12"/>
    </row>
  </sheetData>
  <mergeCells count="14">
    <mergeCell ref="B1:D1"/>
    <mergeCell ref="B2:D2"/>
    <mergeCell ref="B3:D3"/>
    <mergeCell ref="B4:D4"/>
    <mergeCell ref="B6:D6"/>
    <mergeCell ref="B15:D15"/>
    <mergeCell ref="B23:D23"/>
    <mergeCell ref="C24:D24"/>
    <mergeCell ref="C25:D25"/>
    <mergeCell ref="C26:D26"/>
    <mergeCell ref="C27:D27"/>
    <mergeCell ref="C28:D28"/>
    <mergeCell ref="C29:D29"/>
    <mergeCell ref="B31:D31"/>
  </mergeCells>
  <conditionalFormatting sqref="B3:D3">
    <cfRule type="expression" priority="2" aboveAverage="0" equalAverage="0" bottom="0" percent="0" rank="0" text="" dxfId="0">
      <formula>LEN($B$3)&gt;0</formula>
    </cfRule>
  </conditionalFormatting>
  <hyperlinks>
    <hyperlink ref="B31" r:id="rId1" display="Visit mastt.com"/>
  </hyperlinks>
  <printOptions headings="false" gridLines="false" gridLinesSet="true" horizontalCentered="false" verticalCentered="false"/>
  <pageMargins left="0.3" right="0.3" top="0.4" bottom="0.4" header="0.511811023622047" footer="0.15"/>
  <pageSetup paperSize="9" scale="100" fitToWidth="1" fitToHeight="0" pageOrder="downThenOver" orientation="landscape" blackAndWhite="false" draft="false" cellComments="none" horizontalDpi="300" verticalDpi="300" copies="1"/>
  <headerFooter differentFirst="false" differentOddEven="false">
    <oddHeader/>
    <oddFooter>&amp;R&amp;9 &amp;K3480bcVisit mastt.com</oddFooter>
  </headerFooter>
  <rowBreaks count="2" manualBreakCount="2">
    <brk id="13" man="true" max="16383" min="0"/>
    <brk id="21" man="true" max="16383" min="0"/>
  </row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D1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24"/>
    <col collapsed="false" customWidth="true" hidden="false" outlineLevel="0" max="3" min="3" style="0" width="40"/>
    <col collapsed="false" customWidth="true" hidden="false" outlineLevel="0" max="4" min="4" style="0" width="84"/>
  </cols>
  <sheetData>
    <row r="1" customFormat="false" ht="33.75" hidden="false" customHeight="true" outlineLevel="0" collapsed="false">
      <c r="B1" s="1" t="s">
        <v>0</v>
      </c>
      <c r="C1" s="1"/>
      <c r="D1" s="1"/>
    </row>
    <row r="2" customFormat="false" ht="4.5" hidden="false" customHeight="true" outlineLevel="0" collapsed="false">
      <c r="B2" s="2"/>
      <c r="C2" s="2"/>
      <c r="D2" s="2"/>
    </row>
    <row r="3" customFormat="false" ht="16.5" hidden="false" customHeight="true" outlineLevel="0" collapsed="false">
      <c r="B3" s="3" t="str">
        <f aca="false">""</f>
        <v/>
      </c>
      <c r="C3" s="3"/>
      <c r="D3" s="3"/>
    </row>
    <row r="4" customFormat="false" ht="25.5" hidden="false" customHeight="true" outlineLevel="0" collapsed="false">
      <c r="B4" s="4" t="s">
        <v>212</v>
      </c>
      <c r="C4" s="4"/>
      <c r="D4" s="4"/>
    </row>
    <row r="6" customFormat="false" ht="21.75" hidden="false" customHeight="true" outlineLevel="0" collapsed="false">
      <c r="B6" s="5" t="s">
        <v>213</v>
      </c>
      <c r="C6" s="5"/>
      <c r="D6" s="5"/>
    </row>
    <row r="7" customFormat="false" ht="15" hidden="false" customHeight="false" outlineLevel="0" collapsed="false">
      <c r="B7" s="14" t="s">
        <v>214</v>
      </c>
      <c r="C7" s="14" t="s">
        <v>215</v>
      </c>
      <c r="D7" s="14" t="s">
        <v>216</v>
      </c>
    </row>
    <row r="8" customFormat="false" ht="31.5" hidden="false" customHeight="true" outlineLevel="0" collapsed="false">
      <c r="B8" s="41" t="s">
        <v>217</v>
      </c>
      <c r="C8" s="61" t="s">
        <v>218</v>
      </c>
      <c r="D8" s="61" t="s">
        <v>219</v>
      </c>
    </row>
    <row r="9" customFormat="false" ht="31.5" hidden="false" customHeight="true" outlineLevel="0" collapsed="false">
      <c r="B9" s="41" t="s">
        <v>220</v>
      </c>
      <c r="C9" s="61" t="s">
        <v>221</v>
      </c>
      <c r="D9" s="61" t="s">
        <v>222</v>
      </c>
    </row>
    <row r="10" customFormat="false" ht="31.5" hidden="false" customHeight="true" outlineLevel="0" collapsed="false">
      <c r="B10" s="41" t="s">
        <v>220</v>
      </c>
      <c r="C10" s="61" t="s">
        <v>223</v>
      </c>
      <c r="D10" s="61" t="s">
        <v>224</v>
      </c>
    </row>
    <row r="11" customFormat="false" ht="31.5" hidden="false" customHeight="true" outlineLevel="0" collapsed="false">
      <c r="B11" s="41" t="s">
        <v>225</v>
      </c>
      <c r="C11" s="61" t="s">
        <v>191</v>
      </c>
      <c r="D11" s="61" t="s">
        <v>226</v>
      </c>
    </row>
    <row r="12" customFormat="false" ht="31.5" hidden="false" customHeight="true" outlineLevel="0" collapsed="false">
      <c r="B12" s="41" t="s">
        <v>227</v>
      </c>
      <c r="C12" s="61" t="s">
        <v>228</v>
      </c>
      <c r="D12" s="61" t="s">
        <v>229</v>
      </c>
    </row>
    <row r="15" customFormat="false" ht="18" hidden="false" customHeight="true" outlineLevel="0" collapsed="false">
      <c r="B15" s="12" t="s">
        <v>38</v>
      </c>
      <c r="C15" s="12"/>
      <c r="D15" s="12"/>
    </row>
  </sheetData>
  <mergeCells count="6">
    <mergeCell ref="B1:D1"/>
    <mergeCell ref="B2:D2"/>
    <mergeCell ref="B3:D3"/>
    <mergeCell ref="B4:D4"/>
    <mergeCell ref="B6:D6"/>
    <mergeCell ref="B15:D15"/>
  </mergeCells>
  <conditionalFormatting sqref="B3:D3">
    <cfRule type="expression" priority="2" aboveAverage="0" equalAverage="0" bottom="0" percent="0" rank="0" text="" dxfId="0">
      <formula>LEN($B$3)&gt;0</formula>
    </cfRule>
  </conditionalFormatting>
  <hyperlinks>
    <hyperlink ref="B15" r:id="rId1" display="Visit mastt.com"/>
  </hyperlinks>
  <printOptions headings="false" gridLines="false" gridLinesSet="true" horizontalCentered="false" verticalCentered="false"/>
  <pageMargins left="0.3" right="0.3" top="0.4" bottom="0.4" header="0.511811023622047" footer="0.15"/>
  <pageSetup paperSize="9" scale="100" fitToWidth="1" fitToHeight="0" pageOrder="downThenOver" orientation="landscape" blackAndWhite="false" draft="false" cellComments="none" horizontalDpi="300" verticalDpi="300" copies="1"/>
  <headerFooter differentFirst="false" differentOddEven="false">
    <oddHeader/>
    <oddFooter>&amp;R&amp;9 &amp;K3480bcVisit mastt.com</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2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28"/>
    <col collapsed="false" customWidth="true" hidden="false" outlineLevel="0" max="3" min="3" style="0" width="74"/>
  </cols>
  <sheetData>
    <row r="1" customFormat="false" ht="33.75" hidden="false" customHeight="true" outlineLevel="0" collapsed="false">
      <c r="B1" s="1" t="s">
        <v>0</v>
      </c>
      <c r="C1" s="1"/>
    </row>
    <row r="2" customFormat="false" ht="4.5" hidden="false" customHeight="true" outlineLevel="0" collapsed="false">
      <c r="B2" s="2"/>
      <c r="C2" s="2"/>
    </row>
    <row r="3" customFormat="false" ht="16.5" hidden="false" customHeight="true" outlineLevel="0" collapsed="false">
      <c r="B3" s="3" t="str">
        <f aca="false">""</f>
        <v/>
      </c>
      <c r="C3" s="3"/>
    </row>
    <row r="4" customFormat="false" ht="25.5" hidden="false" customHeight="true" outlineLevel="0" collapsed="false">
      <c r="B4" s="4" t="s">
        <v>230</v>
      </c>
      <c r="C4" s="4"/>
    </row>
    <row r="6" customFormat="false" ht="21.75" hidden="false" customHeight="true" outlineLevel="0" collapsed="false">
      <c r="B6" s="5" t="s">
        <v>231</v>
      </c>
      <c r="C6" s="5"/>
    </row>
    <row r="7" customFormat="false" ht="40.5" hidden="false" customHeight="true" outlineLevel="0" collapsed="false">
      <c r="B7" s="8" t="s">
        <v>232</v>
      </c>
      <c r="C7" s="62" t="s">
        <v>233</v>
      </c>
    </row>
    <row r="8" customFormat="false" ht="30" hidden="false" customHeight="true" outlineLevel="0" collapsed="false">
      <c r="B8" s="8" t="s">
        <v>234</v>
      </c>
      <c r="C8" s="62" t="s">
        <v>235</v>
      </c>
    </row>
    <row r="9" customFormat="false" ht="40.5" hidden="false" customHeight="true" outlineLevel="0" collapsed="false">
      <c r="B9" s="8" t="s">
        <v>236</v>
      </c>
      <c r="C9" s="62" t="s">
        <v>237</v>
      </c>
    </row>
    <row r="10" customFormat="false" ht="40.5" hidden="false" customHeight="true" outlineLevel="0" collapsed="false">
      <c r="B10" s="8" t="s">
        <v>238</v>
      </c>
      <c r="C10" s="62" t="s">
        <v>239</v>
      </c>
    </row>
    <row r="12" customFormat="false" ht="21.75" hidden="false" customHeight="true" outlineLevel="0" collapsed="false">
      <c r="B12" s="5" t="s">
        <v>240</v>
      </c>
      <c r="C12" s="5"/>
    </row>
    <row r="13" customFormat="false" ht="52.5" hidden="false" customHeight="true" outlineLevel="0" collapsed="false">
      <c r="B13" s="8" t="s">
        <v>241</v>
      </c>
      <c r="C13" s="62" t="s">
        <v>242</v>
      </c>
    </row>
    <row r="14" customFormat="false" ht="40.5" hidden="false" customHeight="true" outlineLevel="0" collapsed="false">
      <c r="B14" s="8" t="s">
        <v>243</v>
      </c>
      <c r="C14" s="62" t="s">
        <v>244</v>
      </c>
    </row>
    <row r="15" customFormat="false" ht="40.5" hidden="false" customHeight="true" outlineLevel="0" collapsed="false">
      <c r="B15" s="8" t="s">
        <v>245</v>
      </c>
      <c r="C15" s="62" t="s">
        <v>246</v>
      </c>
    </row>
    <row r="16" customFormat="false" ht="52.5" hidden="false" customHeight="true" outlineLevel="0" collapsed="false">
      <c r="B16" s="8" t="s">
        <v>247</v>
      </c>
      <c r="C16" s="62" t="s">
        <v>248</v>
      </c>
    </row>
    <row r="18" customFormat="false" ht="21.75" hidden="false" customHeight="true" outlineLevel="0" collapsed="false">
      <c r="B18" s="5" t="s">
        <v>249</v>
      </c>
      <c r="C18" s="5"/>
    </row>
    <row r="19" customFormat="false" ht="40.5" hidden="false" customHeight="true" outlineLevel="0" collapsed="false">
      <c r="B19" s="8" t="s">
        <v>250</v>
      </c>
      <c r="C19" s="62" t="s">
        <v>251</v>
      </c>
    </row>
    <row r="20" customFormat="false" ht="40.5" hidden="false" customHeight="true" outlineLevel="0" collapsed="false">
      <c r="B20" s="8" t="s">
        <v>252</v>
      </c>
      <c r="C20" s="62" t="s">
        <v>253</v>
      </c>
    </row>
    <row r="21" customFormat="false" ht="40.5" hidden="false" customHeight="true" outlineLevel="0" collapsed="false">
      <c r="B21" s="8" t="s">
        <v>254</v>
      </c>
      <c r="C21" s="62" t="s">
        <v>255</v>
      </c>
    </row>
    <row r="22" customFormat="false" ht="40.5" hidden="false" customHeight="true" outlineLevel="0" collapsed="false">
      <c r="B22" s="8" t="s">
        <v>256</v>
      </c>
      <c r="C22" s="62" t="s">
        <v>257</v>
      </c>
    </row>
    <row r="24" customFormat="false" ht="21.75" hidden="false" customHeight="true" outlineLevel="0" collapsed="false">
      <c r="B24" s="5" t="s">
        <v>258</v>
      </c>
      <c r="C24" s="5"/>
    </row>
    <row r="25" customFormat="false" ht="75" hidden="false" customHeight="true" outlineLevel="0" collapsed="false">
      <c r="B25" s="9" t="s">
        <v>259</v>
      </c>
      <c r="C25" s="9"/>
    </row>
    <row r="27" customFormat="false" ht="18" hidden="false" customHeight="true" outlineLevel="0" collapsed="false">
      <c r="B27" s="12" t="s">
        <v>38</v>
      </c>
      <c r="C27" s="12"/>
    </row>
  </sheetData>
  <mergeCells count="10">
    <mergeCell ref="B1:C1"/>
    <mergeCell ref="B2:C2"/>
    <mergeCell ref="B3:C3"/>
    <mergeCell ref="B4:C4"/>
    <mergeCell ref="B6:C6"/>
    <mergeCell ref="B12:C12"/>
    <mergeCell ref="B18:C18"/>
    <mergeCell ref="B24:C24"/>
    <mergeCell ref="B25:C25"/>
    <mergeCell ref="B27:C27"/>
  </mergeCells>
  <conditionalFormatting sqref="B3:C3">
    <cfRule type="expression" priority="2" aboveAverage="0" equalAverage="0" bottom="0" percent="0" rank="0" text="" dxfId="0">
      <formula>LEN($B$3)&gt;0</formula>
    </cfRule>
  </conditionalFormatting>
  <hyperlinks>
    <hyperlink ref="B27" r:id="rId1" display="Visit mastt.com"/>
  </hyperlinks>
  <printOptions headings="false" gridLines="false" gridLinesSet="true" horizontalCentered="false" verticalCentered="false"/>
  <pageMargins left="0.3" right="0.3" top="0.4" bottom="0.4" header="0.511811023622047" footer="0.15"/>
  <pageSetup paperSize="9" scale="100" fitToWidth="1" fitToHeight="0" pageOrder="downThenOver" orientation="portrait" blackAndWhite="false" draft="false" cellComments="none" horizontalDpi="300" verticalDpi="300" copies="1"/>
  <headerFooter differentFirst="false" differentOddEven="false">
    <oddHeader/>
    <oddFooter>&amp;R&amp;9 &amp;K3480bcVisit mastt.com</oddFooter>
  </headerFooter>
  <drawing r:id="rId2"/>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2026-08-26T12:11:12Z</dcterms:created>
  <dc:creator>openpyxl</dc:creator>
  <dc:description/>
  <dc:language>en-US</dc:language>
  <cp:lastModifiedBy/>
  <dcterms:modified xsi:type="dcterms:W3CDTF">2026-08-26T12:11:12Z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