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Readiness Checklist" sheetId="2" state="visible" r:id="rId4"/>
    <sheet name="Use Case Register" sheetId="3" state="visible" r:id="rId5"/>
    <sheet name="Action Plan" sheetId="4" state="visible" r:id="rId6"/>
    <sheet name="Scoring" sheetId="5" state="visible" r:id="rId7"/>
    <sheet name="How to Use" sheetId="6" state="visible" r:id="rId8"/>
    <sheet name="Lists" sheetId="7" state="hidden" r:id="rId9"/>
  </sheets>
  <definedNames>
    <definedName function="false" hidden="false" localSheetId="3" name="_xlnm.Print_Area" vbProcedure="false">'Action Plan'!$A$1:$J$58</definedName>
    <definedName function="false" hidden="false" localSheetId="3" name="_xlnm.Print_Titles" vbProcedure="false">'Action Plan'!$7:$7</definedName>
    <definedName function="false" hidden="true" localSheetId="3" name="_xlnm._FilterDatabase" vbProcedure="false">'Action Plan'!$A$7:$J$57</definedName>
    <definedName function="false" hidden="false" localSheetId="0" name="_xlnm.Print_Area" vbProcedure="false">Dashboard!$A$1:$V$56</definedName>
    <definedName function="false" hidden="false" localSheetId="5" name="_xlnm.Print_Area" vbProcedure="false">'How to Use'!$A$1:$B$60</definedName>
    <definedName function="false" hidden="false" localSheetId="1" name="_xlnm.Print_Area" vbProcedure="false">'Readiness Checklist'!$A$1:$H$66</definedName>
    <definedName function="false" hidden="false" localSheetId="1" name="_xlnm.Print_Titles" vbProcedure="false">'Readiness Checklist'!$7:$7</definedName>
    <definedName function="false" hidden="true" localSheetId="1" name="_xlnm._FilterDatabase" vbProcedure="false">'Readiness Checklist'!$A$7:$H$65</definedName>
    <definedName function="false" hidden="false" localSheetId="4" name="_xlnm.Print_Area" vbProcedure="false">Scoring!$A$1:$D$50</definedName>
    <definedName function="false" hidden="false" localSheetId="2" name="_xlnm.Print_Area" vbProcedure="false">'Use Case Register'!$A$1:$R$28</definedName>
    <definedName function="false" hidden="false" localSheetId="2" name="_xlnm.Print_Titles" vbProcedure="false">'Use Case Register'!$7:$7</definedName>
    <definedName function="false" hidden="true" localSheetId="2" name="_xlnm._FilterDatabase" vbProcedure="false">'Use Case Register'!$A$7:$R$27</definedName>
    <definedName function="false" hidden="false" name="ChartData" vbProcedure="false">Lists!$M$2:$P$21</definedName>
    <definedName function="false" hidden="false" name="SourceList" vbProcedure="false">Lists!$A$2:$A$79</definedName>
    <definedName function="false" hidden="false" name="UseCaseList" vbProcedure="false">Lists!$B$2:$B$15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<sst xmlns="http://schemas.openxmlformats.org/spreadsheetml/2006/main" count="496" uniqueCount="358">
  <si>
    <t xml:space="preserve">AI READINESS CHECKLIST</t>
  </si>
  <si>
    <t xml:space="preserve">Yellow cells are inputs. White cells calculate. Thresholds and weights are on the Scoring sheet.</t>
  </si>
  <si>
    <t xml:space="preserve">ASSESSMENT DETAILS</t>
  </si>
  <si>
    <t xml:space="preserve">Organization</t>
  </si>
  <si>
    <t xml:space="preserve">Assessment Date</t>
  </si>
  <si>
    <t xml:space="preserve">Assessment Scope</t>
  </si>
  <si>
    <t xml:space="preserve">Assessment Lead</t>
  </si>
  <si>
    <t xml:space="preserve">READINESS SUMMARY</t>
  </si>
  <si>
    <t xml:space="preserve">Readiness Score</t>
  </si>
  <si>
    <t xml:space="preserve">Readiness Level</t>
  </si>
  <si>
    <t xml:space="preserve">Pilot Gate</t>
  </si>
  <si>
    <t xml:space="preserve">Must-Meet Criteria</t>
  </si>
  <si>
    <t xml:space="preserve">Criteria Rated</t>
  </si>
  <si>
    <t xml:space="preserve">Use Cases Ready</t>
  </si>
  <si>
    <t xml:space="preserve">Open Actions</t>
  </si>
  <si>
    <t xml:space="preserve">Overdue Actions</t>
  </si>
  <si>
    <t xml:space="preserve">RATING PROFILE</t>
  </si>
  <si>
    <t xml:space="preserve">USE CASE MATRIX</t>
  </si>
  <si>
    <t xml:space="preserve">DIMENSION SCORES</t>
  </si>
  <si>
    <t xml:space="preserve">MUST-MEET CRITERIA</t>
  </si>
  <si>
    <t xml:space="preserve">No.</t>
  </si>
  <si>
    <t xml:space="preserve">Dimension</t>
  </si>
  <si>
    <t xml:space="preserve">Rated</t>
  </si>
  <si>
    <t xml:space="preserve">Score</t>
  </si>
  <si>
    <t xml:space="preserve">Level</t>
  </si>
  <si>
    <t xml:space="preserve">Criterion</t>
  </si>
  <si>
    <t xml:space="preserve">Rating</t>
  </si>
  <si>
    <t xml:space="preserve">Result</t>
  </si>
  <si>
    <t xml:space="preserve">Overall</t>
  </si>
  <si>
    <t xml:space="preserve">PRIORITY USE CASES</t>
  </si>
  <si>
    <t xml:space="preserve">ACTION STATUS</t>
  </si>
  <si>
    <t xml:space="preserve">Ref</t>
  </si>
  <si>
    <t xml:space="preserve">Use Case</t>
  </si>
  <si>
    <t xml:space="preserve">Value</t>
  </si>
  <si>
    <t xml:space="preserve">Readiness</t>
  </si>
  <si>
    <t xml:space="preserve">Priority Score</t>
  </si>
  <si>
    <t xml:space="preserve">Recommendation</t>
  </si>
  <si>
    <t xml:space="preserve">Decision</t>
  </si>
  <si>
    <t xml:space="preserve">Status</t>
  </si>
  <si>
    <t xml:space="preserve">Actions</t>
  </si>
  <si>
    <t xml:space="preserve">Not Started</t>
  </si>
  <si>
    <t xml:space="preserve">In Progress</t>
  </si>
  <si>
    <t xml:space="preserve">Complete</t>
  </si>
  <si>
    <t xml:space="preserve">Overdue</t>
  </si>
  <si>
    <t xml:space="preserve">Must-Meet Open</t>
  </si>
  <si>
    <t xml:space="preserve">Visit mastt.com</t>
  </si>
  <si>
    <t xml:space="preserve">READINESS CHECKLIST</t>
  </si>
  <si>
    <t xml:space="preserve">CRITERIA</t>
  </si>
  <si>
    <t xml:space="preserve">Must-Meet</t>
  </si>
  <si>
    <t xml:space="preserve">Evidence</t>
  </si>
  <si>
    <t xml:space="preserve">Rating Check</t>
  </si>
  <si>
    <t xml:space="preserve">1.1</t>
  </si>
  <si>
    <t xml:space="preserve">AI objectives are linked to project or portfolio outcomes.</t>
  </si>
  <si>
    <t xml:space="preserve">1.2</t>
  </si>
  <si>
    <t xml:space="preserve">An executive sponsor is named for AI adoption.</t>
  </si>
  <si>
    <t xml:space="preserve">1.3</t>
  </si>
  <si>
    <t xml:space="preserve">Budget covers pilot setup, tool licenses and review time.</t>
  </si>
  <si>
    <t xml:space="preserve">1.4</t>
  </si>
  <si>
    <t xml:space="preserve">Success measures are agreed before any pilot starts.</t>
  </si>
  <si>
    <t xml:space="preserve">1.5</t>
  </si>
  <si>
    <t xml:space="preserve">AI decisions go through an existing governance forum, such as the steering committee.</t>
  </si>
  <si>
    <t xml:space="preserve">1.6</t>
  </si>
  <si>
    <t xml:space="preserve">Leadership has stated where AI will and will not be used.</t>
  </si>
  <si>
    <t xml:space="preserve">1.7</t>
  </si>
  <si>
    <t xml:space="preserve">1.8</t>
  </si>
  <si>
    <t xml:space="preserve">2.1</t>
  </si>
  <si>
    <t xml:space="preserve">Candidate use cases are listed and prioritized.</t>
  </si>
  <si>
    <t xml:space="preserve">2.2</t>
  </si>
  <si>
    <t xml:space="preserve">Current time and cost of each target workflow are measured.</t>
  </si>
  <si>
    <t xml:space="preserve">2.3</t>
  </si>
  <si>
    <t xml:space="preserve">Target improvement and quality requirements are defined.</t>
  </si>
  <si>
    <t xml:space="preserve">2.4</t>
  </si>
  <si>
    <t xml:space="preserve">Each pilot is limited to one project, team or report.</t>
  </si>
  <si>
    <t xml:space="preserve">2.5</t>
  </si>
  <si>
    <t xml:space="preserve">Criteria to continue, change or stop a pilot are agreed.</t>
  </si>
  <si>
    <t xml:space="preserve">2.6</t>
  </si>
  <si>
    <t xml:space="preserve">Output quality and time saved are tracked during each pilot.</t>
  </si>
  <si>
    <t xml:space="preserve">2.7</t>
  </si>
  <si>
    <t xml:space="preserve">2.8</t>
  </si>
  <si>
    <t xml:space="preserve">3.1</t>
  </si>
  <si>
    <t xml:space="preserve">Current and superseded documents are clearly identified.</t>
  </si>
  <si>
    <t xml:space="preserve">3.2</t>
  </si>
  <si>
    <t xml:space="preserve">Approved budget, forecast and pending change orders are recorded separately.</t>
  </si>
  <si>
    <t xml:space="preserve">3.3</t>
  </si>
  <si>
    <t xml:space="preserve">Project IDs, cost codes and WBS codes match across systems.</t>
  </si>
  <si>
    <t xml:space="preserve">3.4</t>
  </si>
  <si>
    <t xml:space="preserve">Records show the reporting period and date of last update.</t>
  </si>
  <si>
    <t xml:space="preserve">3.5</t>
  </si>
  <si>
    <t xml:space="preserve">A data owner is named for each register and system.</t>
  </si>
  <si>
    <t xml:space="preserve">3.6</t>
  </si>
  <si>
    <t xml:space="preserve">Project information is kept in one system of record, such as a PMIS or CDE.</t>
  </si>
  <si>
    <t xml:space="preserve">3.7</t>
  </si>
  <si>
    <t xml:space="preserve">3.8</t>
  </si>
  <si>
    <t xml:space="preserve">4.1</t>
  </si>
  <si>
    <t xml:space="preserve">Project systems are listed: PMIS, cost, schedule, document control and ERP.</t>
  </si>
  <si>
    <t xml:space="preserve">4.2</t>
  </si>
  <si>
    <t xml:space="preserve">A controlled export or API exists for each data source.</t>
  </si>
  <si>
    <t xml:space="preserve">4.3</t>
  </si>
  <si>
    <t xml:space="preserve">IDs, dates and revision status survive transfer between systems.</t>
  </si>
  <si>
    <t xml:space="preserve">4.4</t>
  </si>
  <si>
    <t xml:space="preserve">Access restrictions carry over to connected AI tools.</t>
  </si>
  <si>
    <t xml:space="preserve">4.5</t>
  </si>
  <si>
    <t xml:space="preserve">Records stay usable if the AI tool is replaced.</t>
  </si>
  <si>
    <t xml:space="preserve">4.6</t>
  </si>
  <si>
    <t xml:space="preserve">4.7</t>
  </si>
  <si>
    <t xml:space="preserve">5.1</t>
  </si>
  <si>
    <t xml:space="preserve">Staff have completed basic AI training.</t>
  </si>
  <si>
    <t xml:space="preserve">5.2</t>
  </si>
  <si>
    <t xml:space="preserve">Reviewers can check AI outputs against source records.</t>
  </si>
  <si>
    <t xml:space="preserve">5.3</t>
  </si>
  <si>
    <t xml:space="preserve">A named reviewer and backup cover each AI output.</t>
  </si>
  <si>
    <t xml:space="preserve">Yes</t>
  </si>
  <si>
    <t xml:space="preserve">5.4</t>
  </si>
  <si>
    <t xml:space="preserve">Reviewers have capacity around reporting deadlines.</t>
  </si>
  <si>
    <t xml:space="preserve">5.5</t>
  </si>
  <si>
    <t xml:space="preserve">AI champions are in place in project teams.</t>
  </si>
  <si>
    <t xml:space="preserve">5.6</t>
  </si>
  <si>
    <t xml:space="preserve">An adoption plan covers training, communication and support.</t>
  </si>
  <si>
    <t xml:space="preserve">5.7</t>
  </si>
  <si>
    <t xml:space="preserve">Teams have a simple way to report AI errors and share what works.</t>
  </si>
  <si>
    <t xml:space="preserve">5.8</t>
  </si>
  <si>
    <t xml:space="preserve">5.9</t>
  </si>
  <si>
    <t xml:space="preserve">6.1</t>
  </si>
  <si>
    <t xml:space="preserve">An AI acceptable use policy is approved and communicated.</t>
  </si>
  <si>
    <t xml:space="preserve">6.2</t>
  </si>
  <si>
    <t xml:space="preserve">AI roles are defined: use case owner, data owner, reviewer and approver.</t>
  </si>
  <si>
    <t xml:space="preserve">6.3</t>
  </si>
  <si>
    <t xml:space="preserve">A person approves AI outputs before they are issued.</t>
  </si>
  <si>
    <t xml:space="preserve">6.4</t>
  </si>
  <si>
    <t xml:space="preserve">AI output is never the sole basis for a payment, change order or other contract decision.</t>
  </si>
  <si>
    <t xml:space="preserve">6.5</t>
  </si>
  <si>
    <t xml:space="preserve">AI risks are recorded in the risk register with owners.</t>
  </si>
  <si>
    <t xml:space="preserve">6.6</t>
  </si>
  <si>
    <t xml:space="preserve">The approach aligns with a recognized framework, such as NIST AI RMF or ISO/IEC 42001.</t>
  </si>
  <si>
    <t xml:space="preserve">6.7</t>
  </si>
  <si>
    <t xml:space="preserve">Clients and stakeholders are told when AI is used to prepare their deliverables.</t>
  </si>
  <si>
    <t xml:space="preserve">6.8</t>
  </si>
  <si>
    <t xml:space="preserve">6.9</t>
  </si>
  <si>
    <t xml:space="preserve">7.1</t>
  </si>
  <si>
    <t xml:space="preserve">Contracts and client agreements permit AI use of project data.</t>
  </si>
  <si>
    <t xml:space="preserve">7.2</t>
  </si>
  <si>
    <t xml:space="preserve">Rules define what information may be entered into AI tools.</t>
  </si>
  <si>
    <t xml:space="preserve">7.3</t>
  </si>
  <si>
    <t xml:space="preserve">AI provider terms are checked for model training, data retention and data residency.</t>
  </si>
  <si>
    <t xml:space="preserve">7.4</t>
  </si>
  <si>
    <t xml:space="preserve">One client's or project's data cannot appear in another's results.</t>
  </si>
  <si>
    <t xml:space="preserve">7.5</t>
  </si>
  <si>
    <t xml:space="preserve">Unapproved AI tools (shadow AI) are identified and controlled.</t>
  </si>
  <si>
    <t xml:space="preserve">7.6</t>
  </si>
  <si>
    <t xml:space="preserve">The incident response plan covers AI data exposure.</t>
  </si>
  <si>
    <t xml:space="preserve">7.7</t>
  </si>
  <si>
    <t xml:space="preserve">AI use meets applicable privacy laws and any government or sector AI rules.</t>
  </si>
  <si>
    <t xml:space="preserve">7.8</t>
  </si>
  <si>
    <t xml:space="preserve">7.9</t>
  </si>
  <si>
    <t xml:space="preserve">USE CASE REGISTER</t>
  </si>
  <si>
    <t xml:space="preserve">USE CASES</t>
  </si>
  <si>
    <t xml:space="preserve">Use Case Owner</t>
  </si>
  <si>
    <t xml:space="preserve">Baseline</t>
  </si>
  <si>
    <t xml:space="preserve">Data Quality</t>
  </si>
  <si>
    <t xml:space="preserve">Permissions</t>
  </si>
  <si>
    <t xml:space="preserve">Integration</t>
  </si>
  <si>
    <t xml:space="preserve">Roles Assigned</t>
  </si>
  <si>
    <t xml:space="preserve">Output Testing</t>
  </si>
  <si>
    <t xml:space="preserve">Cost and Capacity</t>
  </si>
  <si>
    <t xml:space="preserve">Pilot Plan</t>
  </si>
  <si>
    <t xml:space="preserve">Decision Check</t>
  </si>
  <si>
    <t xml:space="preserve">UC-01</t>
  </si>
  <si>
    <t xml:space="preserve">UC-02</t>
  </si>
  <si>
    <t xml:space="preserve">UC-03</t>
  </si>
  <si>
    <t xml:space="preserve">UC-04</t>
  </si>
  <si>
    <t xml:space="preserve">UC-05</t>
  </si>
  <si>
    <t xml:space="preserve">UC-06</t>
  </si>
  <si>
    <t xml:space="preserve">UC-07</t>
  </si>
  <si>
    <t xml:space="preserve">UC-08</t>
  </si>
  <si>
    <t xml:space="preserve">UC-09</t>
  </si>
  <si>
    <t xml:space="preserve">UC-10</t>
  </si>
  <si>
    <t xml:space="preserve">UC-11</t>
  </si>
  <si>
    <t xml:space="preserve">UC-12</t>
  </si>
  <si>
    <t xml:space="preserve">UC-13</t>
  </si>
  <si>
    <t xml:space="preserve">UC-14</t>
  </si>
  <si>
    <t xml:space="preserve">UC-15</t>
  </si>
  <si>
    <t xml:space="preserve">UC-16</t>
  </si>
  <si>
    <t xml:space="preserve">UC-17</t>
  </si>
  <si>
    <t xml:space="preserve">UC-18</t>
  </si>
  <si>
    <t xml:space="preserve">UC-19</t>
  </si>
  <si>
    <t xml:space="preserve">UC-20</t>
  </si>
  <si>
    <t xml:space="preserve">ACTION PLAN</t>
  </si>
  <si>
    <t xml:space="preserve">ACTIONS</t>
  </si>
  <si>
    <t xml:space="preserve">Source</t>
  </si>
  <si>
    <t xml:space="preserve">Area</t>
  </si>
  <si>
    <t xml:space="preserve">Gap</t>
  </si>
  <si>
    <t xml:space="preserve">Action</t>
  </si>
  <si>
    <t xml:space="preserve">Owner</t>
  </si>
  <si>
    <t xml:space="preserve">Due Date</t>
  </si>
  <si>
    <t xml:space="preserve">Days Overdue</t>
  </si>
  <si>
    <t xml:space="preserve">A-01</t>
  </si>
  <si>
    <t xml:space="preserve">A-02</t>
  </si>
  <si>
    <t xml:space="preserve">A-03</t>
  </si>
  <si>
    <t xml:space="preserve">A-04</t>
  </si>
  <si>
    <t xml:space="preserve">A-05</t>
  </si>
  <si>
    <t xml:space="preserve">A-06</t>
  </si>
  <si>
    <t xml:space="preserve">A-07</t>
  </si>
  <si>
    <t xml:space="preserve">A-08</t>
  </si>
  <si>
    <t xml:space="preserve">A-09</t>
  </si>
  <si>
    <t xml:space="preserve">A-10</t>
  </si>
  <si>
    <t xml:space="preserve">A-11</t>
  </si>
  <si>
    <t xml:space="preserve">A-12</t>
  </si>
  <si>
    <t xml:space="preserve">A-13</t>
  </si>
  <si>
    <t xml:space="preserve">A-14</t>
  </si>
  <si>
    <t xml:space="preserve">A-15</t>
  </si>
  <si>
    <t xml:space="preserve">A-16</t>
  </si>
  <si>
    <t xml:space="preserve">A-17</t>
  </si>
  <si>
    <t xml:space="preserve">A-18</t>
  </si>
  <si>
    <t xml:space="preserve">A-19</t>
  </si>
  <si>
    <t xml:space="preserve">A-20</t>
  </si>
  <si>
    <t xml:space="preserve">A-21</t>
  </si>
  <si>
    <t xml:space="preserve">A-22</t>
  </si>
  <si>
    <t xml:space="preserve">A-23</t>
  </si>
  <si>
    <t xml:space="preserve">A-24</t>
  </si>
  <si>
    <t xml:space="preserve">A-25</t>
  </si>
  <si>
    <t xml:space="preserve">A-26</t>
  </si>
  <si>
    <t xml:space="preserve">A-27</t>
  </si>
  <si>
    <t xml:space="preserve">A-28</t>
  </si>
  <si>
    <t xml:space="preserve">A-29</t>
  </si>
  <si>
    <t xml:space="preserve">A-30</t>
  </si>
  <si>
    <t xml:space="preserve">A-31</t>
  </si>
  <si>
    <t xml:space="preserve">A-32</t>
  </si>
  <si>
    <t xml:space="preserve">A-33</t>
  </si>
  <si>
    <t xml:space="preserve">A-34</t>
  </si>
  <si>
    <t xml:space="preserve">A-35</t>
  </si>
  <si>
    <t xml:space="preserve">A-36</t>
  </si>
  <si>
    <t xml:space="preserve">A-37</t>
  </si>
  <si>
    <t xml:space="preserve">A-38</t>
  </si>
  <si>
    <t xml:space="preserve">A-39</t>
  </si>
  <si>
    <t xml:space="preserve">A-40</t>
  </si>
  <si>
    <t xml:space="preserve">A-41</t>
  </si>
  <si>
    <t xml:space="preserve">A-42</t>
  </si>
  <si>
    <t xml:space="preserve">A-43</t>
  </si>
  <si>
    <t xml:space="preserve">A-44</t>
  </si>
  <si>
    <t xml:space="preserve">A-45</t>
  </si>
  <si>
    <t xml:space="preserve">A-46</t>
  </si>
  <si>
    <t xml:space="preserve">A-47</t>
  </si>
  <si>
    <t xml:space="preserve">A-48</t>
  </si>
  <si>
    <t xml:space="preserve">A-49</t>
  </si>
  <si>
    <t xml:space="preserve">A-50</t>
  </si>
  <si>
    <t xml:space="preserve">SCORING</t>
  </si>
  <si>
    <t xml:space="preserve">RATING SCALE</t>
  </si>
  <si>
    <t xml:space="preserve">Definition</t>
  </si>
  <si>
    <t xml:space="preserve">Not in place</t>
  </si>
  <si>
    <t xml:space="preserve">Nothing exists yet, or only an intention.</t>
  </si>
  <si>
    <t xml:space="preserve">Partially in place</t>
  </si>
  <si>
    <t xml:space="preserve">Started or drafted, but not approved or not used across the scope.</t>
  </si>
  <si>
    <t xml:space="preserve">In place</t>
  </si>
  <si>
    <t xml:space="preserve">Approved and in use across the scope, with evidence available.</t>
  </si>
  <si>
    <t xml:space="preserve">Embedded</t>
  </si>
  <si>
    <t xml:space="preserve">In place, followed consistently, and reviewed or tested at least once.</t>
  </si>
  <si>
    <t xml:space="preserve">N/A</t>
  </si>
  <si>
    <t xml:space="preserve">Not applicable</t>
  </si>
  <si>
    <t xml:space="preserve">Does not apply to this scope. Excluded from the score.</t>
  </si>
  <si>
    <t xml:space="preserve">READINESS LEVELS</t>
  </si>
  <si>
    <t xml:space="preserve">From</t>
  </si>
  <si>
    <t xml:space="preserve">Early</t>
  </si>
  <si>
    <t xml:space="preserve">Developing</t>
  </si>
  <si>
    <t xml:space="preserve">Established</t>
  </si>
  <si>
    <t xml:space="preserve">Advanced</t>
  </si>
  <si>
    <t xml:space="preserve">DIMENSIONS AND WEIGHTS</t>
  </si>
  <si>
    <t xml:space="preserve">Weight</t>
  </si>
  <si>
    <t xml:space="preserve">Strategy and Leadership</t>
  </si>
  <si>
    <t xml:space="preserve">Use Cases and Value</t>
  </si>
  <si>
    <t xml:space="preserve">Project Data</t>
  </si>
  <si>
    <t xml:space="preserve">Systems and Integration</t>
  </si>
  <si>
    <t xml:space="preserve">People and Skills</t>
  </si>
  <si>
    <t xml:space="preserve">Governance and Risk</t>
  </si>
  <si>
    <t xml:space="preserve">Security and Privacy</t>
  </si>
  <si>
    <t xml:space="preserve">USE CASE CHECKS</t>
  </si>
  <si>
    <t xml:space="preserve">Check</t>
  </si>
  <si>
    <t xml:space="preserve">Met Means</t>
  </si>
  <si>
    <t xml:space="preserve">Current steps, time and cost of the workflow are measured.</t>
  </si>
  <si>
    <t xml:space="preserve">Source records are checked for accuracy, status and completeness.</t>
  </si>
  <si>
    <t xml:space="preserve">Client, contract and AI provider terms allow this use of the data.</t>
  </si>
  <si>
    <t xml:space="preserve">Connections from source systems to the AI tool are tested.</t>
  </si>
  <si>
    <t xml:space="preserve">Use case owner, data owner, reviewer and approver are named.</t>
  </si>
  <si>
    <t xml:space="preserve">Reviewers have tested sample outputs against source records.</t>
  </si>
  <si>
    <t xml:space="preserve">Tool costs and reviewer time are estimated and funded.</t>
  </si>
  <si>
    <t xml:space="preserve">Scope, duration, success measures and stop criteria are agreed.</t>
  </si>
  <si>
    <t xml:space="preserve">VALUE SCALE</t>
  </si>
  <si>
    <t xml:space="preserve">Minimal</t>
  </si>
  <si>
    <t xml:space="preserve">Low</t>
  </si>
  <si>
    <t xml:space="preserve">Moderate</t>
  </si>
  <si>
    <t xml:space="preserve">High</t>
  </si>
  <si>
    <t xml:space="preserve">Very High</t>
  </si>
  <si>
    <t xml:space="preserve">HOW TO USE THIS WORKBOOK</t>
  </si>
  <si>
    <t xml:space="preserve">Delete this sheet before you issue the workbook if you do not want it seen.</t>
  </si>
  <si>
    <t xml:space="preserve">Sheets</t>
  </si>
  <si>
    <t xml:space="preserve">Dashboard: page 1 has the readiness score and level, the Pilot Gate, six counts, the Rating Profile and the Use Case Matrix. Page 2 has the dimension scores, must-meet criteria, priority use cases and action status. Only Assessment Details is typed in. Everything else updates as the other sheets are filled in.</t>
  </si>
  <si>
    <t xml:space="preserve">Readiness Checklist: rate each criterion and record the evidence.</t>
  </si>
  <si>
    <t xml:space="preserve">Use Case Register: run the eight checks on each candidate use case and record the decision.</t>
  </si>
  <si>
    <t xml:space="preserve">Action Plan: one row per gap, with the criterion or use case it closes, an owner and a due date.</t>
  </si>
  <si>
    <t xml:space="preserve">Scoring: rating scale, readiness levels, dimension names and weights, what Met means for each check, and the value scale. Changes here flow through every sheet.</t>
  </si>
  <si>
    <t xml:space="preserve">Select any yellow cell to see what goes in it. A cell with an arrow has a list to pick from.</t>
  </si>
  <si>
    <t xml:space="preserve">Steps</t>
  </si>
  <si>
    <t xml:space="preserve">1.  Fill in Assessment Details on the Dashboard.</t>
  </si>
  <si>
    <t xml:space="preserve">2.  Pick four or five reviewers: the sponsor, project controls, IT or information security, contracts, and one working project manager.</t>
  </si>
  <si>
    <t xml:space="preserve">3.  Review the criteria and must-meet flags together. Edit a criterion, add your own in a spare row, or pick Yes in Must-Meet to make one a must-meet.</t>
  </si>
  <si>
    <t xml:space="preserve">4.  Rate the must-meet criteria first. A 0, 1 or N/A on any of them keeps the Pilot Gate at Not Met.</t>
  </si>
  <si>
    <t xml:space="preserve">5.  Rate every other criterion 0 to 3, or N/A if it does not apply. Record the evidence: a 2 or 3 needs it.</t>
  </si>
  <si>
    <t xml:space="preserve">6.  Clear every message in the Rating Check column (see Messages below).</t>
  </si>
  <si>
    <t xml:space="preserve">7.  List candidate use cases on the Use Case Register: pick one from the list or type your own. Give each a Value from 1 (Minimal) to 5 (Very High).</t>
  </si>
  <si>
    <t xml:space="preserve">8.  Rate the eight checks for each use case as Met, Partial or Not Met. The Scoring sheet lists what Met means for each check.</t>
  </si>
  <si>
    <t xml:space="preserve">9.  In the Action Plan, add a row for every criterion rated 0 or 1 and every check not Met. Pick its number or ref in Source, then fill in the gap, action, owner and due date.</t>
  </si>
  <si>
    <t xml:space="preserve">10.  Dashboard page 2 lists the top eight use cases by Priority Score. Take the first one marked Ready for Pilot to the steering committee, then record the decision in the Use Case Register.</t>
  </si>
  <si>
    <t xml:space="preserve">11.  Before the next pilot decision, save a dated copy and update the ratings and checks that have changed.</t>
  </si>
  <si>
    <t xml:space="preserve">Messages</t>
  </si>
  <si>
    <t xml:space="preserve">Evidence required: a rating of 2 or 3 with no evidence. Add the evidence or lower the rating.</t>
  </si>
  <si>
    <t xml:space="preserve">Must-meet cannot be N/A: rate it 0 to 3, or clear Must-Meet if the criterion does not apply to this scope.</t>
  </si>
  <si>
    <t xml:space="preserve">Criterion missing: a rating or evidence in a spare row that has no criterion. Type the criterion or clear the row.</t>
  </si>
  <si>
    <t xml:space="preserve">Invalid rating: a value that is not on the list, usually pasted in. Pick from the list again. It is not counted until then.</t>
  </si>
  <si>
    <t xml:space="preserve">Gaps open (Decision Check): the decision is Proceed to Pilot, but not all eight checks are Met or the Pilot Gate is not Met.</t>
  </si>
  <si>
    <t xml:space="preserve">Checks incomplete (Decision Check): the decision is Proceed to Pilot while a check is still blank.</t>
  </si>
  <si>
    <t xml:space="preserve">Not a date (Days Overdue): the due date was typed as text. Retype it as a date.</t>
  </si>
  <si>
    <t xml:space="preserve">How the scores work</t>
  </si>
  <si>
    <t xml:space="preserve">Dimension score = sum of ratings ÷ (3 × criteria rated). N/A and unrated criteria are left out. For example, ratings of 3, 2, 1 and N/A score 6 ÷ 9 = 67%.</t>
  </si>
  <si>
    <t xml:space="preserve">Readiness Score = weighted average of the dimension scores. Weights are on the Scoring sheet: 1 each is equal, 2 counts a dimension double, 0 leaves it out.</t>
  </si>
  <si>
    <t xml:space="preserve">Readiness Level = Early, Developing, Established or Advanced, by the thresholds on the Scoring sheet. It reads Incomplete until every criterion is rated or marked N/A.</t>
  </si>
  <si>
    <t xml:space="preserve">Pilot Gate = Met when every must-meet criterion is rated 2 or 3. Not Met when any is rated 0, 1 or N/A. Incomplete while any is still unrated.</t>
  </si>
  <si>
    <t xml:space="preserve">Use case Readiness = (checks Met + half the checks Partial) ÷ 8.</t>
  </si>
  <si>
    <t xml:space="preserve">Recommendation = Ready for Pilot only when all eight checks are Met and the Pilot Gate is Met. Incomplete while a check is blank. Preparation Required otherwise.</t>
  </si>
  <si>
    <t xml:space="preserve">Priority Score = Value × Readiness × 20, so 0 to 100. It appears once the Value and all eight checks are filled in. Equal scores keep register order.</t>
  </si>
  <si>
    <t xml:space="preserve">Open Actions = actions in the Action Plan that cite the row and are not Complete.</t>
  </si>
  <si>
    <t xml:space="preserve">Rating Profile = the share of each dimension's criteria at each rating. Not rated = criteria with no rating yet.</t>
  </si>
  <si>
    <t xml:space="preserve">Use Case Matrix = each use case with a Priority Score, by Readiness (across) and Value (up). Up and to the right = a higher Priority Score. Use cases with the same Readiness and Value share a point: UC-02 +1 means UC-02 and one more.</t>
  </si>
  <si>
    <t xml:space="preserve">The Dashboard shows the first eight must-meet criteria. The Must-Meet Criteria count covers all of them.</t>
  </si>
  <si>
    <t xml:space="preserve">The 40, 60 and 80 percent thresholds and the five must-meet criteria are a starting point, not a standard. Change them on the Scoring sheet and in the Must-Meet column.</t>
  </si>
  <si>
    <t xml:space="preserve">Housekeeping</t>
  </si>
  <si>
    <t xml:space="preserve">Sheets are protected without a password, so formulas cannot be typed over. Review &gt; Unprotect Sheet lifts it.</t>
  </si>
  <si>
    <t xml:space="preserve">Filters work while a sheet is protected. To sort, unprotect the sheet and use the arrow on a column header.</t>
  </si>
  <si>
    <t xml:space="preserve">Enter due dates as dates, not text. Days Overdue counts from today.</t>
  </si>
  <si>
    <t xml:space="preserve">Room: two spare rows per dimension on the checklist, 20 use cases and 50 actions. Only these rows are counted, so do not insert rows or add them below a table.</t>
  </si>
  <si>
    <t xml:space="preserve">Save a dated copy of the workbook for each assessment so scores can be compared over time.</t>
  </si>
  <si>
    <t xml:space="preserve">Your logo: unprotect the sheet, then Insert &gt; Pictures. The Mastt mark may be deleted.</t>
  </si>
  <si>
    <t xml:space="preserve">Printing: the Dashboard prints on two Letter pages and the Use Case Register on 11 × 17 paper. The other sheets print on Letter.</t>
  </si>
  <si>
    <t xml:space="preserve">Not rated</t>
  </si>
  <si>
    <t xml:space="preserve">Guide X</t>
  </si>
  <si>
    <t xml:space="preserve">Guide Y</t>
  </si>
  <si>
    <t xml:space="preserve">Reporting</t>
  </si>
  <si>
    <t xml:space="preserve">Document Management</t>
  </si>
  <si>
    <t xml:space="preserve">Cost Management</t>
  </si>
  <si>
    <t xml:space="preserve">Contract Administration</t>
  </si>
  <si>
    <t xml:space="preserve">Scheduling</t>
  </si>
  <si>
    <t xml:space="preserve">Estimating and Takeoffs</t>
  </si>
  <si>
    <t xml:space="preserve">Risk and Issue Management</t>
  </si>
  <si>
    <t xml:space="preserve">Payments and Invoices</t>
  </si>
  <si>
    <t xml:space="preserve">Regulatory Compliance</t>
  </si>
  <si>
    <t xml:space="preserve">Procurement and Bidding</t>
  </si>
  <si>
    <t xml:space="preserve">Change Orders</t>
  </si>
  <si>
    <t xml:space="preserve">Stakeholder Communications</t>
  </si>
  <si>
    <t xml:space="preserve">Quality and Defects</t>
  </si>
  <si>
    <t xml:space="preserve">Safety Management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</si>
</sst>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mmm\ d&quot;, &quot;yyyy"/>
    <numFmt numFmtId="167" formatCode="General"/>
    <numFmt numFmtId="168" formatCode="0;;;"/>
    <numFmt numFmtId="169" formatCode="@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3245"/>
      <name val="Calibri"/>
      <family val="0"/>
      <charset val="1"/>
    </font>
    <font>
      <i val="true"/>
      <sz val="9"/>
      <color rgb="FF6B7785"/>
      <name val="Calibri"/>
      <family val="0"/>
      <charset val="1"/>
    </font>
    <font>
      <b val="true"/>
      <sz val="10"/>
      <color rgb="FF1D3245"/>
      <name val="Calibri"/>
      <family val="0"/>
      <charset val="1"/>
    </font>
    <font>
      <sz val="10"/>
      <color rgb="FF1D3245"/>
      <name val="Calibri"/>
      <family val="0"/>
      <charset val="1"/>
    </font>
    <font>
      <b val="true"/>
      <sz val="9"/>
      <color rgb="FF1D3245"/>
      <name val="Calibri"/>
      <family val="0"/>
      <charset val="1"/>
    </font>
    <font>
      <b val="true"/>
      <sz val="36"/>
      <color rgb="FF1D3245"/>
      <name val="Calibri"/>
      <family val="0"/>
      <charset val="1"/>
    </font>
    <font>
      <b val="true"/>
      <sz val="20"/>
      <color rgb="FF1D3245"/>
      <name val="Calibri"/>
      <family val="0"/>
      <charset val="1"/>
    </font>
    <font>
      <b val="true"/>
      <sz val="14"/>
      <color rgb="FF1D3245"/>
      <name val="Calibri"/>
      <family val="0"/>
      <charset val="1"/>
    </font>
    <font>
      <sz val="9"/>
      <color rgb="FF6B7785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"/>
      <color rgb="FF1D3245"/>
      <name val="Calibri"/>
      <family val="0"/>
      <charset val="1"/>
    </font>
    <font>
      <b val="true"/>
      <u val="single"/>
      <sz val="9"/>
      <color rgb="FF359CE2"/>
      <name val="Calibri"/>
      <family val="0"/>
      <charset val="1"/>
    </font>
    <font>
      <sz val="9"/>
      <color rgb="FF6B7785"/>
      <name val="Calibri"/>
      <family val="2"/>
    </font>
    <font>
      <b val="true"/>
      <sz val="9"/>
      <color rgb="FF6B7785"/>
      <name val="Calibri"/>
      <family val="2"/>
    </font>
    <font>
      <b val="true"/>
      <sz val="16"/>
      <color rgb="FF1D3245"/>
      <name val="Calibri"/>
      <family val="0"/>
      <charset val="1"/>
    </font>
    <font>
      <b val="true"/>
      <sz val="11"/>
      <color rgb="FF1D3245"/>
      <name val="Calibri"/>
      <family val="0"/>
      <charset val="1"/>
    </font>
    <font>
      <sz val="10"/>
      <color rgb="FF6B7785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F2F6FA"/>
        <bgColor rgb="FFFFF9E6"/>
      </patternFill>
    </fill>
    <fill>
      <patternFill patternType="solid">
        <fgColor rgb="FF1D3245"/>
        <bgColor rgb="FF003366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59CE2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 diagonalUp="false" diagonalDown="false">
      <left style="thin">
        <color rgb="FFD0D7DE"/>
      </left>
      <right style="thin">
        <color rgb="FFD0D7DE"/>
      </right>
      <top/>
      <bottom/>
      <diagonal/>
    </border>
    <border diagonalUp="false" diagonalDown="false">
      <left style="thin">
        <color rgb="FFD0D7DE"/>
      </left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/>
      <right style="thin">
        <color rgb="FFD0D7DE"/>
      </right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medium">
        <color rgb="FF359CE2"/>
      </top>
      <bottom style="thin">
        <color rgb="FFD0D7DE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D0D7DE"/>
      </top>
      <bottom style="thin">
        <color rgb="FFD0D7DE"/>
      </bottom>
      <diagonal/>
    </border>
    <border diagonalUp="false" diagonalDown="false">
      <left style="thin">
        <color rgb="FFD0D7DE"/>
      </left>
      <right style="thin">
        <color rgb="FFD0D7DE"/>
      </right>
      <top style="medium">
        <color rgb="FF1D3245"/>
      </top>
      <bottom style="thin">
        <color rgb="FFD0D7DE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1D3245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7" fillId="2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6" fillId="2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>
          <bgColor rgb="FF922B21"/>
        </patternFill>
      </fill>
    </dxf>
    <dxf>
      <fill>
        <patternFill>
          <bgColor rgb="FF9C5700"/>
        </patternFill>
      </fill>
    </dxf>
    <dxf>
      <fill>
        <patternFill>
          <bgColor rgb="FF1E6C42"/>
        </patternFill>
      </fill>
    </dxf>
    <dxf>
      <font>
        <name val="Calibri"/>
        <charset val="1"/>
        <family val="0"/>
        <b val="1"/>
        <color rgb="FF6B7785"/>
      </font>
    </dxf>
    <dxf>
      <font>
        <name val="Calibri"/>
        <charset val="1"/>
        <family val="0"/>
        <b val="1"/>
        <color rgb="FF922B21"/>
      </font>
    </dxf>
    <dxf>
      <font>
        <name val="Calibri"/>
        <charset val="1"/>
        <family val="0"/>
        <b val="1"/>
        <color rgb="FF9C5700"/>
      </font>
    </dxf>
    <dxf>
      <font>
        <name val="Calibri"/>
        <charset val="1"/>
        <family val="0"/>
        <b val="1"/>
        <color rgb="FF1E6C42"/>
      </font>
    </dxf>
    <dxf>
      <font>
        <name val="Calibri"/>
        <charset val="1"/>
        <family val="0"/>
        <b val="1"/>
        <color rgb="FF1E6C42"/>
      </font>
      <fill>
        <patternFill>
          <bgColor rgb="FFD5F0E0"/>
        </patternFill>
      </fill>
    </dxf>
    <dxf>
      <font>
        <name val="Calibri"/>
        <charset val="1"/>
        <family val="0"/>
        <b val="1"/>
        <color rgb="FF922B21"/>
      </font>
      <fill>
        <patternFill>
          <bgColor rgb="FFFADBD8"/>
        </patternFill>
      </fill>
    </dxf>
    <dxf>
      <font>
        <name val="Calibri"/>
        <charset val="1"/>
        <family val="0"/>
        <b val="1"/>
        <color rgb="FF6B7785"/>
      </font>
      <fill>
        <patternFill>
          <bgColor rgb="FFF2F6FA"/>
        </patternFill>
      </fill>
    </dxf>
    <dxf>
      <font>
        <name val="Calibri"/>
        <charset val="1"/>
        <family val="0"/>
        <b val="1"/>
        <color rgb="FF9C5700"/>
      </font>
      <fill>
        <patternFill>
          <bgColor rgb="FFFDEBD0"/>
        </patternFill>
      </fill>
    </dxf>
    <dxf>
      <font>
        <name val="Calibri"/>
        <charset val="1"/>
        <family val="0"/>
        <color rgb="FF6B7785"/>
      </font>
      <fill>
        <patternFill>
          <bgColor rgb="FFF2F6FA"/>
        </patternFill>
      </fill>
    </dxf>
    <dxf>
      <fill>
        <patternFill patternType="solid">
          <fgColor rgb="FF1D3245"/>
          <bgColor rgb="FF000000"/>
        </patternFill>
      </fill>
    </dxf>
    <dxf>
      <fill>
        <patternFill patternType="solid">
          <fgColor rgb="FFF2F6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ont>
        <name val="Calibri"/>
        <charset val="1"/>
        <family val="0"/>
        <b val="1"/>
        <color rgb="FF1D3245"/>
      </font>
    </dxf>
    <dxf>
      <fill>
        <patternFill>
          <bgColor rgb="FFF2F6FA"/>
        </patternFill>
      </fill>
    </dxf>
    <dxf>
      <font>
        <name val="Calibri"/>
        <charset val="1"/>
        <family val="0"/>
        <color rgb="FF9C5700"/>
      </font>
      <fill>
        <patternFill>
          <bgColor rgb="FFFDEB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5700"/>
      <rgbColor rgb="FF800080"/>
      <rgbColor rgb="FF1E6C42"/>
      <rgbColor rgb="FFB6C2CE"/>
      <rgbColor rgb="FF6B7785"/>
      <rgbColor rgb="FF9999FF"/>
      <rgbColor rgb="FF993366"/>
      <rgbColor rgb="FFFFF9E6"/>
      <rgbColor rgb="FFF2F6FA"/>
      <rgbColor rgb="FF660066"/>
      <rgbColor rgb="FFEF6F6C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0E0"/>
      <rgbColor rgb="FFFDEBD0"/>
      <rgbColor rgb="FF99CCFF"/>
      <rgbColor rgb="FFFF99CC"/>
      <rgbColor rgb="FFCC99FF"/>
      <rgbColor rgb="FFFADBD8"/>
      <rgbColor rgb="FF3366FF"/>
      <rgbColor rgb="FF359CE2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22B21"/>
      <rgbColor rgb="FF993366"/>
      <rgbColor rgb="FF333399"/>
      <rgbColor rgb="FF1D32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percentStacked"/>
        <c:varyColors val="0"/>
        <c:ser>
          <c:idx val="0"/>
          <c:order val="0"/>
          <c:tx>
            <c:strRef>
              <c:f>Lists!E1</c:f>
              <c:strCache>
                <c:ptCount val="1"/>
                <c:pt idx="0">
                  <c:v>0 Not in place</c:v>
                </c:pt>
              </c:strCache>
            </c:strRef>
          </c:tx>
          <c:spPr>
            <a:solidFill>
              <a:srgbClr val="922b21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Lists!$E$2:$E$8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Lists!F1</c:f>
              <c:strCache>
                <c:ptCount val="1"/>
                <c:pt idx="0">
                  <c:v>1 Partially in place</c:v>
                </c:pt>
              </c:strCache>
            </c:strRef>
          </c:tx>
          <c:spPr>
            <a:solidFill>
              <a:srgbClr val="ef6f6c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Lists!$F$2:$F$8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Lists!G1</c:f>
              <c:strCache>
                <c:ptCount val="1"/>
                <c:pt idx="0">
                  <c:v>2 In place</c:v>
                </c:pt>
              </c:strCache>
            </c:strRef>
          </c:tx>
          <c:spPr>
            <a:solidFill>
              <a:srgbClr val="359ce2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Lists!$G$2:$G$8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Lists!H1</c:f>
              <c:strCache>
                <c:ptCount val="1"/>
                <c:pt idx="0">
                  <c:v>3 Embedded</c:v>
                </c:pt>
              </c:strCache>
            </c:strRef>
          </c:tx>
          <c:spPr>
            <a:solidFill>
              <a:srgbClr val="1d3245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4"/>
          <c:order val="4"/>
          <c:tx>
            <c:strRef>
              <c:f>Lists!I1</c:f>
              <c:strCache>
                <c:ptCount val="1"/>
                <c:pt idx="0">
                  <c:v>N/A</c:v>
                </c:pt>
              </c:strCache>
            </c:strRef>
          </c:tx>
          <c:spPr>
            <a:solidFill>
              <a:srgbClr val="b6c2ce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Lists!$I$2:$I$8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5"/>
          <c:order val="5"/>
          <c:tx>
            <c:strRef>
              <c:f>Lists!J1</c:f>
              <c:strCache>
                <c:ptCount val="1"/>
                <c:pt idx="0">
                  <c:v>Not rated</c:v>
                </c:pt>
              </c:strCache>
            </c:strRef>
          </c:tx>
          <c:spPr>
            <a:solidFill>
              <a:srgbClr val="f2f6fa"/>
            </a:solidFill>
            <a:ln w="12600">
              <a:solidFill>
                <a:srgbClr val="d0d7de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Lists!$D$2:$D$8</c:f>
              <c:strCache>
                <c:ptCount val="7"/>
                <c:pt idx="0">
                  <c:v>Strategy and Leadership</c:v>
                </c:pt>
                <c:pt idx="1">
                  <c:v>Use Cases and Value</c:v>
                </c:pt>
                <c:pt idx="2">
                  <c:v>Project Data</c:v>
                </c:pt>
                <c:pt idx="3">
                  <c:v>Systems and Integration</c:v>
                </c:pt>
                <c:pt idx="4">
                  <c:v>People and Skills</c:v>
                </c:pt>
                <c:pt idx="5">
                  <c:v>Governance and Risk</c:v>
                </c:pt>
                <c:pt idx="6">
                  <c:v>Security and Privacy</c:v>
                </c:pt>
              </c:strCache>
            </c:strRef>
          </c:cat>
          <c:val>
            <c:numRef>
              <c:f>Lists!$J$2:$J$8</c:f>
              <c:numCache>
                <c:formatCode>General</c:formatCode>
                <c:ptCount val="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</c:ser>
        <c:gapWidth val="55"/>
        <c:overlap val="100"/>
        <c:axId val="12075053"/>
        <c:axId val="33529781"/>
      </c:barChart>
      <c:catAx>
        <c:axId val="1207505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480">
            <a:solidFill>
              <a:srgbClr val="b6c2ce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6b7785"/>
                </a:solidFill>
                <a:latin typeface="Calibri"/>
              </a:defRPr>
            </a:pPr>
          </a:p>
        </c:txPr>
        <c:crossAx val="33529781"/>
        <c:crosses val="autoZero"/>
        <c:auto val="1"/>
        <c:lblAlgn val="ctr"/>
        <c:lblOffset val="100"/>
        <c:noMultiLvlLbl val="0"/>
      </c:catAx>
      <c:valAx>
        <c:axId val="33529781"/>
        <c:scaling>
          <c:orientation val="minMax"/>
          <c:max val="1"/>
          <c:min val="0"/>
        </c:scaling>
        <c:delete val="0"/>
        <c:axPos val="l"/>
        <c:majorGridlines>
          <c:spPr>
            <a:ln w="6480">
              <a:solidFill>
                <a:srgbClr val="d0d7de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solidFill>
              <a:srgbClr val="b6c2ce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6b7785"/>
                </a:solidFill>
                <a:latin typeface="Calibri"/>
              </a:defRPr>
            </a:pPr>
          </a:p>
        </c:txPr>
        <c:crossAx val="12075053"/>
        <c:crosses val="max"/>
        <c:crossBetween val="between"/>
        <c:majorUnit val="0.25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6b7785"/>
              </a:solidFill>
              <a:latin typeface="Calibri"/>
            </a:defRPr>
          </a:pPr>
        </a:p>
      </c:txPr>
    </c:legend>
    <c:plotVisOnly val="0"/>
    <c:dispBlanksAs val="gap"/>
  </c:chart>
  <c:spPr>
    <a:noFill/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spPr>
            <a:solidFill>
              <a:srgbClr val="b6c2ce"/>
            </a:solidFill>
            <a:ln w="9360">
              <a:solidFill>
                <a:srgbClr val="b6c2ce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Lists!$R$2:$R$3</c:f>
              <c:numCache>
                <c:formatCode>General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Lists!$S$2:$S$3</c:f>
              <c:numCache>
                <c:formatCode>General</c:formatCode>
                <c:ptCount val="2"/>
                <c:pt idx="0">
                  <c:v>0</c:v>
                </c:pt>
                <c:pt idx="1">
                  <c:v>5.5</c:v>
                </c:pt>
              </c:numCache>
            </c:numRef>
          </c:yVal>
          <c:smooth val="0"/>
        </c:ser>
        <c:ser>
          <c:idx val="1"/>
          <c:order val="1"/>
          <c:spPr>
            <a:solidFill>
              <a:srgbClr val="b6c2ce"/>
            </a:solidFill>
            <a:ln w="9360">
              <a:solidFill>
                <a:srgbClr val="b6c2ce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900" spc="-1" strike="noStrike">
                    <a:solidFill>
                      <a:srgbClr val="6b7785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Lists!$T$2:$T$3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Lists!$U$2:$U$3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Lists!$L$2</c:f>
              <c:strCache>
                <c:ptCount val="1"/>
                <c:pt idx="0">
                  <c:v>UC-01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Lists!$M$2</c:f>
              <c:numCache>
                <c:formatCode>0%</c:formatCode>
                <c:ptCount val="1"/>
              </c:numCache>
            </c:numRef>
          </c:xVal>
          <c:yVal>
            <c:numRef>
              <c:f>Lists!$N$2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"/>
          <c:order val="3"/>
          <c:tx>
            <c:strRef>
              <c:f>Lists!$L$3</c:f>
              <c:strCache>
                <c:ptCount val="1"/>
                <c:pt idx="0">
                  <c:v>UC-02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Lists!$M$3</c:f>
              <c:numCache>
                <c:formatCode>0%</c:formatCode>
                <c:ptCount val="1"/>
              </c:numCache>
            </c:numRef>
          </c:xVal>
          <c:yVal>
            <c:numRef>
              <c:f>Lists!$N$3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4"/>
          <c:order val="4"/>
          <c:tx>
            <c:strRef>
              <c:f>Lists!$L$4</c:f>
              <c:strCache>
                <c:ptCount val="1"/>
                <c:pt idx="0">
                  <c:v>UC-03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Lists!$M$4</c:f>
              <c:numCache>
                <c:formatCode>0%</c:formatCode>
                <c:ptCount val="1"/>
              </c:numCache>
            </c:numRef>
          </c:xVal>
          <c:yVal>
            <c:numRef>
              <c:f>Lists!$N$4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5"/>
          <c:order val="5"/>
          <c:tx>
            <c:strRef>
              <c:f>Lists!$L$5</c:f>
              <c:strCache>
                <c:ptCount val="1"/>
                <c:pt idx="0">
                  <c:v>UC-04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Lists!$M$5</c:f>
              <c:numCache>
                <c:formatCode>0%</c:formatCode>
                <c:ptCount val="1"/>
              </c:numCache>
            </c:numRef>
          </c:xVal>
          <c:yVal>
            <c:numRef>
              <c:f>Lists!$N$5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6"/>
          <c:order val="6"/>
          <c:tx>
            <c:strRef>
              <c:f>Lists!$L$6</c:f>
              <c:strCache>
                <c:ptCount val="1"/>
                <c:pt idx="0">
                  <c:v>UC-05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Lists!$M$6</c:f>
              <c:numCache>
                <c:formatCode>0%</c:formatCode>
                <c:ptCount val="1"/>
              </c:numCache>
            </c:numRef>
          </c:xVal>
          <c:yVal>
            <c:numRef>
              <c:f>Lists!$N$6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7"/>
          <c:order val="7"/>
          <c:tx>
            <c:strRef>
              <c:f>Lists!$L$7</c:f>
              <c:strCache>
                <c:ptCount val="1"/>
                <c:pt idx="0">
                  <c:v>UC-06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Lists!$M$7</c:f>
              <c:numCache>
                <c:formatCode>0%</c:formatCode>
                <c:ptCount val="1"/>
              </c:numCache>
            </c:numRef>
          </c:xVal>
          <c:yVal>
            <c:numRef>
              <c:f>Lists!$N$7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8"/>
          <c:order val="8"/>
          <c:tx>
            <c:strRef>
              <c:f>Lists!$L$8</c:f>
              <c:strCache>
                <c:ptCount val="1"/>
                <c:pt idx="0">
                  <c:v>UC-07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Lists!$M$8</c:f>
              <c:numCache>
                <c:formatCode>0%</c:formatCode>
                <c:ptCount val="1"/>
              </c:numCache>
            </c:numRef>
          </c:xVal>
          <c:yVal>
            <c:numRef>
              <c:f>Lists!$N$8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9"/>
          <c:order val="9"/>
          <c:tx>
            <c:strRef>
              <c:f>Lists!$L$9</c:f>
              <c:strCache>
                <c:ptCount val="1"/>
                <c:pt idx="0">
                  <c:v>UC-08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Lists!$M$9</c:f>
              <c:numCache>
                <c:formatCode>0%</c:formatCode>
                <c:ptCount val="1"/>
              </c:numCache>
            </c:numRef>
          </c:xVal>
          <c:yVal>
            <c:numRef>
              <c:f>Lists!$N$9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0"/>
          <c:order val="10"/>
          <c:tx>
            <c:strRef>
              <c:f>Lists!$L$10</c:f>
              <c:strCache>
                <c:ptCount val="1"/>
                <c:pt idx="0">
                  <c:v>UC-09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Lists!$M$10</c:f>
              <c:numCache>
                <c:formatCode>0%</c:formatCode>
                <c:ptCount val="1"/>
              </c:numCache>
            </c:numRef>
          </c:xVal>
          <c:yVal>
            <c:numRef>
              <c:f>Lists!$N$10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1"/>
          <c:order val="11"/>
          <c:tx>
            <c:strRef>
              <c:f>Lists!$L$11</c:f>
              <c:strCache>
                <c:ptCount val="1"/>
                <c:pt idx="0">
                  <c:v>UC-10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Lists!$M$11</c:f>
              <c:numCache>
                <c:formatCode>0%</c:formatCode>
                <c:ptCount val="1"/>
              </c:numCache>
            </c:numRef>
          </c:xVal>
          <c:yVal>
            <c:numRef>
              <c:f>Lists!$N$11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2"/>
          <c:order val="12"/>
          <c:tx>
            <c:strRef>
              <c:f>Lists!$L$12</c:f>
              <c:strCache>
                <c:ptCount val="1"/>
                <c:pt idx="0">
                  <c:v>UC-11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Lists!$M$12</c:f>
              <c:numCache>
                <c:formatCode>0%</c:formatCode>
                <c:ptCount val="1"/>
              </c:numCache>
            </c:numRef>
          </c:xVal>
          <c:yVal>
            <c:numRef>
              <c:f>Lists!$N$12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3"/>
          <c:order val="13"/>
          <c:tx>
            <c:strRef>
              <c:f>Lists!$L$13</c:f>
              <c:strCache>
                <c:ptCount val="1"/>
                <c:pt idx="0">
                  <c:v>UC-12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Lists!$M$13</c:f>
              <c:numCache>
                <c:formatCode>0%</c:formatCode>
                <c:ptCount val="1"/>
              </c:numCache>
            </c:numRef>
          </c:xVal>
          <c:yVal>
            <c:numRef>
              <c:f>Lists!$N$13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4"/>
          <c:order val="14"/>
          <c:tx>
            <c:strRef>
              <c:f>Lists!$L$14</c:f>
              <c:strCache>
                <c:ptCount val="1"/>
                <c:pt idx="0">
                  <c:v>UC-13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Lists!$M$14</c:f>
              <c:numCache>
                <c:formatCode>0%</c:formatCode>
                <c:ptCount val="1"/>
              </c:numCache>
            </c:numRef>
          </c:xVal>
          <c:yVal>
            <c:numRef>
              <c:f>Lists!$N$14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5"/>
          <c:order val="15"/>
          <c:tx>
            <c:strRef>
              <c:f>Lists!$L$15</c:f>
              <c:strCache>
                <c:ptCount val="1"/>
                <c:pt idx="0">
                  <c:v>UC-14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Lists!$M$15</c:f>
              <c:numCache>
                <c:formatCode>0%</c:formatCode>
                <c:ptCount val="1"/>
              </c:numCache>
            </c:numRef>
          </c:xVal>
          <c:yVal>
            <c:numRef>
              <c:f>Lists!$N$15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6"/>
          <c:order val="16"/>
          <c:tx>
            <c:strRef>
              <c:f>Lists!$L$16</c:f>
              <c:strCache>
                <c:ptCount val="1"/>
                <c:pt idx="0">
                  <c:v>UC-15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Lists!$M$16</c:f>
              <c:numCache>
                <c:formatCode>0%</c:formatCode>
                <c:ptCount val="1"/>
              </c:numCache>
            </c:numRef>
          </c:xVal>
          <c:yVal>
            <c:numRef>
              <c:f>Lists!$N$16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7"/>
          <c:order val="17"/>
          <c:tx>
            <c:strRef>
              <c:f>Lists!$L$17</c:f>
              <c:strCache>
                <c:ptCount val="1"/>
                <c:pt idx="0">
                  <c:v>UC-16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Lists!$M$17</c:f>
              <c:numCache>
                <c:formatCode>0%</c:formatCode>
                <c:ptCount val="1"/>
              </c:numCache>
            </c:numRef>
          </c:xVal>
          <c:yVal>
            <c:numRef>
              <c:f>Lists!$N$17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8"/>
          <c:order val="18"/>
          <c:tx>
            <c:strRef>
              <c:f>Lists!$L$18</c:f>
              <c:strCache>
                <c:ptCount val="1"/>
                <c:pt idx="0">
                  <c:v>UC-17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Lists!$M$18</c:f>
              <c:numCache>
                <c:formatCode>0%</c:formatCode>
                <c:ptCount val="1"/>
              </c:numCache>
            </c:numRef>
          </c:xVal>
          <c:yVal>
            <c:numRef>
              <c:f>Lists!$N$18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Lists!$L$19</c:f>
              <c:strCache>
                <c:ptCount val="1"/>
                <c:pt idx="0">
                  <c:v>UC-18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Lists!$M$19</c:f>
              <c:numCache>
                <c:formatCode>0%</c:formatCode>
                <c:ptCount val="1"/>
              </c:numCache>
            </c:numRef>
          </c:xVal>
          <c:yVal>
            <c:numRef>
              <c:f>Lists!$N$19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0"/>
          <c:order val="20"/>
          <c:tx>
            <c:strRef>
              <c:f>Lists!$L$20</c:f>
              <c:strCache>
                <c:ptCount val="1"/>
                <c:pt idx="0">
                  <c:v>UC-19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Lists!$M$20</c:f>
              <c:numCache>
                <c:formatCode>0%</c:formatCode>
                <c:ptCount val="1"/>
              </c:numCache>
            </c:numRef>
          </c:xVal>
          <c:yVal>
            <c:numRef>
              <c:f>Lists!$N$20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1"/>
          <c:order val="21"/>
          <c:tx>
            <c:strRef>
              <c:f>Lists!$L$21</c:f>
              <c:strCache>
                <c:ptCount val="1"/>
                <c:pt idx="0">
                  <c:v>UC-20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Lists!$M$21</c:f>
              <c:numCache>
                <c:formatCode>0%</c:formatCode>
                <c:ptCount val="1"/>
              </c:numCache>
            </c:numRef>
          </c:xVal>
          <c:yVal>
            <c:numRef>
              <c:f>Lists!$N$21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2"/>
          <c:order val="22"/>
          <c:tx>
            <c:strRef>
              <c:f>Lists!$L$2</c:f>
              <c:strCache>
                <c:ptCount val="1"/>
                <c:pt idx="0">
                  <c:v>UC-01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Lists!$O$2</c:f>
              <c:numCache>
                <c:formatCode>0%</c:formatCode>
                <c:ptCount val="1"/>
              </c:numCache>
            </c:numRef>
          </c:xVal>
          <c:yVal>
            <c:numRef>
              <c:f>Lists!$P$2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3"/>
          <c:order val="23"/>
          <c:tx>
            <c:strRef>
              <c:f>Lists!$L$3</c:f>
              <c:strCache>
                <c:ptCount val="1"/>
                <c:pt idx="0">
                  <c:v>UC-02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Lists!$O$3</c:f>
              <c:numCache>
                <c:formatCode>0%</c:formatCode>
                <c:ptCount val="1"/>
              </c:numCache>
            </c:numRef>
          </c:xVal>
          <c:yVal>
            <c:numRef>
              <c:f>Lists!$P$3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4"/>
          <c:order val="24"/>
          <c:tx>
            <c:strRef>
              <c:f>Lists!$L$4</c:f>
              <c:strCache>
                <c:ptCount val="1"/>
                <c:pt idx="0">
                  <c:v>UC-03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Lists!$O$4</c:f>
              <c:numCache>
                <c:formatCode>0%</c:formatCode>
                <c:ptCount val="1"/>
              </c:numCache>
            </c:numRef>
          </c:xVal>
          <c:yVal>
            <c:numRef>
              <c:f>Lists!$P$4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5"/>
          <c:order val="25"/>
          <c:tx>
            <c:strRef>
              <c:f>Lists!$L$5</c:f>
              <c:strCache>
                <c:ptCount val="1"/>
                <c:pt idx="0">
                  <c:v>UC-04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Lists!$O$5</c:f>
              <c:numCache>
                <c:formatCode>0%</c:formatCode>
                <c:ptCount val="1"/>
              </c:numCache>
            </c:numRef>
          </c:xVal>
          <c:yVal>
            <c:numRef>
              <c:f>Lists!$P$5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6"/>
          <c:order val="26"/>
          <c:tx>
            <c:strRef>
              <c:f>Lists!$L$6</c:f>
              <c:strCache>
                <c:ptCount val="1"/>
                <c:pt idx="0">
                  <c:v>UC-05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Lists!$O$6</c:f>
              <c:numCache>
                <c:formatCode>0%</c:formatCode>
                <c:ptCount val="1"/>
              </c:numCache>
            </c:numRef>
          </c:xVal>
          <c:yVal>
            <c:numRef>
              <c:f>Lists!$P$6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7"/>
          <c:order val="27"/>
          <c:tx>
            <c:strRef>
              <c:f>Lists!$L$7</c:f>
              <c:strCache>
                <c:ptCount val="1"/>
                <c:pt idx="0">
                  <c:v>UC-06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Lists!$O$7</c:f>
              <c:numCache>
                <c:formatCode>0%</c:formatCode>
                <c:ptCount val="1"/>
              </c:numCache>
            </c:numRef>
          </c:xVal>
          <c:yVal>
            <c:numRef>
              <c:f>Lists!$P$7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8"/>
          <c:order val="28"/>
          <c:tx>
            <c:strRef>
              <c:f>Lists!$L$8</c:f>
              <c:strCache>
                <c:ptCount val="1"/>
                <c:pt idx="0">
                  <c:v>UC-07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Lists!$O$8</c:f>
              <c:numCache>
                <c:formatCode>0%</c:formatCode>
                <c:ptCount val="1"/>
              </c:numCache>
            </c:numRef>
          </c:xVal>
          <c:yVal>
            <c:numRef>
              <c:f>Lists!$P$8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9"/>
          <c:order val="29"/>
          <c:tx>
            <c:strRef>
              <c:f>Lists!$L$9</c:f>
              <c:strCache>
                <c:ptCount val="1"/>
                <c:pt idx="0">
                  <c:v>UC-08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Lists!$O$9</c:f>
              <c:numCache>
                <c:formatCode>0%</c:formatCode>
                <c:ptCount val="1"/>
              </c:numCache>
            </c:numRef>
          </c:xVal>
          <c:yVal>
            <c:numRef>
              <c:f>Lists!$P$9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0"/>
          <c:order val="30"/>
          <c:tx>
            <c:strRef>
              <c:f>Lists!$L$10</c:f>
              <c:strCache>
                <c:ptCount val="1"/>
                <c:pt idx="0">
                  <c:v>UC-09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Lists!$O$10</c:f>
              <c:numCache>
                <c:formatCode>0%</c:formatCode>
                <c:ptCount val="1"/>
              </c:numCache>
            </c:numRef>
          </c:xVal>
          <c:yVal>
            <c:numRef>
              <c:f>Lists!$P$10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1"/>
          <c:order val="31"/>
          <c:tx>
            <c:strRef>
              <c:f>Lists!$L$11</c:f>
              <c:strCache>
                <c:ptCount val="1"/>
                <c:pt idx="0">
                  <c:v>UC-10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Lists!$O$11</c:f>
              <c:numCache>
                <c:formatCode>0%</c:formatCode>
                <c:ptCount val="1"/>
              </c:numCache>
            </c:numRef>
          </c:xVal>
          <c:yVal>
            <c:numRef>
              <c:f>Lists!$P$11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2"/>
          <c:order val="32"/>
          <c:tx>
            <c:strRef>
              <c:f>Lists!$L$12</c:f>
              <c:strCache>
                <c:ptCount val="1"/>
                <c:pt idx="0">
                  <c:v>UC-11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Lists!$O$12</c:f>
              <c:numCache>
                <c:formatCode>0%</c:formatCode>
                <c:ptCount val="1"/>
              </c:numCache>
            </c:numRef>
          </c:xVal>
          <c:yVal>
            <c:numRef>
              <c:f>Lists!$P$12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3"/>
          <c:order val="33"/>
          <c:tx>
            <c:strRef>
              <c:f>Lists!$L$13</c:f>
              <c:strCache>
                <c:ptCount val="1"/>
                <c:pt idx="0">
                  <c:v>UC-12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Lists!$O$13</c:f>
              <c:numCache>
                <c:formatCode>0%</c:formatCode>
                <c:ptCount val="1"/>
              </c:numCache>
            </c:numRef>
          </c:xVal>
          <c:yVal>
            <c:numRef>
              <c:f>Lists!$P$13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4"/>
          <c:order val="34"/>
          <c:tx>
            <c:strRef>
              <c:f>Lists!$L$14</c:f>
              <c:strCache>
                <c:ptCount val="1"/>
                <c:pt idx="0">
                  <c:v>UC-13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Lists!$O$14</c:f>
              <c:numCache>
                <c:formatCode>0%</c:formatCode>
                <c:ptCount val="1"/>
              </c:numCache>
            </c:numRef>
          </c:xVal>
          <c:yVal>
            <c:numRef>
              <c:f>Lists!$P$14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5"/>
          <c:order val="35"/>
          <c:tx>
            <c:strRef>
              <c:f>Lists!$L$15</c:f>
              <c:strCache>
                <c:ptCount val="1"/>
                <c:pt idx="0">
                  <c:v>UC-14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Lists!$O$15</c:f>
              <c:numCache>
                <c:formatCode>0%</c:formatCode>
                <c:ptCount val="1"/>
              </c:numCache>
            </c:numRef>
          </c:xVal>
          <c:yVal>
            <c:numRef>
              <c:f>Lists!$P$15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6"/>
          <c:order val="36"/>
          <c:tx>
            <c:strRef>
              <c:f>Lists!$L$16</c:f>
              <c:strCache>
                <c:ptCount val="1"/>
                <c:pt idx="0">
                  <c:v>UC-15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Lists!$O$16</c:f>
              <c:numCache>
                <c:formatCode>0%</c:formatCode>
                <c:ptCount val="1"/>
              </c:numCache>
            </c:numRef>
          </c:xVal>
          <c:yVal>
            <c:numRef>
              <c:f>Lists!$P$16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7"/>
          <c:order val="37"/>
          <c:tx>
            <c:strRef>
              <c:f>Lists!$L$17</c:f>
              <c:strCache>
                <c:ptCount val="1"/>
                <c:pt idx="0">
                  <c:v>UC-16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Lists!$O$17</c:f>
              <c:numCache>
                <c:formatCode>0%</c:formatCode>
                <c:ptCount val="1"/>
              </c:numCache>
            </c:numRef>
          </c:xVal>
          <c:yVal>
            <c:numRef>
              <c:f>Lists!$P$17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8"/>
          <c:order val="38"/>
          <c:tx>
            <c:strRef>
              <c:f>Lists!$L$18</c:f>
              <c:strCache>
                <c:ptCount val="1"/>
                <c:pt idx="0">
                  <c:v>UC-17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Lists!$O$18</c:f>
              <c:numCache>
                <c:formatCode>0%</c:formatCode>
                <c:ptCount val="1"/>
              </c:numCache>
            </c:numRef>
          </c:xVal>
          <c:yVal>
            <c:numRef>
              <c:f>Lists!$P$18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9"/>
          <c:order val="39"/>
          <c:tx>
            <c:strRef>
              <c:f>Lists!$L$19</c:f>
              <c:strCache>
                <c:ptCount val="1"/>
                <c:pt idx="0">
                  <c:v>UC-18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Lists!$O$19</c:f>
              <c:numCache>
                <c:formatCode>0%</c:formatCode>
                <c:ptCount val="1"/>
              </c:numCache>
            </c:numRef>
          </c:xVal>
          <c:yVal>
            <c:numRef>
              <c:f>Lists!$P$19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40"/>
          <c:order val="40"/>
          <c:tx>
            <c:strRef>
              <c:f>Lists!$L$20</c:f>
              <c:strCache>
                <c:ptCount val="1"/>
                <c:pt idx="0">
                  <c:v>UC-19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Lists!$O$20</c:f>
              <c:numCache>
                <c:formatCode>0%</c:formatCode>
                <c:ptCount val="1"/>
              </c:numCache>
            </c:numRef>
          </c:xVal>
          <c:yVal>
            <c:numRef>
              <c:f>Lists!$P$20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41"/>
          <c:order val="41"/>
          <c:tx>
            <c:strRef>
              <c:f>Lists!$L$21</c:f>
              <c:strCache>
                <c:ptCount val="1"/>
                <c:pt idx="0">
                  <c:v>UC-20</c:v>
                </c:pt>
              </c:strCache>
            </c:strRef>
          </c:tx>
          <c:spPr>
            <a:solidFill>
              <a:srgbClr val="1d3245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1d3245"/>
              </a:solidFill>
            </c:spPr>
          </c:marker>
          <c:dLbls>
            <c:txPr>
              <a:bodyPr wrap="square"/>
              <a:lstStyle/>
              <a:p>
                <a:pPr>
                  <a:defRPr b="1" sz="800" spc="-1" strike="noStrike">
                    <a:solidFill>
                      <a:srgbClr val="1d3245"/>
                    </a:solidFill>
                    <a:latin typeface="Calibri"/>
                  </a:defRPr>
                </a:pPr>
              </a:p>
            </c:txPr>
            <c:dLblPos val="b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Lists!$O$21</c:f>
              <c:numCache>
                <c:formatCode>0%</c:formatCode>
                <c:ptCount val="1"/>
              </c:numCache>
            </c:numRef>
          </c:xVal>
          <c:yVal>
            <c:numRef>
              <c:f>Lists!$P$21</c:f>
              <c:numCache>
                <c:formatCode>General</c:formatCode>
                <c:ptCount val="1"/>
              </c:numCache>
            </c:numRef>
          </c:yVal>
          <c:smooth val="0"/>
        </c:ser>
        <c:axId val="88263121"/>
        <c:axId val="47616669"/>
      </c:scatterChart>
      <c:valAx>
        <c:axId val="88263121"/>
        <c:scaling>
          <c:orientation val="minMax"/>
          <c:max val="1"/>
          <c:min val="0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900" spc="-1" strike="noStrike">
                    <a:solidFill>
                      <a:srgbClr val="6b7785"/>
                    </a:solidFill>
                    <a:latin typeface="Calibri"/>
                  </a:defRPr>
                </a:pPr>
                <a:r>
                  <a:rPr b="1" sz="900" spc="-1" strike="noStrike">
                    <a:solidFill>
                      <a:srgbClr val="6b7785"/>
                    </a:solidFill>
                    <a:latin typeface="Calibri"/>
                  </a:rPr>
                  <a:t>Readiness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6480">
            <a:solidFill>
              <a:srgbClr val="b6c2ce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6b7785"/>
                </a:solidFill>
                <a:latin typeface="Calibri"/>
              </a:defRPr>
            </a:pPr>
          </a:p>
        </c:txPr>
        <c:crossAx val="47616669"/>
        <c:crosses val="autoZero"/>
        <c:crossBetween val="midCat"/>
        <c:majorUnit val="0.25"/>
      </c:valAx>
      <c:valAx>
        <c:axId val="47616669"/>
        <c:scaling>
          <c:orientation val="minMax"/>
          <c:max val="5.5"/>
          <c:min val="0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900" spc="-1" strike="noStrike">
                    <a:solidFill>
                      <a:srgbClr val="6b7785"/>
                    </a:solidFill>
                    <a:latin typeface="Calibri"/>
                  </a:defRPr>
                </a:pPr>
                <a:r>
                  <a:rPr b="1" sz="900" spc="-1" strike="noStrike">
                    <a:solidFill>
                      <a:srgbClr val="6b7785"/>
                    </a:solidFill>
                    <a:latin typeface="Calibri"/>
                  </a:rPr>
                  <a:t>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;;;" sourceLinked="0"/>
        <c:majorTickMark val="none"/>
        <c:minorTickMark val="none"/>
        <c:tickLblPos val="nextTo"/>
        <c:spPr>
          <a:ln w="6480">
            <a:solidFill>
              <a:srgbClr val="b6c2ce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6b7785"/>
                </a:solidFill>
                <a:latin typeface="Calibri"/>
              </a:defRPr>
            </a:pPr>
          </a:p>
        </c:txPr>
        <c:crossAx val="88263121"/>
        <c:crosses val="autoZero"/>
        <c:crossBetween val="midCat"/>
        <c:majorUnit val="1"/>
      </c:valAx>
      <c:spPr>
        <a:noFill/>
        <a:ln w="0">
          <a:noFill/>
        </a:ln>
      </c:spPr>
    </c:plotArea>
    <c:plotVisOnly val="0"/>
    <c:dispBlanksAs val="gap"/>
  </c:chart>
  <c:spPr>
    <a:noFill/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38160</xdr:rowOff>
    </xdr:from>
    <xdr:to>
      <xdr:col>15</xdr:col>
      <xdr:colOff>915840</xdr:colOff>
      <xdr:row>30</xdr:row>
      <xdr:rowOff>228240</xdr:rowOff>
    </xdr:to>
    <xdr:graphicFrame>
      <xdr:nvGraphicFramePr>
        <xdr:cNvPr id="0" name="Chart 1"/>
        <xdr:cNvGraphicFramePr/>
      </xdr:nvGraphicFramePr>
      <xdr:xfrm>
        <a:off x="0" y="3638520"/>
        <a:ext cx="5747040" cy="3390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0</xdr:colOff>
      <xdr:row>16</xdr:row>
      <xdr:rowOff>38160</xdr:rowOff>
    </xdr:from>
    <xdr:to>
      <xdr:col>21</xdr:col>
      <xdr:colOff>633960</xdr:colOff>
      <xdr:row>30</xdr:row>
      <xdr:rowOff>228240</xdr:rowOff>
    </xdr:to>
    <xdr:graphicFrame>
      <xdr:nvGraphicFramePr>
        <xdr:cNvPr id="1" name="Chart 2"/>
        <xdr:cNvGraphicFramePr/>
      </xdr:nvGraphicFramePr>
      <xdr:xfrm>
        <a:off x="5853600" y="3638520"/>
        <a:ext cx="4123080" cy="3390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20</xdr:col>
      <xdr:colOff>114480</xdr:colOff>
      <xdr:row>0</xdr:row>
      <xdr:rowOff>47520</xdr:rowOff>
    </xdr:from>
    <xdr:to>
      <xdr:col>21</xdr:col>
      <xdr:colOff>611640</xdr:colOff>
      <xdr:row>0</xdr:row>
      <xdr:rowOff>333000</xdr:rowOff>
    </xdr:to>
    <xdr:pic>
      <xdr:nvPicPr>
        <xdr:cNvPr id="2" name="Image 3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3"/>
        <a:stretch/>
      </xdr:blipFill>
      <xdr:spPr>
        <a:xfrm>
          <a:off x="896400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809640</xdr:colOff>
      <xdr:row>0</xdr:row>
      <xdr:rowOff>47520</xdr:rowOff>
    </xdr:from>
    <xdr:to>
      <xdr:col>7</xdr:col>
      <xdr:colOff>601920</xdr:colOff>
      <xdr:row>1</xdr:row>
      <xdr:rowOff>9000</xdr:rowOff>
    </xdr:to>
    <xdr:pic>
      <xdr:nvPicPr>
        <xdr:cNvPr id="3" name="Image 1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993780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343080</xdr:colOff>
      <xdr:row>0</xdr:row>
      <xdr:rowOff>47520</xdr:rowOff>
    </xdr:from>
    <xdr:to>
      <xdr:col>17</xdr:col>
      <xdr:colOff>628560</xdr:colOff>
      <xdr:row>1</xdr:row>
      <xdr:rowOff>9000</xdr:rowOff>
    </xdr:to>
    <xdr:pic>
      <xdr:nvPicPr>
        <xdr:cNvPr id="4" name="Image 1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412496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514440</xdr:colOff>
      <xdr:row>0</xdr:row>
      <xdr:rowOff>47520</xdr:rowOff>
    </xdr:from>
    <xdr:to>
      <xdr:col>9</xdr:col>
      <xdr:colOff>659160</xdr:colOff>
      <xdr:row>1</xdr:row>
      <xdr:rowOff>9000</xdr:rowOff>
    </xdr:to>
    <xdr:pic>
      <xdr:nvPicPr>
        <xdr:cNvPr id="5" name="Image 1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006560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3400560</xdr:colOff>
      <xdr:row>0</xdr:row>
      <xdr:rowOff>47520</xdr:rowOff>
    </xdr:from>
    <xdr:to>
      <xdr:col>3</xdr:col>
      <xdr:colOff>4390920</xdr:colOff>
      <xdr:row>1</xdr:row>
      <xdr:rowOff>9000</xdr:rowOff>
    </xdr:to>
    <xdr:pic>
      <xdr:nvPicPr>
        <xdr:cNvPr id="6" name="Image 1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657252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5934240</xdr:colOff>
      <xdr:row>0</xdr:row>
      <xdr:rowOff>47520</xdr:rowOff>
    </xdr:from>
    <xdr:to>
      <xdr:col>1</xdr:col>
      <xdr:colOff>6924600</xdr:colOff>
      <xdr:row>1</xdr:row>
      <xdr:rowOff>142560</xdr:rowOff>
    </xdr:to>
    <xdr:pic>
      <xdr:nvPicPr>
        <xdr:cNvPr id="7" name="Image 1" descr="Picture">
          <a:hlinkClick xmlns:a="http://schemas.openxmlformats.org/drawingml/2006/main"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6216120" y="4752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51"/>
    <col collapsed="false" customWidth="true" hidden="false" outlineLevel="0" max="2" min="2" style="0" width="13"/>
    <col collapsed="false" customWidth="true" hidden="false" outlineLevel="0" max="4" min="3" style="0" width="7"/>
    <col collapsed="false" customWidth="true" hidden="false" outlineLevel="0" max="5" min="5" style="0" width="10"/>
    <col collapsed="false" customWidth="true" hidden="false" outlineLevel="0" max="15" min="6" style="0" width="2.6"/>
    <col collapsed="false" customWidth="true" hidden="false" outlineLevel="0" max="16" min="16" style="0" width="13"/>
    <col collapsed="false" customWidth="true" hidden="false" outlineLevel="0" max="17" min="17" style="0" width="1.51"/>
    <col collapsed="false" customWidth="true" hidden="false" outlineLevel="0" max="18" min="18" style="0" width="4.5"/>
    <col collapsed="false" customWidth="true" hidden="false" outlineLevel="0" max="19" min="19" style="0" width="22"/>
    <col collapsed="false" customWidth="true" hidden="false" outlineLevel="0" max="20" min="20" style="0" width="16"/>
    <col collapsed="false" customWidth="true" hidden="false" outlineLevel="0" max="21" min="21" style="0" width="7"/>
    <col collapsed="false" customWidth="true" hidden="false" outlineLevel="0" max="22" min="22" style="0" width="9"/>
    <col collapsed="false" customWidth="true" hidden="true" outlineLevel="0" max="30" min="23" style="0" width="9"/>
  </cols>
  <sheetData>
    <row r="1" customFormat="false" ht="27.75" hidden="false" customHeight="true" outlineLevel="0" collapsed="false">
      <c r="A1" s="1" t="s">
        <v>0</v>
      </c>
    </row>
    <row r="2" customFormat="false" ht="13.5" hidden="false" customHeight="true" outlineLevel="0" collapsed="false">
      <c r="A2" s="2" t="s">
        <v>1</v>
      </c>
      <c r="W2" s="3" t="n">
        <f aca="false">Scoring!$A$17</f>
        <v>0.4</v>
      </c>
      <c r="X2" s="3" t="n">
        <f aca="false">Scoring!$A$18</f>
        <v>0.6</v>
      </c>
      <c r="Y2" s="3" t="n">
        <f aca="false">Scoring!$A$19</f>
        <v>0.8</v>
      </c>
    </row>
    <row r="3" customFormat="false" ht="6" hidden="false" customHeight="true" outlineLevel="0" collapsed="false"/>
    <row r="4" customFormat="false" ht="19.5" hidden="false" customHeight="true" outlineLevel="0" collapsed="false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customFormat="false" ht="19.5" hidden="false" customHeight="true" outlineLevel="0" collapsed="false">
      <c r="A5" s="6" t="s">
        <v>3</v>
      </c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6" t="s">
        <v>4</v>
      </c>
      <c r="Q5" s="6"/>
      <c r="R5" s="6"/>
      <c r="S5" s="8"/>
      <c r="T5" s="8"/>
    </row>
    <row r="6" customFormat="false" ht="19.5" hidden="false" customHeight="true" outlineLevel="0" collapsed="false">
      <c r="A6" s="6" t="s">
        <v>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 t="s">
        <v>6</v>
      </c>
      <c r="Q6" s="6"/>
      <c r="R6" s="6"/>
      <c r="S6" s="7"/>
      <c r="T6" s="7"/>
      <c r="W6" s="9" t="n">
        <f aca="false">COUNTIFS('Readiness Checklist'!$D$8:$D$65,"Yes",'Readiness Checklist'!$C$8:$C$65,"&lt;&gt;")</f>
        <v>5</v>
      </c>
      <c r="X6" s="9" t="n">
        <f aca="false">COUNTIFS('Readiness Checklist'!$D$8:$D$65,"Yes",'Readiness Checklist'!$C$8:$C$65,"&lt;&gt;",'Readiness Checklist'!$E$8:$E$65,"&gt;=2",'Readiness Checklist'!$E$8:$E$65,"&lt;=3")</f>
        <v>0</v>
      </c>
      <c r="Y6" s="9" t="n">
        <f aca="false">COUNTIFS('Readiness Checklist'!$D$8:$D$65,"Yes",'Readiness Checklist'!$C$8:$C$65,"&lt;&gt;",'Readiness Checklist'!$E$8:$E$65,"&gt;=0",'Readiness Checklist'!$E$8:$E$65,"&lt;2")+COUNTIFS('Readiness Checklist'!$D$8:$D$65,"Yes",'Readiness Checklist'!$C$8:$C$65,"&lt;&gt;",'Readiness Checklist'!$E$8:$E$65,"N/A")</f>
        <v>0</v>
      </c>
      <c r="Z6" s="9" t="n">
        <f aca="false">SUM($Y$36:$Y$42)</f>
        <v>0</v>
      </c>
      <c r="AA6" s="9" t="n">
        <f aca="false">SUM($Z$36:$Z$42)</f>
        <v>44</v>
      </c>
    </row>
    <row r="7" customFormat="false" ht="7.5" hidden="false" customHeight="true" outlineLevel="0" collapsed="false"/>
    <row r="8" customFormat="false" ht="19.5" hidden="false" customHeight="true" outlineLevel="0" collapsed="false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5" hidden="false" customHeight="true" outlineLevel="0" collapsed="false">
      <c r="A9" s="10" t="s">
        <v>8</v>
      </c>
      <c r="B9" s="10"/>
      <c r="C9" s="10"/>
      <c r="D9" s="10"/>
      <c r="E9" s="10" t="s">
        <v>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R9" s="10" t="s">
        <v>10</v>
      </c>
      <c r="S9" s="10"/>
      <c r="T9" s="10" t="s">
        <v>11</v>
      </c>
      <c r="U9" s="10"/>
      <c r="V9" s="10"/>
    </row>
    <row r="10" customFormat="false" ht="25.5" hidden="false" customHeight="true" outlineLevel="0" collapsed="false">
      <c r="A10" s="11" t="str">
        <f aca="false">IF($E$43="","",$E$43)</f>
        <v/>
      </c>
      <c r="B10" s="11"/>
      <c r="C10" s="11"/>
      <c r="D10" s="11"/>
      <c r="E10" s="12" t="str">
        <f aca="false">IF($P$43="","",$P$43)</f>
        <v/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R10" s="13" t="str">
        <f aca="false">IF($W$6=0,"",IF(AND($X$6+$Y$6=0,$Z$6=0),"",IF($Y$6&gt;0,"Not Met",IF($X$6=$W$6,"Met","Incomplete"))))</f>
        <v/>
      </c>
      <c r="S10" s="13"/>
      <c r="T10" s="13" t="str">
        <f aca="false">IF($X$6+$Y$6=0,"",$X$6&amp;" of "&amp;$W$6&amp;" met")</f>
        <v/>
      </c>
      <c r="U10" s="13"/>
      <c r="V10" s="13"/>
    </row>
    <row r="11" customFormat="false" ht="15" hidden="false" customHeight="true" outlineLevel="0" collapsed="false">
      <c r="A11" s="11"/>
      <c r="B11" s="11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R11" s="10" t="s">
        <v>12</v>
      </c>
      <c r="S11" s="10"/>
      <c r="T11" s="10" t="s">
        <v>13</v>
      </c>
      <c r="U11" s="10"/>
      <c r="V11" s="10"/>
    </row>
    <row r="12" customFormat="false" ht="25.5" hidden="false" customHeight="true" outlineLevel="0" collapsed="false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R12" s="13" t="str">
        <f aca="false">IF($Z$6=0,"",$Z$6&amp;" of "&amp;$AA$6)</f>
        <v/>
      </c>
      <c r="S12" s="13"/>
      <c r="T12" s="13" t="str">
        <f aca="false">IF(COUNTIF('Use Case Register'!$B$8:$B$27,"&lt;&gt;")=0,"",COUNTIF('Use Case Register'!$N$8:$N$27,"Ready for Pilot")&amp;" of "&amp;COUNTIF('Use Case Register'!$B$8:$B$27,"&lt;&gt;"))</f>
        <v/>
      </c>
      <c r="U12" s="13"/>
      <c r="V12" s="13"/>
    </row>
    <row r="13" customFormat="false" ht="15" hidden="false" customHeight="true" outlineLevel="0" collapsed="false">
      <c r="A13" s="11"/>
      <c r="B13" s="11"/>
      <c r="C13" s="11"/>
      <c r="D13" s="11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6"/>
      <c r="R13" s="10" t="s">
        <v>14</v>
      </c>
      <c r="S13" s="10"/>
      <c r="T13" s="10" t="s">
        <v>15</v>
      </c>
      <c r="U13" s="10"/>
      <c r="V13" s="10"/>
    </row>
    <row r="14" customFormat="false" ht="25.5" hidden="false" customHeight="true" outlineLevel="0" collapsed="false">
      <c r="A14" s="17" t="str">
        <f aca="false">Scoring!$B$17&amp;" from "&amp;TEXT($W$2,"0%")&amp;"     ·     "&amp;Scoring!$B$18&amp;" from "&amp;TEXT($X$2,"0%")&amp;"     ·     "&amp;Scoring!$B$19&amp;" from "&amp;TEXT($Y$2,"0%")</f>
        <v>Developing from 40%     ·     Established from 60%     ·     Advanced from 80%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R14" s="13" t="str">
        <f aca="false">IF(COUNTIF('Action Plan'!$F$8:$F$57,"&lt;&gt;")=0,"",COUNTIFS('Action Plan'!$F$8:$F$57,"&lt;&gt;",'Action Plan'!$I$8:$I$57,"&lt;&gt;Complete"))</f>
        <v/>
      </c>
      <c r="S14" s="13"/>
      <c r="T14" s="13" t="str">
        <f aca="false">IF(COUNTIF('Action Plan'!$F$8:$F$57,"&lt;&gt;")=0,"",COUNT('Action Plan'!$J$8:$J$57))</f>
        <v/>
      </c>
      <c r="U14" s="13"/>
      <c r="V14" s="13"/>
    </row>
    <row r="15" customFormat="false" ht="9.75" hidden="false" customHeight="true" outlineLevel="0" collapsed="false"/>
    <row r="16" customFormat="false" ht="19.5" hidden="false" customHeight="true" outlineLevel="0" collapsed="false">
      <c r="A16" s="4" t="s">
        <v>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R16" s="4" t="s">
        <v>17</v>
      </c>
      <c r="S16" s="5"/>
      <c r="T16" s="5"/>
      <c r="U16" s="5"/>
      <c r="V16" s="5"/>
    </row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7.5" hidden="false" customHeight="true" outlineLevel="0" collapsed="false"/>
    <row r="33" customFormat="false" ht="6" hidden="false" customHeight="true" outlineLevel="0" collapsed="false"/>
    <row r="34" customFormat="false" ht="19.5" hidden="false" customHeight="true" outlineLevel="0" collapsed="false">
      <c r="A34" s="4" t="s">
        <v>18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R34" s="4" t="s">
        <v>19</v>
      </c>
      <c r="S34" s="5"/>
      <c r="T34" s="5"/>
      <c r="U34" s="5"/>
      <c r="V34" s="5"/>
    </row>
    <row r="35" customFormat="false" ht="19.5" hidden="false" customHeight="true" outlineLevel="0" collapsed="false">
      <c r="A35" s="18" t="s">
        <v>20</v>
      </c>
      <c r="B35" s="18" t="s">
        <v>21</v>
      </c>
      <c r="C35" s="18"/>
      <c r="D35" s="18" t="s">
        <v>22</v>
      </c>
      <c r="E35" s="18" t="s">
        <v>23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 t="s">
        <v>24</v>
      </c>
      <c r="R35" s="18" t="s">
        <v>20</v>
      </c>
      <c r="S35" s="18" t="s">
        <v>25</v>
      </c>
      <c r="T35" s="18"/>
      <c r="U35" s="18" t="s">
        <v>26</v>
      </c>
      <c r="V35" s="18" t="s">
        <v>27</v>
      </c>
    </row>
    <row r="36" customFormat="false" ht="21.75" hidden="false" customHeight="true" outlineLevel="0" collapsed="false">
      <c r="A36" s="19" t="n">
        <v>1</v>
      </c>
      <c r="B36" s="20" t="str">
        <f aca="false">INDEX(Scoring!$B$23:$B$29,$A36)&amp;""</f>
        <v>Strategy and Leadership</v>
      </c>
      <c r="C36" s="20"/>
      <c r="D36" s="21" t="str">
        <f aca="false">IF($Y36=0,"",$Y36&amp;" of "&amp;$Z36)</f>
        <v/>
      </c>
      <c r="E36" s="22" t="str">
        <f aca="false">IF($X36=0,"",$W36/(3*$X36))</f>
        <v/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19" t="str">
        <f aca="false">IF($E36="","",IF($Y36&lt;$Z36,"Incomplete",IF($E36&gt;=$Y$2,Scoring!$B$19&amp;"",IF($E36&gt;=$X$2,Scoring!$B$18&amp;"",IF($E36&gt;=$W$2,Scoring!$B$17&amp;"",Scoring!$B$16&amp;"")))))</f>
        <v/>
      </c>
      <c r="R36" s="21" t="str">
        <f aca="false">IF($AD36="","",INDEX('Readiness Checklist'!$A$8:$A$65,$AD36))</f>
        <v>5.3</v>
      </c>
      <c r="S36" s="24" t="str">
        <f aca="false">IF($AD36="","",INDEX('Readiness Checklist'!$C$8:$C$65,$AD36))</f>
        <v>A named reviewer and backup cover each AI output.</v>
      </c>
      <c r="T36" s="24"/>
      <c r="U36" s="19" t="str">
        <f aca="false">IF($AD36="","",IF(INDEX('Readiness Checklist'!$E$8:$E$65,$AD36)="","",INDEX('Readiness Checklist'!$E$8:$E$65,$AD36)))</f>
        <v/>
      </c>
      <c r="V36" s="19" t="str">
        <f aca="false">IF(OR($AD36="",$U36=""),"",IF(AND(ISNUMBER($U36),$U36&gt;=2,$U36&lt;=3),"Met","Not Met"))</f>
        <v/>
      </c>
      <c r="W36" s="9" t="n">
        <f aca="false">SUMIFS('Readiness Checklist'!$E$8:$E$65,'Readiness Checklist'!$I$8:$I$65,$A36,'Readiness Checklist'!$C$8:$C$65,"&lt;&gt;",'Readiness Checklist'!$E$8:$E$65,"&gt;=0",'Readiness Checklist'!$E$8:$E$65,"&lt;=3")</f>
        <v>0</v>
      </c>
      <c r="X36" s="9" t="n">
        <f aca="false">COUNTIFS('Readiness Checklist'!$I$8:$I$65,$A36,'Readiness Checklist'!$C$8:$C$65,"&lt;&gt;",'Readiness Checklist'!$E$8:$E$65,"&gt;=0",'Readiness Checklist'!$E$8:$E$65,"&lt;=3")</f>
        <v>0</v>
      </c>
      <c r="Y36" s="9" t="n">
        <f aca="false">$X36+COUNTIFS('Readiness Checklist'!$I$8:$I$65,$A36,'Readiness Checklist'!$C$8:$C$65,"&lt;&gt;",'Readiness Checklist'!$E$8:$E$65,"N/A")</f>
        <v>0</v>
      </c>
      <c r="Z36" s="9" t="n">
        <f aca="false">COUNTIFS('Readiness Checklist'!$I$8:$I$65,$A36,'Readiness Checklist'!$C$8:$C$65,"&lt;&gt;")</f>
        <v>6</v>
      </c>
      <c r="AA36" s="9" t="n">
        <f aca="false">IF(ISNUMBER(Scoring!$C$23),Scoring!$C$23,0)</f>
        <v>1</v>
      </c>
      <c r="AB36" s="9" t="n">
        <f aca="false">IF($X36=0,0,$AA36*$W36/(3*$X36))</f>
        <v>0</v>
      </c>
      <c r="AC36" s="9" t="n">
        <f aca="false">IF($X36=0,0,$AA36)</f>
        <v>0</v>
      </c>
      <c r="AD36" s="9" t="n">
        <f aca="false">IFERROR(MATCH(1,'Readiness Checklist'!$J$8:$J$65,0),"")</f>
        <v>34</v>
      </c>
    </row>
    <row r="37" customFormat="false" ht="21.75" hidden="false" customHeight="true" outlineLevel="0" collapsed="false">
      <c r="A37" s="19" t="n">
        <v>2</v>
      </c>
      <c r="B37" s="20" t="str">
        <f aca="false">INDEX(Scoring!$B$23:$B$29,$A37)&amp;""</f>
        <v>Use Cases and Value</v>
      </c>
      <c r="C37" s="20"/>
      <c r="D37" s="21" t="str">
        <f aca="false">IF($Y37=0,"",$Y37&amp;" of "&amp;$Z37)</f>
        <v/>
      </c>
      <c r="E37" s="22" t="str">
        <f aca="false">IF($X37=0,"",$W37/(3*$X37))</f>
        <v/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19" t="str">
        <f aca="false">IF($E37="","",IF($Y37&lt;$Z37,"Incomplete",IF($E37&gt;=$Y$2,Scoring!$B$19&amp;"",IF($E37&gt;=$X$2,Scoring!$B$18&amp;"",IF($E37&gt;=$W$2,Scoring!$B$17&amp;"",Scoring!$B$16&amp;"")))))</f>
        <v/>
      </c>
      <c r="R37" s="21" t="str">
        <f aca="false">IF($AD37="","",INDEX('Readiness Checklist'!$A$8:$A$65,$AD37))</f>
        <v>6.1</v>
      </c>
      <c r="S37" s="24" t="str">
        <f aca="false">IF($AD37="","",INDEX('Readiness Checklist'!$C$8:$C$65,$AD37))</f>
        <v>An AI acceptable use policy is approved and communicated.</v>
      </c>
      <c r="T37" s="24"/>
      <c r="U37" s="19" t="str">
        <f aca="false">IF($AD37="","",IF(INDEX('Readiness Checklist'!$E$8:$E$65,$AD37)="","",INDEX('Readiness Checklist'!$E$8:$E$65,$AD37)))</f>
        <v/>
      </c>
      <c r="V37" s="19" t="str">
        <f aca="false">IF(OR($AD37="",$U37=""),"",IF(AND(ISNUMBER($U37),$U37&gt;=2,$U37&lt;=3),"Met","Not Met"))</f>
        <v/>
      </c>
      <c r="W37" s="9" t="n">
        <f aca="false">SUMIFS('Readiness Checklist'!$E$8:$E$65,'Readiness Checklist'!$I$8:$I$65,$A37,'Readiness Checklist'!$C$8:$C$65,"&lt;&gt;",'Readiness Checklist'!$E$8:$E$65,"&gt;=0",'Readiness Checklist'!$E$8:$E$65,"&lt;=3")</f>
        <v>0</v>
      </c>
      <c r="X37" s="9" t="n">
        <f aca="false">COUNTIFS('Readiness Checklist'!$I$8:$I$65,$A37,'Readiness Checklist'!$C$8:$C$65,"&lt;&gt;",'Readiness Checklist'!$E$8:$E$65,"&gt;=0",'Readiness Checklist'!$E$8:$E$65,"&lt;=3")</f>
        <v>0</v>
      </c>
      <c r="Y37" s="9" t="n">
        <f aca="false">$X37+COUNTIFS('Readiness Checklist'!$I$8:$I$65,$A37,'Readiness Checklist'!$C$8:$C$65,"&lt;&gt;",'Readiness Checklist'!$E$8:$E$65,"N/A")</f>
        <v>0</v>
      </c>
      <c r="Z37" s="9" t="n">
        <f aca="false">COUNTIFS('Readiness Checklist'!$I$8:$I$65,$A37,'Readiness Checklist'!$C$8:$C$65,"&lt;&gt;")</f>
        <v>6</v>
      </c>
      <c r="AA37" s="9" t="n">
        <f aca="false">IF(ISNUMBER(Scoring!$C$24),Scoring!$C$24,0)</f>
        <v>1</v>
      </c>
      <c r="AB37" s="9" t="n">
        <f aca="false">IF($X37=0,0,$AA37*$W37/(3*$X37))</f>
        <v>0</v>
      </c>
      <c r="AC37" s="9" t="n">
        <f aca="false">IF($X37=0,0,$AA37)</f>
        <v>0</v>
      </c>
      <c r="AD37" s="9" t="n">
        <f aca="false">IFERROR(MATCH(2,'Readiness Checklist'!$J$8:$J$65,0),"")</f>
        <v>41</v>
      </c>
    </row>
    <row r="38" customFormat="false" ht="21.75" hidden="false" customHeight="true" outlineLevel="0" collapsed="false">
      <c r="A38" s="19" t="n">
        <v>3</v>
      </c>
      <c r="B38" s="20" t="str">
        <f aca="false">INDEX(Scoring!$B$23:$B$29,$A38)&amp;""</f>
        <v>Project Data</v>
      </c>
      <c r="C38" s="20"/>
      <c r="D38" s="21" t="str">
        <f aca="false">IF($Y38=0,"",$Y38&amp;" of "&amp;$Z38)</f>
        <v/>
      </c>
      <c r="E38" s="22" t="str">
        <f aca="false">IF($X38=0,"",$W38/(3*$X38))</f>
        <v/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19" t="str">
        <f aca="false">IF($E38="","",IF($Y38&lt;$Z38,"Incomplete",IF($E38&gt;=$Y$2,Scoring!$B$19&amp;"",IF($E38&gt;=$X$2,Scoring!$B$18&amp;"",IF($E38&gt;=$W$2,Scoring!$B$17&amp;"",Scoring!$B$16&amp;"")))))</f>
        <v/>
      </c>
      <c r="R38" s="21" t="str">
        <f aca="false">IF($AD38="","",INDEX('Readiness Checklist'!$A$8:$A$65,$AD38))</f>
        <v>6.3</v>
      </c>
      <c r="S38" s="24" t="str">
        <f aca="false">IF($AD38="","",INDEX('Readiness Checklist'!$C$8:$C$65,$AD38))</f>
        <v>A person approves AI outputs before they are issued.</v>
      </c>
      <c r="T38" s="24"/>
      <c r="U38" s="19" t="str">
        <f aca="false">IF($AD38="","",IF(INDEX('Readiness Checklist'!$E$8:$E$65,$AD38)="","",INDEX('Readiness Checklist'!$E$8:$E$65,$AD38)))</f>
        <v/>
      </c>
      <c r="V38" s="19" t="str">
        <f aca="false">IF(OR($AD38="",$U38=""),"",IF(AND(ISNUMBER($U38),$U38&gt;=2,$U38&lt;=3),"Met","Not Met"))</f>
        <v/>
      </c>
      <c r="W38" s="9" t="n">
        <f aca="false">SUMIFS('Readiness Checklist'!$E$8:$E$65,'Readiness Checklist'!$I$8:$I$65,$A38,'Readiness Checklist'!$C$8:$C$65,"&lt;&gt;",'Readiness Checklist'!$E$8:$E$65,"&gt;=0",'Readiness Checklist'!$E$8:$E$65,"&lt;=3")</f>
        <v>0</v>
      </c>
      <c r="X38" s="9" t="n">
        <f aca="false">COUNTIFS('Readiness Checklist'!$I$8:$I$65,$A38,'Readiness Checklist'!$C$8:$C$65,"&lt;&gt;",'Readiness Checklist'!$E$8:$E$65,"&gt;=0",'Readiness Checklist'!$E$8:$E$65,"&lt;=3")</f>
        <v>0</v>
      </c>
      <c r="Y38" s="9" t="n">
        <f aca="false">$X38+COUNTIFS('Readiness Checklist'!$I$8:$I$65,$A38,'Readiness Checklist'!$C$8:$C$65,"&lt;&gt;",'Readiness Checklist'!$E$8:$E$65,"N/A")</f>
        <v>0</v>
      </c>
      <c r="Z38" s="9" t="n">
        <f aca="false">COUNTIFS('Readiness Checklist'!$I$8:$I$65,$A38,'Readiness Checklist'!$C$8:$C$65,"&lt;&gt;")</f>
        <v>6</v>
      </c>
      <c r="AA38" s="9" t="n">
        <f aca="false">IF(ISNUMBER(Scoring!$C$25),Scoring!$C$25,0)</f>
        <v>1</v>
      </c>
      <c r="AB38" s="9" t="n">
        <f aca="false">IF($X38=0,0,$AA38*$W38/(3*$X38))</f>
        <v>0</v>
      </c>
      <c r="AC38" s="9" t="n">
        <f aca="false">IF($X38=0,0,$AA38)</f>
        <v>0</v>
      </c>
      <c r="AD38" s="9" t="n">
        <f aca="false">IFERROR(MATCH(3,'Readiness Checklist'!$J$8:$J$65,0),"")</f>
        <v>43</v>
      </c>
    </row>
    <row r="39" customFormat="false" ht="21.75" hidden="false" customHeight="true" outlineLevel="0" collapsed="false">
      <c r="A39" s="19" t="n">
        <v>4</v>
      </c>
      <c r="B39" s="20" t="str">
        <f aca="false">INDEX(Scoring!$B$23:$B$29,$A39)&amp;""</f>
        <v>Systems and Integration</v>
      </c>
      <c r="C39" s="20"/>
      <c r="D39" s="21" t="str">
        <f aca="false">IF($Y39=0,"",$Y39&amp;" of "&amp;$Z39)</f>
        <v/>
      </c>
      <c r="E39" s="22" t="str">
        <f aca="false">IF($X39=0,"",$W39/(3*$X39))</f>
        <v/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19" t="str">
        <f aca="false">IF($E39="","",IF($Y39&lt;$Z39,"Incomplete",IF($E39&gt;=$Y$2,Scoring!$B$19&amp;"",IF($E39&gt;=$X$2,Scoring!$B$18&amp;"",IF($E39&gt;=$W$2,Scoring!$B$17&amp;"",Scoring!$B$16&amp;"")))))</f>
        <v/>
      </c>
      <c r="R39" s="21" t="str">
        <f aca="false">IF($AD39="","",INDEX('Readiness Checklist'!$A$8:$A$65,$AD39))</f>
        <v>7.1</v>
      </c>
      <c r="S39" s="24" t="str">
        <f aca="false">IF($AD39="","",INDEX('Readiness Checklist'!$C$8:$C$65,$AD39))</f>
        <v>Contracts and client agreements permit AI use of project data.</v>
      </c>
      <c r="T39" s="24"/>
      <c r="U39" s="19" t="str">
        <f aca="false">IF($AD39="","",IF(INDEX('Readiness Checklist'!$E$8:$E$65,$AD39)="","",INDEX('Readiness Checklist'!$E$8:$E$65,$AD39)))</f>
        <v/>
      </c>
      <c r="V39" s="19" t="str">
        <f aca="false">IF(OR($AD39="",$U39=""),"",IF(AND(ISNUMBER($U39),$U39&gt;=2,$U39&lt;=3),"Met","Not Met"))</f>
        <v/>
      </c>
      <c r="W39" s="9" t="n">
        <f aca="false">SUMIFS('Readiness Checklist'!$E$8:$E$65,'Readiness Checklist'!$I$8:$I$65,$A39,'Readiness Checklist'!$C$8:$C$65,"&lt;&gt;",'Readiness Checklist'!$E$8:$E$65,"&gt;=0",'Readiness Checklist'!$E$8:$E$65,"&lt;=3")</f>
        <v>0</v>
      </c>
      <c r="X39" s="9" t="n">
        <f aca="false">COUNTIFS('Readiness Checklist'!$I$8:$I$65,$A39,'Readiness Checklist'!$C$8:$C$65,"&lt;&gt;",'Readiness Checklist'!$E$8:$E$65,"&gt;=0",'Readiness Checklist'!$E$8:$E$65,"&lt;=3")</f>
        <v>0</v>
      </c>
      <c r="Y39" s="9" t="n">
        <f aca="false">$X39+COUNTIFS('Readiness Checklist'!$I$8:$I$65,$A39,'Readiness Checklist'!$C$8:$C$65,"&lt;&gt;",'Readiness Checklist'!$E$8:$E$65,"N/A")</f>
        <v>0</v>
      </c>
      <c r="Z39" s="9" t="n">
        <f aca="false">COUNTIFS('Readiness Checklist'!$I$8:$I$65,$A39,'Readiness Checklist'!$C$8:$C$65,"&lt;&gt;")</f>
        <v>5</v>
      </c>
      <c r="AA39" s="9" t="n">
        <f aca="false">IF(ISNUMBER(Scoring!$C$26),Scoring!$C$26,0)</f>
        <v>1</v>
      </c>
      <c r="AB39" s="9" t="n">
        <f aca="false">IF($X39=0,0,$AA39*$W39/(3*$X39))</f>
        <v>0</v>
      </c>
      <c r="AC39" s="9" t="n">
        <f aca="false">IF($X39=0,0,$AA39)</f>
        <v>0</v>
      </c>
      <c r="AD39" s="9" t="n">
        <f aca="false">IFERROR(MATCH(4,'Readiness Checklist'!$J$8:$J$65,0),"")</f>
        <v>50</v>
      </c>
    </row>
    <row r="40" customFormat="false" ht="21.75" hidden="false" customHeight="true" outlineLevel="0" collapsed="false">
      <c r="A40" s="19" t="n">
        <v>5</v>
      </c>
      <c r="B40" s="20" t="str">
        <f aca="false">INDEX(Scoring!$B$23:$B$29,$A40)&amp;""</f>
        <v>People and Skills</v>
      </c>
      <c r="C40" s="20"/>
      <c r="D40" s="21" t="str">
        <f aca="false">IF($Y40=0,"",$Y40&amp;" of "&amp;$Z40)</f>
        <v/>
      </c>
      <c r="E40" s="22" t="str">
        <f aca="false">IF($X40=0,"",$W40/(3*$X40))</f>
        <v/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19" t="str">
        <f aca="false">IF($E40="","",IF($Y40&lt;$Z40,"Incomplete",IF($E40&gt;=$Y$2,Scoring!$B$19&amp;"",IF($E40&gt;=$X$2,Scoring!$B$18&amp;"",IF($E40&gt;=$W$2,Scoring!$B$17&amp;"",Scoring!$B$16&amp;"")))))</f>
        <v/>
      </c>
      <c r="R40" s="21" t="str">
        <f aca="false">IF($AD40="","",INDEX('Readiness Checklist'!$A$8:$A$65,$AD40))</f>
        <v>7.3</v>
      </c>
      <c r="S40" s="24" t="str">
        <f aca="false">IF($AD40="","",INDEX('Readiness Checklist'!$C$8:$C$65,$AD40))</f>
        <v>AI provider terms are checked for model training, data retention and data residency.</v>
      </c>
      <c r="T40" s="24"/>
      <c r="U40" s="19" t="str">
        <f aca="false">IF($AD40="","",IF(INDEX('Readiness Checklist'!$E$8:$E$65,$AD40)="","",INDEX('Readiness Checklist'!$E$8:$E$65,$AD40)))</f>
        <v/>
      </c>
      <c r="V40" s="19" t="str">
        <f aca="false">IF(OR($AD40="",$U40=""),"",IF(AND(ISNUMBER($U40),$U40&gt;=2,$U40&lt;=3),"Met","Not Met"))</f>
        <v/>
      </c>
      <c r="W40" s="9" t="n">
        <f aca="false">SUMIFS('Readiness Checklist'!$E$8:$E$65,'Readiness Checklist'!$I$8:$I$65,$A40,'Readiness Checklist'!$C$8:$C$65,"&lt;&gt;",'Readiness Checklist'!$E$8:$E$65,"&gt;=0",'Readiness Checklist'!$E$8:$E$65,"&lt;=3")</f>
        <v>0</v>
      </c>
      <c r="X40" s="9" t="n">
        <f aca="false">COUNTIFS('Readiness Checklist'!$I$8:$I$65,$A40,'Readiness Checklist'!$C$8:$C$65,"&lt;&gt;",'Readiness Checklist'!$E$8:$E$65,"&gt;=0",'Readiness Checklist'!$E$8:$E$65,"&lt;=3")</f>
        <v>0</v>
      </c>
      <c r="Y40" s="9" t="n">
        <f aca="false">$X40+COUNTIFS('Readiness Checklist'!$I$8:$I$65,$A40,'Readiness Checklist'!$C$8:$C$65,"&lt;&gt;",'Readiness Checklist'!$E$8:$E$65,"N/A")</f>
        <v>0</v>
      </c>
      <c r="Z40" s="9" t="n">
        <f aca="false">COUNTIFS('Readiness Checklist'!$I$8:$I$65,$A40,'Readiness Checklist'!$C$8:$C$65,"&lt;&gt;")</f>
        <v>7</v>
      </c>
      <c r="AA40" s="9" t="n">
        <f aca="false">IF(ISNUMBER(Scoring!$C$27),Scoring!$C$27,0)</f>
        <v>1</v>
      </c>
      <c r="AB40" s="9" t="n">
        <f aca="false">IF($X40=0,0,$AA40*$W40/(3*$X40))</f>
        <v>0</v>
      </c>
      <c r="AC40" s="9" t="n">
        <f aca="false">IF($X40=0,0,$AA40)</f>
        <v>0</v>
      </c>
      <c r="AD40" s="9" t="n">
        <f aca="false">IFERROR(MATCH(5,'Readiness Checklist'!$J$8:$J$65,0),"")</f>
        <v>52</v>
      </c>
    </row>
    <row r="41" customFormat="false" ht="21.75" hidden="false" customHeight="true" outlineLevel="0" collapsed="false">
      <c r="A41" s="19" t="n">
        <v>6</v>
      </c>
      <c r="B41" s="20" t="str">
        <f aca="false">INDEX(Scoring!$B$23:$B$29,$A41)&amp;""</f>
        <v>Governance and Risk</v>
      </c>
      <c r="C41" s="20"/>
      <c r="D41" s="21" t="str">
        <f aca="false">IF($Y41=0,"",$Y41&amp;" of "&amp;$Z41)</f>
        <v/>
      </c>
      <c r="E41" s="22" t="str">
        <f aca="false">IF($X41=0,"",$W41/(3*$X41))</f>
        <v/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19" t="str">
        <f aca="false">IF($E41="","",IF($Y41&lt;$Z41,"Incomplete",IF($E41&gt;=$Y$2,Scoring!$B$19&amp;"",IF($E41&gt;=$X$2,Scoring!$B$18&amp;"",IF($E41&gt;=$W$2,Scoring!$B$17&amp;"",Scoring!$B$16&amp;"")))))</f>
        <v/>
      </c>
      <c r="R41" s="21" t="str">
        <f aca="false">IF($AD41="","",INDEX('Readiness Checklist'!$A$8:$A$65,$AD41))</f>
        <v/>
      </c>
      <c r="S41" s="24" t="str">
        <f aca="false">IF($AD41="","",INDEX('Readiness Checklist'!$C$8:$C$65,$AD41))</f>
        <v/>
      </c>
      <c r="T41" s="24"/>
      <c r="U41" s="19" t="str">
        <f aca="false">IF($AD41="","",IF(INDEX('Readiness Checklist'!$E$8:$E$65,$AD41)="","",INDEX('Readiness Checklist'!$E$8:$E$65,$AD41)))</f>
        <v/>
      </c>
      <c r="V41" s="19" t="str">
        <f aca="false">IF(OR($AD41="",$U41=""),"",IF(AND(ISNUMBER($U41),$U41&gt;=2,$U41&lt;=3),"Met","Not Met"))</f>
        <v/>
      </c>
      <c r="W41" s="9" t="n">
        <f aca="false">SUMIFS('Readiness Checklist'!$E$8:$E$65,'Readiness Checklist'!$I$8:$I$65,$A41,'Readiness Checklist'!$C$8:$C$65,"&lt;&gt;",'Readiness Checklist'!$E$8:$E$65,"&gt;=0",'Readiness Checklist'!$E$8:$E$65,"&lt;=3")</f>
        <v>0</v>
      </c>
      <c r="X41" s="9" t="n">
        <f aca="false">COUNTIFS('Readiness Checklist'!$I$8:$I$65,$A41,'Readiness Checklist'!$C$8:$C$65,"&lt;&gt;",'Readiness Checklist'!$E$8:$E$65,"&gt;=0",'Readiness Checklist'!$E$8:$E$65,"&lt;=3")</f>
        <v>0</v>
      </c>
      <c r="Y41" s="9" t="n">
        <f aca="false">$X41+COUNTIFS('Readiness Checklist'!$I$8:$I$65,$A41,'Readiness Checklist'!$C$8:$C$65,"&lt;&gt;",'Readiness Checklist'!$E$8:$E$65,"N/A")</f>
        <v>0</v>
      </c>
      <c r="Z41" s="9" t="n">
        <f aca="false">COUNTIFS('Readiness Checklist'!$I$8:$I$65,$A41,'Readiness Checklist'!$C$8:$C$65,"&lt;&gt;")</f>
        <v>7</v>
      </c>
      <c r="AA41" s="9" t="n">
        <f aca="false">IF(ISNUMBER(Scoring!$C$28),Scoring!$C$28,0)</f>
        <v>1</v>
      </c>
      <c r="AB41" s="9" t="n">
        <f aca="false">IF($X41=0,0,$AA41*$W41/(3*$X41))</f>
        <v>0</v>
      </c>
      <c r="AC41" s="9" t="n">
        <f aca="false">IF($X41=0,0,$AA41)</f>
        <v>0</v>
      </c>
      <c r="AD41" s="0" t="str">
        <f aca="false">IFERROR(MATCH(6,'Readiness Checklist'!$J$8:$J$65,0),"")</f>
        <v/>
      </c>
    </row>
    <row r="42" customFormat="false" ht="21.75" hidden="false" customHeight="true" outlineLevel="0" collapsed="false">
      <c r="A42" s="19" t="n">
        <v>7</v>
      </c>
      <c r="B42" s="20" t="str">
        <f aca="false">INDEX(Scoring!$B$23:$B$29,$A42)&amp;""</f>
        <v>Security and Privacy</v>
      </c>
      <c r="C42" s="20"/>
      <c r="D42" s="21" t="str">
        <f aca="false">IF($Y42=0,"",$Y42&amp;" of "&amp;$Z42)</f>
        <v/>
      </c>
      <c r="E42" s="22" t="str">
        <f aca="false">IF($X42=0,"",$W42/(3*$X42))</f>
        <v/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19" t="str">
        <f aca="false">IF($E42="","",IF($Y42&lt;$Z42,"Incomplete",IF($E42&gt;=$Y$2,Scoring!$B$19&amp;"",IF($E42&gt;=$X$2,Scoring!$B$18&amp;"",IF($E42&gt;=$W$2,Scoring!$B$17&amp;"",Scoring!$B$16&amp;"")))))</f>
        <v/>
      </c>
      <c r="R42" s="21" t="str">
        <f aca="false">IF($AD42="","",INDEX('Readiness Checklist'!$A$8:$A$65,$AD42))</f>
        <v/>
      </c>
      <c r="S42" s="24" t="str">
        <f aca="false">IF($AD42="","",INDEX('Readiness Checklist'!$C$8:$C$65,$AD42))</f>
        <v/>
      </c>
      <c r="T42" s="24"/>
      <c r="U42" s="19" t="str">
        <f aca="false">IF($AD42="","",IF(INDEX('Readiness Checklist'!$E$8:$E$65,$AD42)="","",INDEX('Readiness Checklist'!$E$8:$E$65,$AD42)))</f>
        <v/>
      </c>
      <c r="V42" s="19" t="str">
        <f aca="false">IF(OR($AD42="",$U42=""),"",IF(AND(ISNUMBER($U42),$U42&gt;=2,$U42&lt;=3),"Met","Not Met"))</f>
        <v/>
      </c>
      <c r="W42" s="9" t="n">
        <f aca="false">SUMIFS('Readiness Checklist'!$E$8:$E$65,'Readiness Checklist'!$I$8:$I$65,$A42,'Readiness Checklist'!$C$8:$C$65,"&lt;&gt;",'Readiness Checklist'!$E$8:$E$65,"&gt;=0",'Readiness Checklist'!$E$8:$E$65,"&lt;=3")</f>
        <v>0</v>
      </c>
      <c r="X42" s="9" t="n">
        <f aca="false">COUNTIFS('Readiness Checklist'!$I$8:$I$65,$A42,'Readiness Checklist'!$C$8:$C$65,"&lt;&gt;",'Readiness Checklist'!$E$8:$E$65,"&gt;=0",'Readiness Checklist'!$E$8:$E$65,"&lt;=3")</f>
        <v>0</v>
      </c>
      <c r="Y42" s="9" t="n">
        <f aca="false">$X42+COUNTIFS('Readiness Checklist'!$I$8:$I$65,$A42,'Readiness Checklist'!$C$8:$C$65,"&lt;&gt;",'Readiness Checklist'!$E$8:$E$65,"N/A")</f>
        <v>0</v>
      </c>
      <c r="Z42" s="9" t="n">
        <f aca="false">COUNTIFS('Readiness Checklist'!$I$8:$I$65,$A42,'Readiness Checklist'!$C$8:$C$65,"&lt;&gt;")</f>
        <v>7</v>
      </c>
      <c r="AA42" s="9" t="n">
        <f aca="false">IF(ISNUMBER(Scoring!$C$29),Scoring!$C$29,0)</f>
        <v>1</v>
      </c>
      <c r="AB42" s="9" t="n">
        <f aca="false">IF($X42=0,0,$AA42*$W42/(3*$X42))</f>
        <v>0</v>
      </c>
      <c r="AC42" s="9" t="n">
        <f aca="false">IF($X42=0,0,$AA42)</f>
        <v>0</v>
      </c>
      <c r="AD42" s="0" t="str">
        <f aca="false">IFERROR(MATCH(7,'Readiness Checklist'!$J$8:$J$65,0),"")</f>
        <v/>
      </c>
    </row>
    <row r="43" customFormat="false" ht="21.75" hidden="false" customHeight="true" outlineLevel="0" collapsed="false">
      <c r="A43" s="25"/>
      <c r="B43" s="26" t="s">
        <v>28</v>
      </c>
      <c r="C43" s="26"/>
      <c r="D43" s="27" t="str">
        <f aca="false">IF($Z$6=0,"",$Z$6&amp;" of "&amp;$AA$6)</f>
        <v/>
      </c>
      <c r="E43" s="28" t="str">
        <f aca="false">IF(SUM($AC$36:$AC$42)=0,"",SUM($AB$36:$AB$42)/SUM($AC$36:$AC$42))</f>
        <v/>
      </c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7" t="str">
        <f aca="false">IF($E43="","",IF($Z$6&lt;$AA$6,"Incomplete",IF($E43&gt;=$Y$2,Scoring!$B$19&amp;"",IF($E43&gt;=$X$2,Scoring!$B$18&amp;"",IF($E43&gt;=$W$2,Scoring!$B$17&amp;"",Scoring!$B$16&amp;"")))))</f>
        <v/>
      </c>
      <c r="R43" s="21" t="str">
        <f aca="false">IF($AD43="","",INDEX('Readiness Checklist'!$A$8:$A$65,$AD43))</f>
        <v/>
      </c>
      <c r="S43" s="24" t="str">
        <f aca="false">IF($AD43="","",INDEX('Readiness Checklist'!$C$8:$C$65,$AD43))</f>
        <v/>
      </c>
      <c r="T43" s="24"/>
      <c r="U43" s="19" t="str">
        <f aca="false">IF($AD43="","",IF(INDEX('Readiness Checklist'!$E$8:$E$65,$AD43)="","",INDEX('Readiness Checklist'!$E$8:$E$65,$AD43)))</f>
        <v/>
      </c>
      <c r="V43" s="19" t="str">
        <f aca="false">IF(OR($AD43="",$U43=""),"",IF(AND(ISNUMBER($U43),$U43&gt;=2,$U43&lt;=3),"Met","Not Met"))</f>
        <v/>
      </c>
      <c r="AD43" s="0" t="str">
        <f aca="false">IFERROR(MATCH(8,'Readiness Checklist'!$J$8:$J$65,0),"")</f>
        <v/>
      </c>
    </row>
    <row r="44" customFormat="false" ht="9.75" hidden="false" customHeight="true" outlineLevel="0" collapsed="false"/>
    <row r="45" customFormat="false" ht="19.5" hidden="false" customHeight="true" outlineLevel="0" collapsed="false">
      <c r="A45" s="4" t="s">
        <v>29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4" t="s">
        <v>30</v>
      </c>
      <c r="S45" s="5"/>
      <c r="T45" s="5"/>
      <c r="U45" s="5"/>
      <c r="V45" s="5"/>
    </row>
    <row r="46" customFormat="false" ht="25.5" hidden="false" customHeight="true" outlineLevel="0" collapsed="false">
      <c r="A46" s="18" t="s">
        <v>31</v>
      </c>
      <c r="B46" s="18" t="s">
        <v>32</v>
      </c>
      <c r="C46" s="18"/>
      <c r="D46" s="18" t="s">
        <v>33</v>
      </c>
      <c r="E46" s="18" t="s">
        <v>34</v>
      </c>
      <c r="F46" s="18" t="s">
        <v>35</v>
      </c>
      <c r="G46" s="18"/>
      <c r="H46" s="18"/>
      <c r="I46" s="18"/>
      <c r="J46" s="18" t="s">
        <v>36</v>
      </c>
      <c r="K46" s="18"/>
      <c r="L46" s="18"/>
      <c r="M46" s="18"/>
      <c r="N46" s="18"/>
      <c r="O46" s="18"/>
      <c r="P46" s="18" t="s">
        <v>37</v>
      </c>
      <c r="R46" s="18" t="s">
        <v>38</v>
      </c>
      <c r="S46" s="18"/>
      <c r="T46" s="18"/>
      <c r="U46" s="18" t="s">
        <v>39</v>
      </c>
      <c r="V46" s="18"/>
    </row>
    <row r="47" customFormat="false" ht="18" hidden="false" customHeight="true" outlineLevel="0" collapsed="false">
      <c r="A47" s="30" t="str">
        <f aca="false">IF($AD47="","",INDEX('Use Case Register'!$A$8:$A$27,$AD47))</f>
        <v/>
      </c>
      <c r="B47" s="31" t="str">
        <f aca="false">IF($AD47="","",INDEX('Use Case Register'!$B$8:$B$27,$AD47)&amp;"")</f>
        <v/>
      </c>
      <c r="C47" s="31"/>
      <c r="D47" s="30" t="str">
        <f aca="false">IF($AD47="","",INDEX('Use Case Register'!$D$8:$D$27,$AD47))</f>
        <v/>
      </c>
      <c r="E47" s="32" t="str">
        <f aca="false">IF($AD47="","",INDEX('Use Case Register'!$M$8:$M$27,$AD47))</f>
        <v/>
      </c>
      <c r="F47" s="33" t="str">
        <f aca="false">IF($AD47="","",INDEX('Use Case Register'!$Q$8:$Q$27,$AD47))</f>
        <v/>
      </c>
      <c r="G47" s="33"/>
      <c r="H47" s="33"/>
      <c r="I47" s="33"/>
      <c r="J47" s="33" t="str">
        <f aca="false">IF($AD47="","",INDEX('Use Case Register'!$N$8:$N$27,$AD47)&amp;"")</f>
        <v/>
      </c>
      <c r="K47" s="33"/>
      <c r="L47" s="33"/>
      <c r="M47" s="33"/>
      <c r="N47" s="33"/>
      <c r="O47" s="33"/>
      <c r="P47" s="30" t="str">
        <f aca="false">IF($AD47="","",INDEX('Use Case Register'!$O$8:$O$27,$AD47)&amp;"")</f>
        <v/>
      </c>
      <c r="R47" s="34" t="s">
        <v>40</v>
      </c>
      <c r="S47" s="34"/>
      <c r="T47" s="34"/>
      <c r="U47" s="33" t="str">
        <f aca="false">IF(COUNTIF('Action Plan'!$F$8:$F$57,"&lt;&gt;")=0,"",COUNTIFS('Action Plan'!$F$8:$F$57,"&lt;&gt;",'Action Plan'!$I$8:$I$57,"Not Started")+COUNTIFS('Action Plan'!$F$8:$F$57,"&lt;&gt;",'Action Plan'!$I$8:$I$57,""))</f>
        <v/>
      </c>
      <c r="V47" s="33"/>
      <c r="AD47" s="0" t="str">
        <f aca="false">IF(COUNT('Use Case Register'!$S$8:$S$27)&lt;1,"",MATCH(LARGE('Use Case Register'!$S$8:$S$27,1),'Use Case Register'!$S$8:$S$27,0))</f>
        <v/>
      </c>
    </row>
    <row r="48" customFormat="false" ht="18" hidden="false" customHeight="true" outlineLevel="0" collapsed="false">
      <c r="A48" s="30" t="str">
        <f aca="false">IF($AD48="","",INDEX('Use Case Register'!$A$8:$A$27,$AD48))</f>
        <v/>
      </c>
      <c r="B48" s="31" t="str">
        <f aca="false">IF($AD48="","",INDEX('Use Case Register'!$B$8:$B$27,$AD48)&amp;"")</f>
        <v/>
      </c>
      <c r="C48" s="31"/>
      <c r="D48" s="30" t="str">
        <f aca="false">IF($AD48="","",INDEX('Use Case Register'!$D$8:$D$27,$AD48))</f>
        <v/>
      </c>
      <c r="E48" s="32" t="str">
        <f aca="false">IF($AD48="","",INDEX('Use Case Register'!$M$8:$M$27,$AD48))</f>
        <v/>
      </c>
      <c r="F48" s="33" t="str">
        <f aca="false">IF($AD48="","",INDEX('Use Case Register'!$Q$8:$Q$27,$AD48))</f>
        <v/>
      </c>
      <c r="G48" s="33"/>
      <c r="H48" s="33"/>
      <c r="I48" s="33"/>
      <c r="J48" s="33" t="str">
        <f aca="false">IF($AD48="","",INDEX('Use Case Register'!$N$8:$N$27,$AD48)&amp;"")</f>
        <v/>
      </c>
      <c r="K48" s="33"/>
      <c r="L48" s="33"/>
      <c r="M48" s="33"/>
      <c r="N48" s="33"/>
      <c r="O48" s="33"/>
      <c r="P48" s="30" t="str">
        <f aca="false">IF($AD48="","",INDEX('Use Case Register'!$O$8:$O$27,$AD48)&amp;"")</f>
        <v/>
      </c>
      <c r="R48" s="34" t="s">
        <v>41</v>
      </c>
      <c r="S48" s="34"/>
      <c r="T48" s="34"/>
      <c r="U48" s="33" t="str">
        <f aca="false">IF(COUNTIF('Action Plan'!$F$8:$F$57,"&lt;&gt;")=0,"",COUNTIFS('Action Plan'!$F$8:$F$57,"&lt;&gt;",'Action Plan'!$I$8:$I$57,"In Progress"))</f>
        <v/>
      </c>
      <c r="V48" s="33"/>
      <c r="AD48" s="0" t="str">
        <f aca="false">IF(COUNT('Use Case Register'!$S$8:$S$27)&lt;2,"",MATCH(LARGE('Use Case Register'!$S$8:$S$27,2),'Use Case Register'!$S$8:$S$27,0))</f>
        <v/>
      </c>
    </row>
    <row r="49" customFormat="false" ht="18" hidden="false" customHeight="true" outlineLevel="0" collapsed="false">
      <c r="A49" s="30" t="str">
        <f aca="false">IF($AD49="","",INDEX('Use Case Register'!$A$8:$A$27,$AD49))</f>
        <v/>
      </c>
      <c r="B49" s="31" t="str">
        <f aca="false">IF($AD49="","",INDEX('Use Case Register'!$B$8:$B$27,$AD49)&amp;"")</f>
        <v/>
      </c>
      <c r="C49" s="31"/>
      <c r="D49" s="30" t="str">
        <f aca="false">IF($AD49="","",INDEX('Use Case Register'!$D$8:$D$27,$AD49))</f>
        <v/>
      </c>
      <c r="E49" s="32" t="str">
        <f aca="false">IF($AD49="","",INDEX('Use Case Register'!$M$8:$M$27,$AD49))</f>
        <v/>
      </c>
      <c r="F49" s="33" t="str">
        <f aca="false">IF($AD49="","",INDEX('Use Case Register'!$Q$8:$Q$27,$AD49))</f>
        <v/>
      </c>
      <c r="G49" s="33"/>
      <c r="H49" s="33"/>
      <c r="I49" s="33"/>
      <c r="J49" s="33" t="str">
        <f aca="false">IF($AD49="","",INDEX('Use Case Register'!$N$8:$N$27,$AD49)&amp;"")</f>
        <v/>
      </c>
      <c r="K49" s="33"/>
      <c r="L49" s="33"/>
      <c r="M49" s="33"/>
      <c r="N49" s="33"/>
      <c r="O49" s="33"/>
      <c r="P49" s="30" t="str">
        <f aca="false">IF($AD49="","",INDEX('Use Case Register'!$O$8:$O$27,$AD49)&amp;"")</f>
        <v/>
      </c>
      <c r="R49" s="34" t="s">
        <v>42</v>
      </c>
      <c r="S49" s="34"/>
      <c r="T49" s="34"/>
      <c r="U49" s="33" t="str">
        <f aca="false">IF(COUNTIF('Action Plan'!$F$8:$F$57,"&lt;&gt;")=0,"",COUNTIFS('Action Plan'!$F$8:$F$57,"&lt;&gt;",'Action Plan'!$I$8:$I$57,"Complete"))</f>
        <v/>
      </c>
      <c r="V49" s="33"/>
      <c r="AD49" s="0" t="str">
        <f aca="false">IF(COUNT('Use Case Register'!$S$8:$S$27)&lt;3,"",MATCH(LARGE('Use Case Register'!$S$8:$S$27,3),'Use Case Register'!$S$8:$S$27,0))</f>
        <v/>
      </c>
    </row>
    <row r="50" customFormat="false" ht="18" hidden="false" customHeight="true" outlineLevel="0" collapsed="false">
      <c r="A50" s="30" t="str">
        <f aca="false">IF($AD50="","",INDEX('Use Case Register'!$A$8:$A$27,$AD50))</f>
        <v/>
      </c>
      <c r="B50" s="31" t="str">
        <f aca="false">IF($AD50="","",INDEX('Use Case Register'!$B$8:$B$27,$AD50)&amp;"")</f>
        <v/>
      </c>
      <c r="C50" s="31"/>
      <c r="D50" s="30" t="str">
        <f aca="false">IF($AD50="","",INDEX('Use Case Register'!$D$8:$D$27,$AD50))</f>
        <v/>
      </c>
      <c r="E50" s="32" t="str">
        <f aca="false">IF($AD50="","",INDEX('Use Case Register'!$M$8:$M$27,$AD50))</f>
        <v/>
      </c>
      <c r="F50" s="33" t="str">
        <f aca="false">IF($AD50="","",INDEX('Use Case Register'!$Q$8:$Q$27,$AD50))</f>
        <v/>
      </c>
      <c r="G50" s="33"/>
      <c r="H50" s="33"/>
      <c r="I50" s="33"/>
      <c r="J50" s="33" t="str">
        <f aca="false">IF($AD50="","",INDEX('Use Case Register'!$N$8:$N$27,$AD50)&amp;"")</f>
        <v/>
      </c>
      <c r="K50" s="33"/>
      <c r="L50" s="33"/>
      <c r="M50" s="33"/>
      <c r="N50" s="33"/>
      <c r="O50" s="33"/>
      <c r="P50" s="30" t="str">
        <f aca="false">IF($AD50="","",INDEX('Use Case Register'!$O$8:$O$27,$AD50)&amp;"")</f>
        <v/>
      </c>
      <c r="R50" s="34" t="s">
        <v>43</v>
      </c>
      <c r="S50" s="34"/>
      <c r="T50" s="34"/>
      <c r="U50" s="33" t="str">
        <f aca="false">IF(COUNTIF('Action Plan'!$F$8:$F$57,"&lt;&gt;")=0,"",COUNT('Action Plan'!$J$8:$J$57))</f>
        <v/>
      </c>
      <c r="V50" s="33"/>
      <c r="AD50" s="0" t="str">
        <f aca="false">IF(COUNT('Use Case Register'!$S$8:$S$27)&lt;4,"",MATCH(LARGE('Use Case Register'!$S$8:$S$27,4),'Use Case Register'!$S$8:$S$27,0))</f>
        <v/>
      </c>
    </row>
    <row r="51" customFormat="false" ht="18" hidden="false" customHeight="true" outlineLevel="0" collapsed="false">
      <c r="A51" s="30" t="str">
        <f aca="false">IF($AD51="","",INDEX('Use Case Register'!$A$8:$A$27,$AD51))</f>
        <v/>
      </c>
      <c r="B51" s="31" t="str">
        <f aca="false">IF($AD51="","",INDEX('Use Case Register'!$B$8:$B$27,$AD51)&amp;"")</f>
        <v/>
      </c>
      <c r="C51" s="31"/>
      <c r="D51" s="30" t="str">
        <f aca="false">IF($AD51="","",INDEX('Use Case Register'!$D$8:$D$27,$AD51))</f>
        <v/>
      </c>
      <c r="E51" s="32" t="str">
        <f aca="false">IF($AD51="","",INDEX('Use Case Register'!$M$8:$M$27,$AD51))</f>
        <v/>
      </c>
      <c r="F51" s="33" t="str">
        <f aca="false">IF($AD51="","",INDEX('Use Case Register'!$Q$8:$Q$27,$AD51))</f>
        <v/>
      </c>
      <c r="G51" s="33"/>
      <c r="H51" s="33"/>
      <c r="I51" s="33"/>
      <c r="J51" s="33" t="str">
        <f aca="false">IF($AD51="","",INDEX('Use Case Register'!$N$8:$N$27,$AD51)&amp;"")</f>
        <v/>
      </c>
      <c r="K51" s="33"/>
      <c r="L51" s="33"/>
      <c r="M51" s="33"/>
      <c r="N51" s="33"/>
      <c r="O51" s="33"/>
      <c r="P51" s="30" t="str">
        <f aca="false">IF($AD51="","",INDEX('Use Case Register'!$O$8:$O$27,$AD51)&amp;"")</f>
        <v/>
      </c>
      <c r="R51" s="34" t="s">
        <v>44</v>
      </c>
      <c r="S51" s="34"/>
      <c r="T51" s="34"/>
      <c r="U51" s="33" t="str">
        <f aca="false">IF(COUNTIF('Action Plan'!$F$8:$F$57,"&lt;&gt;")=0,"",COUNTIFS('Action Plan'!$F$8:$F$57,"&lt;&gt;",'Action Plan'!$D$8:$D$57,"Yes",'Action Plan'!$I$8:$I$57,"&lt;&gt;Complete"))</f>
        <v/>
      </c>
      <c r="V51" s="33"/>
      <c r="AD51" s="0" t="str">
        <f aca="false">IF(COUNT('Use Case Register'!$S$8:$S$27)&lt;5,"",MATCH(LARGE('Use Case Register'!$S$8:$S$27,5),'Use Case Register'!$S$8:$S$27,0))</f>
        <v/>
      </c>
    </row>
    <row r="52" customFormat="false" ht="18" hidden="false" customHeight="true" outlineLevel="0" collapsed="false">
      <c r="A52" s="30" t="str">
        <f aca="false">IF($AD52="","",INDEX('Use Case Register'!$A$8:$A$27,$AD52))</f>
        <v/>
      </c>
      <c r="B52" s="31" t="str">
        <f aca="false">IF($AD52="","",INDEX('Use Case Register'!$B$8:$B$27,$AD52)&amp;"")</f>
        <v/>
      </c>
      <c r="C52" s="31"/>
      <c r="D52" s="30" t="str">
        <f aca="false">IF($AD52="","",INDEX('Use Case Register'!$D$8:$D$27,$AD52))</f>
        <v/>
      </c>
      <c r="E52" s="32" t="str">
        <f aca="false">IF($AD52="","",INDEX('Use Case Register'!$M$8:$M$27,$AD52))</f>
        <v/>
      </c>
      <c r="F52" s="33" t="str">
        <f aca="false">IF($AD52="","",INDEX('Use Case Register'!$Q$8:$Q$27,$AD52))</f>
        <v/>
      </c>
      <c r="G52" s="33"/>
      <c r="H52" s="33"/>
      <c r="I52" s="33"/>
      <c r="J52" s="33" t="str">
        <f aca="false">IF($AD52="","",INDEX('Use Case Register'!$N$8:$N$27,$AD52)&amp;"")</f>
        <v/>
      </c>
      <c r="K52" s="33"/>
      <c r="L52" s="33"/>
      <c r="M52" s="33"/>
      <c r="N52" s="33"/>
      <c r="O52" s="33"/>
      <c r="P52" s="30" t="str">
        <f aca="false">IF($AD52="","",INDEX('Use Case Register'!$O$8:$O$27,$AD52)&amp;"")</f>
        <v/>
      </c>
      <c r="AD52" s="0" t="str">
        <f aca="false">IF(COUNT('Use Case Register'!$S$8:$S$27)&lt;6,"",MATCH(LARGE('Use Case Register'!$S$8:$S$27,6),'Use Case Register'!$S$8:$S$27,0))</f>
        <v/>
      </c>
    </row>
    <row r="53" customFormat="false" ht="18" hidden="false" customHeight="true" outlineLevel="0" collapsed="false">
      <c r="A53" s="30" t="str">
        <f aca="false">IF($AD53="","",INDEX('Use Case Register'!$A$8:$A$27,$AD53))</f>
        <v/>
      </c>
      <c r="B53" s="31" t="str">
        <f aca="false">IF($AD53="","",INDEX('Use Case Register'!$B$8:$B$27,$AD53)&amp;"")</f>
        <v/>
      </c>
      <c r="C53" s="31"/>
      <c r="D53" s="30" t="str">
        <f aca="false">IF($AD53="","",INDEX('Use Case Register'!$D$8:$D$27,$AD53))</f>
        <v/>
      </c>
      <c r="E53" s="32" t="str">
        <f aca="false">IF($AD53="","",INDEX('Use Case Register'!$M$8:$M$27,$AD53))</f>
        <v/>
      </c>
      <c r="F53" s="33" t="str">
        <f aca="false">IF($AD53="","",INDEX('Use Case Register'!$Q$8:$Q$27,$AD53))</f>
        <v/>
      </c>
      <c r="G53" s="33"/>
      <c r="H53" s="33"/>
      <c r="I53" s="33"/>
      <c r="J53" s="33" t="str">
        <f aca="false">IF($AD53="","",INDEX('Use Case Register'!$N$8:$N$27,$AD53)&amp;"")</f>
        <v/>
      </c>
      <c r="K53" s="33"/>
      <c r="L53" s="33"/>
      <c r="M53" s="33"/>
      <c r="N53" s="33"/>
      <c r="O53" s="33"/>
      <c r="P53" s="30" t="str">
        <f aca="false">IF($AD53="","",INDEX('Use Case Register'!$O$8:$O$27,$AD53)&amp;"")</f>
        <v/>
      </c>
      <c r="AD53" s="0" t="str">
        <f aca="false">IF(COUNT('Use Case Register'!$S$8:$S$27)&lt;7,"",MATCH(LARGE('Use Case Register'!$S$8:$S$27,7),'Use Case Register'!$S$8:$S$27,0))</f>
        <v/>
      </c>
    </row>
    <row r="54" customFormat="false" ht="18" hidden="false" customHeight="true" outlineLevel="0" collapsed="false">
      <c r="A54" s="30" t="str">
        <f aca="false">IF($AD54="","",INDEX('Use Case Register'!$A$8:$A$27,$AD54))</f>
        <v/>
      </c>
      <c r="B54" s="31" t="str">
        <f aca="false">IF($AD54="","",INDEX('Use Case Register'!$B$8:$B$27,$AD54)&amp;"")</f>
        <v/>
      </c>
      <c r="C54" s="31"/>
      <c r="D54" s="30" t="str">
        <f aca="false">IF($AD54="","",INDEX('Use Case Register'!$D$8:$D$27,$AD54))</f>
        <v/>
      </c>
      <c r="E54" s="32" t="str">
        <f aca="false">IF($AD54="","",INDEX('Use Case Register'!$M$8:$M$27,$AD54))</f>
        <v/>
      </c>
      <c r="F54" s="33" t="str">
        <f aca="false">IF($AD54="","",INDEX('Use Case Register'!$Q$8:$Q$27,$AD54))</f>
        <v/>
      </c>
      <c r="G54" s="33"/>
      <c r="H54" s="33"/>
      <c r="I54" s="33"/>
      <c r="J54" s="33" t="str">
        <f aca="false">IF($AD54="","",INDEX('Use Case Register'!$N$8:$N$27,$AD54)&amp;"")</f>
        <v/>
      </c>
      <c r="K54" s="33"/>
      <c r="L54" s="33"/>
      <c r="M54" s="33"/>
      <c r="N54" s="33"/>
      <c r="O54" s="33"/>
      <c r="P54" s="30" t="str">
        <f aca="false">IF($AD54="","",INDEX('Use Case Register'!$O$8:$O$27,$AD54)&amp;"")</f>
        <v/>
      </c>
      <c r="AD54" s="0" t="str">
        <f aca="false">IF(COUNT('Use Case Register'!$S$8:$S$27)&lt;8,"",MATCH(LARGE('Use Case Register'!$S$8:$S$27,8),'Use Case Register'!$S$8:$S$27,0))</f>
        <v/>
      </c>
    </row>
    <row r="56" customFormat="false" ht="15.75" hidden="false" customHeight="true" outlineLevel="0" collapsed="false">
      <c r="A56" s="35" t="s">
        <v>45</v>
      </c>
    </row>
  </sheetData>
  <sheetProtection sheet="true" formatCells="false" formatColumns="false" formatRows="false" sort="false" autoFilter="false"/>
  <mergeCells count="83">
    <mergeCell ref="A5:C5"/>
    <mergeCell ref="D5:O5"/>
    <mergeCell ref="P5:R5"/>
    <mergeCell ref="S5:T5"/>
    <mergeCell ref="A6:C6"/>
    <mergeCell ref="D6:O6"/>
    <mergeCell ref="P6:R6"/>
    <mergeCell ref="S6:T6"/>
    <mergeCell ref="A9:D9"/>
    <mergeCell ref="E9:P9"/>
    <mergeCell ref="R9:S9"/>
    <mergeCell ref="T9:V9"/>
    <mergeCell ref="A10:D13"/>
    <mergeCell ref="E10:P12"/>
    <mergeCell ref="R10:S10"/>
    <mergeCell ref="T10:V10"/>
    <mergeCell ref="R11:S11"/>
    <mergeCell ref="T11:V11"/>
    <mergeCell ref="R12:S12"/>
    <mergeCell ref="T12:V12"/>
    <mergeCell ref="R13:S13"/>
    <mergeCell ref="T13:V13"/>
    <mergeCell ref="A14:P14"/>
    <mergeCell ref="R14:S14"/>
    <mergeCell ref="T14:V14"/>
    <mergeCell ref="B35:C35"/>
    <mergeCell ref="E35:O35"/>
    <mergeCell ref="S35:T35"/>
    <mergeCell ref="B36:C36"/>
    <mergeCell ref="S36:T36"/>
    <mergeCell ref="B37:C37"/>
    <mergeCell ref="S37:T37"/>
    <mergeCell ref="B38:C38"/>
    <mergeCell ref="S38:T38"/>
    <mergeCell ref="B39:C39"/>
    <mergeCell ref="S39:T39"/>
    <mergeCell ref="B40:C40"/>
    <mergeCell ref="S40:T40"/>
    <mergeCell ref="B41:C41"/>
    <mergeCell ref="S41:T41"/>
    <mergeCell ref="B42:C42"/>
    <mergeCell ref="S42:T42"/>
    <mergeCell ref="B43:C43"/>
    <mergeCell ref="S43:T43"/>
    <mergeCell ref="B46:C46"/>
    <mergeCell ref="F46:I46"/>
    <mergeCell ref="J46:O46"/>
    <mergeCell ref="R46:T46"/>
    <mergeCell ref="U46:V46"/>
    <mergeCell ref="B47:C47"/>
    <mergeCell ref="F47:I47"/>
    <mergeCell ref="J47:O47"/>
    <mergeCell ref="R47:T47"/>
    <mergeCell ref="U47:V47"/>
    <mergeCell ref="B48:C48"/>
    <mergeCell ref="F48:I48"/>
    <mergeCell ref="J48:O48"/>
    <mergeCell ref="R48:T48"/>
    <mergeCell ref="U48:V48"/>
    <mergeCell ref="B49:C49"/>
    <mergeCell ref="F49:I49"/>
    <mergeCell ref="J49:O49"/>
    <mergeCell ref="R49:T49"/>
    <mergeCell ref="U49:V49"/>
    <mergeCell ref="B50:C50"/>
    <mergeCell ref="F50:I50"/>
    <mergeCell ref="J50:O50"/>
    <mergeCell ref="R50:T50"/>
    <mergeCell ref="U50:V50"/>
    <mergeCell ref="B51:C51"/>
    <mergeCell ref="F51:I51"/>
    <mergeCell ref="J51:O51"/>
    <mergeCell ref="R51:T51"/>
    <mergeCell ref="U51:V51"/>
    <mergeCell ref="B52:C52"/>
    <mergeCell ref="F52:I52"/>
    <mergeCell ref="J52:O52"/>
    <mergeCell ref="B53:C53"/>
    <mergeCell ref="F53:I53"/>
    <mergeCell ref="J53:O53"/>
    <mergeCell ref="B54:C54"/>
    <mergeCell ref="F54:I54"/>
    <mergeCell ref="J54:O54"/>
  </mergeCells>
  <conditionalFormatting sqref="F13:O13">
    <cfRule type="expression" priority="2" aboveAverage="0" equalAverage="0" bottom="0" percent="0" rank="0" text="" dxfId="0">
      <formula>AND(ISNUMBER($A$10),ROUND($A$10*10,0)&gt;=COLUMN(F13)-5,$A$10&lt;$W$2)</formula>
    </cfRule>
    <cfRule type="expression" priority="3" aboveAverage="0" equalAverage="0" bottom="0" percent="0" rank="0" text="" dxfId="1">
      <formula>AND(ISNUMBER($A$10),ROUND($A$10*10,0)&gt;=COLUMN(F13)-5,AND($A$10&gt;=$W$2,$A$10&lt;$X$2))</formula>
    </cfRule>
    <cfRule type="expression" priority="4" aboveAverage="0" equalAverage="0" bottom="0" percent="0" rank="0" text="" dxfId="2">
      <formula>AND(ISNUMBER($A$10),ROUND($A$10*10,0)&gt;=COLUMN(F13)-5,$A$10&gt;=$X$2)</formula>
    </cfRule>
  </conditionalFormatting>
  <conditionalFormatting sqref="E10">
    <cfRule type="expression" priority="5" aboveAverage="0" equalAverage="0" bottom="0" percent="0" rank="0" text="" dxfId="3">
      <formula>$E$10="Incomplete"</formula>
    </cfRule>
    <cfRule type="expression" priority="6" aboveAverage="0" equalAverage="0" bottom="0" percent="0" rank="0" text="" dxfId="4">
      <formula>AND(ISNUMBER($A$10),$E$10&lt;&gt;"Incomplete",$A$10&lt;$W$2)</formula>
    </cfRule>
    <cfRule type="expression" priority="7" aboveAverage="0" equalAverage="0" bottom="0" percent="0" rank="0" text="" dxfId="5">
      <formula>AND(ISNUMBER($A$10),$E$10&lt;&gt;"Incomplete",$A$10&gt;=$W$2,$A$10&lt;$X$2)</formula>
    </cfRule>
    <cfRule type="expression" priority="8" aboveAverage="0" equalAverage="0" bottom="0" percent="0" rank="0" text="" dxfId="6">
      <formula>AND(ISNUMBER($A$10),$E$10&lt;&gt;"Incomplete",$A$10&gt;=$X$2)</formula>
    </cfRule>
  </conditionalFormatting>
  <conditionalFormatting sqref="R10">
    <cfRule type="expression" priority="9" aboveAverage="0" equalAverage="0" bottom="0" percent="0" rank="0" text="" dxfId="7">
      <formula>$R$10="Met"</formula>
    </cfRule>
    <cfRule type="expression" priority="10" aboveAverage="0" equalAverage="0" bottom="0" percent="0" rank="0" text="" dxfId="8">
      <formula>$R$10="Not Met"</formula>
    </cfRule>
    <cfRule type="expression" priority="11" aboveAverage="0" equalAverage="0" bottom="0" percent="0" rank="0" text="" dxfId="9">
      <formula>$R$10="Incomplete"</formula>
    </cfRule>
  </conditionalFormatting>
  <conditionalFormatting sqref="T14">
    <cfRule type="expression" priority="12" aboveAverage="0" equalAverage="0" bottom="0" percent="0" rank="0" text="" dxfId="8">
      <formula>AND(ISNUMBER($T$14),$T$14&gt;0)</formula>
    </cfRule>
  </conditionalFormatting>
  <conditionalFormatting sqref="F36:O43">
    <cfRule type="expression" priority="13" aboveAverage="0" equalAverage="0" bottom="0" percent="0" rank="0" text="" dxfId="0">
      <formula>AND(ISNUMBER($E36),ROUND($E36*10,0)&gt;=COLUMN(F36)-5,$E36&lt;$W$2)</formula>
    </cfRule>
    <cfRule type="expression" priority="14" aboveAverage="0" equalAverage="0" bottom="0" percent="0" rank="0" text="" dxfId="1">
      <formula>AND(ISNUMBER($E36),ROUND($E36*10,0)&gt;=COLUMN(F36)-5,$E36&gt;=$W$2,$E36&lt;$X$2)</formula>
    </cfRule>
    <cfRule type="expression" priority="15" aboveAverage="0" equalAverage="0" bottom="0" percent="0" rank="0" text="" dxfId="2">
      <formula>AND(ISNUMBER($E36),ROUND($E36*10,0)&gt;=COLUMN(F36)-5,$E36&gt;=$X$2)</formula>
    </cfRule>
  </conditionalFormatting>
  <conditionalFormatting sqref="P36:P43">
    <cfRule type="expression" priority="16" aboveAverage="0" equalAverage="0" bottom="0" percent="0" rank="0" text="" dxfId="9">
      <formula>$P36="Incomplete"</formula>
    </cfRule>
    <cfRule type="expression" priority="17" aboveAverage="0" equalAverage="0" bottom="0" percent="0" rank="0" text="" dxfId="8">
      <formula>AND(ISNUMBER($E36),$P36&lt;&gt;"Incomplete",$E36&lt;$W$2)</formula>
    </cfRule>
    <cfRule type="expression" priority="18" aboveAverage="0" equalAverage="0" bottom="0" percent="0" rank="0" text="" dxfId="10">
      <formula>AND(ISNUMBER($E36),$P36&lt;&gt;"Incomplete",$E36&gt;=$W$2,$E36&lt;$X$2)</formula>
    </cfRule>
    <cfRule type="expression" priority="19" aboveAverage="0" equalAverage="0" bottom="0" percent="0" rank="0" text="" dxfId="7">
      <formula>AND(ISNUMBER($E36),$P36&lt;&gt;"Incomplete",$E36&gt;=$X$2)</formula>
    </cfRule>
  </conditionalFormatting>
  <conditionalFormatting sqref="U36:U43">
    <cfRule type="expression" priority="20" aboveAverage="0" equalAverage="0" bottom="0" percent="0" rank="0" text="" dxfId="8">
      <formula>AND(ISNUMBER($U36),$U36=0)</formula>
    </cfRule>
    <cfRule type="expression" priority="21" aboveAverage="0" equalAverage="0" bottom="0" percent="0" rank="0" text="" dxfId="10">
      <formula>AND(ISNUMBER($U36),$U36=1)</formula>
    </cfRule>
    <cfRule type="expression" priority="22" aboveAverage="0" equalAverage="0" bottom="0" percent="0" rank="0" text="" dxfId="7">
      <formula>AND(ISNUMBER($U36),$U36&gt;=2,$U36&lt;=3)</formula>
    </cfRule>
    <cfRule type="expression" priority="23" aboveAverage="0" equalAverage="0" bottom="0" percent="0" rank="0" text="" dxfId="11">
      <formula>$U36="N/A"</formula>
    </cfRule>
  </conditionalFormatting>
  <conditionalFormatting sqref="V36:V43">
    <cfRule type="expression" priority="24" aboveAverage="0" equalAverage="0" bottom="0" percent="0" rank="0" text="" dxfId="7">
      <formula>$V36="Met"</formula>
    </cfRule>
    <cfRule type="expression" priority="25" aboveAverage="0" equalAverage="0" bottom="0" percent="0" rank="0" text="" dxfId="8">
      <formula>$V36="Not Met"</formula>
    </cfRule>
  </conditionalFormatting>
  <conditionalFormatting sqref="J47:J54">
    <cfRule type="expression" priority="26" aboveAverage="0" equalAverage="0" bottom="0" percent="0" rank="0" text="" dxfId="7">
      <formula>$J47="Ready for Pilot"</formula>
    </cfRule>
    <cfRule type="expression" priority="27" aboveAverage="0" equalAverage="0" bottom="0" percent="0" rank="0" text="" dxfId="10">
      <formula>$J47="Preparation Required"</formula>
    </cfRule>
    <cfRule type="expression" priority="28" aboveAverage="0" equalAverage="0" bottom="0" percent="0" rank="0" text="" dxfId="9">
      <formula>$J47="Incomplete"</formula>
    </cfRule>
  </conditionalFormatting>
  <conditionalFormatting sqref="P47:P54">
    <cfRule type="expression" priority="29" aboveAverage="0" equalAverage="0" bottom="0" percent="0" rank="0" text="" dxfId="7">
      <formula>$P47="Proceed to Pilot"</formula>
    </cfRule>
    <cfRule type="expression" priority="30" aboveAverage="0" equalAverage="0" bottom="0" percent="0" rank="0" text="" dxfId="10">
      <formula>$P47="Prepare Further"</formula>
    </cfRule>
    <cfRule type="expression" priority="31" aboveAverage="0" equalAverage="0" bottom="0" percent="0" rank="0" text="" dxfId="8">
      <formula>$P47="Reconsider"</formula>
    </cfRule>
  </conditionalFormatting>
  <conditionalFormatting sqref="U50">
    <cfRule type="expression" priority="32" aboveAverage="0" equalAverage="0" bottom="0" percent="0" rank="0" text="" dxfId="8">
      <formula>AND(ISNUMBER($U$50),$U$50&gt;0)</formula>
    </cfRule>
  </conditionalFormatting>
  <conditionalFormatting sqref="U51">
    <cfRule type="expression" priority="33" aboveAverage="0" equalAverage="0" bottom="0" percent="0" rank="0" text="" dxfId="10">
      <formula>AND(ISNUMBER($U$51),$U$51&gt;0)</formula>
    </cfRule>
  </conditionalFormatting>
  <dataValidations count="4">
    <dataValidation allowBlank="true" errorStyle="stop" operator="between" prompt="The organization or client this assessment covers." promptTitle="Organization" showDropDown="false" showErrorMessage="false" showInputMessage="true" sqref="D5" type="custom">
      <formula1>1</formula1>
      <formula2>0</formula2>
    </dataValidation>
    <dataValidation allowBlank="true" errorStyle="stop" operator="between" prompt="Whole organization, a business unit or a program." promptTitle="Assessment Scope" showDropDown="false" showErrorMessage="false" showInputMessage="true" sqref="D6" type="custom">
      <formula1>1</formula1>
      <formula2>0</formula2>
    </dataValidation>
    <dataValidation allowBlank="true" errorStyle="stop" operator="between" prompt="The person running the assessment." promptTitle="Assessment Lead" showDropDown="false" showErrorMessage="false" showInputMessage="true" sqref="S6" type="custom">
      <formula1>1</formula1>
      <formula2>0</formula2>
    </dataValidation>
    <dataValidation allowBlank="true" errorStyle="stop" operator="between" prompt="Enter a date." promptTitle="Assessment Date" showDropDown="false" showErrorMessage="false" showInputMessage="true" sqref="S5" type="custom">
      <formula1>1</formula1>
      <formula2>0</formula2>
    </dataValidation>
  </dataValidations>
  <hyperlinks>
    <hyperlink ref="A56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rowBreaks count="1" manualBreakCount="1">
    <brk id="32" man="true" max="16383" min="0"/>
  </rowBreaks>
  <ignoredErrors>
    <ignoredError sqref="A1:AD5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E8" activeCellId="0" sqref="E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55"/>
    <col collapsed="false" customWidth="true" hidden="false" outlineLevel="0" max="4" min="4" style="0" width="11.5"/>
    <col collapsed="false" customWidth="true" hidden="false" outlineLevel="0" max="5" min="5" style="0" width="8"/>
    <col collapsed="false" customWidth="true" hidden="false" outlineLevel="0" max="6" min="6" style="0" width="34"/>
    <col collapsed="false" customWidth="true" hidden="false" outlineLevel="0" max="7" min="7" style="0" width="17"/>
    <col collapsed="false" customWidth="true" hidden="false" outlineLevel="0" max="8" min="8" style="0" width="9.51"/>
    <col collapsed="false" customWidth="true" hidden="true" outlineLevel="0" max="10" min="9" style="0" width="9"/>
  </cols>
  <sheetData>
    <row r="1" customFormat="false" ht="25.5" hidden="false" customHeight="true" outlineLevel="0" collapsed="false">
      <c r="A1" s="1" t="s">
        <v>46</v>
      </c>
    </row>
    <row r="2" customFormat="false" ht="6" hidden="false" customHeight="true" outlineLevel="0" collapsed="false"/>
    <row r="3" customFormat="false" ht="18" hidden="false" customHeight="true" outlineLevel="0" collapsed="false">
      <c r="A3" s="6" t="s">
        <v>3</v>
      </c>
      <c r="B3" s="6"/>
      <c r="C3" s="20" t="str">
        <f aca="false">IF(Dashboard!$D$5="","",Dashboard!$D$5)</f>
        <v/>
      </c>
    </row>
    <row r="4" customFormat="false" ht="18" hidden="false" customHeight="true" outlineLevel="0" collapsed="false">
      <c r="A4" s="6" t="s">
        <v>4</v>
      </c>
      <c r="B4" s="6"/>
      <c r="C4" s="36" t="str">
        <f aca="false">IF(Dashboard!$S$5="","",Dashboard!$S$5)</f>
        <v/>
      </c>
    </row>
    <row r="5" customFormat="false" ht="7.5" hidden="false" customHeight="true" outlineLevel="0" collapsed="false"/>
    <row r="6" customFormat="false" ht="19.5" hidden="false" customHeight="true" outlineLevel="0" collapsed="false">
      <c r="A6" s="4" t="s">
        <v>47</v>
      </c>
      <c r="B6" s="5"/>
      <c r="C6" s="5"/>
      <c r="D6" s="5"/>
      <c r="E6" s="5"/>
      <c r="F6" s="5"/>
      <c r="G6" s="5"/>
      <c r="H6" s="5"/>
    </row>
    <row r="7" customFormat="false" ht="30" hidden="false" customHeight="true" outlineLevel="0" collapsed="false">
      <c r="A7" s="18" t="s">
        <v>20</v>
      </c>
      <c r="B7" s="18" t="s">
        <v>21</v>
      </c>
      <c r="C7" s="18" t="s">
        <v>25</v>
      </c>
      <c r="D7" s="18" t="s">
        <v>48</v>
      </c>
      <c r="E7" s="18" t="s">
        <v>26</v>
      </c>
      <c r="F7" s="18" t="s">
        <v>49</v>
      </c>
      <c r="G7" s="18" t="s">
        <v>50</v>
      </c>
      <c r="H7" s="18" t="s">
        <v>14</v>
      </c>
    </row>
    <row r="8" customFormat="false" ht="25.5" hidden="false" customHeight="true" outlineLevel="0" collapsed="false">
      <c r="A8" s="37" t="s">
        <v>51</v>
      </c>
      <c r="B8" s="24" t="str">
        <f aca="false">INDEX(Scoring!$B$23:$B$29,$I8)&amp;""</f>
        <v>Strategy and Leadership</v>
      </c>
      <c r="C8" s="38" t="s">
        <v>52</v>
      </c>
      <c r="D8" s="39"/>
      <c r="E8" s="39"/>
      <c r="F8" s="38"/>
      <c r="G8" s="40" t="str">
        <f aca="false">IF($C8="",IF(OR($E8&lt;&gt;"",$F8&lt;&gt;""),"Criterion missing",""),IF(AND($E8&lt;&gt;"",$E8&lt;&gt;"N/A",OR(NOT(ISNUMBER($E8)),$E8&lt;0,$E8&gt;3)),"Invalid rating",IF(AND($D8="Yes",$E8="N/A"),"Must-meet cannot be N/A",IF(AND(ISNUMBER($E8),$E8&gt;=2,$E8&lt;=3,TRIM($F8)=""),"Evidence required",""))))</f>
        <v/>
      </c>
      <c r="H8" s="21" t="str">
        <f aca="false">IF($C8="","",IF(COUNTIFS('Action Plan'!$B$8:$B$57,$A8,'Action Plan'!$F$8:$F$57,"&lt;&gt;",'Action Plan'!$I$8:$I$57,"&lt;&gt;Complete")=0,"",COUNTIFS('Action Plan'!$B$8:$B$57,$A8,'Action Plan'!$F$8:$F$57,"&lt;&gt;",'Action Plan'!$I$8:$I$57,"&lt;&gt;Complete")))</f>
        <v/>
      </c>
      <c r="I8" s="9" t="n">
        <f aca="false">VALUE(LEFT($A8,FIND(".",$A8)-1))</f>
        <v>1</v>
      </c>
      <c r="J8" s="0" t="str">
        <f aca="false">IF(AND($C8&lt;&gt;"",$D8="Yes"),COUNTIFS($D$8:$D8,"Yes",$C$8:$C8,"&lt;&gt;"),"")</f>
        <v/>
      </c>
    </row>
    <row r="9" customFormat="false" ht="25.5" hidden="false" customHeight="true" outlineLevel="0" collapsed="false">
      <c r="A9" s="37" t="s">
        <v>53</v>
      </c>
      <c r="B9" s="24" t="str">
        <f aca="false">INDEX(Scoring!$B$23:$B$29,$I9)&amp;""</f>
        <v>Strategy and Leadership</v>
      </c>
      <c r="C9" s="38" t="s">
        <v>54</v>
      </c>
      <c r="D9" s="39"/>
      <c r="E9" s="39"/>
      <c r="F9" s="38"/>
      <c r="G9" s="40" t="str">
        <f aca="false">IF($C9="",IF(OR($E9&lt;&gt;"",$F9&lt;&gt;""),"Criterion missing",""),IF(AND($E9&lt;&gt;"",$E9&lt;&gt;"N/A",OR(NOT(ISNUMBER($E9)),$E9&lt;0,$E9&gt;3)),"Invalid rating",IF(AND($D9="Yes",$E9="N/A"),"Must-meet cannot be N/A",IF(AND(ISNUMBER($E9),$E9&gt;=2,$E9&lt;=3,TRIM($F9)=""),"Evidence required",""))))</f>
        <v/>
      </c>
      <c r="H9" s="21" t="str">
        <f aca="false">IF($C9="","",IF(COUNTIFS('Action Plan'!$B$8:$B$57,$A9,'Action Plan'!$F$8:$F$57,"&lt;&gt;",'Action Plan'!$I$8:$I$57,"&lt;&gt;Complete")=0,"",COUNTIFS('Action Plan'!$B$8:$B$57,$A9,'Action Plan'!$F$8:$F$57,"&lt;&gt;",'Action Plan'!$I$8:$I$57,"&lt;&gt;Complete")))</f>
        <v/>
      </c>
      <c r="I9" s="9" t="n">
        <f aca="false">VALUE(LEFT($A9,FIND(".",$A9)-1))</f>
        <v>1</v>
      </c>
      <c r="J9" s="0" t="str">
        <f aca="false">IF(AND($C9&lt;&gt;"",$D9="Yes"),COUNTIFS($D$8:$D9,"Yes",$C$8:$C9,"&lt;&gt;"),"")</f>
        <v/>
      </c>
    </row>
    <row r="10" customFormat="false" ht="25.5" hidden="false" customHeight="true" outlineLevel="0" collapsed="false">
      <c r="A10" s="37" t="s">
        <v>55</v>
      </c>
      <c r="B10" s="24" t="str">
        <f aca="false">INDEX(Scoring!$B$23:$B$29,$I10)&amp;""</f>
        <v>Strategy and Leadership</v>
      </c>
      <c r="C10" s="38" t="s">
        <v>56</v>
      </c>
      <c r="D10" s="39"/>
      <c r="E10" s="39"/>
      <c r="F10" s="38"/>
      <c r="G10" s="40" t="str">
        <f aca="false">IF($C10="",IF(OR($E10&lt;&gt;"",$F10&lt;&gt;""),"Criterion missing",""),IF(AND($E10&lt;&gt;"",$E10&lt;&gt;"N/A",OR(NOT(ISNUMBER($E10)),$E10&lt;0,$E10&gt;3)),"Invalid rating",IF(AND($D10="Yes",$E10="N/A"),"Must-meet cannot be N/A",IF(AND(ISNUMBER($E10),$E10&gt;=2,$E10&lt;=3,TRIM($F10)=""),"Evidence required",""))))</f>
        <v/>
      </c>
      <c r="H10" s="21" t="str">
        <f aca="false">IF($C10="","",IF(COUNTIFS('Action Plan'!$B$8:$B$57,$A10,'Action Plan'!$F$8:$F$57,"&lt;&gt;",'Action Plan'!$I$8:$I$57,"&lt;&gt;Complete")=0,"",COUNTIFS('Action Plan'!$B$8:$B$57,$A10,'Action Plan'!$F$8:$F$57,"&lt;&gt;",'Action Plan'!$I$8:$I$57,"&lt;&gt;Complete")))</f>
        <v/>
      </c>
      <c r="I10" s="9" t="n">
        <f aca="false">VALUE(LEFT($A10,FIND(".",$A10)-1))</f>
        <v>1</v>
      </c>
      <c r="J10" s="0" t="str">
        <f aca="false">IF(AND($C10&lt;&gt;"",$D10="Yes"),COUNTIFS($D$8:$D10,"Yes",$C$8:$C10,"&lt;&gt;"),"")</f>
        <v/>
      </c>
    </row>
    <row r="11" customFormat="false" ht="25.5" hidden="false" customHeight="true" outlineLevel="0" collapsed="false">
      <c r="A11" s="37" t="s">
        <v>57</v>
      </c>
      <c r="B11" s="24" t="str">
        <f aca="false">INDEX(Scoring!$B$23:$B$29,$I11)&amp;""</f>
        <v>Strategy and Leadership</v>
      </c>
      <c r="C11" s="38" t="s">
        <v>58</v>
      </c>
      <c r="D11" s="39"/>
      <c r="E11" s="39"/>
      <c r="F11" s="38"/>
      <c r="G11" s="40" t="str">
        <f aca="false">IF($C11="",IF(OR($E11&lt;&gt;"",$F11&lt;&gt;""),"Criterion missing",""),IF(AND($E11&lt;&gt;"",$E11&lt;&gt;"N/A",OR(NOT(ISNUMBER($E11)),$E11&lt;0,$E11&gt;3)),"Invalid rating",IF(AND($D11="Yes",$E11="N/A"),"Must-meet cannot be N/A",IF(AND(ISNUMBER($E11),$E11&gt;=2,$E11&lt;=3,TRIM($F11)=""),"Evidence required",""))))</f>
        <v/>
      </c>
      <c r="H11" s="21" t="str">
        <f aca="false">IF($C11="","",IF(COUNTIFS('Action Plan'!$B$8:$B$57,$A11,'Action Plan'!$F$8:$F$57,"&lt;&gt;",'Action Plan'!$I$8:$I$57,"&lt;&gt;Complete")=0,"",COUNTIFS('Action Plan'!$B$8:$B$57,$A11,'Action Plan'!$F$8:$F$57,"&lt;&gt;",'Action Plan'!$I$8:$I$57,"&lt;&gt;Complete")))</f>
        <v/>
      </c>
      <c r="I11" s="9" t="n">
        <f aca="false">VALUE(LEFT($A11,FIND(".",$A11)-1))</f>
        <v>1</v>
      </c>
      <c r="J11" s="0" t="str">
        <f aca="false">IF(AND($C11&lt;&gt;"",$D11="Yes"),COUNTIFS($D$8:$D11,"Yes",$C$8:$C11,"&lt;&gt;"),"")</f>
        <v/>
      </c>
    </row>
    <row r="12" customFormat="false" ht="25.5" hidden="false" customHeight="true" outlineLevel="0" collapsed="false">
      <c r="A12" s="37" t="s">
        <v>59</v>
      </c>
      <c r="B12" s="24" t="str">
        <f aca="false">INDEX(Scoring!$B$23:$B$29,$I12)&amp;""</f>
        <v>Strategy and Leadership</v>
      </c>
      <c r="C12" s="38" t="s">
        <v>60</v>
      </c>
      <c r="D12" s="39"/>
      <c r="E12" s="39"/>
      <c r="F12" s="38"/>
      <c r="G12" s="40" t="str">
        <f aca="false">IF($C12="",IF(OR($E12&lt;&gt;"",$F12&lt;&gt;""),"Criterion missing",""),IF(AND($E12&lt;&gt;"",$E12&lt;&gt;"N/A",OR(NOT(ISNUMBER($E12)),$E12&lt;0,$E12&gt;3)),"Invalid rating",IF(AND($D12="Yes",$E12="N/A"),"Must-meet cannot be N/A",IF(AND(ISNUMBER($E12),$E12&gt;=2,$E12&lt;=3,TRIM($F12)=""),"Evidence required",""))))</f>
        <v/>
      </c>
      <c r="H12" s="21" t="str">
        <f aca="false">IF($C12="","",IF(COUNTIFS('Action Plan'!$B$8:$B$57,$A12,'Action Plan'!$F$8:$F$57,"&lt;&gt;",'Action Plan'!$I$8:$I$57,"&lt;&gt;Complete")=0,"",COUNTIFS('Action Plan'!$B$8:$B$57,$A12,'Action Plan'!$F$8:$F$57,"&lt;&gt;",'Action Plan'!$I$8:$I$57,"&lt;&gt;Complete")))</f>
        <v/>
      </c>
      <c r="I12" s="9" t="n">
        <f aca="false">VALUE(LEFT($A12,FIND(".",$A12)-1))</f>
        <v>1</v>
      </c>
      <c r="J12" s="0" t="str">
        <f aca="false">IF(AND($C12&lt;&gt;"",$D12="Yes"),COUNTIFS($D$8:$D12,"Yes",$C$8:$C12,"&lt;&gt;"),"")</f>
        <v/>
      </c>
    </row>
    <row r="13" customFormat="false" ht="25.5" hidden="false" customHeight="true" outlineLevel="0" collapsed="false">
      <c r="A13" s="37" t="s">
        <v>61</v>
      </c>
      <c r="B13" s="24" t="str">
        <f aca="false">INDEX(Scoring!$B$23:$B$29,$I13)&amp;""</f>
        <v>Strategy and Leadership</v>
      </c>
      <c r="C13" s="38" t="s">
        <v>62</v>
      </c>
      <c r="D13" s="39"/>
      <c r="E13" s="39"/>
      <c r="F13" s="38"/>
      <c r="G13" s="40" t="str">
        <f aca="false">IF($C13="",IF(OR($E13&lt;&gt;"",$F13&lt;&gt;""),"Criterion missing",""),IF(AND($E13&lt;&gt;"",$E13&lt;&gt;"N/A",OR(NOT(ISNUMBER($E13)),$E13&lt;0,$E13&gt;3)),"Invalid rating",IF(AND($D13="Yes",$E13="N/A"),"Must-meet cannot be N/A",IF(AND(ISNUMBER($E13),$E13&gt;=2,$E13&lt;=3,TRIM($F13)=""),"Evidence required",""))))</f>
        <v/>
      </c>
      <c r="H13" s="21" t="str">
        <f aca="false">IF($C13="","",IF(COUNTIFS('Action Plan'!$B$8:$B$57,$A13,'Action Plan'!$F$8:$F$57,"&lt;&gt;",'Action Plan'!$I$8:$I$57,"&lt;&gt;Complete")=0,"",COUNTIFS('Action Plan'!$B$8:$B$57,$A13,'Action Plan'!$F$8:$F$57,"&lt;&gt;",'Action Plan'!$I$8:$I$57,"&lt;&gt;Complete")))</f>
        <v/>
      </c>
      <c r="I13" s="9" t="n">
        <f aca="false">VALUE(LEFT($A13,FIND(".",$A13)-1))</f>
        <v>1</v>
      </c>
      <c r="J13" s="0" t="str">
        <f aca="false">IF(AND($C13&lt;&gt;"",$D13="Yes"),COUNTIFS($D$8:$D13,"Yes",$C$8:$C13,"&lt;&gt;"),"")</f>
        <v/>
      </c>
    </row>
    <row r="14" customFormat="false" ht="25.5" hidden="false" customHeight="true" outlineLevel="0" collapsed="false">
      <c r="A14" s="37" t="s">
        <v>63</v>
      </c>
      <c r="B14" s="24" t="str">
        <f aca="false">INDEX(Scoring!$B$23:$B$29,$I14)&amp;""</f>
        <v>Strategy and Leadership</v>
      </c>
      <c r="C14" s="38"/>
      <c r="D14" s="39"/>
      <c r="E14" s="39"/>
      <c r="F14" s="38"/>
      <c r="G14" s="40" t="str">
        <f aca="false">IF($C14="",IF(OR($E14&lt;&gt;"",$F14&lt;&gt;""),"Criterion missing",""),IF(AND($E14&lt;&gt;"",$E14&lt;&gt;"N/A",OR(NOT(ISNUMBER($E14)),$E14&lt;0,$E14&gt;3)),"Invalid rating",IF(AND($D14="Yes",$E14="N/A"),"Must-meet cannot be N/A",IF(AND(ISNUMBER($E14),$E14&gt;=2,$E14&lt;=3,TRIM($F14)=""),"Evidence required",""))))</f>
        <v/>
      </c>
      <c r="H14" s="21" t="str">
        <f aca="false">IF($C14="","",IF(COUNTIFS('Action Plan'!$B$8:$B$57,$A14,'Action Plan'!$F$8:$F$57,"&lt;&gt;",'Action Plan'!$I$8:$I$57,"&lt;&gt;Complete")=0,"",COUNTIFS('Action Plan'!$B$8:$B$57,$A14,'Action Plan'!$F$8:$F$57,"&lt;&gt;",'Action Plan'!$I$8:$I$57,"&lt;&gt;Complete")))</f>
        <v/>
      </c>
      <c r="I14" s="9" t="n">
        <f aca="false">VALUE(LEFT($A14,FIND(".",$A14)-1))</f>
        <v>1</v>
      </c>
      <c r="J14" s="0" t="str">
        <f aca="false">IF(AND($C14&lt;&gt;"",$D14="Yes"),COUNTIFS($D$8:$D14,"Yes",$C$8:$C14,"&lt;&gt;"),"")</f>
        <v/>
      </c>
    </row>
    <row r="15" customFormat="false" ht="25.5" hidden="false" customHeight="true" outlineLevel="0" collapsed="false">
      <c r="A15" s="37" t="s">
        <v>64</v>
      </c>
      <c r="B15" s="24" t="str">
        <f aca="false">INDEX(Scoring!$B$23:$B$29,$I15)&amp;""</f>
        <v>Strategy and Leadership</v>
      </c>
      <c r="C15" s="38"/>
      <c r="D15" s="39"/>
      <c r="E15" s="39"/>
      <c r="F15" s="38"/>
      <c r="G15" s="40" t="str">
        <f aca="false">IF($C15="",IF(OR($E15&lt;&gt;"",$F15&lt;&gt;""),"Criterion missing",""),IF(AND($E15&lt;&gt;"",$E15&lt;&gt;"N/A",OR(NOT(ISNUMBER($E15)),$E15&lt;0,$E15&gt;3)),"Invalid rating",IF(AND($D15="Yes",$E15="N/A"),"Must-meet cannot be N/A",IF(AND(ISNUMBER($E15),$E15&gt;=2,$E15&lt;=3,TRIM($F15)=""),"Evidence required",""))))</f>
        <v/>
      </c>
      <c r="H15" s="21" t="str">
        <f aca="false">IF($C15="","",IF(COUNTIFS('Action Plan'!$B$8:$B$57,$A15,'Action Plan'!$F$8:$F$57,"&lt;&gt;",'Action Plan'!$I$8:$I$57,"&lt;&gt;Complete")=0,"",COUNTIFS('Action Plan'!$B$8:$B$57,$A15,'Action Plan'!$F$8:$F$57,"&lt;&gt;",'Action Plan'!$I$8:$I$57,"&lt;&gt;Complete")))</f>
        <v/>
      </c>
      <c r="I15" s="9" t="n">
        <f aca="false">VALUE(LEFT($A15,FIND(".",$A15)-1))</f>
        <v>1</v>
      </c>
      <c r="J15" s="0" t="str">
        <f aca="false">IF(AND($C15&lt;&gt;"",$D15="Yes"),COUNTIFS($D$8:$D15,"Yes",$C$8:$C15,"&lt;&gt;"),"")</f>
        <v/>
      </c>
    </row>
    <row r="16" customFormat="false" ht="25.5" hidden="false" customHeight="true" outlineLevel="0" collapsed="false">
      <c r="A16" s="37" t="s">
        <v>65</v>
      </c>
      <c r="B16" s="24" t="str">
        <f aca="false">INDEX(Scoring!$B$23:$B$29,$I16)&amp;""</f>
        <v>Use Cases and Value</v>
      </c>
      <c r="C16" s="38" t="s">
        <v>66</v>
      </c>
      <c r="D16" s="39"/>
      <c r="E16" s="39"/>
      <c r="F16" s="38"/>
      <c r="G16" s="40" t="str">
        <f aca="false">IF($C16="",IF(OR($E16&lt;&gt;"",$F16&lt;&gt;""),"Criterion missing",""),IF(AND($E16&lt;&gt;"",$E16&lt;&gt;"N/A",OR(NOT(ISNUMBER($E16)),$E16&lt;0,$E16&gt;3)),"Invalid rating",IF(AND($D16="Yes",$E16="N/A"),"Must-meet cannot be N/A",IF(AND(ISNUMBER($E16),$E16&gt;=2,$E16&lt;=3,TRIM($F16)=""),"Evidence required",""))))</f>
        <v/>
      </c>
      <c r="H16" s="21" t="str">
        <f aca="false">IF($C16="","",IF(COUNTIFS('Action Plan'!$B$8:$B$57,$A16,'Action Plan'!$F$8:$F$57,"&lt;&gt;",'Action Plan'!$I$8:$I$57,"&lt;&gt;Complete")=0,"",COUNTIFS('Action Plan'!$B$8:$B$57,$A16,'Action Plan'!$F$8:$F$57,"&lt;&gt;",'Action Plan'!$I$8:$I$57,"&lt;&gt;Complete")))</f>
        <v/>
      </c>
      <c r="I16" s="9" t="n">
        <f aca="false">VALUE(LEFT($A16,FIND(".",$A16)-1))</f>
        <v>2</v>
      </c>
      <c r="J16" s="0" t="str">
        <f aca="false">IF(AND($C16&lt;&gt;"",$D16="Yes"),COUNTIFS($D$8:$D16,"Yes",$C$8:$C16,"&lt;&gt;"),"")</f>
        <v/>
      </c>
    </row>
    <row r="17" customFormat="false" ht="25.5" hidden="false" customHeight="true" outlineLevel="0" collapsed="false">
      <c r="A17" s="37" t="s">
        <v>67</v>
      </c>
      <c r="B17" s="24" t="str">
        <f aca="false">INDEX(Scoring!$B$23:$B$29,$I17)&amp;""</f>
        <v>Use Cases and Value</v>
      </c>
      <c r="C17" s="38" t="s">
        <v>68</v>
      </c>
      <c r="D17" s="39"/>
      <c r="E17" s="39"/>
      <c r="F17" s="38"/>
      <c r="G17" s="40" t="str">
        <f aca="false">IF($C17="",IF(OR($E17&lt;&gt;"",$F17&lt;&gt;""),"Criterion missing",""),IF(AND($E17&lt;&gt;"",$E17&lt;&gt;"N/A",OR(NOT(ISNUMBER($E17)),$E17&lt;0,$E17&gt;3)),"Invalid rating",IF(AND($D17="Yes",$E17="N/A"),"Must-meet cannot be N/A",IF(AND(ISNUMBER($E17),$E17&gt;=2,$E17&lt;=3,TRIM($F17)=""),"Evidence required",""))))</f>
        <v/>
      </c>
      <c r="H17" s="21" t="str">
        <f aca="false">IF($C17="","",IF(COUNTIFS('Action Plan'!$B$8:$B$57,$A17,'Action Plan'!$F$8:$F$57,"&lt;&gt;",'Action Plan'!$I$8:$I$57,"&lt;&gt;Complete")=0,"",COUNTIFS('Action Plan'!$B$8:$B$57,$A17,'Action Plan'!$F$8:$F$57,"&lt;&gt;",'Action Plan'!$I$8:$I$57,"&lt;&gt;Complete")))</f>
        <v/>
      </c>
      <c r="I17" s="9" t="n">
        <f aca="false">VALUE(LEFT($A17,FIND(".",$A17)-1))</f>
        <v>2</v>
      </c>
      <c r="J17" s="0" t="str">
        <f aca="false">IF(AND($C17&lt;&gt;"",$D17="Yes"),COUNTIFS($D$8:$D17,"Yes",$C$8:$C17,"&lt;&gt;"),"")</f>
        <v/>
      </c>
    </row>
    <row r="18" customFormat="false" ht="25.5" hidden="false" customHeight="true" outlineLevel="0" collapsed="false">
      <c r="A18" s="37" t="s">
        <v>69</v>
      </c>
      <c r="B18" s="24" t="str">
        <f aca="false">INDEX(Scoring!$B$23:$B$29,$I18)&amp;""</f>
        <v>Use Cases and Value</v>
      </c>
      <c r="C18" s="38" t="s">
        <v>70</v>
      </c>
      <c r="D18" s="39"/>
      <c r="E18" s="39"/>
      <c r="F18" s="38"/>
      <c r="G18" s="40" t="str">
        <f aca="false">IF($C18="",IF(OR($E18&lt;&gt;"",$F18&lt;&gt;""),"Criterion missing",""),IF(AND($E18&lt;&gt;"",$E18&lt;&gt;"N/A",OR(NOT(ISNUMBER($E18)),$E18&lt;0,$E18&gt;3)),"Invalid rating",IF(AND($D18="Yes",$E18="N/A"),"Must-meet cannot be N/A",IF(AND(ISNUMBER($E18),$E18&gt;=2,$E18&lt;=3,TRIM($F18)=""),"Evidence required",""))))</f>
        <v/>
      </c>
      <c r="H18" s="21" t="str">
        <f aca="false">IF($C18="","",IF(COUNTIFS('Action Plan'!$B$8:$B$57,$A18,'Action Plan'!$F$8:$F$57,"&lt;&gt;",'Action Plan'!$I$8:$I$57,"&lt;&gt;Complete")=0,"",COUNTIFS('Action Plan'!$B$8:$B$57,$A18,'Action Plan'!$F$8:$F$57,"&lt;&gt;",'Action Plan'!$I$8:$I$57,"&lt;&gt;Complete")))</f>
        <v/>
      </c>
      <c r="I18" s="9" t="n">
        <f aca="false">VALUE(LEFT($A18,FIND(".",$A18)-1))</f>
        <v>2</v>
      </c>
      <c r="J18" s="0" t="str">
        <f aca="false">IF(AND($C18&lt;&gt;"",$D18="Yes"),COUNTIFS($D$8:$D18,"Yes",$C$8:$C18,"&lt;&gt;"),"")</f>
        <v/>
      </c>
    </row>
    <row r="19" customFormat="false" ht="25.5" hidden="false" customHeight="true" outlineLevel="0" collapsed="false">
      <c r="A19" s="37" t="s">
        <v>71</v>
      </c>
      <c r="B19" s="24" t="str">
        <f aca="false">INDEX(Scoring!$B$23:$B$29,$I19)&amp;""</f>
        <v>Use Cases and Value</v>
      </c>
      <c r="C19" s="38" t="s">
        <v>72</v>
      </c>
      <c r="D19" s="39"/>
      <c r="E19" s="39"/>
      <c r="F19" s="38"/>
      <c r="G19" s="40" t="str">
        <f aca="false">IF($C19="",IF(OR($E19&lt;&gt;"",$F19&lt;&gt;""),"Criterion missing",""),IF(AND($E19&lt;&gt;"",$E19&lt;&gt;"N/A",OR(NOT(ISNUMBER($E19)),$E19&lt;0,$E19&gt;3)),"Invalid rating",IF(AND($D19="Yes",$E19="N/A"),"Must-meet cannot be N/A",IF(AND(ISNUMBER($E19),$E19&gt;=2,$E19&lt;=3,TRIM($F19)=""),"Evidence required",""))))</f>
        <v/>
      </c>
      <c r="H19" s="21" t="str">
        <f aca="false">IF($C19="","",IF(COUNTIFS('Action Plan'!$B$8:$B$57,$A19,'Action Plan'!$F$8:$F$57,"&lt;&gt;",'Action Plan'!$I$8:$I$57,"&lt;&gt;Complete")=0,"",COUNTIFS('Action Plan'!$B$8:$B$57,$A19,'Action Plan'!$F$8:$F$57,"&lt;&gt;",'Action Plan'!$I$8:$I$57,"&lt;&gt;Complete")))</f>
        <v/>
      </c>
      <c r="I19" s="9" t="n">
        <f aca="false">VALUE(LEFT($A19,FIND(".",$A19)-1))</f>
        <v>2</v>
      </c>
      <c r="J19" s="0" t="str">
        <f aca="false">IF(AND($C19&lt;&gt;"",$D19="Yes"),COUNTIFS($D$8:$D19,"Yes",$C$8:$C19,"&lt;&gt;"),"")</f>
        <v/>
      </c>
    </row>
    <row r="20" customFormat="false" ht="25.5" hidden="false" customHeight="true" outlineLevel="0" collapsed="false">
      <c r="A20" s="37" t="s">
        <v>73</v>
      </c>
      <c r="B20" s="24" t="str">
        <f aca="false">INDEX(Scoring!$B$23:$B$29,$I20)&amp;""</f>
        <v>Use Cases and Value</v>
      </c>
      <c r="C20" s="38" t="s">
        <v>74</v>
      </c>
      <c r="D20" s="39"/>
      <c r="E20" s="39"/>
      <c r="F20" s="38"/>
      <c r="G20" s="40" t="str">
        <f aca="false">IF($C20="",IF(OR($E20&lt;&gt;"",$F20&lt;&gt;""),"Criterion missing",""),IF(AND($E20&lt;&gt;"",$E20&lt;&gt;"N/A",OR(NOT(ISNUMBER($E20)),$E20&lt;0,$E20&gt;3)),"Invalid rating",IF(AND($D20="Yes",$E20="N/A"),"Must-meet cannot be N/A",IF(AND(ISNUMBER($E20),$E20&gt;=2,$E20&lt;=3,TRIM($F20)=""),"Evidence required",""))))</f>
        <v/>
      </c>
      <c r="H20" s="21" t="str">
        <f aca="false">IF($C20="","",IF(COUNTIFS('Action Plan'!$B$8:$B$57,$A20,'Action Plan'!$F$8:$F$57,"&lt;&gt;",'Action Plan'!$I$8:$I$57,"&lt;&gt;Complete")=0,"",COUNTIFS('Action Plan'!$B$8:$B$57,$A20,'Action Plan'!$F$8:$F$57,"&lt;&gt;",'Action Plan'!$I$8:$I$57,"&lt;&gt;Complete")))</f>
        <v/>
      </c>
      <c r="I20" s="9" t="n">
        <f aca="false">VALUE(LEFT($A20,FIND(".",$A20)-1))</f>
        <v>2</v>
      </c>
      <c r="J20" s="0" t="str">
        <f aca="false">IF(AND($C20&lt;&gt;"",$D20="Yes"),COUNTIFS($D$8:$D20,"Yes",$C$8:$C20,"&lt;&gt;"),"")</f>
        <v/>
      </c>
    </row>
    <row r="21" customFormat="false" ht="25.5" hidden="false" customHeight="true" outlineLevel="0" collapsed="false">
      <c r="A21" s="37" t="s">
        <v>75</v>
      </c>
      <c r="B21" s="24" t="str">
        <f aca="false">INDEX(Scoring!$B$23:$B$29,$I21)&amp;""</f>
        <v>Use Cases and Value</v>
      </c>
      <c r="C21" s="38" t="s">
        <v>76</v>
      </c>
      <c r="D21" s="39"/>
      <c r="E21" s="39"/>
      <c r="F21" s="38"/>
      <c r="G21" s="40" t="str">
        <f aca="false">IF($C21="",IF(OR($E21&lt;&gt;"",$F21&lt;&gt;""),"Criterion missing",""),IF(AND($E21&lt;&gt;"",$E21&lt;&gt;"N/A",OR(NOT(ISNUMBER($E21)),$E21&lt;0,$E21&gt;3)),"Invalid rating",IF(AND($D21="Yes",$E21="N/A"),"Must-meet cannot be N/A",IF(AND(ISNUMBER($E21),$E21&gt;=2,$E21&lt;=3,TRIM($F21)=""),"Evidence required",""))))</f>
        <v/>
      </c>
      <c r="H21" s="21" t="str">
        <f aca="false">IF($C21="","",IF(COUNTIFS('Action Plan'!$B$8:$B$57,$A21,'Action Plan'!$F$8:$F$57,"&lt;&gt;",'Action Plan'!$I$8:$I$57,"&lt;&gt;Complete")=0,"",COUNTIFS('Action Plan'!$B$8:$B$57,$A21,'Action Plan'!$F$8:$F$57,"&lt;&gt;",'Action Plan'!$I$8:$I$57,"&lt;&gt;Complete")))</f>
        <v/>
      </c>
      <c r="I21" s="9" t="n">
        <f aca="false">VALUE(LEFT($A21,FIND(".",$A21)-1))</f>
        <v>2</v>
      </c>
      <c r="J21" s="0" t="str">
        <f aca="false">IF(AND($C21&lt;&gt;"",$D21="Yes"),COUNTIFS($D$8:$D21,"Yes",$C$8:$C21,"&lt;&gt;"),"")</f>
        <v/>
      </c>
    </row>
    <row r="22" customFormat="false" ht="25.5" hidden="false" customHeight="true" outlineLevel="0" collapsed="false">
      <c r="A22" s="37" t="s">
        <v>77</v>
      </c>
      <c r="B22" s="24" t="str">
        <f aca="false">INDEX(Scoring!$B$23:$B$29,$I22)&amp;""</f>
        <v>Use Cases and Value</v>
      </c>
      <c r="C22" s="38"/>
      <c r="D22" s="39"/>
      <c r="E22" s="39"/>
      <c r="F22" s="38"/>
      <c r="G22" s="40" t="str">
        <f aca="false">IF($C22="",IF(OR($E22&lt;&gt;"",$F22&lt;&gt;""),"Criterion missing",""),IF(AND($E22&lt;&gt;"",$E22&lt;&gt;"N/A",OR(NOT(ISNUMBER($E22)),$E22&lt;0,$E22&gt;3)),"Invalid rating",IF(AND($D22="Yes",$E22="N/A"),"Must-meet cannot be N/A",IF(AND(ISNUMBER($E22),$E22&gt;=2,$E22&lt;=3,TRIM($F22)=""),"Evidence required",""))))</f>
        <v/>
      </c>
      <c r="H22" s="21" t="str">
        <f aca="false">IF($C22="","",IF(COUNTIFS('Action Plan'!$B$8:$B$57,$A22,'Action Plan'!$F$8:$F$57,"&lt;&gt;",'Action Plan'!$I$8:$I$57,"&lt;&gt;Complete")=0,"",COUNTIFS('Action Plan'!$B$8:$B$57,$A22,'Action Plan'!$F$8:$F$57,"&lt;&gt;",'Action Plan'!$I$8:$I$57,"&lt;&gt;Complete")))</f>
        <v/>
      </c>
      <c r="I22" s="9" t="n">
        <f aca="false">VALUE(LEFT($A22,FIND(".",$A22)-1))</f>
        <v>2</v>
      </c>
      <c r="J22" s="0" t="str">
        <f aca="false">IF(AND($C22&lt;&gt;"",$D22="Yes"),COUNTIFS($D$8:$D22,"Yes",$C$8:$C22,"&lt;&gt;"),"")</f>
        <v/>
      </c>
    </row>
    <row r="23" customFormat="false" ht="25.5" hidden="false" customHeight="true" outlineLevel="0" collapsed="false">
      <c r="A23" s="37" t="s">
        <v>78</v>
      </c>
      <c r="B23" s="24" t="str">
        <f aca="false">INDEX(Scoring!$B$23:$B$29,$I23)&amp;""</f>
        <v>Use Cases and Value</v>
      </c>
      <c r="C23" s="38"/>
      <c r="D23" s="39"/>
      <c r="E23" s="39"/>
      <c r="F23" s="38"/>
      <c r="G23" s="40" t="str">
        <f aca="false">IF($C23="",IF(OR($E23&lt;&gt;"",$F23&lt;&gt;""),"Criterion missing",""),IF(AND($E23&lt;&gt;"",$E23&lt;&gt;"N/A",OR(NOT(ISNUMBER($E23)),$E23&lt;0,$E23&gt;3)),"Invalid rating",IF(AND($D23="Yes",$E23="N/A"),"Must-meet cannot be N/A",IF(AND(ISNUMBER($E23),$E23&gt;=2,$E23&lt;=3,TRIM($F23)=""),"Evidence required",""))))</f>
        <v/>
      </c>
      <c r="H23" s="21" t="str">
        <f aca="false">IF($C23="","",IF(COUNTIFS('Action Plan'!$B$8:$B$57,$A23,'Action Plan'!$F$8:$F$57,"&lt;&gt;",'Action Plan'!$I$8:$I$57,"&lt;&gt;Complete")=0,"",COUNTIFS('Action Plan'!$B$8:$B$57,$A23,'Action Plan'!$F$8:$F$57,"&lt;&gt;",'Action Plan'!$I$8:$I$57,"&lt;&gt;Complete")))</f>
        <v/>
      </c>
      <c r="I23" s="9" t="n">
        <f aca="false">VALUE(LEFT($A23,FIND(".",$A23)-1))</f>
        <v>2</v>
      </c>
      <c r="J23" s="0" t="str">
        <f aca="false">IF(AND($C23&lt;&gt;"",$D23="Yes"),COUNTIFS($D$8:$D23,"Yes",$C$8:$C23,"&lt;&gt;"),"")</f>
        <v/>
      </c>
    </row>
    <row r="24" customFormat="false" ht="25.5" hidden="false" customHeight="true" outlineLevel="0" collapsed="false">
      <c r="A24" s="37" t="s">
        <v>79</v>
      </c>
      <c r="B24" s="24" t="str">
        <f aca="false">INDEX(Scoring!$B$23:$B$29,$I24)&amp;""</f>
        <v>Project Data</v>
      </c>
      <c r="C24" s="38" t="s">
        <v>80</v>
      </c>
      <c r="D24" s="39"/>
      <c r="E24" s="39"/>
      <c r="F24" s="38"/>
      <c r="G24" s="40" t="str">
        <f aca="false">IF($C24="",IF(OR($E24&lt;&gt;"",$F24&lt;&gt;""),"Criterion missing",""),IF(AND($E24&lt;&gt;"",$E24&lt;&gt;"N/A",OR(NOT(ISNUMBER($E24)),$E24&lt;0,$E24&gt;3)),"Invalid rating",IF(AND($D24="Yes",$E24="N/A"),"Must-meet cannot be N/A",IF(AND(ISNUMBER($E24),$E24&gt;=2,$E24&lt;=3,TRIM($F24)=""),"Evidence required",""))))</f>
        <v/>
      </c>
      <c r="H24" s="21" t="str">
        <f aca="false">IF($C24="","",IF(COUNTIFS('Action Plan'!$B$8:$B$57,$A24,'Action Plan'!$F$8:$F$57,"&lt;&gt;",'Action Plan'!$I$8:$I$57,"&lt;&gt;Complete")=0,"",COUNTIFS('Action Plan'!$B$8:$B$57,$A24,'Action Plan'!$F$8:$F$57,"&lt;&gt;",'Action Plan'!$I$8:$I$57,"&lt;&gt;Complete")))</f>
        <v/>
      </c>
      <c r="I24" s="9" t="n">
        <f aca="false">VALUE(LEFT($A24,FIND(".",$A24)-1))</f>
        <v>3</v>
      </c>
      <c r="J24" s="0" t="str">
        <f aca="false">IF(AND($C24&lt;&gt;"",$D24="Yes"),COUNTIFS($D$8:$D24,"Yes",$C$8:$C24,"&lt;&gt;"),"")</f>
        <v/>
      </c>
    </row>
    <row r="25" customFormat="false" ht="25.5" hidden="false" customHeight="true" outlineLevel="0" collapsed="false">
      <c r="A25" s="37" t="s">
        <v>81</v>
      </c>
      <c r="B25" s="24" t="str">
        <f aca="false">INDEX(Scoring!$B$23:$B$29,$I25)&amp;""</f>
        <v>Project Data</v>
      </c>
      <c r="C25" s="38" t="s">
        <v>82</v>
      </c>
      <c r="D25" s="39"/>
      <c r="E25" s="39"/>
      <c r="F25" s="38"/>
      <c r="G25" s="40" t="str">
        <f aca="false">IF($C25="",IF(OR($E25&lt;&gt;"",$F25&lt;&gt;""),"Criterion missing",""),IF(AND($E25&lt;&gt;"",$E25&lt;&gt;"N/A",OR(NOT(ISNUMBER($E25)),$E25&lt;0,$E25&gt;3)),"Invalid rating",IF(AND($D25="Yes",$E25="N/A"),"Must-meet cannot be N/A",IF(AND(ISNUMBER($E25),$E25&gt;=2,$E25&lt;=3,TRIM($F25)=""),"Evidence required",""))))</f>
        <v/>
      </c>
      <c r="H25" s="21" t="str">
        <f aca="false">IF($C25="","",IF(COUNTIFS('Action Plan'!$B$8:$B$57,$A25,'Action Plan'!$F$8:$F$57,"&lt;&gt;",'Action Plan'!$I$8:$I$57,"&lt;&gt;Complete")=0,"",COUNTIFS('Action Plan'!$B$8:$B$57,$A25,'Action Plan'!$F$8:$F$57,"&lt;&gt;",'Action Plan'!$I$8:$I$57,"&lt;&gt;Complete")))</f>
        <v/>
      </c>
      <c r="I25" s="9" t="n">
        <f aca="false">VALUE(LEFT($A25,FIND(".",$A25)-1))</f>
        <v>3</v>
      </c>
      <c r="J25" s="0" t="str">
        <f aca="false">IF(AND($C25&lt;&gt;"",$D25="Yes"),COUNTIFS($D$8:$D25,"Yes",$C$8:$C25,"&lt;&gt;"),"")</f>
        <v/>
      </c>
    </row>
    <row r="26" customFormat="false" ht="25.5" hidden="false" customHeight="true" outlineLevel="0" collapsed="false">
      <c r="A26" s="37" t="s">
        <v>83</v>
      </c>
      <c r="B26" s="24" t="str">
        <f aca="false">INDEX(Scoring!$B$23:$B$29,$I26)&amp;""</f>
        <v>Project Data</v>
      </c>
      <c r="C26" s="38" t="s">
        <v>84</v>
      </c>
      <c r="D26" s="39"/>
      <c r="E26" s="39"/>
      <c r="F26" s="38"/>
      <c r="G26" s="40" t="str">
        <f aca="false">IF($C26="",IF(OR($E26&lt;&gt;"",$F26&lt;&gt;""),"Criterion missing",""),IF(AND($E26&lt;&gt;"",$E26&lt;&gt;"N/A",OR(NOT(ISNUMBER($E26)),$E26&lt;0,$E26&gt;3)),"Invalid rating",IF(AND($D26="Yes",$E26="N/A"),"Must-meet cannot be N/A",IF(AND(ISNUMBER($E26),$E26&gt;=2,$E26&lt;=3,TRIM($F26)=""),"Evidence required",""))))</f>
        <v/>
      </c>
      <c r="H26" s="21" t="str">
        <f aca="false">IF($C26="","",IF(COUNTIFS('Action Plan'!$B$8:$B$57,$A26,'Action Plan'!$F$8:$F$57,"&lt;&gt;",'Action Plan'!$I$8:$I$57,"&lt;&gt;Complete")=0,"",COUNTIFS('Action Plan'!$B$8:$B$57,$A26,'Action Plan'!$F$8:$F$57,"&lt;&gt;",'Action Plan'!$I$8:$I$57,"&lt;&gt;Complete")))</f>
        <v/>
      </c>
      <c r="I26" s="9" t="n">
        <f aca="false">VALUE(LEFT($A26,FIND(".",$A26)-1))</f>
        <v>3</v>
      </c>
      <c r="J26" s="0" t="str">
        <f aca="false">IF(AND($C26&lt;&gt;"",$D26="Yes"),COUNTIFS($D$8:$D26,"Yes",$C$8:$C26,"&lt;&gt;"),"")</f>
        <v/>
      </c>
    </row>
    <row r="27" customFormat="false" ht="25.5" hidden="false" customHeight="true" outlineLevel="0" collapsed="false">
      <c r="A27" s="37" t="s">
        <v>85</v>
      </c>
      <c r="B27" s="24" t="str">
        <f aca="false">INDEX(Scoring!$B$23:$B$29,$I27)&amp;""</f>
        <v>Project Data</v>
      </c>
      <c r="C27" s="38" t="s">
        <v>86</v>
      </c>
      <c r="D27" s="39"/>
      <c r="E27" s="39"/>
      <c r="F27" s="38"/>
      <c r="G27" s="40" t="str">
        <f aca="false">IF($C27="",IF(OR($E27&lt;&gt;"",$F27&lt;&gt;""),"Criterion missing",""),IF(AND($E27&lt;&gt;"",$E27&lt;&gt;"N/A",OR(NOT(ISNUMBER($E27)),$E27&lt;0,$E27&gt;3)),"Invalid rating",IF(AND($D27="Yes",$E27="N/A"),"Must-meet cannot be N/A",IF(AND(ISNUMBER($E27),$E27&gt;=2,$E27&lt;=3,TRIM($F27)=""),"Evidence required",""))))</f>
        <v/>
      </c>
      <c r="H27" s="21" t="str">
        <f aca="false">IF($C27="","",IF(COUNTIFS('Action Plan'!$B$8:$B$57,$A27,'Action Plan'!$F$8:$F$57,"&lt;&gt;",'Action Plan'!$I$8:$I$57,"&lt;&gt;Complete")=0,"",COUNTIFS('Action Plan'!$B$8:$B$57,$A27,'Action Plan'!$F$8:$F$57,"&lt;&gt;",'Action Plan'!$I$8:$I$57,"&lt;&gt;Complete")))</f>
        <v/>
      </c>
      <c r="I27" s="9" t="n">
        <f aca="false">VALUE(LEFT($A27,FIND(".",$A27)-1))</f>
        <v>3</v>
      </c>
      <c r="J27" s="0" t="str">
        <f aca="false">IF(AND($C27&lt;&gt;"",$D27="Yes"),COUNTIFS($D$8:$D27,"Yes",$C$8:$C27,"&lt;&gt;"),"")</f>
        <v/>
      </c>
    </row>
    <row r="28" customFormat="false" ht="25.5" hidden="false" customHeight="true" outlineLevel="0" collapsed="false">
      <c r="A28" s="37" t="s">
        <v>87</v>
      </c>
      <c r="B28" s="24" t="str">
        <f aca="false">INDEX(Scoring!$B$23:$B$29,$I28)&amp;""</f>
        <v>Project Data</v>
      </c>
      <c r="C28" s="38" t="s">
        <v>88</v>
      </c>
      <c r="D28" s="39"/>
      <c r="E28" s="39"/>
      <c r="F28" s="38"/>
      <c r="G28" s="40" t="str">
        <f aca="false">IF($C28="",IF(OR($E28&lt;&gt;"",$F28&lt;&gt;""),"Criterion missing",""),IF(AND($E28&lt;&gt;"",$E28&lt;&gt;"N/A",OR(NOT(ISNUMBER($E28)),$E28&lt;0,$E28&gt;3)),"Invalid rating",IF(AND($D28="Yes",$E28="N/A"),"Must-meet cannot be N/A",IF(AND(ISNUMBER($E28),$E28&gt;=2,$E28&lt;=3,TRIM($F28)=""),"Evidence required",""))))</f>
        <v/>
      </c>
      <c r="H28" s="21" t="str">
        <f aca="false">IF($C28="","",IF(COUNTIFS('Action Plan'!$B$8:$B$57,$A28,'Action Plan'!$F$8:$F$57,"&lt;&gt;",'Action Plan'!$I$8:$I$57,"&lt;&gt;Complete")=0,"",COUNTIFS('Action Plan'!$B$8:$B$57,$A28,'Action Plan'!$F$8:$F$57,"&lt;&gt;",'Action Plan'!$I$8:$I$57,"&lt;&gt;Complete")))</f>
        <v/>
      </c>
      <c r="I28" s="9" t="n">
        <f aca="false">VALUE(LEFT($A28,FIND(".",$A28)-1))</f>
        <v>3</v>
      </c>
      <c r="J28" s="0" t="str">
        <f aca="false">IF(AND($C28&lt;&gt;"",$D28="Yes"),COUNTIFS($D$8:$D28,"Yes",$C$8:$C28,"&lt;&gt;"),"")</f>
        <v/>
      </c>
    </row>
    <row r="29" customFormat="false" ht="25.5" hidden="false" customHeight="true" outlineLevel="0" collapsed="false">
      <c r="A29" s="37" t="s">
        <v>89</v>
      </c>
      <c r="B29" s="24" t="str">
        <f aca="false">INDEX(Scoring!$B$23:$B$29,$I29)&amp;""</f>
        <v>Project Data</v>
      </c>
      <c r="C29" s="38" t="s">
        <v>90</v>
      </c>
      <c r="D29" s="39"/>
      <c r="E29" s="39"/>
      <c r="F29" s="38"/>
      <c r="G29" s="40" t="str">
        <f aca="false">IF($C29="",IF(OR($E29&lt;&gt;"",$F29&lt;&gt;""),"Criterion missing",""),IF(AND($E29&lt;&gt;"",$E29&lt;&gt;"N/A",OR(NOT(ISNUMBER($E29)),$E29&lt;0,$E29&gt;3)),"Invalid rating",IF(AND($D29="Yes",$E29="N/A"),"Must-meet cannot be N/A",IF(AND(ISNUMBER($E29),$E29&gt;=2,$E29&lt;=3,TRIM($F29)=""),"Evidence required",""))))</f>
        <v/>
      </c>
      <c r="H29" s="21" t="str">
        <f aca="false">IF($C29="","",IF(COUNTIFS('Action Plan'!$B$8:$B$57,$A29,'Action Plan'!$F$8:$F$57,"&lt;&gt;",'Action Plan'!$I$8:$I$57,"&lt;&gt;Complete")=0,"",COUNTIFS('Action Plan'!$B$8:$B$57,$A29,'Action Plan'!$F$8:$F$57,"&lt;&gt;",'Action Plan'!$I$8:$I$57,"&lt;&gt;Complete")))</f>
        <v/>
      </c>
      <c r="I29" s="9" t="n">
        <f aca="false">VALUE(LEFT($A29,FIND(".",$A29)-1))</f>
        <v>3</v>
      </c>
      <c r="J29" s="0" t="str">
        <f aca="false">IF(AND($C29&lt;&gt;"",$D29="Yes"),COUNTIFS($D$8:$D29,"Yes",$C$8:$C29,"&lt;&gt;"),"")</f>
        <v/>
      </c>
    </row>
    <row r="30" customFormat="false" ht="25.5" hidden="false" customHeight="true" outlineLevel="0" collapsed="false">
      <c r="A30" s="37" t="s">
        <v>91</v>
      </c>
      <c r="B30" s="24" t="str">
        <f aca="false">INDEX(Scoring!$B$23:$B$29,$I30)&amp;""</f>
        <v>Project Data</v>
      </c>
      <c r="C30" s="38"/>
      <c r="D30" s="39"/>
      <c r="E30" s="39"/>
      <c r="F30" s="38"/>
      <c r="G30" s="40" t="str">
        <f aca="false">IF($C30="",IF(OR($E30&lt;&gt;"",$F30&lt;&gt;""),"Criterion missing",""),IF(AND($E30&lt;&gt;"",$E30&lt;&gt;"N/A",OR(NOT(ISNUMBER($E30)),$E30&lt;0,$E30&gt;3)),"Invalid rating",IF(AND($D30="Yes",$E30="N/A"),"Must-meet cannot be N/A",IF(AND(ISNUMBER($E30),$E30&gt;=2,$E30&lt;=3,TRIM($F30)=""),"Evidence required",""))))</f>
        <v/>
      </c>
      <c r="H30" s="21" t="str">
        <f aca="false">IF($C30="","",IF(COUNTIFS('Action Plan'!$B$8:$B$57,$A30,'Action Plan'!$F$8:$F$57,"&lt;&gt;",'Action Plan'!$I$8:$I$57,"&lt;&gt;Complete")=0,"",COUNTIFS('Action Plan'!$B$8:$B$57,$A30,'Action Plan'!$F$8:$F$57,"&lt;&gt;",'Action Plan'!$I$8:$I$57,"&lt;&gt;Complete")))</f>
        <v/>
      </c>
      <c r="I30" s="9" t="n">
        <f aca="false">VALUE(LEFT($A30,FIND(".",$A30)-1))</f>
        <v>3</v>
      </c>
      <c r="J30" s="0" t="str">
        <f aca="false">IF(AND($C30&lt;&gt;"",$D30="Yes"),COUNTIFS($D$8:$D30,"Yes",$C$8:$C30,"&lt;&gt;"),"")</f>
        <v/>
      </c>
    </row>
    <row r="31" customFormat="false" ht="25.5" hidden="false" customHeight="true" outlineLevel="0" collapsed="false">
      <c r="A31" s="37" t="s">
        <v>92</v>
      </c>
      <c r="B31" s="24" t="str">
        <f aca="false">INDEX(Scoring!$B$23:$B$29,$I31)&amp;""</f>
        <v>Project Data</v>
      </c>
      <c r="C31" s="38"/>
      <c r="D31" s="39"/>
      <c r="E31" s="39"/>
      <c r="F31" s="38"/>
      <c r="G31" s="40" t="str">
        <f aca="false">IF($C31="",IF(OR($E31&lt;&gt;"",$F31&lt;&gt;""),"Criterion missing",""),IF(AND($E31&lt;&gt;"",$E31&lt;&gt;"N/A",OR(NOT(ISNUMBER($E31)),$E31&lt;0,$E31&gt;3)),"Invalid rating",IF(AND($D31="Yes",$E31="N/A"),"Must-meet cannot be N/A",IF(AND(ISNUMBER($E31),$E31&gt;=2,$E31&lt;=3,TRIM($F31)=""),"Evidence required",""))))</f>
        <v/>
      </c>
      <c r="H31" s="21" t="str">
        <f aca="false">IF($C31="","",IF(COUNTIFS('Action Plan'!$B$8:$B$57,$A31,'Action Plan'!$F$8:$F$57,"&lt;&gt;",'Action Plan'!$I$8:$I$57,"&lt;&gt;Complete")=0,"",COUNTIFS('Action Plan'!$B$8:$B$57,$A31,'Action Plan'!$F$8:$F$57,"&lt;&gt;",'Action Plan'!$I$8:$I$57,"&lt;&gt;Complete")))</f>
        <v/>
      </c>
      <c r="I31" s="9" t="n">
        <f aca="false">VALUE(LEFT($A31,FIND(".",$A31)-1))</f>
        <v>3</v>
      </c>
      <c r="J31" s="0" t="str">
        <f aca="false">IF(AND($C31&lt;&gt;"",$D31="Yes"),COUNTIFS($D$8:$D31,"Yes",$C$8:$C31,"&lt;&gt;"),"")</f>
        <v/>
      </c>
    </row>
    <row r="32" customFormat="false" ht="25.5" hidden="false" customHeight="true" outlineLevel="0" collapsed="false">
      <c r="A32" s="37" t="s">
        <v>93</v>
      </c>
      <c r="B32" s="24" t="str">
        <f aca="false">INDEX(Scoring!$B$23:$B$29,$I32)&amp;""</f>
        <v>Systems and Integration</v>
      </c>
      <c r="C32" s="38" t="s">
        <v>94</v>
      </c>
      <c r="D32" s="39"/>
      <c r="E32" s="39"/>
      <c r="F32" s="38"/>
      <c r="G32" s="40" t="str">
        <f aca="false">IF($C32="",IF(OR($E32&lt;&gt;"",$F32&lt;&gt;""),"Criterion missing",""),IF(AND($E32&lt;&gt;"",$E32&lt;&gt;"N/A",OR(NOT(ISNUMBER($E32)),$E32&lt;0,$E32&gt;3)),"Invalid rating",IF(AND($D32="Yes",$E32="N/A"),"Must-meet cannot be N/A",IF(AND(ISNUMBER($E32),$E32&gt;=2,$E32&lt;=3,TRIM($F32)=""),"Evidence required",""))))</f>
        <v/>
      </c>
      <c r="H32" s="21" t="str">
        <f aca="false">IF($C32="","",IF(COUNTIFS('Action Plan'!$B$8:$B$57,$A32,'Action Plan'!$F$8:$F$57,"&lt;&gt;",'Action Plan'!$I$8:$I$57,"&lt;&gt;Complete")=0,"",COUNTIFS('Action Plan'!$B$8:$B$57,$A32,'Action Plan'!$F$8:$F$57,"&lt;&gt;",'Action Plan'!$I$8:$I$57,"&lt;&gt;Complete")))</f>
        <v/>
      </c>
      <c r="I32" s="9" t="n">
        <f aca="false">VALUE(LEFT($A32,FIND(".",$A32)-1))</f>
        <v>4</v>
      </c>
      <c r="J32" s="0" t="str">
        <f aca="false">IF(AND($C32&lt;&gt;"",$D32="Yes"),COUNTIFS($D$8:$D32,"Yes",$C$8:$C32,"&lt;&gt;"),"")</f>
        <v/>
      </c>
    </row>
    <row r="33" customFormat="false" ht="25.5" hidden="false" customHeight="true" outlineLevel="0" collapsed="false">
      <c r="A33" s="37" t="s">
        <v>95</v>
      </c>
      <c r="B33" s="24" t="str">
        <f aca="false">INDEX(Scoring!$B$23:$B$29,$I33)&amp;""</f>
        <v>Systems and Integration</v>
      </c>
      <c r="C33" s="38" t="s">
        <v>96</v>
      </c>
      <c r="D33" s="39"/>
      <c r="E33" s="39"/>
      <c r="F33" s="38"/>
      <c r="G33" s="40" t="str">
        <f aca="false">IF($C33="",IF(OR($E33&lt;&gt;"",$F33&lt;&gt;""),"Criterion missing",""),IF(AND($E33&lt;&gt;"",$E33&lt;&gt;"N/A",OR(NOT(ISNUMBER($E33)),$E33&lt;0,$E33&gt;3)),"Invalid rating",IF(AND($D33="Yes",$E33="N/A"),"Must-meet cannot be N/A",IF(AND(ISNUMBER($E33),$E33&gt;=2,$E33&lt;=3,TRIM($F33)=""),"Evidence required",""))))</f>
        <v/>
      </c>
      <c r="H33" s="21" t="str">
        <f aca="false">IF($C33="","",IF(COUNTIFS('Action Plan'!$B$8:$B$57,$A33,'Action Plan'!$F$8:$F$57,"&lt;&gt;",'Action Plan'!$I$8:$I$57,"&lt;&gt;Complete")=0,"",COUNTIFS('Action Plan'!$B$8:$B$57,$A33,'Action Plan'!$F$8:$F$57,"&lt;&gt;",'Action Plan'!$I$8:$I$57,"&lt;&gt;Complete")))</f>
        <v/>
      </c>
      <c r="I33" s="9" t="n">
        <f aca="false">VALUE(LEFT($A33,FIND(".",$A33)-1))</f>
        <v>4</v>
      </c>
      <c r="J33" s="0" t="str">
        <f aca="false">IF(AND($C33&lt;&gt;"",$D33="Yes"),COUNTIFS($D$8:$D33,"Yes",$C$8:$C33,"&lt;&gt;"),"")</f>
        <v/>
      </c>
    </row>
    <row r="34" customFormat="false" ht="25.5" hidden="false" customHeight="true" outlineLevel="0" collapsed="false">
      <c r="A34" s="37" t="s">
        <v>97</v>
      </c>
      <c r="B34" s="24" t="str">
        <f aca="false">INDEX(Scoring!$B$23:$B$29,$I34)&amp;""</f>
        <v>Systems and Integration</v>
      </c>
      <c r="C34" s="38" t="s">
        <v>98</v>
      </c>
      <c r="D34" s="39"/>
      <c r="E34" s="39"/>
      <c r="F34" s="38"/>
      <c r="G34" s="40" t="str">
        <f aca="false">IF($C34="",IF(OR($E34&lt;&gt;"",$F34&lt;&gt;""),"Criterion missing",""),IF(AND($E34&lt;&gt;"",$E34&lt;&gt;"N/A",OR(NOT(ISNUMBER($E34)),$E34&lt;0,$E34&gt;3)),"Invalid rating",IF(AND($D34="Yes",$E34="N/A"),"Must-meet cannot be N/A",IF(AND(ISNUMBER($E34),$E34&gt;=2,$E34&lt;=3,TRIM($F34)=""),"Evidence required",""))))</f>
        <v/>
      </c>
      <c r="H34" s="21" t="str">
        <f aca="false">IF($C34="","",IF(COUNTIFS('Action Plan'!$B$8:$B$57,$A34,'Action Plan'!$F$8:$F$57,"&lt;&gt;",'Action Plan'!$I$8:$I$57,"&lt;&gt;Complete")=0,"",COUNTIFS('Action Plan'!$B$8:$B$57,$A34,'Action Plan'!$F$8:$F$57,"&lt;&gt;",'Action Plan'!$I$8:$I$57,"&lt;&gt;Complete")))</f>
        <v/>
      </c>
      <c r="I34" s="9" t="n">
        <f aca="false">VALUE(LEFT($A34,FIND(".",$A34)-1))</f>
        <v>4</v>
      </c>
      <c r="J34" s="0" t="str">
        <f aca="false">IF(AND($C34&lt;&gt;"",$D34="Yes"),COUNTIFS($D$8:$D34,"Yes",$C$8:$C34,"&lt;&gt;"),"")</f>
        <v/>
      </c>
    </row>
    <row r="35" customFormat="false" ht="25.5" hidden="false" customHeight="true" outlineLevel="0" collapsed="false">
      <c r="A35" s="37" t="s">
        <v>99</v>
      </c>
      <c r="B35" s="24" t="str">
        <f aca="false">INDEX(Scoring!$B$23:$B$29,$I35)&amp;""</f>
        <v>Systems and Integration</v>
      </c>
      <c r="C35" s="38" t="s">
        <v>100</v>
      </c>
      <c r="D35" s="39"/>
      <c r="E35" s="39"/>
      <c r="F35" s="38"/>
      <c r="G35" s="40" t="str">
        <f aca="false">IF($C35="",IF(OR($E35&lt;&gt;"",$F35&lt;&gt;""),"Criterion missing",""),IF(AND($E35&lt;&gt;"",$E35&lt;&gt;"N/A",OR(NOT(ISNUMBER($E35)),$E35&lt;0,$E35&gt;3)),"Invalid rating",IF(AND($D35="Yes",$E35="N/A"),"Must-meet cannot be N/A",IF(AND(ISNUMBER($E35),$E35&gt;=2,$E35&lt;=3,TRIM($F35)=""),"Evidence required",""))))</f>
        <v/>
      </c>
      <c r="H35" s="21" t="str">
        <f aca="false">IF($C35="","",IF(COUNTIFS('Action Plan'!$B$8:$B$57,$A35,'Action Plan'!$F$8:$F$57,"&lt;&gt;",'Action Plan'!$I$8:$I$57,"&lt;&gt;Complete")=0,"",COUNTIFS('Action Plan'!$B$8:$B$57,$A35,'Action Plan'!$F$8:$F$57,"&lt;&gt;",'Action Plan'!$I$8:$I$57,"&lt;&gt;Complete")))</f>
        <v/>
      </c>
      <c r="I35" s="9" t="n">
        <f aca="false">VALUE(LEFT($A35,FIND(".",$A35)-1))</f>
        <v>4</v>
      </c>
      <c r="J35" s="0" t="str">
        <f aca="false">IF(AND($C35&lt;&gt;"",$D35="Yes"),COUNTIFS($D$8:$D35,"Yes",$C$8:$C35,"&lt;&gt;"),"")</f>
        <v/>
      </c>
    </row>
    <row r="36" customFormat="false" ht="25.5" hidden="false" customHeight="true" outlineLevel="0" collapsed="false">
      <c r="A36" s="37" t="s">
        <v>101</v>
      </c>
      <c r="B36" s="24" t="str">
        <f aca="false">INDEX(Scoring!$B$23:$B$29,$I36)&amp;""</f>
        <v>Systems and Integration</v>
      </c>
      <c r="C36" s="38" t="s">
        <v>102</v>
      </c>
      <c r="D36" s="39"/>
      <c r="E36" s="39"/>
      <c r="F36" s="38"/>
      <c r="G36" s="40" t="str">
        <f aca="false">IF($C36="",IF(OR($E36&lt;&gt;"",$F36&lt;&gt;""),"Criterion missing",""),IF(AND($E36&lt;&gt;"",$E36&lt;&gt;"N/A",OR(NOT(ISNUMBER($E36)),$E36&lt;0,$E36&gt;3)),"Invalid rating",IF(AND($D36="Yes",$E36="N/A"),"Must-meet cannot be N/A",IF(AND(ISNUMBER($E36),$E36&gt;=2,$E36&lt;=3,TRIM($F36)=""),"Evidence required",""))))</f>
        <v/>
      </c>
      <c r="H36" s="21" t="str">
        <f aca="false">IF($C36="","",IF(COUNTIFS('Action Plan'!$B$8:$B$57,$A36,'Action Plan'!$F$8:$F$57,"&lt;&gt;",'Action Plan'!$I$8:$I$57,"&lt;&gt;Complete")=0,"",COUNTIFS('Action Plan'!$B$8:$B$57,$A36,'Action Plan'!$F$8:$F$57,"&lt;&gt;",'Action Plan'!$I$8:$I$57,"&lt;&gt;Complete")))</f>
        <v/>
      </c>
      <c r="I36" s="9" t="n">
        <f aca="false">VALUE(LEFT($A36,FIND(".",$A36)-1))</f>
        <v>4</v>
      </c>
      <c r="J36" s="0" t="str">
        <f aca="false">IF(AND($C36&lt;&gt;"",$D36="Yes"),COUNTIFS($D$8:$D36,"Yes",$C$8:$C36,"&lt;&gt;"),"")</f>
        <v/>
      </c>
    </row>
    <row r="37" customFormat="false" ht="25.5" hidden="false" customHeight="true" outlineLevel="0" collapsed="false">
      <c r="A37" s="37" t="s">
        <v>103</v>
      </c>
      <c r="B37" s="24" t="str">
        <f aca="false">INDEX(Scoring!$B$23:$B$29,$I37)&amp;""</f>
        <v>Systems and Integration</v>
      </c>
      <c r="C37" s="38"/>
      <c r="D37" s="39"/>
      <c r="E37" s="39"/>
      <c r="F37" s="38"/>
      <c r="G37" s="40" t="str">
        <f aca="false">IF($C37="",IF(OR($E37&lt;&gt;"",$F37&lt;&gt;""),"Criterion missing",""),IF(AND($E37&lt;&gt;"",$E37&lt;&gt;"N/A",OR(NOT(ISNUMBER($E37)),$E37&lt;0,$E37&gt;3)),"Invalid rating",IF(AND($D37="Yes",$E37="N/A"),"Must-meet cannot be N/A",IF(AND(ISNUMBER($E37),$E37&gt;=2,$E37&lt;=3,TRIM($F37)=""),"Evidence required",""))))</f>
        <v/>
      </c>
      <c r="H37" s="21" t="str">
        <f aca="false">IF($C37="","",IF(COUNTIFS('Action Plan'!$B$8:$B$57,$A37,'Action Plan'!$F$8:$F$57,"&lt;&gt;",'Action Plan'!$I$8:$I$57,"&lt;&gt;Complete")=0,"",COUNTIFS('Action Plan'!$B$8:$B$57,$A37,'Action Plan'!$F$8:$F$57,"&lt;&gt;",'Action Plan'!$I$8:$I$57,"&lt;&gt;Complete")))</f>
        <v/>
      </c>
      <c r="I37" s="9" t="n">
        <f aca="false">VALUE(LEFT($A37,FIND(".",$A37)-1))</f>
        <v>4</v>
      </c>
      <c r="J37" s="0" t="str">
        <f aca="false">IF(AND($C37&lt;&gt;"",$D37="Yes"),COUNTIFS($D$8:$D37,"Yes",$C$8:$C37,"&lt;&gt;"),"")</f>
        <v/>
      </c>
    </row>
    <row r="38" customFormat="false" ht="25.5" hidden="false" customHeight="true" outlineLevel="0" collapsed="false">
      <c r="A38" s="37" t="s">
        <v>104</v>
      </c>
      <c r="B38" s="24" t="str">
        <f aca="false">INDEX(Scoring!$B$23:$B$29,$I38)&amp;""</f>
        <v>Systems and Integration</v>
      </c>
      <c r="C38" s="38"/>
      <c r="D38" s="39"/>
      <c r="E38" s="39"/>
      <c r="F38" s="38"/>
      <c r="G38" s="40" t="str">
        <f aca="false">IF($C38="",IF(OR($E38&lt;&gt;"",$F38&lt;&gt;""),"Criterion missing",""),IF(AND($E38&lt;&gt;"",$E38&lt;&gt;"N/A",OR(NOT(ISNUMBER($E38)),$E38&lt;0,$E38&gt;3)),"Invalid rating",IF(AND($D38="Yes",$E38="N/A"),"Must-meet cannot be N/A",IF(AND(ISNUMBER($E38),$E38&gt;=2,$E38&lt;=3,TRIM($F38)=""),"Evidence required",""))))</f>
        <v/>
      </c>
      <c r="H38" s="21" t="str">
        <f aca="false">IF($C38="","",IF(COUNTIFS('Action Plan'!$B$8:$B$57,$A38,'Action Plan'!$F$8:$F$57,"&lt;&gt;",'Action Plan'!$I$8:$I$57,"&lt;&gt;Complete")=0,"",COUNTIFS('Action Plan'!$B$8:$B$57,$A38,'Action Plan'!$F$8:$F$57,"&lt;&gt;",'Action Plan'!$I$8:$I$57,"&lt;&gt;Complete")))</f>
        <v/>
      </c>
      <c r="I38" s="9" t="n">
        <f aca="false">VALUE(LEFT($A38,FIND(".",$A38)-1))</f>
        <v>4</v>
      </c>
      <c r="J38" s="0" t="str">
        <f aca="false">IF(AND($C38&lt;&gt;"",$D38="Yes"),COUNTIFS($D$8:$D38,"Yes",$C$8:$C38,"&lt;&gt;"),"")</f>
        <v/>
      </c>
    </row>
    <row r="39" customFormat="false" ht="25.5" hidden="false" customHeight="true" outlineLevel="0" collapsed="false">
      <c r="A39" s="37" t="s">
        <v>105</v>
      </c>
      <c r="B39" s="24" t="str">
        <f aca="false">INDEX(Scoring!$B$23:$B$29,$I39)&amp;""</f>
        <v>People and Skills</v>
      </c>
      <c r="C39" s="38" t="s">
        <v>106</v>
      </c>
      <c r="D39" s="39"/>
      <c r="E39" s="39"/>
      <c r="F39" s="38"/>
      <c r="G39" s="40" t="str">
        <f aca="false">IF($C39="",IF(OR($E39&lt;&gt;"",$F39&lt;&gt;""),"Criterion missing",""),IF(AND($E39&lt;&gt;"",$E39&lt;&gt;"N/A",OR(NOT(ISNUMBER($E39)),$E39&lt;0,$E39&gt;3)),"Invalid rating",IF(AND($D39="Yes",$E39="N/A"),"Must-meet cannot be N/A",IF(AND(ISNUMBER($E39),$E39&gt;=2,$E39&lt;=3,TRIM($F39)=""),"Evidence required",""))))</f>
        <v/>
      </c>
      <c r="H39" s="21" t="str">
        <f aca="false">IF($C39="","",IF(COUNTIFS('Action Plan'!$B$8:$B$57,$A39,'Action Plan'!$F$8:$F$57,"&lt;&gt;",'Action Plan'!$I$8:$I$57,"&lt;&gt;Complete")=0,"",COUNTIFS('Action Plan'!$B$8:$B$57,$A39,'Action Plan'!$F$8:$F$57,"&lt;&gt;",'Action Plan'!$I$8:$I$57,"&lt;&gt;Complete")))</f>
        <v/>
      </c>
      <c r="I39" s="9" t="n">
        <f aca="false">VALUE(LEFT($A39,FIND(".",$A39)-1))</f>
        <v>5</v>
      </c>
      <c r="J39" s="0" t="str">
        <f aca="false">IF(AND($C39&lt;&gt;"",$D39="Yes"),COUNTIFS($D$8:$D39,"Yes",$C$8:$C39,"&lt;&gt;"),"")</f>
        <v/>
      </c>
    </row>
    <row r="40" customFormat="false" ht="25.5" hidden="false" customHeight="true" outlineLevel="0" collapsed="false">
      <c r="A40" s="37" t="s">
        <v>107</v>
      </c>
      <c r="B40" s="24" t="str">
        <f aca="false">INDEX(Scoring!$B$23:$B$29,$I40)&amp;""</f>
        <v>People and Skills</v>
      </c>
      <c r="C40" s="38" t="s">
        <v>108</v>
      </c>
      <c r="D40" s="39"/>
      <c r="E40" s="39"/>
      <c r="F40" s="38"/>
      <c r="G40" s="40" t="str">
        <f aca="false">IF($C40="",IF(OR($E40&lt;&gt;"",$F40&lt;&gt;""),"Criterion missing",""),IF(AND($E40&lt;&gt;"",$E40&lt;&gt;"N/A",OR(NOT(ISNUMBER($E40)),$E40&lt;0,$E40&gt;3)),"Invalid rating",IF(AND($D40="Yes",$E40="N/A"),"Must-meet cannot be N/A",IF(AND(ISNUMBER($E40),$E40&gt;=2,$E40&lt;=3,TRIM($F40)=""),"Evidence required",""))))</f>
        <v/>
      </c>
      <c r="H40" s="21" t="str">
        <f aca="false">IF($C40="","",IF(COUNTIFS('Action Plan'!$B$8:$B$57,$A40,'Action Plan'!$F$8:$F$57,"&lt;&gt;",'Action Plan'!$I$8:$I$57,"&lt;&gt;Complete")=0,"",COUNTIFS('Action Plan'!$B$8:$B$57,$A40,'Action Plan'!$F$8:$F$57,"&lt;&gt;",'Action Plan'!$I$8:$I$57,"&lt;&gt;Complete")))</f>
        <v/>
      </c>
      <c r="I40" s="9" t="n">
        <f aca="false">VALUE(LEFT($A40,FIND(".",$A40)-1))</f>
        <v>5</v>
      </c>
      <c r="J40" s="0" t="str">
        <f aca="false">IF(AND($C40&lt;&gt;"",$D40="Yes"),COUNTIFS($D$8:$D40,"Yes",$C$8:$C40,"&lt;&gt;"),"")</f>
        <v/>
      </c>
    </row>
    <row r="41" customFormat="false" ht="25.5" hidden="false" customHeight="true" outlineLevel="0" collapsed="false">
      <c r="A41" s="37" t="s">
        <v>109</v>
      </c>
      <c r="B41" s="24" t="str">
        <f aca="false">INDEX(Scoring!$B$23:$B$29,$I41)&amp;""</f>
        <v>People and Skills</v>
      </c>
      <c r="C41" s="38" t="s">
        <v>110</v>
      </c>
      <c r="D41" s="39" t="s">
        <v>111</v>
      </c>
      <c r="E41" s="39"/>
      <c r="F41" s="38"/>
      <c r="G41" s="40" t="str">
        <f aca="false">IF($C41="",IF(OR($E41&lt;&gt;"",$F41&lt;&gt;""),"Criterion missing",""),IF(AND($E41&lt;&gt;"",$E41&lt;&gt;"N/A",OR(NOT(ISNUMBER($E41)),$E41&lt;0,$E41&gt;3)),"Invalid rating",IF(AND($D41="Yes",$E41="N/A"),"Must-meet cannot be N/A",IF(AND(ISNUMBER($E41),$E41&gt;=2,$E41&lt;=3,TRIM($F41)=""),"Evidence required",""))))</f>
        <v/>
      </c>
      <c r="H41" s="21" t="str">
        <f aca="false">IF($C41="","",IF(COUNTIFS('Action Plan'!$B$8:$B$57,$A41,'Action Plan'!$F$8:$F$57,"&lt;&gt;",'Action Plan'!$I$8:$I$57,"&lt;&gt;Complete")=0,"",COUNTIFS('Action Plan'!$B$8:$B$57,$A41,'Action Plan'!$F$8:$F$57,"&lt;&gt;",'Action Plan'!$I$8:$I$57,"&lt;&gt;Complete")))</f>
        <v/>
      </c>
      <c r="I41" s="9" t="n">
        <f aca="false">VALUE(LEFT($A41,FIND(".",$A41)-1))</f>
        <v>5</v>
      </c>
      <c r="J41" s="9" t="n">
        <f aca="false">IF(AND($C41&lt;&gt;"",$D41="Yes"),COUNTIFS($D$8:$D41,"Yes",$C$8:$C41,"&lt;&gt;"),"")</f>
        <v>1</v>
      </c>
    </row>
    <row r="42" customFormat="false" ht="25.5" hidden="false" customHeight="true" outlineLevel="0" collapsed="false">
      <c r="A42" s="37" t="s">
        <v>112</v>
      </c>
      <c r="B42" s="24" t="str">
        <f aca="false">INDEX(Scoring!$B$23:$B$29,$I42)&amp;""</f>
        <v>People and Skills</v>
      </c>
      <c r="C42" s="38" t="s">
        <v>113</v>
      </c>
      <c r="D42" s="39"/>
      <c r="E42" s="39"/>
      <c r="F42" s="38"/>
      <c r="G42" s="40" t="str">
        <f aca="false">IF($C42="",IF(OR($E42&lt;&gt;"",$F42&lt;&gt;""),"Criterion missing",""),IF(AND($E42&lt;&gt;"",$E42&lt;&gt;"N/A",OR(NOT(ISNUMBER($E42)),$E42&lt;0,$E42&gt;3)),"Invalid rating",IF(AND($D42="Yes",$E42="N/A"),"Must-meet cannot be N/A",IF(AND(ISNUMBER($E42),$E42&gt;=2,$E42&lt;=3,TRIM($F42)=""),"Evidence required",""))))</f>
        <v/>
      </c>
      <c r="H42" s="21" t="str">
        <f aca="false">IF($C42="","",IF(COUNTIFS('Action Plan'!$B$8:$B$57,$A42,'Action Plan'!$F$8:$F$57,"&lt;&gt;",'Action Plan'!$I$8:$I$57,"&lt;&gt;Complete")=0,"",COUNTIFS('Action Plan'!$B$8:$B$57,$A42,'Action Plan'!$F$8:$F$57,"&lt;&gt;",'Action Plan'!$I$8:$I$57,"&lt;&gt;Complete")))</f>
        <v/>
      </c>
      <c r="I42" s="9" t="n">
        <f aca="false">VALUE(LEFT($A42,FIND(".",$A42)-1))</f>
        <v>5</v>
      </c>
      <c r="J42" s="0" t="str">
        <f aca="false">IF(AND($C42&lt;&gt;"",$D42="Yes"),COUNTIFS($D$8:$D42,"Yes",$C$8:$C42,"&lt;&gt;"),"")</f>
        <v/>
      </c>
    </row>
    <row r="43" customFormat="false" ht="25.5" hidden="false" customHeight="true" outlineLevel="0" collapsed="false">
      <c r="A43" s="37" t="s">
        <v>114</v>
      </c>
      <c r="B43" s="24" t="str">
        <f aca="false">INDEX(Scoring!$B$23:$B$29,$I43)&amp;""</f>
        <v>People and Skills</v>
      </c>
      <c r="C43" s="38" t="s">
        <v>115</v>
      </c>
      <c r="D43" s="39"/>
      <c r="E43" s="39"/>
      <c r="F43" s="38"/>
      <c r="G43" s="40" t="str">
        <f aca="false">IF($C43="",IF(OR($E43&lt;&gt;"",$F43&lt;&gt;""),"Criterion missing",""),IF(AND($E43&lt;&gt;"",$E43&lt;&gt;"N/A",OR(NOT(ISNUMBER($E43)),$E43&lt;0,$E43&gt;3)),"Invalid rating",IF(AND($D43="Yes",$E43="N/A"),"Must-meet cannot be N/A",IF(AND(ISNUMBER($E43),$E43&gt;=2,$E43&lt;=3,TRIM($F43)=""),"Evidence required",""))))</f>
        <v/>
      </c>
      <c r="H43" s="21" t="str">
        <f aca="false">IF($C43="","",IF(COUNTIFS('Action Plan'!$B$8:$B$57,$A43,'Action Plan'!$F$8:$F$57,"&lt;&gt;",'Action Plan'!$I$8:$I$57,"&lt;&gt;Complete")=0,"",COUNTIFS('Action Plan'!$B$8:$B$57,$A43,'Action Plan'!$F$8:$F$57,"&lt;&gt;",'Action Plan'!$I$8:$I$57,"&lt;&gt;Complete")))</f>
        <v/>
      </c>
      <c r="I43" s="9" t="n">
        <f aca="false">VALUE(LEFT($A43,FIND(".",$A43)-1))</f>
        <v>5</v>
      </c>
      <c r="J43" s="0" t="str">
        <f aca="false">IF(AND($C43&lt;&gt;"",$D43="Yes"),COUNTIFS($D$8:$D43,"Yes",$C$8:$C43,"&lt;&gt;"),"")</f>
        <v/>
      </c>
    </row>
    <row r="44" customFormat="false" ht="25.5" hidden="false" customHeight="true" outlineLevel="0" collapsed="false">
      <c r="A44" s="37" t="s">
        <v>116</v>
      </c>
      <c r="B44" s="24" t="str">
        <f aca="false">INDEX(Scoring!$B$23:$B$29,$I44)&amp;""</f>
        <v>People and Skills</v>
      </c>
      <c r="C44" s="38" t="s">
        <v>117</v>
      </c>
      <c r="D44" s="39"/>
      <c r="E44" s="39"/>
      <c r="F44" s="38"/>
      <c r="G44" s="40" t="str">
        <f aca="false">IF($C44="",IF(OR($E44&lt;&gt;"",$F44&lt;&gt;""),"Criterion missing",""),IF(AND($E44&lt;&gt;"",$E44&lt;&gt;"N/A",OR(NOT(ISNUMBER($E44)),$E44&lt;0,$E44&gt;3)),"Invalid rating",IF(AND($D44="Yes",$E44="N/A"),"Must-meet cannot be N/A",IF(AND(ISNUMBER($E44),$E44&gt;=2,$E44&lt;=3,TRIM($F44)=""),"Evidence required",""))))</f>
        <v/>
      </c>
      <c r="H44" s="21" t="str">
        <f aca="false">IF($C44="","",IF(COUNTIFS('Action Plan'!$B$8:$B$57,$A44,'Action Plan'!$F$8:$F$57,"&lt;&gt;",'Action Plan'!$I$8:$I$57,"&lt;&gt;Complete")=0,"",COUNTIFS('Action Plan'!$B$8:$B$57,$A44,'Action Plan'!$F$8:$F$57,"&lt;&gt;",'Action Plan'!$I$8:$I$57,"&lt;&gt;Complete")))</f>
        <v/>
      </c>
      <c r="I44" s="9" t="n">
        <f aca="false">VALUE(LEFT($A44,FIND(".",$A44)-1))</f>
        <v>5</v>
      </c>
      <c r="J44" s="0" t="str">
        <f aca="false">IF(AND($C44&lt;&gt;"",$D44="Yes"),COUNTIFS($D$8:$D44,"Yes",$C$8:$C44,"&lt;&gt;"),"")</f>
        <v/>
      </c>
    </row>
    <row r="45" customFormat="false" ht="25.5" hidden="false" customHeight="true" outlineLevel="0" collapsed="false">
      <c r="A45" s="37" t="s">
        <v>118</v>
      </c>
      <c r="B45" s="24" t="str">
        <f aca="false">INDEX(Scoring!$B$23:$B$29,$I45)&amp;""</f>
        <v>People and Skills</v>
      </c>
      <c r="C45" s="38" t="s">
        <v>119</v>
      </c>
      <c r="D45" s="39"/>
      <c r="E45" s="39"/>
      <c r="F45" s="38"/>
      <c r="G45" s="40" t="str">
        <f aca="false">IF($C45="",IF(OR($E45&lt;&gt;"",$F45&lt;&gt;""),"Criterion missing",""),IF(AND($E45&lt;&gt;"",$E45&lt;&gt;"N/A",OR(NOT(ISNUMBER($E45)),$E45&lt;0,$E45&gt;3)),"Invalid rating",IF(AND($D45="Yes",$E45="N/A"),"Must-meet cannot be N/A",IF(AND(ISNUMBER($E45),$E45&gt;=2,$E45&lt;=3,TRIM($F45)=""),"Evidence required",""))))</f>
        <v/>
      </c>
      <c r="H45" s="21" t="str">
        <f aca="false">IF($C45="","",IF(COUNTIFS('Action Plan'!$B$8:$B$57,$A45,'Action Plan'!$F$8:$F$57,"&lt;&gt;",'Action Plan'!$I$8:$I$57,"&lt;&gt;Complete")=0,"",COUNTIFS('Action Plan'!$B$8:$B$57,$A45,'Action Plan'!$F$8:$F$57,"&lt;&gt;",'Action Plan'!$I$8:$I$57,"&lt;&gt;Complete")))</f>
        <v/>
      </c>
      <c r="I45" s="9" t="n">
        <f aca="false">VALUE(LEFT($A45,FIND(".",$A45)-1))</f>
        <v>5</v>
      </c>
      <c r="J45" s="0" t="str">
        <f aca="false">IF(AND($C45&lt;&gt;"",$D45="Yes"),COUNTIFS($D$8:$D45,"Yes",$C$8:$C45,"&lt;&gt;"),"")</f>
        <v/>
      </c>
    </row>
    <row r="46" customFormat="false" ht="25.5" hidden="false" customHeight="true" outlineLevel="0" collapsed="false">
      <c r="A46" s="37" t="s">
        <v>120</v>
      </c>
      <c r="B46" s="24" t="str">
        <f aca="false">INDEX(Scoring!$B$23:$B$29,$I46)&amp;""</f>
        <v>People and Skills</v>
      </c>
      <c r="C46" s="38"/>
      <c r="D46" s="39"/>
      <c r="E46" s="39"/>
      <c r="F46" s="38"/>
      <c r="G46" s="40" t="str">
        <f aca="false">IF($C46="",IF(OR($E46&lt;&gt;"",$F46&lt;&gt;""),"Criterion missing",""),IF(AND($E46&lt;&gt;"",$E46&lt;&gt;"N/A",OR(NOT(ISNUMBER($E46)),$E46&lt;0,$E46&gt;3)),"Invalid rating",IF(AND($D46="Yes",$E46="N/A"),"Must-meet cannot be N/A",IF(AND(ISNUMBER($E46),$E46&gt;=2,$E46&lt;=3,TRIM($F46)=""),"Evidence required",""))))</f>
        <v/>
      </c>
      <c r="H46" s="21" t="str">
        <f aca="false">IF($C46="","",IF(COUNTIFS('Action Plan'!$B$8:$B$57,$A46,'Action Plan'!$F$8:$F$57,"&lt;&gt;",'Action Plan'!$I$8:$I$57,"&lt;&gt;Complete")=0,"",COUNTIFS('Action Plan'!$B$8:$B$57,$A46,'Action Plan'!$F$8:$F$57,"&lt;&gt;",'Action Plan'!$I$8:$I$57,"&lt;&gt;Complete")))</f>
        <v/>
      </c>
      <c r="I46" s="9" t="n">
        <f aca="false">VALUE(LEFT($A46,FIND(".",$A46)-1))</f>
        <v>5</v>
      </c>
      <c r="J46" s="0" t="str">
        <f aca="false">IF(AND($C46&lt;&gt;"",$D46="Yes"),COUNTIFS($D$8:$D46,"Yes",$C$8:$C46,"&lt;&gt;"),"")</f>
        <v/>
      </c>
    </row>
    <row r="47" customFormat="false" ht="25.5" hidden="false" customHeight="true" outlineLevel="0" collapsed="false">
      <c r="A47" s="37" t="s">
        <v>121</v>
      </c>
      <c r="B47" s="24" t="str">
        <f aca="false">INDEX(Scoring!$B$23:$B$29,$I47)&amp;""</f>
        <v>People and Skills</v>
      </c>
      <c r="C47" s="38"/>
      <c r="D47" s="39"/>
      <c r="E47" s="39"/>
      <c r="F47" s="38"/>
      <c r="G47" s="40" t="str">
        <f aca="false">IF($C47="",IF(OR($E47&lt;&gt;"",$F47&lt;&gt;""),"Criterion missing",""),IF(AND($E47&lt;&gt;"",$E47&lt;&gt;"N/A",OR(NOT(ISNUMBER($E47)),$E47&lt;0,$E47&gt;3)),"Invalid rating",IF(AND($D47="Yes",$E47="N/A"),"Must-meet cannot be N/A",IF(AND(ISNUMBER($E47),$E47&gt;=2,$E47&lt;=3,TRIM($F47)=""),"Evidence required",""))))</f>
        <v/>
      </c>
      <c r="H47" s="21" t="str">
        <f aca="false">IF($C47="","",IF(COUNTIFS('Action Plan'!$B$8:$B$57,$A47,'Action Plan'!$F$8:$F$57,"&lt;&gt;",'Action Plan'!$I$8:$I$57,"&lt;&gt;Complete")=0,"",COUNTIFS('Action Plan'!$B$8:$B$57,$A47,'Action Plan'!$F$8:$F$57,"&lt;&gt;",'Action Plan'!$I$8:$I$57,"&lt;&gt;Complete")))</f>
        <v/>
      </c>
      <c r="I47" s="9" t="n">
        <f aca="false">VALUE(LEFT($A47,FIND(".",$A47)-1))</f>
        <v>5</v>
      </c>
      <c r="J47" s="0" t="str">
        <f aca="false">IF(AND($C47&lt;&gt;"",$D47="Yes"),COUNTIFS($D$8:$D47,"Yes",$C$8:$C47,"&lt;&gt;"),"")</f>
        <v/>
      </c>
    </row>
    <row r="48" customFormat="false" ht="25.5" hidden="false" customHeight="true" outlineLevel="0" collapsed="false">
      <c r="A48" s="37" t="s">
        <v>122</v>
      </c>
      <c r="B48" s="24" t="str">
        <f aca="false">INDEX(Scoring!$B$23:$B$29,$I48)&amp;""</f>
        <v>Governance and Risk</v>
      </c>
      <c r="C48" s="38" t="s">
        <v>123</v>
      </c>
      <c r="D48" s="39" t="s">
        <v>111</v>
      </c>
      <c r="E48" s="39"/>
      <c r="F48" s="38"/>
      <c r="G48" s="40" t="str">
        <f aca="false">IF($C48="",IF(OR($E48&lt;&gt;"",$F48&lt;&gt;""),"Criterion missing",""),IF(AND($E48&lt;&gt;"",$E48&lt;&gt;"N/A",OR(NOT(ISNUMBER($E48)),$E48&lt;0,$E48&gt;3)),"Invalid rating",IF(AND($D48="Yes",$E48="N/A"),"Must-meet cannot be N/A",IF(AND(ISNUMBER($E48),$E48&gt;=2,$E48&lt;=3,TRIM($F48)=""),"Evidence required",""))))</f>
        <v/>
      </c>
      <c r="H48" s="21" t="str">
        <f aca="false">IF($C48="","",IF(COUNTIFS('Action Plan'!$B$8:$B$57,$A48,'Action Plan'!$F$8:$F$57,"&lt;&gt;",'Action Plan'!$I$8:$I$57,"&lt;&gt;Complete")=0,"",COUNTIFS('Action Plan'!$B$8:$B$57,$A48,'Action Plan'!$F$8:$F$57,"&lt;&gt;",'Action Plan'!$I$8:$I$57,"&lt;&gt;Complete")))</f>
        <v/>
      </c>
      <c r="I48" s="9" t="n">
        <f aca="false">VALUE(LEFT($A48,FIND(".",$A48)-1))</f>
        <v>6</v>
      </c>
      <c r="J48" s="9" t="n">
        <f aca="false">IF(AND($C48&lt;&gt;"",$D48="Yes"),COUNTIFS($D$8:$D48,"Yes",$C$8:$C48,"&lt;&gt;"),"")</f>
        <v>2</v>
      </c>
    </row>
    <row r="49" customFormat="false" ht="25.5" hidden="false" customHeight="true" outlineLevel="0" collapsed="false">
      <c r="A49" s="37" t="s">
        <v>124</v>
      </c>
      <c r="B49" s="24" t="str">
        <f aca="false">INDEX(Scoring!$B$23:$B$29,$I49)&amp;""</f>
        <v>Governance and Risk</v>
      </c>
      <c r="C49" s="38" t="s">
        <v>125</v>
      </c>
      <c r="D49" s="39"/>
      <c r="E49" s="39"/>
      <c r="F49" s="38"/>
      <c r="G49" s="40" t="str">
        <f aca="false">IF($C49="",IF(OR($E49&lt;&gt;"",$F49&lt;&gt;""),"Criterion missing",""),IF(AND($E49&lt;&gt;"",$E49&lt;&gt;"N/A",OR(NOT(ISNUMBER($E49)),$E49&lt;0,$E49&gt;3)),"Invalid rating",IF(AND($D49="Yes",$E49="N/A"),"Must-meet cannot be N/A",IF(AND(ISNUMBER($E49),$E49&gt;=2,$E49&lt;=3,TRIM($F49)=""),"Evidence required",""))))</f>
        <v/>
      </c>
      <c r="H49" s="21" t="str">
        <f aca="false">IF($C49="","",IF(COUNTIFS('Action Plan'!$B$8:$B$57,$A49,'Action Plan'!$F$8:$F$57,"&lt;&gt;",'Action Plan'!$I$8:$I$57,"&lt;&gt;Complete")=0,"",COUNTIFS('Action Plan'!$B$8:$B$57,$A49,'Action Plan'!$F$8:$F$57,"&lt;&gt;",'Action Plan'!$I$8:$I$57,"&lt;&gt;Complete")))</f>
        <v/>
      </c>
      <c r="I49" s="9" t="n">
        <f aca="false">VALUE(LEFT($A49,FIND(".",$A49)-1))</f>
        <v>6</v>
      </c>
      <c r="J49" s="0" t="str">
        <f aca="false">IF(AND($C49&lt;&gt;"",$D49="Yes"),COUNTIFS($D$8:$D49,"Yes",$C$8:$C49,"&lt;&gt;"),"")</f>
        <v/>
      </c>
    </row>
    <row r="50" customFormat="false" ht="25.5" hidden="false" customHeight="true" outlineLevel="0" collapsed="false">
      <c r="A50" s="37" t="s">
        <v>126</v>
      </c>
      <c r="B50" s="24" t="str">
        <f aca="false">INDEX(Scoring!$B$23:$B$29,$I50)&amp;""</f>
        <v>Governance and Risk</v>
      </c>
      <c r="C50" s="38" t="s">
        <v>127</v>
      </c>
      <c r="D50" s="39" t="s">
        <v>111</v>
      </c>
      <c r="E50" s="39"/>
      <c r="F50" s="38"/>
      <c r="G50" s="40" t="str">
        <f aca="false">IF($C50="",IF(OR($E50&lt;&gt;"",$F50&lt;&gt;""),"Criterion missing",""),IF(AND($E50&lt;&gt;"",$E50&lt;&gt;"N/A",OR(NOT(ISNUMBER($E50)),$E50&lt;0,$E50&gt;3)),"Invalid rating",IF(AND($D50="Yes",$E50="N/A"),"Must-meet cannot be N/A",IF(AND(ISNUMBER($E50),$E50&gt;=2,$E50&lt;=3,TRIM($F50)=""),"Evidence required",""))))</f>
        <v/>
      </c>
      <c r="H50" s="21" t="str">
        <f aca="false">IF($C50="","",IF(COUNTIFS('Action Plan'!$B$8:$B$57,$A50,'Action Plan'!$F$8:$F$57,"&lt;&gt;",'Action Plan'!$I$8:$I$57,"&lt;&gt;Complete")=0,"",COUNTIFS('Action Plan'!$B$8:$B$57,$A50,'Action Plan'!$F$8:$F$57,"&lt;&gt;",'Action Plan'!$I$8:$I$57,"&lt;&gt;Complete")))</f>
        <v/>
      </c>
      <c r="I50" s="9" t="n">
        <f aca="false">VALUE(LEFT($A50,FIND(".",$A50)-1))</f>
        <v>6</v>
      </c>
      <c r="J50" s="9" t="n">
        <f aca="false">IF(AND($C50&lt;&gt;"",$D50="Yes"),COUNTIFS($D$8:$D50,"Yes",$C$8:$C50,"&lt;&gt;"),"")</f>
        <v>3</v>
      </c>
    </row>
    <row r="51" customFormat="false" ht="25.5" hidden="false" customHeight="true" outlineLevel="0" collapsed="false">
      <c r="A51" s="37" t="s">
        <v>128</v>
      </c>
      <c r="B51" s="24" t="str">
        <f aca="false">INDEX(Scoring!$B$23:$B$29,$I51)&amp;""</f>
        <v>Governance and Risk</v>
      </c>
      <c r="C51" s="38" t="s">
        <v>129</v>
      </c>
      <c r="D51" s="39"/>
      <c r="E51" s="39"/>
      <c r="F51" s="38"/>
      <c r="G51" s="40" t="str">
        <f aca="false">IF($C51="",IF(OR($E51&lt;&gt;"",$F51&lt;&gt;""),"Criterion missing",""),IF(AND($E51&lt;&gt;"",$E51&lt;&gt;"N/A",OR(NOT(ISNUMBER($E51)),$E51&lt;0,$E51&gt;3)),"Invalid rating",IF(AND($D51="Yes",$E51="N/A"),"Must-meet cannot be N/A",IF(AND(ISNUMBER($E51),$E51&gt;=2,$E51&lt;=3,TRIM($F51)=""),"Evidence required",""))))</f>
        <v/>
      </c>
      <c r="H51" s="21" t="str">
        <f aca="false">IF($C51="","",IF(COUNTIFS('Action Plan'!$B$8:$B$57,$A51,'Action Plan'!$F$8:$F$57,"&lt;&gt;",'Action Plan'!$I$8:$I$57,"&lt;&gt;Complete")=0,"",COUNTIFS('Action Plan'!$B$8:$B$57,$A51,'Action Plan'!$F$8:$F$57,"&lt;&gt;",'Action Plan'!$I$8:$I$57,"&lt;&gt;Complete")))</f>
        <v/>
      </c>
      <c r="I51" s="9" t="n">
        <f aca="false">VALUE(LEFT($A51,FIND(".",$A51)-1))</f>
        <v>6</v>
      </c>
      <c r="J51" s="0" t="str">
        <f aca="false">IF(AND($C51&lt;&gt;"",$D51="Yes"),COUNTIFS($D$8:$D51,"Yes",$C$8:$C51,"&lt;&gt;"),"")</f>
        <v/>
      </c>
    </row>
    <row r="52" customFormat="false" ht="25.5" hidden="false" customHeight="true" outlineLevel="0" collapsed="false">
      <c r="A52" s="37" t="s">
        <v>130</v>
      </c>
      <c r="B52" s="24" t="str">
        <f aca="false">INDEX(Scoring!$B$23:$B$29,$I52)&amp;""</f>
        <v>Governance and Risk</v>
      </c>
      <c r="C52" s="38" t="s">
        <v>131</v>
      </c>
      <c r="D52" s="39"/>
      <c r="E52" s="39"/>
      <c r="F52" s="38"/>
      <c r="G52" s="40" t="str">
        <f aca="false">IF($C52="",IF(OR($E52&lt;&gt;"",$F52&lt;&gt;""),"Criterion missing",""),IF(AND($E52&lt;&gt;"",$E52&lt;&gt;"N/A",OR(NOT(ISNUMBER($E52)),$E52&lt;0,$E52&gt;3)),"Invalid rating",IF(AND($D52="Yes",$E52="N/A"),"Must-meet cannot be N/A",IF(AND(ISNUMBER($E52),$E52&gt;=2,$E52&lt;=3,TRIM($F52)=""),"Evidence required",""))))</f>
        <v/>
      </c>
      <c r="H52" s="21" t="str">
        <f aca="false">IF($C52="","",IF(COUNTIFS('Action Plan'!$B$8:$B$57,$A52,'Action Plan'!$F$8:$F$57,"&lt;&gt;",'Action Plan'!$I$8:$I$57,"&lt;&gt;Complete")=0,"",COUNTIFS('Action Plan'!$B$8:$B$57,$A52,'Action Plan'!$F$8:$F$57,"&lt;&gt;",'Action Plan'!$I$8:$I$57,"&lt;&gt;Complete")))</f>
        <v/>
      </c>
      <c r="I52" s="9" t="n">
        <f aca="false">VALUE(LEFT($A52,FIND(".",$A52)-1))</f>
        <v>6</v>
      </c>
      <c r="J52" s="0" t="str">
        <f aca="false">IF(AND($C52&lt;&gt;"",$D52="Yes"),COUNTIFS($D$8:$D52,"Yes",$C$8:$C52,"&lt;&gt;"),"")</f>
        <v/>
      </c>
    </row>
    <row r="53" customFormat="false" ht="25.5" hidden="false" customHeight="true" outlineLevel="0" collapsed="false">
      <c r="A53" s="37" t="s">
        <v>132</v>
      </c>
      <c r="B53" s="24" t="str">
        <f aca="false">INDEX(Scoring!$B$23:$B$29,$I53)&amp;""</f>
        <v>Governance and Risk</v>
      </c>
      <c r="C53" s="38" t="s">
        <v>133</v>
      </c>
      <c r="D53" s="39"/>
      <c r="E53" s="39"/>
      <c r="F53" s="38"/>
      <c r="G53" s="40" t="str">
        <f aca="false">IF($C53="",IF(OR($E53&lt;&gt;"",$F53&lt;&gt;""),"Criterion missing",""),IF(AND($E53&lt;&gt;"",$E53&lt;&gt;"N/A",OR(NOT(ISNUMBER($E53)),$E53&lt;0,$E53&gt;3)),"Invalid rating",IF(AND($D53="Yes",$E53="N/A"),"Must-meet cannot be N/A",IF(AND(ISNUMBER($E53),$E53&gt;=2,$E53&lt;=3,TRIM($F53)=""),"Evidence required",""))))</f>
        <v/>
      </c>
      <c r="H53" s="21" t="str">
        <f aca="false">IF($C53="","",IF(COUNTIFS('Action Plan'!$B$8:$B$57,$A53,'Action Plan'!$F$8:$F$57,"&lt;&gt;",'Action Plan'!$I$8:$I$57,"&lt;&gt;Complete")=0,"",COUNTIFS('Action Plan'!$B$8:$B$57,$A53,'Action Plan'!$F$8:$F$57,"&lt;&gt;",'Action Plan'!$I$8:$I$57,"&lt;&gt;Complete")))</f>
        <v/>
      </c>
      <c r="I53" s="9" t="n">
        <f aca="false">VALUE(LEFT($A53,FIND(".",$A53)-1))</f>
        <v>6</v>
      </c>
      <c r="J53" s="0" t="str">
        <f aca="false">IF(AND($C53&lt;&gt;"",$D53="Yes"),COUNTIFS($D$8:$D53,"Yes",$C$8:$C53,"&lt;&gt;"),"")</f>
        <v/>
      </c>
    </row>
    <row r="54" customFormat="false" ht="25.5" hidden="false" customHeight="true" outlineLevel="0" collapsed="false">
      <c r="A54" s="37" t="s">
        <v>134</v>
      </c>
      <c r="B54" s="24" t="str">
        <f aca="false">INDEX(Scoring!$B$23:$B$29,$I54)&amp;""</f>
        <v>Governance and Risk</v>
      </c>
      <c r="C54" s="38" t="s">
        <v>135</v>
      </c>
      <c r="D54" s="39"/>
      <c r="E54" s="39"/>
      <c r="F54" s="38"/>
      <c r="G54" s="40" t="str">
        <f aca="false">IF($C54="",IF(OR($E54&lt;&gt;"",$F54&lt;&gt;""),"Criterion missing",""),IF(AND($E54&lt;&gt;"",$E54&lt;&gt;"N/A",OR(NOT(ISNUMBER($E54)),$E54&lt;0,$E54&gt;3)),"Invalid rating",IF(AND($D54="Yes",$E54="N/A"),"Must-meet cannot be N/A",IF(AND(ISNUMBER($E54),$E54&gt;=2,$E54&lt;=3,TRIM($F54)=""),"Evidence required",""))))</f>
        <v/>
      </c>
      <c r="H54" s="21" t="str">
        <f aca="false">IF($C54="","",IF(COUNTIFS('Action Plan'!$B$8:$B$57,$A54,'Action Plan'!$F$8:$F$57,"&lt;&gt;",'Action Plan'!$I$8:$I$57,"&lt;&gt;Complete")=0,"",COUNTIFS('Action Plan'!$B$8:$B$57,$A54,'Action Plan'!$F$8:$F$57,"&lt;&gt;",'Action Plan'!$I$8:$I$57,"&lt;&gt;Complete")))</f>
        <v/>
      </c>
      <c r="I54" s="9" t="n">
        <f aca="false">VALUE(LEFT($A54,FIND(".",$A54)-1))</f>
        <v>6</v>
      </c>
      <c r="J54" s="0" t="str">
        <f aca="false">IF(AND($C54&lt;&gt;"",$D54="Yes"),COUNTIFS($D$8:$D54,"Yes",$C$8:$C54,"&lt;&gt;"),"")</f>
        <v/>
      </c>
    </row>
    <row r="55" customFormat="false" ht="25.5" hidden="false" customHeight="true" outlineLevel="0" collapsed="false">
      <c r="A55" s="37" t="s">
        <v>136</v>
      </c>
      <c r="B55" s="24" t="str">
        <f aca="false">INDEX(Scoring!$B$23:$B$29,$I55)&amp;""</f>
        <v>Governance and Risk</v>
      </c>
      <c r="C55" s="38"/>
      <c r="D55" s="39"/>
      <c r="E55" s="39"/>
      <c r="F55" s="38"/>
      <c r="G55" s="40" t="str">
        <f aca="false">IF($C55="",IF(OR($E55&lt;&gt;"",$F55&lt;&gt;""),"Criterion missing",""),IF(AND($E55&lt;&gt;"",$E55&lt;&gt;"N/A",OR(NOT(ISNUMBER($E55)),$E55&lt;0,$E55&gt;3)),"Invalid rating",IF(AND($D55="Yes",$E55="N/A"),"Must-meet cannot be N/A",IF(AND(ISNUMBER($E55),$E55&gt;=2,$E55&lt;=3,TRIM($F55)=""),"Evidence required",""))))</f>
        <v/>
      </c>
      <c r="H55" s="21" t="str">
        <f aca="false">IF($C55="","",IF(COUNTIFS('Action Plan'!$B$8:$B$57,$A55,'Action Plan'!$F$8:$F$57,"&lt;&gt;",'Action Plan'!$I$8:$I$57,"&lt;&gt;Complete")=0,"",COUNTIFS('Action Plan'!$B$8:$B$57,$A55,'Action Plan'!$F$8:$F$57,"&lt;&gt;",'Action Plan'!$I$8:$I$57,"&lt;&gt;Complete")))</f>
        <v/>
      </c>
      <c r="I55" s="9" t="n">
        <f aca="false">VALUE(LEFT($A55,FIND(".",$A55)-1))</f>
        <v>6</v>
      </c>
      <c r="J55" s="0" t="str">
        <f aca="false">IF(AND($C55&lt;&gt;"",$D55="Yes"),COUNTIFS($D$8:$D55,"Yes",$C$8:$C55,"&lt;&gt;"),"")</f>
        <v/>
      </c>
    </row>
    <row r="56" customFormat="false" ht="25.5" hidden="false" customHeight="true" outlineLevel="0" collapsed="false">
      <c r="A56" s="37" t="s">
        <v>137</v>
      </c>
      <c r="B56" s="24" t="str">
        <f aca="false">INDEX(Scoring!$B$23:$B$29,$I56)&amp;""</f>
        <v>Governance and Risk</v>
      </c>
      <c r="C56" s="38"/>
      <c r="D56" s="39"/>
      <c r="E56" s="39"/>
      <c r="F56" s="38"/>
      <c r="G56" s="40" t="str">
        <f aca="false">IF($C56="",IF(OR($E56&lt;&gt;"",$F56&lt;&gt;""),"Criterion missing",""),IF(AND($E56&lt;&gt;"",$E56&lt;&gt;"N/A",OR(NOT(ISNUMBER($E56)),$E56&lt;0,$E56&gt;3)),"Invalid rating",IF(AND($D56="Yes",$E56="N/A"),"Must-meet cannot be N/A",IF(AND(ISNUMBER($E56),$E56&gt;=2,$E56&lt;=3,TRIM($F56)=""),"Evidence required",""))))</f>
        <v/>
      </c>
      <c r="H56" s="21" t="str">
        <f aca="false">IF($C56="","",IF(COUNTIFS('Action Plan'!$B$8:$B$57,$A56,'Action Plan'!$F$8:$F$57,"&lt;&gt;",'Action Plan'!$I$8:$I$57,"&lt;&gt;Complete")=0,"",COUNTIFS('Action Plan'!$B$8:$B$57,$A56,'Action Plan'!$F$8:$F$57,"&lt;&gt;",'Action Plan'!$I$8:$I$57,"&lt;&gt;Complete")))</f>
        <v/>
      </c>
      <c r="I56" s="9" t="n">
        <f aca="false">VALUE(LEFT($A56,FIND(".",$A56)-1))</f>
        <v>6</v>
      </c>
      <c r="J56" s="0" t="str">
        <f aca="false">IF(AND($C56&lt;&gt;"",$D56="Yes"),COUNTIFS($D$8:$D56,"Yes",$C$8:$C56,"&lt;&gt;"),"")</f>
        <v/>
      </c>
    </row>
    <row r="57" customFormat="false" ht="25.5" hidden="false" customHeight="true" outlineLevel="0" collapsed="false">
      <c r="A57" s="37" t="s">
        <v>138</v>
      </c>
      <c r="B57" s="24" t="str">
        <f aca="false">INDEX(Scoring!$B$23:$B$29,$I57)&amp;""</f>
        <v>Security and Privacy</v>
      </c>
      <c r="C57" s="38" t="s">
        <v>139</v>
      </c>
      <c r="D57" s="39" t="s">
        <v>111</v>
      </c>
      <c r="E57" s="39"/>
      <c r="F57" s="38"/>
      <c r="G57" s="40" t="str">
        <f aca="false">IF($C57="",IF(OR($E57&lt;&gt;"",$F57&lt;&gt;""),"Criterion missing",""),IF(AND($E57&lt;&gt;"",$E57&lt;&gt;"N/A",OR(NOT(ISNUMBER($E57)),$E57&lt;0,$E57&gt;3)),"Invalid rating",IF(AND($D57="Yes",$E57="N/A"),"Must-meet cannot be N/A",IF(AND(ISNUMBER($E57),$E57&gt;=2,$E57&lt;=3,TRIM($F57)=""),"Evidence required",""))))</f>
        <v/>
      </c>
      <c r="H57" s="21" t="str">
        <f aca="false">IF($C57="","",IF(COUNTIFS('Action Plan'!$B$8:$B$57,$A57,'Action Plan'!$F$8:$F$57,"&lt;&gt;",'Action Plan'!$I$8:$I$57,"&lt;&gt;Complete")=0,"",COUNTIFS('Action Plan'!$B$8:$B$57,$A57,'Action Plan'!$F$8:$F$57,"&lt;&gt;",'Action Plan'!$I$8:$I$57,"&lt;&gt;Complete")))</f>
        <v/>
      </c>
      <c r="I57" s="9" t="n">
        <f aca="false">VALUE(LEFT($A57,FIND(".",$A57)-1))</f>
        <v>7</v>
      </c>
      <c r="J57" s="9" t="n">
        <f aca="false">IF(AND($C57&lt;&gt;"",$D57="Yes"),COUNTIFS($D$8:$D57,"Yes",$C$8:$C57,"&lt;&gt;"),"")</f>
        <v>4</v>
      </c>
    </row>
    <row r="58" customFormat="false" ht="25.5" hidden="false" customHeight="true" outlineLevel="0" collapsed="false">
      <c r="A58" s="37" t="s">
        <v>140</v>
      </c>
      <c r="B58" s="24" t="str">
        <f aca="false">INDEX(Scoring!$B$23:$B$29,$I58)&amp;""</f>
        <v>Security and Privacy</v>
      </c>
      <c r="C58" s="38" t="s">
        <v>141</v>
      </c>
      <c r="D58" s="39"/>
      <c r="E58" s="39"/>
      <c r="F58" s="38"/>
      <c r="G58" s="40" t="str">
        <f aca="false">IF($C58="",IF(OR($E58&lt;&gt;"",$F58&lt;&gt;""),"Criterion missing",""),IF(AND($E58&lt;&gt;"",$E58&lt;&gt;"N/A",OR(NOT(ISNUMBER($E58)),$E58&lt;0,$E58&gt;3)),"Invalid rating",IF(AND($D58="Yes",$E58="N/A"),"Must-meet cannot be N/A",IF(AND(ISNUMBER($E58),$E58&gt;=2,$E58&lt;=3,TRIM($F58)=""),"Evidence required",""))))</f>
        <v/>
      </c>
      <c r="H58" s="21" t="str">
        <f aca="false">IF($C58="","",IF(COUNTIFS('Action Plan'!$B$8:$B$57,$A58,'Action Plan'!$F$8:$F$57,"&lt;&gt;",'Action Plan'!$I$8:$I$57,"&lt;&gt;Complete")=0,"",COUNTIFS('Action Plan'!$B$8:$B$57,$A58,'Action Plan'!$F$8:$F$57,"&lt;&gt;",'Action Plan'!$I$8:$I$57,"&lt;&gt;Complete")))</f>
        <v/>
      </c>
      <c r="I58" s="9" t="n">
        <f aca="false">VALUE(LEFT($A58,FIND(".",$A58)-1))</f>
        <v>7</v>
      </c>
      <c r="J58" s="0" t="str">
        <f aca="false">IF(AND($C58&lt;&gt;"",$D58="Yes"),COUNTIFS($D$8:$D58,"Yes",$C$8:$C58,"&lt;&gt;"),"")</f>
        <v/>
      </c>
    </row>
    <row r="59" customFormat="false" ht="25.5" hidden="false" customHeight="true" outlineLevel="0" collapsed="false">
      <c r="A59" s="37" t="s">
        <v>142</v>
      </c>
      <c r="B59" s="24" t="str">
        <f aca="false">INDEX(Scoring!$B$23:$B$29,$I59)&amp;""</f>
        <v>Security and Privacy</v>
      </c>
      <c r="C59" s="38" t="s">
        <v>143</v>
      </c>
      <c r="D59" s="39" t="s">
        <v>111</v>
      </c>
      <c r="E59" s="39"/>
      <c r="F59" s="38"/>
      <c r="G59" s="40" t="str">
        <f aca="false">IF($C59="",IF(OR($E59&lt;&gt;"",$F59&lt;&gt;""),"Criterion missing",""),IF(AND($E59&lt;&gt;"",$E59&lt;&gt;"N/A",OR(NOT(ISNUMBER($E59)),$E59&lt;0,$E59&gt;3)),"Invalid rating",IF(AND($D59="Yes",$E59="N/A"),"Must-meet cannot be N/A",IF(AND(ISNUMBER($E59),$E59&gt;=2,$E59&lt;=3,TRIM($F59)=""),"Evidence required",""))))</f>
        <v/>
      </c>
      <c r="H59" s="21" t="str">
        <f aca="false">IF($C59="","",IF(COUNTIFS('Action Plan'!$B$8:$B$57,$A59,'Action Plan'!$F$8:$F$57,"&lt;&gt;",'Action Plan'!$I$8:$I$57,"&lt;&gt;Complete")=0,"",COUNTIFS('Action Plan'!$B$8:$B$57,$A59,'Action Plan'!$F$8:$F$57,"&lt;&gt;",'Action Plan'!$I$8:$I$57,"&lt;&gt;Complete")))</f>
        <v/>
      </c>
      <c r="I59" s="9" t="n">
        <f aca="false">VALUE(LEFT($A59,FIND(".",$A59)-1))</f>
        <v>7</v>
      </c>
      <c r="J59" s="9" t="n">
        <f aca="false">IF(AND($C59&lt;&gt;"",$D59="Yes"),COUNTIFS($D$8:$D59,"Yes",$C$8:$C59,"&lt;&gt;"),"")</f>
        <v>5</v>
      </c>
    </row>
    <row r="60" customFormat="false" ht="25.5" hidden="false" customHeight="true" outlineLevel="0" collapsed="false">
      <c r="A60" s="37" t="s">
        <v>144</v>
      </c>
      <c r="B60" s="24" t="str">
        <f aca="false">INDEX(Scoring!$B$23:$B$29,$I60)&amp;""</f>
        <v>Security and Privacy</v>
      </c>
      <c r="C60" s="38" t="s">
        <v>145</v>
      </c>
      <c r="D60" s="39"/>
      <c r="E60" s="39"/>
      <c r="F60" s="38"/>
      <c r="G60" s="40" t="str">
        <f aca="false">IF($C60="",IF(OR($E60&lt;&gt;"",$F60&lt;&gt;""),"Criterion missing",""),IF(AND($E60&lt;&gt;"",$E60&lt;&gt;"N/A",OR(NOT(ISNUMBER($E60)),$E60&lt;0,$E60&gt;3)),"Invalid rating",IF(AND($D60="Yes",$E60="N/A"),"Must-meet cannot be N/A",IF(AND(ISNUMBER($E60),$E60&gt;=2,$E60&lt;=3,TRIM($F60)=""),"Evidence required",""))))</f>
        <v/>
      </c>
      <c r="H60" s="21" t="str">
        <f aca="false">IF($C60="","",IF(COUNTIFS('Action Plan'!$B$8:$B$57,$A60,'Action Plan'!$F$8:$F$57,"&lt;&gt;",'Action Plan'!$I$8:$I$57,"&lt;&gt;Complete")=0,"",COUNTIFS('Action Plan'!$B$8:$B$57,$A60,'Action Plan'!$F$8:$F$57,"&lt;&gt;",'Action Plan'!$I$8:$I$57,"&lt;&gt;Complete")))</f>
        <v/>
      </c>
      <c r="I60" s="9" t="n">
        <f aca="false">VALUE(LEFT($A60,FIND(".",$A60)-1))</f>
        <v>7</v>
      </c>
      <c r="J60" s="0" t="str">
        <f aca="false">IF(AND($C60&lt;&gt;"",$D60="Yes"),COUNTIFS($D$8:$D60,"Yes",$C$8:$C60,"&lt;&gt;"),"")</f>
        <v/>
      </c>
    </row>
    <row r="61" customFormat="false" ht="25.5" hidden="false" customHeight="true" outlineLevel="0" collapsed="false">
      <c r="A61" s="37" t="s">
        <v>146</v>
      </c>
      <c r="B61" s="24" t="str">
        <f aca="false">INDEX(Scoring!$B$23:$B$29,$I61)&amp;""</f>
        <v>Security and Privacy</v>
      </c>
      <c r="C61" s="38" t="s">
        <v>147</v>
      </c>
      <c r="D61" s="39"/>
      <c r="E61" s="39"/>
      <c r="F61" s="38"/>
      <c r="G61" s="40" t="str">
        <f aca="false">IF($C61="",IF(OR($E61&lt;&gt;"",$F61&lt;&gt;""),"Criterion missing",""),IF(AND($E61&lt;&gt;"",$E61&lt;&gt;"N/A",OR(NOT(ISNUMBER($E61)),$E61&lt;0,$E61&gt;3)),"Invalid rating",IF(AND($D61="Yes",$E61="N/A"),"Must-meet cannot be N/A",IF(AND(ISNUMBER($E61),$E61&gt;=2,$E61&lt;=3,TRIM($F61)=""),"Evidence required",""))))</f>
        <v/>
      </c>
      <c r="H61" s="21" t="str">
        <f aca="false">IF($C61="","",IF(COUNTIFS('Action Plan'!$B$8:$B$57,$A61,'Action Plan'!$F$8:$F$57,"&lt;&gt;",'Action Plan'!$I$8:$I$57,"&lt;&gt;Complete")=0,"",COUNTIFS('Action Plan'!$B$8:$B$57,$A61,'Action Plan'!$F$8:$F$57,"&lt;&gt;",'Action Plan'!$I$8:$I$57,"&lt;&gt;Complete")))</f>
        <v/>
      </c>
      <c r="I61" s="9" t="n">
        <f aca="false">VALUE(LEFT($A61,FIND(".",$A61)-1))</f>
        <v>7</v>
      </c>
      <c r="J61" s="0" t="str">
        <f aca="false">IF(AND($C61&lt;&gt;"",$D61="Yes"),COUNTIFS($D$8:$D61,"Yes",$C$8:$C61,"&lt;&gt;"),"")</f>
        <v/>
      </c>
    </row>
    <row r="62" customFormat="false" ht="25.5" hidden="false" customHeight="true" outlineLevel="0" collapsed="false">
      <c r="A62" s="37" t="s">
        <v>148</v>
      </c>
      <c r="B62" s="24" t="str">
        <f aca="false">INDEX(Scoring!$B$23:$B$29,$I62)&amp;""</f>
        <v>Security and Privacy</v>
      </c>
      <c r="C62" s="38" t="s">
        <v>149</v>
      </c>
      <c r="D62" s="39"/>
      <c r="E62" s="39"/>
      <c r="F62" s="38"/>
      <c r="G62" s="40" t="str">
        <f aca="false">IF($C62="",IF(OR($E62&lt;&gt;"",$F62&lt;&gt;""),"Criterion missing",""),IF(AND($E62&lt;&gt;"",$E62&lt;&gt;"N/A",OR(NOT(ISNUMBER($E62)),$E62&lt;0,$E62&gt;3)),"Invalid rating",IF(AND($D62="Yes",$E62="N/A"),"Must-meet cannot be N/A",IF(AND(ISNUMBER($E62),$E62&gt;=2,$E62&lt;=3,TRIM($F62)=""),"Evidence required",""))))</f>
        <v/>
      </c>
      <c r="H62" s="21" t="str">
        <f aca="false">IF($C62="","",IF(COUNTIFS('Action Plan'!$B$8:$B$57,$A62,'Action Plan'!$F$8:$F$57,"&lt;&gt;",'Action Plan'!$I$8:$I$57,"&lt;&gt;Complete")=0,"",COUNTIFS('Action Plan'!$B$8:$B$57,$A62,'Action Plan'!$F$8:$F$57,"&lt;&gt;",'Action Plan'!$I$8:$I$57,"&lt;&gt;Complete")))</f>
        <v/>
      </c>
      <c r="I62" s="9" t="n">
        <f aca="false">VALUE(LEFT($A62,FIND(".",$A62)-1))</f>
        <v>7</v>
      </c>
      <c r="J62" s="0" t="str">
        <f aca="false">IF(AND($C62&lt;&gt;"",$D62="Yes"),COUNTIFS($D$8:$D62,"Yes",$C$8:$C62,"&lt;&gt;"),"")</f>
        <v/>
      </c>
    </row>
    <row r="63" customFormat="false" ht="25.5" hidden="false" customHeight="true" outlineLevel="0" collapsed="false">
      <c r="A63" s="37" t="s">
        <v>150</v>
      </c>
      <c r="B63" s="24" t="str">
        <f aca="false">INDEX(Scoring!$B$23:$B$29,$I63)&amp;""</f>
        <v>Security and Privacy</v>
      </c>
      <c r="C63" s="38" t="s">
        <v>151</v>
      </c>
      <c r="D63" s="39"/>
      <c r="E63" s="39"/>
      <c r="F63" s="38"/>
      <c r="G63" s="40" t="str">
        <f aca="false">IF($C63="",IF(OR($E63&lt;&gt;"",$F63&lt;&gt;""),"Criterion missing",""),IF(AND($E63&lt;&gt;"",$E63&lt;&gt;"N/A",OR(NOT(ISNUMBER($E63)),$E63&lt;0,$E63&gt;3)),"Invalid rating",IF(AND($D63="Yes",$E63="N/A"),"Must-meet cannot be N/A",IF(AND(ISNUMBER($E63),$E63&gt;=2,$E63&lt;=3,TRIM($F63)=""),"Evidence required",""))))</f>
        <v/>
      </c>
      <c r="H63" s="21" t="str">
        <f aca="false">IF($C63="","",IF(COUNTIFS('Action Plan'!$B$8:$B$57,$A63,'Action Plan'!$F$8:$F$57,"&lt;&gt;",'Action Plan'!$I$8:$I$57,"&lt;&gt;Complete")=0,"",COUNTIFS('Action Plan'!$B$8:$B$57,$A63,'Action Plan'!$F$8:$F$57,"&lt;&gt;",'Action Plan'!$I$8:$I$57,"&lt;&gt;Complete")))</f>
        <v/>
      </c>
      <c r="I63" s="9" t="n">
        <f aca="false">VALUE(LEFT($A63,FIND(".",$A63)-1))</f>
        <v>7</v>
      </c>
      <c r="J63" s="0" t="str">
        <f aca="false">IF(AND($C63&lt;&gt;"",$D63="Yes"),COUNTIFS($D$8:$D63,"Yes",$C$8:$C63,"&lt;&gt;"),"")</f>
        <v/>
      </c>
    </row>
    <row r="64" customFormat="false" ht="25.5" hidden="false" customHeight="true" outlineLevel="0" collapsed="false">
      <c r="A64" s="37" t="s">
        <v>152</v>
      </c>
      <c r="B64" s="24" t="str">
        <f aca="false">INDEX(Scoring!$B$23:$B$29,$I64)&amp;""</f>
        <v>Security and Privacy</v>
      </c>
      <c r="C64" s="38"/>
      <c r="D64" s="39"/>
      <c r="E64" s="39"/>
      <c r="F64" s="38"/>
      <c r="G64" s="40" t="str">
        <f aca="false">IF($C64="",IF(OR($E64&lt;&gt;"",$F64&lt;&gt;""),"Criterion missing",""),IF(AND($E64&lt;&gt;"",$E64&lt;&gt;"N/A",OR(NOT(ISNUMBER($E64)),$E64&lt;0,$E64&gt;3)),"Invalid rating",IF(AND($D64="Yes",$E64="N/A"),"Must-meet cannot be N/A",IF(AND(ISNUMBER($E64),$E64&gt;=2,$E64&lt;=3,TRIM($F64)=""),"Evidence required",""))))</f>
        <v/>
      </c>
      <c r="H64" s="21" t="str">
        <f aca="false">IF($C64="","",IF(COUNTIFS('Action Plan'!$B$8:$B$57,$A64,'Action Plan'!$F$8:$F$57,"&lt;&gt;",'Action Plan'!$I$8:$I$57,"&lt;&gt;Complete")=0,"",COUNTIFS('Action Plan'!$B$8:$B$57,$A64,'Action Plan'!$F$8:$F$57,"&lt;&gt;",'Action Plan'!$I$8:$I$57,"&lt;&gt;Complete")))</f>
        <v/>
      </c>
      <c r="I64" s="9" t="n">
        <f aca="false">VALUE(LEFT($A64,FIND(".",$A64)-1))</f>
        <v>7</v>
      </c>
      <c r="J64" s="0" t="str">
        <f aca="false">IF(AND($C64&lt;&gt;"",$D64="Yes"),COUNTIFS($D$8:$D64,"Yes",$C$8:$C64,"&lt;&gt;"),"")</f>
        <v/>
      </c>
    </row>
    <row r="65" customFormat="false" ht="25.5" hidden="false" customHeight="true" outlineLevel="0" collapsed="false">
      <c r="A65" s="37" t="s">
        <v>153</v>
      </c>
      <c r="B65" s="24" t="str">
        <f aca="false">INDEX(Scoring!$B$23:$B$29,$I65)&amp;""</f>
        <v>Security and Privacy</v>
      </c>
      <c r="C65" s="38"/>
      <c r="D65" s="39"/>
      <c r="E65" s="39"/>
      <c r="F65" s="38"/>
      <c r="G65" s="40" t="str">
        <f aca="false">IF($C65="",IF(OR($E65&lt;&gt;"",$F65&lt;&gt;""),"Criterion missing",""),IF(AND($E65&lt;&gt;"",$E65&lt;&gt;"N/A",OR(NOT(ISNUMBER($E65)),$E65&lt;0,$E65&gt;3)),"Invalid rating",IF(AND($D65="Yes",$E65="N/A"),"Must-meet cannot be N/A",IF(AND(ISNUMBER($E65),$E65&gt;=2,$E65&lt;=3,TRIM($F65)=""),"Evidence required",""))))</f>
        <v/>
      </c>
      <c r="H65" s="21" t="str">
        <f aca="false">IF($C65="","",IF(COUNTIFS('Action Plan'!$B$8:$B$57,$A65,'Action Plan'!$F$8:$F$57,"&lt;&gt;",'Action Plan'!$I$8:$I$57,"&lt;&gt;Complete")=0,"",COUNTIFS('Action Plan'!$B$8:$B$57,$A65,'Action Plan'!$F$8:$F$57,"&lt;&gt;",'Action Plan'!$I$8:$I$57,"&lt;&gt;Complete")))</f>
        <v/>
      </c>
      <c r="I65" s="9" t="n">
        <f aca="false">VALUE(LEFT($A65,FIND(".",$A65)-1))</f>
        <v>7</v>
      </c>
      <c r="J65" s="0" t="str">
        <f aca="false">IF(AND($C65&lt;&gt;"",$D65="Yes"),COUNTIFS($D$8:$D65,"Yes",$C$8:$C65,"&lt;&gt;"),"")</f>
        <v/>
      </c>
    </row>
    <row r="66" customFormat="false" ht="15.75" hidden="false" customHeight="true" outlineLevel="0" collapsed="false">
      <c r="A66" s="35" t="s">
        <v>45</v>
      </c>
    </row>
  </sheetData>
  <sheetProtection sheet="true" formatCells="false" formatColumns="false" formatRows="false" sort="false" autoFilter="false"/>
  <autoFilter ref="A7:H65"/>
  <mergeCells count="2">
    <mergeCell ref="A3:B3"/>
    <mergeCell ref="A4:B4"/>
  </mergeCells>
  <conditionalFormatting sqref="E8:E65">
    <cfRule type="expression" priority="2" aboveAverage="0" equalAverage="0" bottom="0" percent="0" rank="0" text="" dxfId="8">
      <formula>AND(ISNUMBER($E8),$E8=0)</formula>
    </cfRule>
    <cfRule type="expression" priority="3" aboveAverage="0" equalAverage="0" bottom="0" percent="0" rank="0" text="" dxfId="10">
      <formula>AND(ISNUMBER($E8),$E8=1)</formula>
    </cfRule>
    <cfRule type="expression" priority="4" aboveAverage="0" equalAverage="0" bottom="0" percent="0" rank="0" text="" dxfId="7">
      <formula>AND(ISNUMBER($E8),$E8&gt;=2,$E8&lt;=3)</formula>
    </cfRule>
    <cfRule type="expression" priority="5" aboveAverage="0" equalAverage="0" bottom="0" percent="0" rank="0" text="" dxfId="11">
      <formula>$E8="N/A"</formula>
    </cfRule>
  </conditionalFormatting>
  <conditionalFormatting sqref="G8:G65">
    <cfRule type="expression" priority="6" aboveAverage="0" equalAverage="0" bottom="0" percent="0" rank="0" text="" dxfId="10">
      <formula>$G8="Evidence required"</formula>
    </cfRule>
    <cfRule type="expression" priority="7" aboveAverage="0" equalAverage="0" bottom="0" percent="0" rank="0" text="" dxfId="10">
      <formula>$G8="Criterion missing"</formula>
    </cfRule>
    <cfRule type="expression" priority="8" aboveAverage="0" equalAverage="0" bottom="0" percent="0" rank="0" text="" dxfId="8">
      <formula>$G8="Must-meet cannot be N/A"</formula>
    </cfRule>
    <cfRule type="expression" priority="9" aboveAverage="0" equalAverage="0" bottom="0" percent="0" rank="0" text="" dxfId="8">
      <formula>$G8="Invalid rating"</formula>
    </cfRule>
  </conditionalFormatting>
  <conditionalFormatting sqref="D8:D65">
    <cfRule type="expression" priority="10" aboveAverage="0" equalAverage="0" bottom="0" percent="0" rank="0" text="" dxfId="17">
      <formula>$D8="Yes"</formula>
    </cfRule>
  </conditionalFormatting>
  <conditionalFormatting sqref="A8:B65">
    <cfRule type="expression" priority="11" aboveAverage="0" equalAverage="0" bottom="0" percent="0" rank="0" text="" dxfId="18">
      <formula>MOD($I8,2)=0</formula>
    </cfRule>
  </conditionalFormatting>
  <dataValidations count="4">
    <dataValidation allowBlank="true" errorStyle="stop" operator="between" prompt="The condition that should be true. Edit it, or add your own in a spare row." promptTitle="Criterion" showDropDown="false" showErrorMessage="false" showInputMessage="true" sqref="C8:C65" type="custom">
      <formula1>1</formula1>
      <formula2>0</formula2>
    </dataValidation>
    <dataValidation allowBlank="true" error="Enter Yes, or leave the cell blank." errorStyle="stop" errorTitle="Must-Meet" operator="between" prompt="Yes: a rating below 2 keeps the Pilot Gate at Not Met. Leave blank otherwise." promptTitle="Must-Meet" showDropDown="false" showErrorMessage="true" showInputMessage="true" sqref="D8:D65" type="list">
      <formula1>"Yes"</formula1>
      <formula2>0</formula2>
    </dataValidation>
    <dataValidation allowBlank="true" error="Pick 0, 1, 2, 3 or N/A." errorStyle="stop" errorTitle="Rating" operator="between" prompt="0 Not in place. 1 Partially in place. 2 In place. 3 Embedded. N/A Not applicable. A 2 or 3 needs evidence." promptTitle="Rating" showDropDown="false" showErrorMessage="true" showInputMessage="true" sqref="E8:E65" type="list">
      <formula1>"0,1,2,3,N/A"</formula1>
      <formula2>0</formula2>
    </dataValidation>
    <dataValidation allowBlank="true" errorStyle="stop" operator="between" prompt="The document, record or link that shows it. Needed for a rating of 2 or 3." promptTitle="Evidence" showDropDown="false" showErrorMessage="false" showInputMessage="true" sqref="F8:F65" type="custom">
      <formula1>1</formula1>
      <formula2>0</formula2>
    </dataValidation>
  </dataValidations>
  <hyperlinks>
    <hyperlink ref="A66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ignoredErrors>
    <ignoredError sqref="A8:A6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7.5"/>
    <col collapsed="false" customWidth="true" hidden="false" outlineLevel="0" max="5" min="5" style="0" width="10"/>
    <col collapsed="false" customWidth="true" hidden="false" outlineLevel="0" max="6" min="6" style="0" width="9.51"/>
    <col collapsed="false" customWidth="true" hidden="false" outlineLevel="0" max="7" min="7" style="0" width="13.5"/>
    <col collapsed="false" customWidth="true" hidden="false" outlineLevel="0" max="8" min="8" style="0" width="13"/>
    <col collapsed="false" customWidth="true" hidden="false" outlineLevel="0" max="9" min="9" style="0" width="10.51"/>
    <col collapsed="false" customWidth="true" hidden="false" outlineLevel="0" max="10" min="10" style="0" width="9.51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11.5"/>
    <col collapsed="false" customWidth="true" hidden="false" outlineLevel="0" max="14" min="14" style="0" width="17"/>
    <col collapsed="false" customWidth="true" hidden="false" outlineLevel="0" max="15" min="15" style="0" width="12"/>
    <col collapsed="false" customWidth="true" hidden="false" outlineLevel="0" max="16" min="16" style="0" width="14.51"/>
    <col collapsed="false" customWidth="true" hidden="false" outlineLevel="0" max="17" min="17" style="0" width="10"/>
    <col collapsed="false" customWidth="true" hidden="false" outlineLevel="0" max="18" min="18" style="0" width="9.51"/>
    <col collapsed="false" customWidth="true" hidden="true" outlineLevel="0" max="19" min="19" style="0" width="9"/>
  </cols>
  <sheetData>
    <row r="1" customFormat="false" ht="25.5" hidden="false" customHeight="true" outlineLevel="0" collapsed="false">
      <c r="A1" s="1" t="s">
        <v>154</v>
      </c>
    </row>
    <row r="2" customFormat="false" ht="6" hidden="false" customHeight="true" outlineLevel="0" collapsed="false"/>
    <row r="3" customFormat="false" ht="18" hidden="false" customHeight="true" outlineLevel="0" collapsed="false">
      <c r="A3" s="6" t="s">
        <v>3</v>
      </c>
      <c r="B3" s="6"/>
      <c r="C3" s="20" t="str">
        <f aca="false">IF(Dashboard!$D$5="","",Dashboard!$D$5)</f>
        <v/>
      </c>
      <c r="D3" s="20"/>
      <c r="E3" s="20"/>
      <c r="F3" s="20"/>
      <c r="G3" s="20"/>
      <c r="H3" s="20"/>
    </row>
    <row r="4" customFormat="false" ht="18" hidden="false" customHeight="true" outlineLevel="0" collapsed="false">
      <c r="A4" s="6" t="s">
        <v>4</v>
      </c>
      <c r="B4" s="6"/>
      <c r="C4" s="36" t="str">
        <f aca="false">IF(Dashboard!$S$5="","",Dashboard!$S$5)</f>
        <v/>
      </c>
      <c r="D4" s="36"/>
      <c r="E4" s="36"/>
      <c r="F4" s="36"/>
      <c r="G4" s="36"/>
      <c r="H4" s="36"/>
    </row>
    <row r="5" customFormat="false" ht="7.5" hidden="false" customHeight="true" outlineLevel="0" collapsed="false"/>
    <row r="6" customFormat="false" ht="19.5" hidden="false" customHeight="true" outlineLevel="0" collapsed="false">
      <c r="A6" s="4" t="s">
        <v>155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customFormat="false" ht="30" hidden="false" customHeight="true" outlineLevel="0" collapsed="false">
      <c r="A7" s="18" t="s">
        <v>31</v>
      </c>
      <c r="B7" s="18" t="s">
        <v>32</v>
      </c>
      <c r="C7" s="18" t="s">
        <v>156</v>
      </c>
      <c r="D7" s="18" t="s">
        <v>33</v>
      </c>
      <c r="E7" s="18" t="s">
        <v>157</v>
      </c>
      <c r="F7" s="18" t="s">
        <v>158</v>
      </c>
      <c r="G7" s="18" t="s">
        <v>159</v>
      </c>
      <c r="H7" s="18" t="s">
        <v>160</v>
      </c>
      <c r="I7" s="18" t="s">
        <v>161</v>
      </c>
      <c r="J7" s="18" t="s">
        <v>162</v>
      </c>
      <c r="K7" s="18" t="s">
        <v>163</v>
      </c>
      <c r="L7" s="18" t="s">
        <v>164</v>
      </c>
      <c r="M7" s="18" t="s">
        <v>34</v>
      </c>
      <c r="N7" s="18" t="s">
        <v>36</v>
      </c>
      <c r="O7" s="18" t="s">
        <v>37</v>
      </c>
      <c r="P7" s="18" t="s">
        <v>165</v>
      </c>
      <c r="Q7" s="18" t="s">
        <v>35</v>
      </c>
      <c r="R7" s="18" t="s">
        <v>14</v>
      </c>
    </row>
    <row r="8" customFormat="false" ht="25.5" hidden="false" customHeight="true" outlineLevel="0" collapsed="false">
      <c r="A8" s="19" t="s">
        <v>166</v>
      </c>
      <c r="B8" s="38"/>
      <c r="C8" s="38"/>
      <c r="D8" s="39"/>
      <c r="E8" s="39"/>
      <c r="F8" s="39"/>
      <c r="G8" s="39"/>
      <c r="H8" s="39"/>
      <c r="I8" s="39"/>
      <c r="J8" s="39"/>
      <c r="K8" s="39"/>
      <c r="L8" s="39"/>
      <c r="M8" s="22" t="str">
        <f aca="false">IF(OR($B8="",COUNTA($E8:$L8)=0),"",(COUNTIF($E8:$L8,"Met")+0.5*COUNTIF($E8:$L8,"Partial"))/8)</f>
        <v/>
      </c>
      <c r="N8" s="41" t="str">
        <f aca="false">IF($B8="","",IF(COUNTA($E8:$L8)&lt;8,"Incomplete",IF(AND(COUNTIF($E8:$L8,"Met")=8,Dashboard!$R$10="Met"),"Ready for Pilot","Preparation Required")))</f>
        <v/>
      </c>
      <c r="O8" s="39"/>
      <c r="P8" s="42" t="str">
        <f aca="false">IF(OR($B8="",$O8&lt;&gt;"Proceed to Pilot"),"",IF($N8="Preparation Required","Gaps open",IF($N8="Incomplete","Checks incomplete","")))</f>
        <v/>
      </c>
      <c r="Q8" s="19" t="str">
        <f aca="false">IF(OR($B8="",$N8="Incomplete",NOT(ISNUMBER($D8))),"",ROUND($D8*$M8*20,0))</f>
        <v/>
      </c>
      <c r="R8" s="21" t="str">
        <f aca="false">IF($B8="","",IF(COUNTIFS('Action Plan'!$B$8:$B$57,$A8,'Action Plan'!$F$8:$F$57,"&lt;&gt;",'Action Plan'!$I$8:$I$57,"&lt;&gt;Complete")=0,"",COUNTIFS('Action Plan'!$B$8:$B$57,$A8,'Action Plan'!$F$8:$F$57,"&lt;&gt;",'Action Plan'!$I$8:$I$57,"&lt;&gt;Complete")))</f>
        <v/>
      </c>
      <c r="S8" s="0" t="str">
        <f aca="false">IF(ISNUMBER($Q8),$Q8+(100-ROW())/10000,"")</f>
        <v/>
      </c>
    </row>
    <row r="9" customFormat="false" ht="25.5" hidden="false" customHeight="true" outlineLevel="0" collapsed="false">
      <c r="A9" s="19" t="s">
        <v>167</v>
      </c>
      <c r="B9" s="38"/>
      <c r="C9" s="38"/>
      <c r="D9" s="39"/>
      <c r="E9" s="39"/>
      <c r="F9" s="39"/>
      <c r="G9" s="39"/>
      <c r="H9" s="39"/>
      <c r="I9" s="39"/>
      <c r="J9" s="39"/>
      <c r="K9" s="39"/>
      <c r="L9" s="39"/>
      <c r="M9" s="22" t="str">
        <f aca="false">IF(OR($B9="",COUNTA($E9:$L9)=0),"",(COUNTIF($E9:$L9,"Met")+0.5*COUNTIF($E9:$L9,"Partial"))/8)</f>
        <v/>
      </c>
      <c r="N9" s="41" t="str">
        <f aca="false">IF($B9="","",IF(COUNTA($E9:$L9)&lt;8,"Incomplete",IF(AND(COUNTIF($E9:$L9,"Met")=8,Dashboard!$R$10="Met"),"Ready for Pilot","Preparation Required")))</f>
        <v/>
      </c>
      <c r="O9" s="39"/>
      <c r="P9" s="42" t="str">
        <f aca="false">IF(OR($B9="",$O9&lt;&gt;"Proceed to Pilot"),"",IF($N9="Preparation Required","Gaps open",IF($N9="Incomplete","Checks incomplete","")))</f>
        <v/>
      </c>
      <c r="Q9" s="19" t="str">
        <f aca="false">IF(OR($B9="",$N9="Incomplete",NOT(ISNUMBER($D9))),"",ROUND($D9*$M9*20,0))</f>
        <v/>
      </c>
      <c r="R9" s="21" t="str">
        <f aca="false">IF($B9="","",IF(COUNTIFS('Action Plan'!$B$8:$B$57,$A9,'Action Plan'!$F$8:$F$57,"&lt;&gt;",'Action Plan'!$I$8:$I$57,"&lt;&gt;Complete")=0,"",COUNTIFS('Action Plan'!$B$8:$B$57,$A9,'Action Plan'!$F$8:$F$57,"&lt;&gt;",'Action Plan'!$I$8:$I$57,"&lt;&gt;Complete")))</f>
        <v/>
      </c>
      <c r="S9" s="0" t="str">
        <f aca="false">IF(ISNUMBER($Q9),$Q9+(100-ROW())/10000,"")</f>
        <v/>
      </c>
    </row>
    <row r="10" customFormat="false" ht="25.5" hidden="false" customHeight="true" outlineLevel="0" collapsed="false">
      <c r="A10" s="19" t="s">
        <v>168</v>
      </c>
      <c r="B10" s="38"/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22" t="str">
        <f aca="false">IF(OR($B10="",COUNTA($E10:$L10)=0),"",(COUNTIF($E10:$L10,"Met")+0.5*COUNTIF($E10:$L10,"Partial"))/8)</f>
        <v/>
      </c>
      <c r="N10" s="41" t="str">
        <f aca="false">IF($B10="","",IF(COUNTA($E10:$L10)&lt;8,"Incomplete",IF(AND(COUNTIF($E10:$L10,"Met")=8,Dashboard!$R$10="Met"),"Ready for Pilot","Preparation Required")))</f>
        <v/>
      </c>
      <c r="O10" s="39"/>
      <c r="P10" s="42" t="str">
        <f aca="false">IF(OR($B10="",$O10&lt;&gt;"Proceed to Pilot"),"",IF($N10="Preparation Required","Gaps open",IF($N10="Incomplete","Checks incomplete","")))</f>
        <v/>
      </c>
      <c r="Q10" s="19" t="str">
        <f aca="false">IF(OR($B10="",$N10="Incomplete",NOT(ISNUMBER($D10))),"",ROUND($D10*$M10*20,0))</f>
        <v/>
      </c>
      <c r="R10" s="21" t="str">
        <f aca="false">IF($B10="","",IF(COUNTIFS('Action Plan'!$B$8:$B$57,$A10,'Action Plan'!$F$8:$F$57,"&lt;&gt;",'Action Plan'!$I$8:$I$57,"&lt;&gt;Complete")=0,"",COUNTIFS('Action Plan'!$B$8:$B$57,$A10,'Action Plan'!$F$8:$F$57,"&lt;&gt;",'Action Plan'!$I$8:$I$57,"&lt;&gt;Complete")))</f>
        <v/>
      </c>
      <c r="S10" s="0" t="str">
        <f aca="false">IF(ISNUMBER($Q10),$Q10+(100-ROW())/10000,"")</f>
        <v/>
      </c>
    </row>
    <row r="11" customFormat="false" ht="25.5" hidden="false" customHeight="true" outlineLevel="0" collapsed="false">
      <c r="A11" s="19" t="s">
        <v>169</v>
      </c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22" t="str">
        <f aca="false">IF(OR($B11="",COUNTA($E11:$L11)=0),"",(COUNTIF($E11:$L11,"Met")+0.5*COUNTIF($E11:$L11,"Partial"))/8)</f>
        <v/>
      </c>
      <c r="N11" s="41" t="str">
        <f aca="false">IF($B11="","",IF(COUNTA($E11:$L11)&lt;8,"Incomplete",IF(AND(COUNTIF($E11:$L11,"Met")=8,Dashboard!$R$10="Met"),"Ready for Pilot","Preparation Required")))</f>
        <v/>
      </c>
      <c r="O11" s="39"/>
      <c r="P11" s="42" t="str">
        <f aca="false">IF(OR($B11="",$O11&lt;&gt;"Proceed to Pilot"),"",IF($N11="Preparation Required","Gaps open",IF($N11="Incomplete","Checks incomplete","")))</f>
        <v/>
      </c>
      <c r="Q11" s="19" t="str">
        <f aca="false">IF(OR($B11="",$N11="Incomplete",NOT(ISNUMBER($D11))),"",ROUND($D11*$M11*20,0))</f>
        <v/>
      </c>
      <c r="R11" s="21" t="str">
        <f aca="false">IF($B11="","",IF(COUNTIFS('Action Plan'!$B$8:$B$57,$A11,'Action Plan'!$F$8:$F$57,"&lt;&gt;",'Action Plan'!$I$8:$I$57,"&lt;&gt;Complete")=0,"",COUNTIFS('Action Plan'!$B$8:$B$57,$A11,'Action Plan'!$F$8:$F$57,"&lt;&gt;",'Action Plan'!$I$8:$I$57,"&lt;&gt;Complete")))</f>
        <v/>
      </c>
      <c r="S11" s="0" t="str">
        <f aca="false">IF(ISNUMBER($Q11),$Q11+(100-ROW())/10000,"")</f>
        <v/>
      </c>
    </row>
    <row r="12" customFormat="false" ht="25.5" hidden="false" customHeight="true" outlineLevel="0" collapsed="false">
      <c r="A12" s="19" t="s">
        <v>170</v>
      </c>
      <c r="B12" s="38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22" t="str">
        <f aca="false">IF(OR($B12="",COUNTA($E12:$L12)=0),"",(COUNTIF($E12:$L12,"Met")+0.5*COUNTIF($E12:$L12,"Partial"))/8)</f>
        <v/>
      </c>
      <c r="N12" s="41" t="str">
        <f aca="false">IF($B12="","",IF(COUNTA($E12:$L12)&lt;8,"Incomplete",IF(AND(COUNTIF($E12:$L12,"Met")=8,Dashboard!$R$10="Met"),"Ready for Pilot","Preparation Required")))</f>
        <v/>
      </c>
      <c r="O12" s="39"/>
      <c r="P12" s="42" t="str">
        <f aca="false">IF(OR($B12="",$O12&lt;&gt;"Proceed to Pilot"),"",IF($N12="Preparation Required","Gaps open",IF($N12="Incomplete","Checks incomplete","")))</f>
        <v/>
      </c>
      <c r="Q12" s="19" t="str">
        <f aca="false">IF(OR($B12="",$N12="Incomplete",NOT(ISNUMBER($D12))),"",ROUND($D12*$M12*20,0))</f>
        <v/>
      </c>
      <c r="R12" s="21" t="str">
        <f aca="false">IF($B12="","",IF(COUNTIFS('Action Plan'!$B$8:$B$57,$A12,'Action Plan'!$F$8:$F$57,"&lt;&gt;",'Action Plan'!$I$8:$I$57,"&lt;&gt;Complete")=0,"",COUNTIFS('Action Plan'!$B$8:$B$57,$A12,'Action Plan'!$F$8:$F$57,"&lt;&gt;",'Action Plan'!$I$8:$I$57,"&lt;&gt;Complete")))</f>
        <v/>
      </c>
      <c r="S12" s="0" t="str">
        <f aca="false">IF(ISNUMBER($Q12),$Q12+(100-ROW())/10000,"")</f>
        <v/>
      </c>
    </row>
    <row r="13" customFormat="false" ht="25.5" hidden="false" customHeight="true" outlineLevel="0" collapsed="false">
      <c r="A13" s="19" t="s">
        <v>171</v>
      </c>
      <c r="B13" s="38"/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22" t="str">
        <f aca="false">IF(OR($B13="",COUNTA($E13:$L13)=0),"",(COUNTIF($E13:$L13,"Met")+0.5*COUNTIF($E13:$L13,"Partial"))/8)</f>
        <v/>
      </c>
      <c r="N13" s="41" t="str">
        <f aca="false">IF($B13="","",IF(COUNTA($E13:$L13)&lt;8,"Incomplete",IF(AND(COUNTIF($E13:$L13,"Met")=8,Dashboard!$R$10="Met"),"Ready for Pilot","Preparation Required")))</f>
        <v/>
      </c>
      <c r="O13" s="39"/>
      <c r="P13" s="42" t="str">
        <f aca="false">IF(OR($B13="",$O13&lt;&gt;"Proceed to Pilot"),"",IF($N13="Preparation Required","Gaps open",IF($N13="Incomplete","Checks incomplete","")))</f>
        <v/>
      </c>
      <c r="Q13" s="19" t="str">
        <f aca="false">IF(OR($B13="",$N13="Incomplete",NOT(ISNUMBER($D13))),"",ROUND($D13*$M13*20,0))</f>
        <v/>
      </c>
      <c r="R13" s="21" t="str">
        <f aca="false">IF($B13="","",IF(COUNTIFS('Action Plan'!$B$8:$B$57,$A13,'Action Plan'!$F$8:$F$57,"&lt;&gt;",'Action Plan'!$I$8:$I$57,"&lt;&gt;Complete")=0,"",COUNTIFS('Action Plan'!$B$8:$B$57,$A13,'Action Plan'!$F$8:$F$57,"&lt;&gt;",'Action Plan'!$I$8:$I$57,"&lt;&gt;Complete")))</f>
        <v/>
      </c>
      <c r="S13" s="0" t="str">
        <f aca="false">IF(ISNUMBER($Q13),$Q13+(100-ROW())/10000,"")</f>
        <v/>
      </c>
    </row>
    <row r="14" customFormat="false" ht="25.5" hidden="false" customHeight="true" outlineLevel="0" collapsed="false">
      <c r="A14" s="19" t="s">
        <v>172</v>
      </c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22" t="str">
        <f aca="false">IF(OR($B14="",COUNTA($E14:$L14)=0),"",(COUNTIF($E14:$L14,"Met")+0.5*COUNTIF($E14:$L14,"Partial"))/8)</f>
        <v/>
      </c>
      <c r="N14" s="41" t="str">
        <f aca="false">IF($B14="","",IF(COUNTA($E14:$L14)&lt;8,"Incomplete",IF(AND(COUNTIF($E14:$L14,"Met")=8,Dashboard!$R$10="Met"),"Ready for Pilot","Preparation Required")))</f>
        <v/>
      </c>
      <c r="O14" s="39"/>
      <c r="P14" s="42" t="str">
        <f aca="false">IF(OR($B14="",$O14&lt;&gt;"Proceed to Pilot"),"",IF($N14="Preparation Required","Gaps open",IF($N14="Incomplete","Checks incomplete","")))</f>
        <v/>
      </c>
      <c r="Q14" s="19" t="str">
        <f aca="false">IF(OR($B14="",$N14="Incomplete",NOT(ISNUMBER($D14))),"",ROUND($D14*$M14*20,0))</f>
        <v/>
      </c>
      <c r="R14" s="21" t="str">
        <f aca="false">IF($B14="","",IF(COUNTIFS('Action Plan'!$B$8:$B$57,$A14,'Action Plan'!$F$8:$F$57,"&lt;&gt;",'Action Plan'!$I$8:$I$57,"&lt;&gt;Complete")=0,"",COUNTIFS('Action Plan'!$B$8:$B$57,$A14,'Action Plan'!$F$8:$F$57,"&lt;&gt;",'Action Plan'!$I$8:$I$57,"&lt;&gt;Complete")))</f>
        <v/>
      </c>
      <c r="S14" s="0" t="str">
        <f aca="false">IF(ISNUMBER($Q14),$Q14+(100-ROW())/10000,"")</f>
        <v/>
      </c>
    </row>
    <row r="15" customFormat="false" ht="25.5" hidden="false" customHeight="true" outlineLevel="0" collapsed="false">
      <c r="A15" s="19" t="s">
        <v>173</v>
      </c>
      <c r="B15" s="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22" t="str">
        <f aca="false">IF(OR($B15="",COUNTA($E15:$L15)=0),"",(COUNTIF($E15:$L15,"Met")+0.5*COUNTIF($E15:$L15,"Partial"))/8)</f>
        <v/>
      </c>
      <c r="N15" s="41" t="str">
        <f aca="false">IF($B15="","",IF(COUNTA($E15:$L15)&lt;8,"Incomplete",IF(AND(COUNTIF($E15:$L15,"Met")=8,Dashboard!$R$10="Met"),"Ready for Pilot","Preparation Required")))</f>
        <v/>
      </c>
      <c r="O15" s="39"/>
      <c r="P15" s="42" t="str">
        <f aca="false">IF(OR($B15="",$O15&lt;&gt;"Proceed to Pilot"),"",IF($N15="Preparation Required","Gaps open",IF($N15="Incomplete","Checks incomplete","")))</f>
        <v/>
      </c>
      <c r="Q15" s="19" t="str">
        <f aca="false">IF(OR($B15="",$N15="Incomplete",NOT(ISNUMBER($D15))),"",ROUND($D15*$M15*20,0))</f>
        <v/>
      </c>
      <c r="R15" s="21" t="str">
        <f aca="false">IF($B15="","",IF(COUNTIFS('Action Plan'!$B$8:$B$57,$A15,'Action Plan'!$F$8:$F$57,"&lt;&gt;",'Action Plan'!$I$8:$I$57,"&lt;&gt;Complete")=0,"",COUNTIFS('Action Plan'!$B$8:$B$57,$A15,'Action Plan'!$F$8:$F$57,"&lt;&gt;",'Action Plan'!$I$8:$I$57,"&lt;&gt;Complete")))</f>
        <v/>
      </c>
      <c r="S15" s="0" t="str">
        <f aca="false">IF(ISNUMBER($Q15),$Q15+(100-ROW())/10000,"")</f>
        <v/>
      </c>
    </row>
    <row r="16" customFormat="false" ht="25.5" hidden="false" customHeight="true" outlineLevel="0" collapsed="false">
      <c r="A16" s="19" t="s">
        <v>174</v>
      </c>
      <c r="B16" s="38"/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22" t="str">
        <f aca="false">IF(OR($B16="",COUNTA($E16:$L16)=0),"",(COUNTIF($E16:$L16,"Met")+0.5*COUNTIF($E16:$L16,"Partial"))/8)</f>
        <v/>
      </c>
      <c r="N16" s="41" t="str">
        <f aca="false">IF($B16="","",IF(COUNTA($E16:$L16)&lt;8,"Incomplete",IF(AND(COUNTIF($E16:$L16,"Met")=8,Dashboard!$R$10="Met"),"Ready for Pilot","Preparation Required")))</f>
        <v/>
      </c>
      <c r="O16" s="39"/>
      <c r="P16" s="42" t="str">
        <f aca="false">IF(OR($B16="",$O16&lt;&gt;"Proceed to Pilot"),"",IF($N16="Preparation Required","Gaps open",IF($N16="Incomplete","Checks incomplete","")))</f>
        <v/>
      </c>
      <c r="Q16" s="19" t="str">
        <f aca="false">IF(OR($B16="",$N16="Incomplete",NOT(ISNUMBER($D16))),"",ROUND($D16*$M16*20,0))</f>
        <v/>
      </c>
      <c r="R16" s="21" t="str">
        <f aca="false">IF($B16="","",IF(COUNTIFS('Action Plan'!$B$8:$B$57,$A16,'Action Plan'!$F$8:$F$57,"&lt;&gt;",'Action Plan'!$I$8:$I$57,"&lt;&gt;Complete")=0,"",COUNTIFS('Action Plan'!$B$8:$B$57,$A16,'Action Plan'!$F$8:$F$57,"&lt;&gt;",'Action Plan'!$I$8:$I$57,"&lt;&gt;Complete")))</f>
        <v/>
      </c>
      <c r="S16" s="0" t="str">
        <f aca="false">IF(ISNUMBER($Q16),$Q16+(100-ROW())/10000,"")</f>
        <v/>
      </c>
    </row>
    <row r="17" customFormat="false" ht="25.5" hidden="false" customHeight="true" outlineLevel="0" collapsed="false">
      <c r="A17" s="19" t="s">
        <v>175</v>
      </c>
      <c r="B17" s="38"/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22" t="str">
        <f aca="false">IF(OR($B17="",COUNTA($E17:$L17)=0),"",(COUNTIF($E17:$L17,"Met")+0.5*COUNTIF($E17:$L17,"Partial"))/8)</f>
        <v/>
      </c>
      <c r="N17" s="41" t="str">
        <f aca="false">IF($B17="","",IF(COUNTA($E17:$L17)&lt;8,"Incomplete",IF(AND(COUNTIF($E17:$L17,"Met")=8,Dashboard!$R$10="Met"),"Ready for Pilot","Preparation Required")))</f>
        <v/>
      </c>
      <c r="O17" s="39"/>
      <c r="P17" s="42" t="str">
        <f aca="false">IF(OR($B17="",$O17&lt;&gt;"Proceed to Pilot"),"",IF($N17="Preparation Required","Gaps open",IF($N17="Incomplete","Checks incomplete","")))</f>
        <v/>
      </c>
      <c r="Q17" s="19" t="str">
        <f aca="false">IF(OR($B17="",$N17="Incomplete",NOT(ISNUMBER($D17))),"",ROUND($D17*$M17*20,0))</f>
        <v/>
      </c>
      <c r="R17" s="21" t="str">
        <f aca="false">IF($B17="","",IF(COUNTIFS('Action Plan'!$B$8:$B$57,$A17,'Action Plan'!$F$8:$F$57,"&lt;&gt;",'Action Plan'!$I$8:$I$57,"&lt;&gt;Complete")=0,"",COUNTIFS('Action Plan'!$B$8:$B$57,$A17,'Action Plan'!$F$8:$F$57,"&lt;&gt;",'Action Plan'!$I$8:$I$57,"&lt;&gt;Complete")))</f>
        <v/>
      </c>
      <c r="S17" s="0" t="str">
        <f aca="false">IF(ISNUMBER($Q17),$Q17+(100-ROW())/10000,"")</f>
        <v/>
      </c>
    </row>
    <row r="18" customFormat="false" ht="25.5" hidden="false" customHeight="true" outlineLevel="0" collapsed="false">
      <c r="A18" s="19" t="s">
        <v>176</v>
      </c>
      <c r="B18" s="38"/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22" t="str">
        <f aca="false">IF(OR($B18="",COUNTA($E18:$L18)=0),"",(COUNTIF($E18:$L18,"Met")+0.5*COUNTIF($E18:$L18,"Partial"))/8)</f>
        <v/>
      </c>
      <c r="N18" s="41" t="str">
        <f aca="false">IF($B18="","",IF(COUNTA($E18:$L18)&lt;8,"Incomplete",IF(AND(COUNTIF($E18:$L18,"Met")=8,Dashboard!$R$10="Met"),"Ready for Pilot","Preparation Required")))</f>
        <v/>
      </c>
      <c r="O18" s="39"/>
      <c r="P18" s="42" t="str">
        <f aca="false">IF(OR($B18="",$O18&lt;&gt;"Proceed to Pilot"),"",IF($N18="Preparation Required","Gaps open",IF($N18="Incomplete","Checks incomplete","")))</f>
        <v/>
      </c>
      <c r="Q18" s="19" t="str">
        <f aca="false">IF(OR($B18="",$N18="Incomplete",NOT(ISNUMBER($D18))),"",ROUND($D18*$M18*20,0))</f>
        <v/>
      </c>
      <c r="R18" s="21" t="str">
        <f aca="false">IF($B18="","",IF(COUNTIFS('Action Plan'!$B$8:$B$57,$A18,'Action Plan'!$F$8:$F$57,"&lt;&gt;",'Action Plan'!$I$8:$I$57,"&lt;&gt;Complete")=0,"",COUNTIFS('Action Plan'!$B$8:$B$57,$A18,'Action Plan'!$F$8:$F$57,"&lt;&gt;",'Action Plan'!$I$8:$I$57,"&lt;&gt;Complete")))</f>
        <v/>
      </c>
      <c r="S18" s="0" t="str">
        <f aca="false">IF(ISNUMBER($Q18),$Q18+(100-ROW())/10000,"")</f>
        <v/>
      </c>
    </row>
    <row r="19" customFormat="false" ht="25.5" hidden="false" customHeight="true" outlineLevel="0" collapsed="false">
      <c r="A19" s="19" t="s">
        <v>177</v>
      </c>
      <c r="B19" s="38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22" t="str">
        <f aca="false">IF(OR($B19="",COUNTA($E19:$L19)=0),"",(COUNTIF($E19:$L19,"Met")+0.5*COUNTIF($E19:$L19,"Partial"))/8)</f>
        <v/>
      </c>
      <c r="N19" s="41" t="str">
        <f aca="false">IF($B19="","",IF(COUNTA($E19:$L19)&lt;8,"Incomplete",IF(AND(COUNTIF($E19:$L19,"Met")=8,Dashboard!$R$10="Met"),"Ready for Pilot","Preparation Required")))</f>
        <v/>
      </c>
      <c r="O19" s="39"/>
      <c r="P19" s="42" t="str">
        <f aca="false">IF(OR($B19="",$O19&lt;&gt;"Proceed to Pilot"),"",IF($N19="Preparation Required","Gaps open",IF($N19="Incomplete","Checks incomplete","")))</f>
        <v/>
      </c>
      <c r="Q19" s="19" t="str">
        <f aca="false">IF(OR($B19="",$N19="Incomplete",NOT(ISNUMBER($D19))),"",ROUND($D19*$M19*20,0))</f>
        <v/>
      </c>
      <c r="R19" s="21" t="str">
        <f aca="false">IF($B19="","",IF(COUNTIFS('Action Plan'!$B$8:$B$57,$A19,'Action Plan'!$F$8:$F$57,"&lt;&gt;",'Action Plan'!$I$8:$I$57,"&lt;&gt;Complete")=0,"",COUNTIFS('Action Plan'!$B$8:$B$57,$A19,'Action Plan'!$F$8:$F$57,"&lt;&gt;",'Action Plan'!$I$8:$I$57,"&lt;&gt;Complete")))</f>
        <v/>
      </c>
      <c r="S19" s="0" t="str">
        <f aca="false">IF(ISNUMBER($Q19),$Q19+(100-ROW())/10000,"")</f>
        <v/>
      </c>
    </row>
    <row r="20" customFormat="false" ht="25.5" hidden="false" customHeight="true" outlineLevel="0" collapsed="false">
      <c r="A20" s="19" t="s">
        <v>178</v>
      </c>
      <c r="B20" s="38"/>
      <c r="C20" s="38"/>
      <c r="D20" s="39"/>
      <c r="E20" s="39"/>
      <c r="F20" s="39"/>
      <c r="G20" s="39"/>
      <c r="H20" s="39"/>
      <c r="I20" s="39"/>
      <c r="J20" s="39"/>
      <c r="K20" s="39"/>
      <c r="L20" s="39"/>
      <c r="M20" s="22" t="str">
        <f aca="false">IF(OR($B20="",COUNTA($E20:$L20)=0),"",(COUNTIF($E20:$L20,"Met")+0.5*COUNTIF($E20:$L20,"Partial"))/8)</f>
        <v/>
      </c>
      <c r="N20" s="41" t="str">
        <f aca="false">IF($B20="","",IF(COUNTA($E20:$L20)&lt;8,"Incomplete",IF(AND(COUNTIF($E20:$L20,"Met")=8,Dashboard!$R$10="Met"),"Ready for Pilot","Preparation Required")))</f>
        <v/>
      </c>
      <c r="O20" s="39"/>
      <c r="P20" s="42" t="str">
        <f aca="false">IF(OR($B20="",$O20&lt;&gt;"Proceed to Pilot"),"",IF($N20="Preparation Required","Gaps open",IF($N20="Incomplete","Checks incomplete","")))</f>
        <v/>
      </c>
      <c r="Q20" s="19" t="str">
        <f aca="false">IF(OR($B20="",$N20="Incomplete",NOT(ISNUMBER($D20))),"",ROUND($D20*$M20*20,0))</f>
        <v/>
      </c>
      <c r="R20" s="21" t="str">
        <f aca="false">IF($B20="","",IF(COUNTIFS('Action Plan'!$B$8:$B$57,$A20,'Action Plan'!$F$8:$F$57,"&lt;&gt;",'Action Plan'!$I$8:$I$57,"&lt;&gt;Complete")=0,"",COUNTIFS('Action Plan'!$B$8:$B$57,$A20,'Action Plan'!$F$8:$F$57,"&lt;&gt;",'Action Plan'!$I$8:$I$57,"&lt;&gt;Complete")))</f>
        <v/>
      </c>
      <c r="S20" s="0" t="str">
        <f aca="false">IF(ISNUMBER($Q20),$Q20+(100-ROW())/10000,"")</f>
        <v/>
      </c>
    </row>
    <row r="21" customFormat="false" ht="25.5" hidden="false" customHeight="true" outlineLevel="0" collapsed="false">
      <c r="A21" s="19" t="s">
        <v>179</v>
      </c>
      <c r="B21" s="38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22" t="str">
        <f aca="false">IF(OR($B21="",COUNTA($E21:$L21)=0),"",(COUNTIF($E21:$L21,"Met")+0.5*COUNTIF($E21:$L21,"Partial"))/8)</f>
        <v/>
      </c>
      <c r="N21" s="41" t="str">
        <f aca="false">IF($B21="","",IF(COUNTA($E21:$L21)&lt;8,"Incomplete",IF(AND(COUNTIF($E21:$L21,"Met")=8,Dashboard!$R$10="Met"),"Ready for Pilot","Preparation Required")))</f>
        <v/>
      </c>
      <c r="O21" s="39"/>
      <c r="P21" s="42" t="str">
        <f aca="false">IF(OR($B21="",$O21&lt;&gt;"Proceed to Pilot"),"",IF($N21="Preparation Required","Gaps open",IF($N21="Incomplete","Checks incomplete","")))</f>
        <v/>
      </c>
      <c r="Q21" s="19" t="str">
        <f aca="false">IF(OR($B21="",$N21="Incomplete",NOT(ISNUMBER($D21))),"",ROUND($D21*$M21*20,0))</f>
        <v/>
      </c>
      <c r="R21" s="21" t="str">
        <f aca="false">IF($B21="","",IF(COUNTIFS('Action Plan'!$B$8:$B$57,$A21,'Action Plan'!$F$8:$F$57,"&lt;&gt;",'Action Plan'!$I$8:$I$57,"&lt;&gt;Complete")=0,"",COUNTIFS('Action Plan'!$B$8:$B$57,$A21,'Action Plan'!$F$8:$F$57,"&lt;&gt;",'Action Plan'!$I$8:$I$57,"&lt;&gt;Complete")))</f>
        <v/>
      </c>
      <c r="S21" s="0" t="str">
        <f aca="false">IF(ISNUMBER($Q21),$Q21+(100-ROW())/10000,"")</f>
        <v/>
      </c>
    </row>
    <row r="22" customFormat="false" ht="25.5" hidden="false" customHeight="true" outlineLevel="0" collapsed="false">
      <c r="A22" s="19" t="s">
        <v>180</v>
      </c>
      <c r="B22" s="38"/>
      <c r="C22" s="38"/>
      <c r="D22" s="39"/>
      <c r="E22" s="39"/>
      <c r="F22" s="39"/>
      <c r="G22" s="39"/>
      <c r="H22" s="39"/>
      <c r="I22" s="39"/>
      <c r="J22" s="39"/>
      <c r="K22" s="39"/>
      <c r="L22" s="39"/>
      <c r="M22" s="22" t="str">
        <f aca="false">IF(OR($B22="",COUNTA($E22:$L22)=0),"",(COUNTIF($E22:$L22,"Met")+0.5*COUNTIF($E22:$L22,"Partial"))/8)</f>
        <v/>
      </c>
      <c r="N22" s="41" t="str">
        <f aca="false">IF($B22="","",IF(COUNTA($E22:$L22)&lt;8,"Incomplete",IF(AND(COUNTIF($E22:$L22,"Met")=8,Dashboard!$R$10="Met"),"Ready for Pilot","Preparation Required")))</f>
        <v/>
      </c>
      <c r="O22" s="39"/>
      <c r="P22" s="42" t="str">
        <f aca="false">IF(OR($B22="",$O22&lt;&gt;"Proceed to Pilot"),"",IF($N22="Preparation Required","Gaps open",IF($N22="Incomplete","Checks incomplete","")))</f>
        <v/>
      </c>
      <c r="Q22" s="19" t="str">
        <f aca="false">IF(OR($B22="",$N22="Incomplete",NOT(ISNUMBER($D22))),"",ROUND($D22*$M22*20,0))</f>
        <v/>
      </c>
      <c r="R22" s="21" t="str">
        <f aca="false">IF($B22="","",IF(COUNTIFS('Action Plan'!$B$8:$B$57,$A22,'Action Plan'!$F$8:$F$57,"&lt;&gt;",'Action Plan'!$I$8:$I$57,"&lt;&gt;Complete")=0,"",COUNTIFS('Action Plan'!$B$8:$B$57,$A22,'Action Plan'!$F$8:$F$57,"&lt;&gt;",'Action Plan'!$I$8:$I$57,"&lt;&gt;Complete")))</f>
        <v/>
      </c>
      <c r="S22" s="0" t="str">
        <f aca="false">IF(ISNUMBER($Q22),$Q22+(100-ROW())/10000,"")</f>
        <v/>
      </c>
    </row>
    <row r="23" customFormat="false" ht="25.5" hidden="false" customHeight="true" outlineLevel="0" collapsed="false">
      <c r="A23" s="19" t="s">
        <v>181</v>
      </c>
      <c r="B23" s="38"/>
      <c r="C23" s="38"/>
      <c r="D23" s="39"/>
      <c r="E23" s="39"/>
      <c r="F23" s="39"/>
      <c r="G23" s="39"/>
      <c r="H23" s="39"/>
      <c r="I23" s="39"/>
      <c r="J23" s="39"/>
      <c r="K23" s="39"/>
      <c r="L23" s="39"/>
      <c r="M23" s="22" t="str">
        <f aca="false">IF(OR($B23="",COUNTA($E23:$L23)=0),"",(COUNTIF($E23:$L23,"Met")+0.5*COUNTIF($E23:$L23,"Partial"))/8)</f>
        <v/>
      </c>
      <c r="N23" s="41" t="str">
        <f aca="false">IF($B23="","",IF(COUNTA($E23:$L23)&lt;8,"Incomplete",IF(AND(COUNTIF($E23:$L23,"Met")=8,Dashboard!$R$10="Met"),"Ready for Pilot","Preparation Required")))</f>
        <v/>
      </c>
      <c r="O23" s="39"/>
      <c r="P23" s="42" t="str">
        <f aca="false">IF(OR($B23="",$O23&lt;&gt;"Proceed to Pilot"),"",IF($N23="Preparation Required","Gaps open",IF($N23="Incomplete","Checks incomplete","")))</f>
        <v/>
      </c>
      <c r="Q23" s="19" t="str">
        <f aca="false">IF(OR($B23="",$N23="Incomplete",NOT(ISNUMBER($D23))),"",ROUND($D23*$M23*20,0))</f>
        <v/>
      </c>
      <c r="R23" s="21" t="str">
        <f aca="false">IF($B23="","",IF(COUNTIFS('Action Plan'!$B$8:$B$57,$A23,'Action Plan'!$F$8:$F$57,"&lt;&gt;",'Action Plan'!$I$8:$I$57,"&lt;&gt;Complete")=0,"",COUNTIFS('Action Plan'!$B$8:$B$57,$A23,'Action Plan'!$F$8:$F$57,"&lt;&gt;",'Action Plan'!$I$8:$I$57,"&lt;&gt;Complete")))</f>
        <v/>
      </c>
      <c r="S23" s="0" t="str">
        <f aca="false">IF(ISNUMBER($Q23),$Q23+(100-ROW())/10000,"")</f>
        <v/>
      </c>
    </row>
    <row r="24" customFormat="false" ht="25.5" hidden="false" customHeight="true" outlineLevel="0" collapsed="false">
      <c r="A24" s="19" t="s">
        <v>182</v>
      </c>
      <c r="B24" s="38"/>
      <c r="C24" s="38"/>
      <c r="D24" s="39"/>
      <c r="E24" s="39"/>
      <c r="F24" s="39"/>
      <c r="G24" s="39"/>
      <c r="H24" s="39"/>
      <c r="I24" s="39"/>
      <c r="J24" s="39"/>
      <c r="K24" s="39"/>
      <c r="L24" s="39"/>
      <c r="M24" s="22" t="str">
        <f aca="false">IF(OR($B24="",COUNTA($E24:$L24)=0),"",(COUNTIF($E24:$L24,"Met")+0.5*COUNTIF($E24:$L24,"Partial"))/8)</f>
        <v/>
      </c>
      <c r="N24" s="41" t="str">
        <f aca="false">IF($B24="","",IF(COUNTA($E24:$L24)&lt;8,"Incomplete",IF(AND(COUNTIF($E24:$L24,"Met")=8,Dashboard!$R$10="Met"),"Ready for Pilot","Preparation Required")))</f>
        <v/>
      </c>
      <c r="O24" s="39"/>
      <c r="P24" s="42" t="str">
        <f aca="false">IF(OR($B24="",$O24&lt;&gt;"Proceed to Pilot"),"",IF($N24="Preparation Required","Gaps open",IF($N24="Incomplete","Checks incomplete","")))</f>
        <v/>
      </c>
      <c r="Q24" s="19" t="str">
        <f aca="false">IF(OR($B24="",$N24="Incomplete",NOT(ISNUMBER($D24))),"",ROUND($D24*$M24*20,0))</f>
        <v/>
      </c>
      <c r="R24" s="21" t="str">
        <f aca="false">IF($B24="","",IF(COUNTIFS('Action Plan'!$B$8:$B$57,$A24,'Action Plan'!$F$8:$F$57,"&lt;&gt;",'Action Plan'!$I$8:$I$57,"&lt;&gt;Complete")=0,"",COUNTIFS('Action Plan'!$B$8:$B$57,$A24,'Action Plan'!$F$8:$F$57,"&lt;&gt;",'Action Plan'!$I$8:$I$57,"&lt;&gt;Complete")))</f>
        <v/>
      </c>
      <c r="S24" s="0" t="str">
        <f aca="false">IF(ISNUMBER($Q24),$Q24+(100-ROW())/10000,"")</f>
        <v/>
      </c>
    </row>
    <row r="25" customFormat="false" ht="25.5" hidden="false" customHeight="true" outlineLevel="0" collapsed="false">
      <c r="A25" s="19" t="s">
        <v>183</v>
      </c>
      <c r="B25" s="38"/>
      <c r="C25" s="38"/>
      <c r="D25" s="39"/>
      <c r="E25" s="39"/>
      <c r="F25" s="39"/>
      <c r="G25" s="39"/>
      <c r="H25" s="39"/>
      <c r="I25" s="39"/>
      <c r="J25" s="39"/>
      <c r="K25" s="39"/>
      <c r="L25" s="39"/>
      <c r="M25" s="22" t="str">
        <f aca="false">IF(OR($B25="",COUNTA($E25:$L25)=0),"",(COUNTIF($E25:$L25,"Met")+0.5*COUNTIF($E25:$L25,"Partial"))/8)</f>
        <v/>
      </c>
      <c r="N25" s="41" t="str">
        <f aca="false">IF($B25="","",IF(COUNTA($E25:$L25)&lt;8,"Incomplete",IF(AND(COUNTIF($E25:$L25,"Met")=8,Dashboard!$R$10="Met"),"Ready for Pilot","Preparation Required")))</f>
        <v/>
      </c>
      <c r="O25" s="39"/>
      <c r="P25" s="42" t="str">
        <f aca="false">IF(OR($B25="",$O25&lt;&gt;"Proceed to Pilot"),"",IF($N25="Preparation Required","Gaps open",IF($N25="Incomplete","Checks incomplete","")))</f>
        <v/>
      </c>
      <c r="Q25" s="19" t="str">
        <f aca="false">IF(OR($B25="",$N25="Incomplete",NOT(ISNUMBER($D25))),"",ROUND($D25*$M25*20,0))</f>
        <v/>
      </c>
      <c r="R25" s="21" t="str">
        <f aca="false">IF($B25="","",IF(COUNTIFS('Action Plan'!$B$8:$B$57,$A25,'Action Plan'!$F$8:$F$57,"&lt;&gt;",'Action Plan'!$I$8:$I$57,"&lt;&gt;Complete")=0,"",COUNTIFS('Action Plan'!$B$8:$B$57,$A25,'Action Plan'!$F$8:$F$57,"&lt;&gt;",'Action Plan'!$I$8:$I$57,"&lt;&gt;Complete")))</f>
        <v/>
      </c>
      <c r="S25" s="0" t="str">
        <f aca="false">IF(ISNUMBER($Q25),$Q25+(100-ROW())/10000,"")</f>
        <v/>
      </c>
    </row>
    <row r="26" customFormat="false" ht="25.5" hidden="false" customHeight="true" outlineLevel="0" collapsed="false">
      <c r="A26" s="19" t="s">
        <v>184</v>
      </c>
      <c r="B26" s="38"/>
      <c r="C26" s="38"/>
      <c r="D26" s="39"/>
      <c r="E26" s="39"/>
      <c r="F26" s="39"/>
      <c r="G26" s="39"/>
      <c r="H26" s="39"/>
      <c r="I26" s="39"/>
      <c r="J26" s="39"/>
      <c r="K26" s="39"/>
      <c r="L26" s="39"/>
      <c r="M26" s="22" t="str">
        <f aca="false">IF(OR($B26="",COUNTA($E26:$L26)=0),"",(COUNTIF($E26:$L26,"Met")+0.5*COUNTIF($E26:$L26,"Partial"))/8)</f>
        <v/>
      </c>
      <c r="N26" s="41" t="str">
        <f aca="false">IF($B26="","",IF(COUNTA($E26:$L26)&lt;8,"Incomplete",IF(AND(COUNTIF($E26:$L26,"Met")=8,Dashboard!$R$10="Met"),"Ready for Pilot","Preparation Required")))</f>
        <v/>
      </c>
      <c r="O26" s="39"/>
      <c r="P26" s="42" t="str">
        <f aca="false">IF(OR($B26="",$O26&lt;&gt;"Proceed to Pilot"),"",IF($N26="Preparation Required","Gaps open",IF($N26="Incomplete","Checks incomplete","")))</f>
        <v/>
      </c>
      <c r="Q26" s="19" t="str">
        <f aca="false">IF(OR($B26="",$N26="Incomplete",NOT(ISNUMBER($D26))),"",ROUND($D26*$M26*20,0))</f>
        <v/>
      </c>
      <c r="R26" s="21" t="str">
        <f aca="false">IF($B26="","",IF(COUNTIFS('Action Plan'!$B$8:$B$57,$A26,'Action Plan'!$F$8:$F$57,"&lt;&gt;",'Action Plan'!$I$8:$I$57,"&lt;&gt;Complete")=0,"",COUNTIFS('Action Plan'!$B$8:$B$57,$A26,'Action Plan'!$F$8:$F$57,"&lt;&gt;",'Action Plan'!$I$8:$I$57,"&lt;&gt;Complete")))</f>
        <v/>
      </c>
      <c r="S26" s="0" t="str">
        <f aca="false">IF(ISNUMBER($Q26),$Q26+(100-ROW())/10000,"")</f>
        <v/>
      </c>
    </row>
    <row r="27" customFormat="false" ht="25.5" hidden="false" customHeight="true" outlineLevel="0" collapsed="false">
      <c r="A27" s="19" t="s">
        <v>185</v>
      </c>
      <c r="B27" s="38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22" t="str">
        <f aca="false">IF(OR($B27="",COUNTA($E27:$L27)=0),"",(COUNTIF($E27:$L27,"Met")+0.5*COUNTIF($E27:$L27,"Partial"))/8)</f>
        <v/>
      </c>
      <c r="N27" s="41" t="str">
        <f aca="false">IF($B27="","",IF(COUNTA($E27:$L27)&lt;8,"Incomplete",IF(AND(COUNTIF($E27:$L27,"Met")=8,Dashboard!$R$10="Met"),"Ready for Pilot","Preparation Required")))</f>
        <v/>
      </c>
      <c r="O27" s="39"/>
      <c r="P27" s="42" t="str">
        <f aca="false">IF(OR($B27="",$O27&lt;&gt;"Proceed to Pilot"),"",IF($N27="Preparation Required","Gaps open",IF($N27="Incomplete","Checks incomplete","")))</f>
        <v/>
      </c>
      <c r="Q27" s="19" t="str">
        <f aca="false">IF(OR($B27="",$N27="Incomplete",NOT(ISNUMBER($D27))),"",ROUND($D27*$M27*20,0))</f>
        <v/>
      </c>
      <c r="R27" s="21" t="str">
        <f aca="false">IF($B27="","",IF(COUNTIFS('Action Plan'!$B$8:$B$57,$A27,'Action Plan'!$F$8:$F$57,"&lt;&gt;",'Action Plan'!$I$8:$I$57,"&lt;&gt;Complete")=0,"",COUNTIFS('Action Plan'!$B$8:$B$57,$A27,'Action Plan'!$F$8:$F$57,"&lt;&gt;",'Action Plan'!$I$8:$I$57,"&lt;&gt;Complete")))</f>
        <v/>
      </c>
      <c r="S27" s="0" t="str">
        <f aca="false">IF(ISNUMBER($Q27),$Q27+(100-ROW())/10000,"")</f>
        <v/>
      </c>
    </row>
    <row r="28" customFormat="false" ht="15.75" hidden="false" customHeight="true" outlineLevel="0" collapsed="false">
      <c r="A28" s="35" t="s">
        <v>45</v>
      </c>
    </row>
  </sheetData>
  <sheetProtection sheet="true" formatCells="false" formatColumns="false" formatRows="false" sort="false" autoFilter="false"/>
  <autoFilter ref="A7:R27"/>
  <mergeCells count="4">
    <mergeCell ref="A3:B3"/>
    <mergeCell ref="C3:H3"/>
    <mergeCell ref="A4:B4"/>
    <mergeCell ref="C4:H4"/>
  </mergeCells>
  <conditionalFormatting sqref="E8:E27">
    <cfRule type="expression" priority="2" aboveAverage="0" equalAverage="0" bottom="0" percent="0" rank="0" text="" dxfId="7">
      <formula>$E8="Met"</formula>
    </cfRule>
    <cfRule type="expression" priority="3" aboveAverage="0" equalAverage="0" bottom="0" percent="0" rank="0" text="" dxfId="10">
      <formula>$E8="Partial"</formula>
    </cfRule>
    <cfRule type="expression" priority="4" aboveAverage="0" equalAverage="0" bottom="0" percent="0" rank="0" text="" dxfId="8">
      <formula>$E8="Not Met"</formula>
    </cfRule>
  </conditionalFormatting>
  <conditionalFormatting sqref="F8:F27">
    <cfRule type="expression" priority="5" aboveAverage="0" equalAverage="0" bottom="0" percent="0" rank="0" text="" dxfId="7">
      <formula>$F8="Met"</formula>
    </cfRule>
    <cfRule type="expression" priority="6" aboveAverage="0" equalAverage="0" bottom="0" percent="0" rank="0" text="" dxfId="10">
      <formula>$F8="Partial"</formula>
    </cfRule>
    <cfRule type="expression" priority="7" aboveAverage="0" equalAverage="0" bottom="0" percent="0" rank="0" text="" dxfId="8">
      <formula>$F8="Not Met"</formula>
    </cfRule>
  </conditionalFormatting>
  <conditionalFormatting sqref="G8:G27">
    <cfRule type="expression" priority="8" aboveAverage="0" equalAverage="0" bottom="0" percent="0" rank="0" text="" dxfId="7">
      <formula>$G8="Met"</formula>
    </cfRule>
    <cfRule type="expression" priority="9" aboveAverage="0" equalAverage="0" bottom="0" percent="0" rank="0" text="" dxfId="10">
      <formula>$G8="Partial"</formula>
    </cfRule>
    <cfRule type="expression" priority="10" aboveAverage="0" equalAverage="0" bottom="0" percent="0" rank="0" text="" dxfId="8">
      <formula>$G8="Not Met"</formula>
    </cfRule>
  </conditionalFormatting>
  <conditionalFormatting sqref="H8:H27">
    <cfRule type="expression" priority="11" aboveAverage="0" equalAverage="0" bottom="0" percent="0" rank="0" text="" dxfId="7">
      <formula>$H8="Met"</formula>
    </cfRule>
    <cfRule type="expression" priority="12" aboveAverage="0" equalAverage="0" bottom="0" percent="0" rank="0" text="" dxfId="10">
      <formula>$H8="Partial"</formula>
    </cfRule>
    <cfRule type="expression" priority="13" aboveAverage="0" equalAverage="0" bottom="0" percent="0" rank="0" text="" dxfId="8">
      <formula>$H8="Not Met"</formula>
    </cfRule>
  </conditionalFormatting>
  <conditionalFormatting sqref="I8:I27">
    <cfRule type="expression" priority="14" aboveAverage="0" equalAverage="0" bottom="0" percent="0" rank="0" text="" dxfId="7">
      <formula>$I8="Met"</formula>
    </cfRule>
    <cfRule type="expression" priority="15" aboveAverage="0" equalAverage="0" bottom="0" percent="0" rank="0" text="" dxfId="10">
      <formula>$I8="Partial"</formula>
    </cfRule>
    <cfRule type="expression" priority="16" aboveAverage="0" equalAverage="0" bottom="0" percent="0" rank="0" text="" dxfId="8">
      <formula>$I8="Not Met"</formula>
    </cfRule>
  </conditionalFormatting>
  <conditionalFormatting sqref="J8:J27">
    <cfRule type="expression" priority="17" aboveAverage="0" equalAverage="0" bottom="0" percent="0" rank="0" text="" dxfId="7">
      <formula>$J8="Met"</formula>
    </cfRule>
    <cfRule type="expression" priority="18" aboveAverage="0" equalAverage="0" bottom="0" percent="0" rank="0" text="" dxfId="10">
      <formula>$J8="Partial"</formula>
    </cfRule>
    <cfRule type="expression" priority="19" aboveAverage="0" equalAverage="0" bottom="0" percent="0" rank="0" text="" dxfId="8">
      <formula>$J8="Not Met"</formula>
    </cfRule>
  </conditionalFormatting>
  <conditionalFormatting sqref="K8:K27">
    <cfRule type="expression" priority="20" aboveAverage="0" equalAverage="0" bottom="0" percent="0" rank="0" text="" dxfId="7">
      <formula>$K8="Met"</formula>
    </cfRule>
    <cfRule type="expression" priority="21" aboveAverage="0" equalAverage="0" bottom="0" percent="0" rank="0" text="" dxfId="10">
      <formula>$K8="Partial"</formula>
    </cfRule>
    <cfRule type="expression" priority="22" aboveAverage="0" equalAverage="0" bottom="0" percent="0" rank="0" text="" dxfId="8">
      <formula>$K8="Not Met"</formula>
    </cfRule>
  </conditionalFormatting>
  <conditionalFormatting sqref="L8:L27">
    <cfRule type="expression" priority="23" aboveAverage="0" equalAverage="0" bottom="0" percent="0" rank="0" text="" dxfId="7">
      <formula>$L8="Met"</formula>
    </cfRule>
    <cfRule type="expression" priority="24" aboveAverage="0" equalAverage="0" bottom="0" percent="0" rank="0" text="" dxfId="10">
      <formula>$L8="Partial"</formula>
    </cfRule>
    <cfRule type="expression" priority="25" aboveAverage="0" equalAverage="0" bottom="0" percent="0" rank="0" text="" dxfId="8">
      <formula>$L8="Not Met"</formula>
    </cfRule>
  </conditionalFormatting>
  <conditionalFormatting sqref="N8:N27">
    <cfRule type="expression" priority="26" aboveAverage="0" equalAverage="0" bottom="0" percent="0" rank="0" text="" dxfId="7">
      <formula>$N8="Ready for Pilot"</formula>
    </cfRule>
    <cfRule type="expression" priority="27" aboveAverage="0" equalAverage="0" bottom="0" percent="0" rank="0" text="" dxfId="10">
      <formula>$N8="Preparation Required"</formula>
    </cfRule>
    <cfRule type="expression" priority="28" aboveAverage="0" equalAverage="0" bottom="0" percent="0" rank="0" text="" dxfId="9">
      <formula>$N8="Incomplete"</formula>
    </cfRule>
  </conditionalFormatting>
  <conditionalFormatting sqref="O8:O27">
    <cfRule type="expression" priority="29" aboveAverage="0" equalAverage="0" bottom="0" percent="0" rank="0" text="" dxfId="7">
      <formula>$O8="Proceed to Pilot"</formula>
    </cfRule>
    <cfRule type="expression" priority="30" aboveAverage="0" equalAverage="0" bottom="0" percent="0" rank="0" text="" dxfId="10">
      <formula>$O8="Prepare Further"</formula>
    </cfRule>
    <cfRule type="expression" priority="31" aboveAverage="0" equalAverage="0" bottom="0" percent="0" rank="0" text="" dxfId="8">
      <formula>$O8="Reconsider"</formula>
    </cfRule>
  </conditionalFormatting>
  <conditionalFormatting sqref="P8:P27">
    <cfRule type="expression" priority="32" aboveAverage="0" equalAverage="0" bottom="0" percent="0" rank="0" text="" dxfId="8">
      <formula>$P8&lt;&gt;""</formula>
    </cfRule>
  </conditionalFormatting>
  <dataValidations count="12">
    <dataValidation allowBlank="true" error="This is not on the list. Select OK to keep it." errorStyle="information" errorTitle="Use Case" operator="between" prompt="Pick a common use case or type your own, such as a named report or workflow." promptTitle="Use Case" showDropDown="false" showErrorMessage="true" showInputMessage="true" sqref="B8:B27" type="list">
      <formula1>UseCaseList</formula1>
      <formula2>0</formula2>
    </dataValidation>
    <dataValidation allowBlank="true" errorStyle="stop" operator="between" prompt="The person accountable for the workflow and its results." promptTitle="Use Case Owner" showDropDown="false" showErrorMessage="false" showInputMessage="true" sqref="C8:C27" type="custom">
      <formula1>1</formula1>
      <formula2>0</formula2>
    </dataValidation>
    <dataValidation allowBlank="true" error="Pick a value from 1 to 5." errorStyle="stop" errorTitle="Value" operator="between" prompt="1 Minimal. 2 Low. 3 Moderate. 4 High. 5 Very High. Time saved, cost avoided or risk reduced." promptTitle="Value" showDropDown="false" showErrorMessage="true" showInputMessage="true" sqref="D8:D27" type="list">
      <formula1>"1,2,3,4,5"</formula1>
      <formula2>0</formula2>
    </dataValidation>
    <dataValidation allowBlank="true" error="Pick Met, Partial or Not Met." errorStyle="stop" errorTitle="Baseline" operator="between" prompt="Met: Current steps, time and cost of the workflow are measured." promptTitle="Baseline" showDropDown="false" showErrorMessage="true" showInputMessage="true" sqref="E8:E27" type="list">
      <formula1>"Met,Partial,Not Met"</formula1>
      <formula2>0</formula2>
    </dataValidation>
    <dataValidation allowBlank="true" error="Pick Met, Partial or Not Met." errorStyle="stop" errorTitle="Data Quality" operator="between" prompt="Met: Source records are checked for accuracy, status and completeness." promptTitle="Data Quality" showDropDown="false" showErrorMessage="true" showInputMessage="true" sqref="F8:F27" type="list">
      <formula1>"Met,Partial,Not Met"</formula1>
      <formula2>0</formula2>
    </dataValidation>
    <dataValidation allowBlank="true" error="Pick Met, Partial or Not Met." errorStyle="stop" errorTitle="Permissions" operator="between" prompt="Met: Client, contract and AI provider terms allow this use of the data." promptTitle="Permissions" showDropDown="false" showErrorMessage="true" showInputMessage="true" sqref="G8:G27" type="list">
      <formula1>"Met,Partial,Not Met"</formula1>
      <formula2>0</formula2>
    </dataValidation>
    <dataValidation allowBlank="true" error="Pick Met, Partial or Not Met." errorStyle="stop" errorTitle="Integration" operator="between" prompt="Met: Connections from source systems to the AI tool are tested." promptTitle="Integration" showDropDown="false" showErrorMessage="true" showInputMessage="true" sqref="H8:H27" type="list">
      <formula1>"Met,Partial,Not Met"</formula1>
      <formula2>0</formula2>
    </dataValidation>
    <dataValidation allowBlank="true" error="Pick Met, Partial or Not Met." errorStyle="stop" errorTitle="Roles Assigned" operator="between" prompt="Met: Use case owner, data owner, reviewer and approver are named." promptTitle="Roles Assigned" showDropDown="false" showErrorMessage="true" showInputMessage="true" sqref="I8:I27" type="list">
      <formula1>"Met,Partial,Not Met"</formula1>
      <formula2>0</formula2>
    </dataValidation>
    <dataValidation allowBlank="true" error="Pick Met, Partial or Not Met." errorStyle="stop" errorTitle="Output Testing" operator="between" prompt="Met: Reviewers have tested sample outputs against source records." promptTitle="Output Testing" showDropDown="false" showErrorMessage="true" showInputMessage="true" sqref="J8:J27" type="list">
      <formula1>"Met,Partial,Not Met"</formula1>
      <formula2>0</formula2>
    </dataValidation>
    <dataValidation allowBlank="true" error="Pick Met, Partial or Not Met." errorStyle="stop" errorTitle="Cost and Capacity" operator="between" prompt="Met: Tool costs and reviewer time are estimated and funded." promptTitle="Cost and Capacity" showDropDown="false" showErrorMessage="true" showInputMessage="true" sqref="K8:K27" type="list">
      <formula1>"Met,Partial,Not Met"</formula1>
      <formula2>0</formula2>
    </dataValidation>
    <dataValidation allowBlank="true" error="Pick Met, Partial or Not Met." errorStyle="stop" errorTitle="Pilot Plan" operator="between" prompt="Met: Scope, duration, success measures and stop criteria are agreed." promptTitle="Pilot Plan" showDropDown="false" showErrorMessage="true" showInputMessage="true" sqref="L8:L27" type="list">
      <formula1>"Met,Partial,Not Met"</formula1>
      <formula2>0</formula2>
    </dataValidation>
    <dataValidation allowBlank="true" error="This is not on the list. Select OK to keep it." errorStyle="information" errorTitle="Decision" operator="between" prompt="The steering committee decision on this use case." promptTitle="Decision" showDropDown="false" showErrorMessage="true" showInputMessage="true" sqref="O8:O27" type="list">
      <formula1>"Proceed to Pilot,Prepare Further,Reconsider"</formula1>
      <formula2>0</formula2>
    </dataValidation>
  </dataValidations>
  <hyperlinks>
    <hyperlink ref="A28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8" activeCellId="0" sqref="B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"/>
    <col collapsed="false" customWidth="true" hidden="false" outlineLevel="0" max="3" min="3" style="0" width="18"/>
    <col collapsed="false" customWidth="true" hidden="false" outlineLevel="0" max="4" min="4" style="0" width="11.5"/>
    <col collapsed="false" customWidth="true" hidden="false" outlineLevel="0" max="6" min="5" style="0" width="32"/>
    <col collapsed="false" customWidth="true" hidden="false" outlineLevel="0" max="7" min="7" style="0" width="15"/>
    <col collapsed="false" customWidth="true" hidden="false" outlineLevel="0" max="9" min="8" style="0" width="12"/>
    <col collapsed="false" customWidth="true" hidden="false" outlineLevel="0" max="10" min="10" style="0" width="10"/>
  </cols>
  <sheetData>
    <row r="1" customFormat="false" ht="25.5" hidden="false" customHeight="true" outlineLevel="0" collapsed="false">
      <c r="A1" s="1" t="s">
        <v>186</v>
      </c>
    </row>
    <row r="2" customFormat="false" ht="6" hidden="false" customHeight="true" outlineLevel="0" collapsed="false"/>
    <row r="3" customFormat="false" ht="18" hidden="false" customHeight="true" outlineLevel="0" collapsed="false">
      <c r="A3" s="6" t="s">
        <v>3</v>
      </c>
      <c r="B3" s="6"/>
      <c r="C3" s="6"/>
      <c r="D3" s="20" t="str">
        <f aca="false">IF(Dashboard!$D$5="","",Dashboard!$D$5)</f>
        <v/>
      </c>
      <c r="E3" s="20"/>
      <c r="F3" s="20"/>
    </row>
    <row r="4" customFormat="false" ht="18" hidden="false" customHeight="true" outlineLevel="0" collapsed="false">
      <c r="A4" s="6" t="s">
        <v>4</v>
      </c>
      <c r="B4" s="6"/>
      <c r="C4" s="6"/>
      <c r="D4" s="36" t="str">
        <f aca="false">IF(Dashboard!$S$5="","",Dashboard!$S$5)</f>
        <v/>
      </c>
      <c r="E4" s="36"/>
      <c r="F4" s="36"/>
    </row>
    <row r="5" customFormat="false" ht="7.5" hidden="false" customHeight="true" outlineLevel="0" collapsed="false"/>
    <row r="6" customFormat="false" ht="19.5" hidden="false" customHeight="true" outlineLevel="0" collapsed="false">
      <c r="A6" s="4" t="s">
        <v>187</v>
      </c>
      <c r="B6" s="5"/>
      <c r="C6" s="5"/>
      <c r="D6" s="5"/>
      <c r="E6" s="5"/>
      <c r="F6" s="5"/>
      <c r="G6" s="5"/>
      <c r="H6" s="5"/>
      <c r="I6" s="5"/>
      <c r="J6" s="5"/>
    </row>
    <row r="7" customFormat="false" ht="30" hidden="false" customHeight="true" outlineLevel="0" collapsed="false">
      <c r="A7" s="18" t="s">
        <v>31</v>
      </c>
      <c r="B7" s="18" t="s">
        <v>188</v>
      </c>
      <c r="C7" s="18" t="s">
        <v>189</v>
      </c>
      <c r="D7" s="18" t="s">
        <v>48</v>
      </c>
      <c r="E7" s="18" t="s">
        <v>190</v>
      </c>
      <c r="F7" s="18" t="s">
        <v>191</v>
      </c>
      <c r="G7" s="18" t="s">
        <v>192</v>
      </c>
      <c r="H7" s="18" t="s">
        <v>193</v>
      </c>
      <c r="I7" s="18" t="s">
        <v>38</v>
      </c>
      <c r="J7" s="18" t="s">
        <v>194</v>
      </c>
    </row>
    <row r="8" customFormat="false" ht="27.75" hidden="false" customHeight="true" outlineLevel="0" collapsed="false">
      <c r="A8" s="19" t="s">
        <v>195</v>
      </c>
      <c r="B8" s="43"/>
      <c r="C8" s="24" t="str">
        <f aca="false">IF($B8="","",IFERROR(INDEX('Readiness Checklist'!$B$8:$B$65,MATCH($B8&amp;"",'Readiness Checklist'!$A$8:$A$65,0))&amp;"",IFERROR(INDEX('Use Case Register'!$B$8:$B$27,MATCH($B8&amp;"",'Use Case Register'!$A$8:$A$27,0))&amp;"","")))</f>
        <v/>
      </c>
      <c r="D8" s="19" t="str">
        <f aca="false">IF($B8="","",IFERROR(IF(INDEX('Readiness Checklist'!$D$8:$D$65,MATCH($B8&amp;"",'Readiness Checklist'!$A$8:$A$65,0))="Yes","Yes",""),""))</f>
        <v/>
      </c>
      <c r="E8" s="38"/>
      <c r="F8" s="38"/>
      <c r="G8" s="38"/>
      <c r="H8" s="44"/>
      <c r="I8" s="39"/>
      <c r="J8" s="21" t="str">
        <f aca="true">IF(OR($F8="",$I8="Complete",$H8=""),"",IF(NOT(ISNUMBER($H8)),"Not a date",IF(TODAY()&gt;$H8,TODAY()-$H8,"")))</f>
        <v/>
      </c>
    </row>
    <row r="9" customFormat="false" ht="27.75" hidden="false" customHeight="true" outlineLevel="0" collapsed="false">
      <c r="A9" s="19" t="s">
        <v>196</v>
      </c>
      <c r="B9" s="43"/>
      <c r="C9" s="24" t="str">
        <f aca="false">IF($B9="","",IFERROR(INDEX('Readiness Checklist'!$B$8:$B$65,MATCH($B9&amp;"",'Readiness Checklist'!$A$8:$A$65,0))&amp;"",IFERROR(INDEX('Use Case Register'!$B$8:$B$27,MATCH($B9&amp;"",'Use Case Register'!$A$8:$A$27,0))&amp;"","")))</f>
        <v/>
      </c>
      <c r="D9" s="19" t="str">
        <f aca="false">IF($B9="","",IFERROR(IF(INDEX('Readiness Checklist'!$D$8:$D$65,MATCH($B9&amp;"",'Readiness Checklist'!$A$8:$A$65,0))="Yes","Yes",""),""))</f>
        <v/>
      </c>
      <c r="E9" s="38"/>
      <c r="F9" s="38"/>
      <c r="G9" s="38"/>
      <c r="H9" s="44"/>
      <c r="I9" s="39"/>
      <c r="J9" s="21" t="str">
        <f aca="true">IF(OR($F9="",$I9="Complete",$H9=""),"",IF(NOT(ISNUMBER($H9)),"Not a date",IF(TODAY()&gt;$H9,TODAY()-$H9,"")))</f>
        <v/>
      </c>
    </row>
    <row r="10" customFormat="false" ht="27.75" hidden="false" customHeight="true" outlineLevel="0" collapsed="false">
      <c r="A10" s="19" t="s">
        <v>197</v>
      </c>
      <c r="B10" s="43"/>
      <c r="C10" s="24" t="str">
        <f aca="false">IF($B10="","",IFERROR(INDEX('Readiness Checklist'!$B$8:$B$65,MATCH($B10&amp;"",'Readiness Checklist'!$A$8:$A$65,0))&amp;"",IFERROR(INDEX('Use Case Register'!$B$8:$B$27,MATCH($B10&amp;"",'Use Case Register'!$A$8:$A$27,0))&amp;"","")))</f>
        <v/>
      </c>
      <c r="D10" s="19" t="str">
        <f aca="false">IF($B10="","",IFERROR(IF(INDEX('Readiness Checklist'!$D$8:$D$65,MATCH($B10&amp;"",'Readiness Checklist'!$A$8:$A$65,0))="Yes","Yes",""),""))</f>
        <v/>
      </c>
      <c r="E10" s="38"/>
      <c r="F10" s="38"/>
      <c r="G10" s="38"/>
      <c r="H10" s="44"/>
      <c r="I10" s="39"/>
      <c r="J10" s="21" t="str">
        <f aca="true">IF(OR($F10="",$I10="Complete",$H10=""),"",IF(NOT(ISNUMBER($H10)),"Not a date",IF(TODAY()&gt;$H10,TODAY()-$H10,"")))</f>
        <v/>
      </c>
    </row>
    <row r="11" customFormat="false" ht="27.75" hidden="false" customHeight="true" outlineLevel="0" collapsed="false">
      <c r="A11" s="19" t="s">
        <v>198</v>
      </c>
      <c r="B11" s="43"/>
      <c r="C11" s="24" t="str">
        <f aca="false">IF($B11="","",IFERROR(INDEX('Readiness Checklist'!$B$8:$B$65,MATCH($B11&amp;"",'Readiness Checklist'!$A$8:$A$65,0))&amp;"",IFERROR(INDEX('Use Case Register'!$B$8:$B$27,MATCH($B11&amp;"",'Use Case Register'!$A$8:$A$27,0))&amp;"","")))</f>
        <v/>
      </c>
      <c r="D11" s="19" t="str">
        <f aca="false">IF($B11="","",IFERROR(IF(INDEX('Readiness Checklist'!$D$8:$D$65,MATCH($B11&amp;"",'Readiness Checklist'!$A$8:$A$65,0))="Yes","Yes",""),""))</f>
        <v/>
      </c>
      <c r="E11" s="38"/>
      <c r="F11" s="38"/>
      <c r="G11" s="38"/>
      <c r="H11" s="44"/>
      <c r="I11" s="39"/>
      <c r="J11" s="21" t="str">
        <f aca="true">IF(OR($F11="",$I11="Complete",$H11=""),"",IF(NOT(ISNUMBER($H11)),"Not a date",IF(TODAY()&gt;$H11,TODAY()-$H11,"")))</f>
        <v/>
      </c>
    </row>
    <row r="12" customFormat="false" ht="27.75" hidden="false" customHeight="true" outlineLevel="0" collapsed="false">
      <c r="A12" s="19" t="s">
        <v>199</v>
      </c>
      <c r="B12" s="43"/>
      <c r="C12" s="24" t="str">
        <f aca="false">IF($B12="","",IFERROR(INDEX('Readiness Checklist'!$B$8:$B$65,MATCH($B12&amp;"",'Readiness Checklist'!$A$8:$A$65,0))&amp;"",IFERROR(INDEX('Use Case Register'!$B$8:$B$27,MATCH($B12&amp;"",'Use Case Register'!$A$8:$A$27,0))&amp;"","")))</f>
        <v/>
      </c>
      <c r="D12" s="19" t="str">
        <f aca="false">IF($B12="","",IFERROR(IF(INDEX('Readiness Checklist'!$D$8:$D$65,MATCH($B12&amp;"",'Readiness Checklist'!$A$8:$A$65,0))="Yes","Yes",""),""))</f>
        <v/>
      </c>
      <c r="E12" s="38"/>
      <c r="F12" s="38"/>
      <c r="G12" s="38"/>
      <c r="H12" s="44"/>
      <c r="I12" s="39"/>
      <c r="J12" s="21" t="str">
        <f aca="true">IF(OR($F12="",$I12="Complete",$H12=""),"",IF(NOT(ISNUMBER($H12)),"Not a date",IF(TODAY()&gt;$H12,TODAY()-$H12,"")))</f>
        <v/>
      </c>
    </row>
    <row r="13" customFormat="false" ht="27.75" hidden="false" customHeight="true" outlineLevel="0" collapsed="false">
      <c r="A13" s="19" t="s">
        <v>200</v>
      </c>
      <c r="B13" s="43"/>
      <c r="C13" s="24" t="str">
        <f aca="false">IF($B13="","",IFERROR(INDEX('Readiness Checklist'!$B$8:$B$65,MATCH($B13&amp;"",'Readiness Checklist'!$A$8:$A$65,0))&amp;"",IFERROR(INDEX('Use Case Register'!$B$8:$B$27,MATCH($B13&amp;"",'Use Case Register'!$A$8:$A$27,0))&amp;"","")))</f>
        <v/>
      </c>
      <c r="D13" s="19" t="str">
        <f aca="false">IF($B13="","",IFERROR(IF(INDEX('Readiness Checklist'!$D$8:$D$65,MATCH($B13&amp;"",'Readiness Checklist'!$A$8:$A$65,0))="Yes","Yes",""),""))</f>
        <v/>
      </c>
      <c r="E13" s="38"/>
      <c r="F13" s="38"/>
      <c r="G13" s="38"/>
      <c r="H13" s="44"/>
      <c r="I13" s="39"/>
      <c r="J13" s="21" t="str">
        <f aca="true">IF(OR($F13="",$I13="Complete",$H13=""),"",IF(NOT(ISNUMBER($H13)),"Not a date",IF(TODAY()&gt;$H13,TODAY()-$H13,"")))</f>
        <v/>
      </c>
    </row>
    <row r="14" customFormat="false" ht="27.75" hidden="false" customHeight="true" outlineLevel="0" collapsed="false">
      <c r="A14" s="19" t="s">
        <v>201</v>
      </c>
      <c r="B14" s="43"/>
      <c r="C14" s="24" t="str">
        <f aca="false">IF($B14="","",IFERROR(INDEX('Readiness Checklist'!$B$8:$B$65,MATCH($B14&amp;"",'Readiness Checklist'!$A$8:$A$65,0))&amp;"",IFERROR(INDEX('Use Case Register'!$B$8:$B$27,MATCH($B14&amp;"",'Use Case Register'!$A$8:$A$27,0))&amp;"","")))</f>
        <v/>
      </c>
      <c r="D14" s="19" t="str">
        <f aca="false">IF($B14="","",IFERROR(IF(INDEX('Readiness Checklist'!$D$8:$D$65,MATCH($B14&amp;"",'Readiness Checklist'!$A$8:$A$65,0))="Yes","Yes",""),""))</f>
        <v/>
      </c>
      <c r="E14" s="38"/>
      <c r="F14" s="38"/>
      <c r="G14" s="38"/>
      <c r="H14" s="44"/>
      <c r="I14" s="39"/>
      <c r="J14" s="21" t="str">
        <f aca="true">IF(OR($F14="",$I14="Complete",$H14=""),"",IF(NOT(ISNUMBER($H14)),"Not a date",IF(TODAY()&gt;$H14,TODAY()-$H14,"")))</f>
        <v/>
      </c>
    </row>
    <row r="15" customFormat="false" ht="27.75" hidden="false" customHeight="true" outlineLevel="0" collapsed="false">
      <c r="A15" s="19" t="s">
        <v>202</v>
      </c>
      <c r="B15" s="43"/>
      <c r="C15" s="24" t="str">
        <f aca="false">IF($B15="","",IFERROR(INDEX('Readiness Checklist'!$B$8:$B$65,MATCH($B15&amp;"",'Readiness Checklist'!$A$8:$A$65,0))&amp;"",IFERROR(INDEX('Use Case Register'!$B$8:$B$27,MATCH($B15&amp;"",'Use Case Register'!$A$8:$A$27,0))&amp;"","")))</f>
        <v/>
      </c>
      <c r="D15" s="19" t="str">
        <f aca="false">IF($B15="","",IFERROR(IF(INDEX('Readiness Checklist'!$D$8:$D$65,MATCH($B15&amp;"",'Readiness Checklist'!$A$8:$A$65,0))="Yes","Yes",""),""))</f>
        <v/>
      </c>
      <c r="E15" s="38"/>
      <c r="F15" s="38"/>
      <c r="G15" s="38"/>
      <c r="H15" s="44"/>
      <c r="I15" s="39"/>
      <c r="J15" s="21" t="str">
        <f aca="true">IF(OR($F15="",$I15="Complete",$H15=""),"",IF(NOT(ISNUMBER($H15)),"Not a date",IF(TODAY()&gt;$H15,TODAY()-$H15,"")))</f>
        <v/>
      </c>
    </row>
    <row r="16" customFormat="false" ht="27.75" hidden="false" customHeight="true" outlineLevel="0" collapsed="false">
      <c r="A16" s="19" t="s">
        <v>203</v>
      </c>
      <c r="B16" s="43"/>
      <c r="C16" s="24" t="str">
        <f aca="false">IF($B16="","",IFERROR(INDEX('Readiness Checklist'!$B$8:$B$65,MATCH($B16&amp;"",'Readiness Checklist'!$A$8:$A$65,0))&amp;"",IFERROR(INDEX('Use Case Register'!$B$8:$B$27,MATCH($B16&amp;"",'Use Case Register'!$A$8:$A$27,0))&amp;"","")))</f>
        <v/>
      </c>
      <c r="D16" s="19" t="str">
        <f aca="false">IF($B16="","",IFERROR(IF(INDEX('Readiness Checklist'!$D$8:$D$65,MATCH($B16&amp;"",'Readiness Checklist'!$A$8:$A$65,0))="Yes","Yes",""),""))</f>
        <v/>
      </c>
      <c r="E16" s="38"/>
      <c r="F16" s="38"/>
      <c r="G16" s="38"/>
      <c r="H16" s="44"/>
      <c r="I16" s="39"/>
      <c r="J16" s="21" t="str">
        <f aca="true">IF(OR($F16="",$I16="Complete",$H16=""),"",IF(NOT(ISNUMBER($H16)),"Not a date",IF(TODAY()&gt;$H16,TODAY()-$H16,"")))</f>
        <v/>
      </c>
    </row>
    <row r="17" customFormat="false" ht="27.75" hidden="false" customHeight="true" outlineLevel="0" collapsed="false">
      <c r="A17" s="19" t="s">
        <v>204</v>
      </c>
      <c r="B17" s="43"/>
      <c r="C17" s="24" t="str">
        <f aca="false">IF($B17="","",IFERROR(INDEX('Readiness Checklist'!$B$8:$B$65,MATCH($B17&amp;"",'Readiness Checklist'!$A$8:$A$65,0))&amp;"",IFERROR(INDEX('Use Case Register'!$B$8:$B$27,MATCH($B17&amp;"",'Use Case Register'!$A$8:$A$27,0))&amp;"","")))</f>
        <v/>
      </c>
      <c r="D17" s="19" t="str">
        <f aca="false">IF($B17="","",IFERROR(IF(INDEX('Readiness Checklist'!$D$8:$D$65,MATCH($B17&amp;"",'Readiness Checklist'!$A$8:$A$65,0))="Yes","Yes",""),""))</f>
        <v/>
      </c>
      <c r="E17" s="38"/>
      <c r="F17" s="38"/>
      <c r="G17" s="38"/>
      <c r="H17" s="44"/>
      <c r="I17" s="39"/>
      <c r="J17" s="21" t="str">
        <f aca="true">IF(OR($F17="",$I17="Complete",$H17=""),"",IF(NOT(ISNUMBER($H17)),"Not a date",IF(TODAY()&gt;$H17,TODAY()-$H17,"")))</f>
        <v/>
      </c>
    </row>
    <row r="18" customFormat="false" ht="27.75" hidden="false" customHeight="true" outlineLevel="0" collapsed="false">
      <c r="A18" s="19" t="s">
        <v>205</v>
      </c>
      <c r="B18" s="43"/>
      <c r="C18" s="24" t="str">
        <f aca="false">IF($B18="","",IFERROR(INDEX('Readiness Checklist'!$B$8:$B$65,MATCH($B18&amp;"",'Readiness Checklist'!$A$8:$A$65,0))&amp;"",IFERROR(INDEX('Use Case Register'!$B$8:$B$27,MATCH($B18&amp;"",'Use Case Register'!$A$8:$A$27,0))&amp;"","")))</f>
        <v/>
      </c>
      <c r="D18" s="19" t="str">
        <f aca="false">IF($B18="","",IFERROR(IF(INDEX('Readiness Checklist'!$D$8:$D$65,MATCH($B18&amp;"",'Readiness Checklist'!$A$8:$A$65,0))="Yes","Yes",""),""))</f>
        <v/>
      </c>
      <c r="E18" s="38"/>
      <c r="F18" s="38"/>
      <c r="G18" s="38"/>
      <c r="H18" s="44"/>
      <c r="I18" s="39"/>
      <c r="J18" s="21" t="str">
        <f aca="true">IF(OR($F18="",$I18="Complete",$H18=""),"",IF(NOT(ISNUMBER($H18)),"Not a date",IF(TODAY()&gt;$H18,TODAY()-$H18,"")))</f>
        <v/>
      </c>
    </row>
    <row r="19" customFormat="false" ht="27.75" hidden="false" customHeight="true" outlineLevel="0" collapsed="false">
      <c r="A19" s="19" t="s">
        <v>206</v>
      </c>
      <c r="B19" s="43"/>
      <c r="C19" s="24" t="str">
        <f aca="false">IF($B19="","",IFERROR(INDEX('Readiness Checklist'!$B$8:$B$65,MATCH($B19&amp;"",'Readiness Checklist'!$A$8:$A$65,0))&amp;"",IFERROR(INDEX('Use Case Register'!$B$8:$B$27,MATCH($B19&amp;"",'Use Case Register'!$A$8:$A$27,0))&amp;"","")))</f>
        <v/>
      </c>
      <c r="D19" s="19" t="str">
        <f aca="false">IF($B19="","",IFERROR(IF(INDEX('Readiness Checklist'!$D$8:$D$65,MATCH($B19&amp;"",'Readiness Checklist'!$A$8:$A$65,0))="Yes","Yes",""),""))</f>
        <v/>
      </c>
      <c r="E19" s="38"/>
      <c r="F19" s="38"/>
      <c r="G19" s="38"/>
      <c r="H19" s="44"/>
      <c r="I19" s="39"/>
      <c r="J19" s="21" t="str">
        <f aca="true">IF(OR($F19="",$I19="Complete",$H19=""),"",IF(NOT(ISNUMBER($H19)),"Not a date",IF(TODAY()&gt;$H19,TODAY()-$H19,"")))</f>
        <v/>
      </c>
    </row>
    <row r="20" customFormat="false" ht="27.75" hidden="false" customHeight="true" outlineLevel="0" collapsed="false">
      <c r="A20" s="19" t="s">
        <v>207</v>
      </c>
      <c r="B20" s="43"/>
      <c r="C20" s="24" t="str">
        <f aca="false">IF($B20="","",IFERROR(INDEX('Readiness Checklist'!$B$8:$B$65,MATCH($B20&amp;"",'Readiness Checklist'!$A$8:$A$65,0))&amp;"",IFERROR(INDEX('Use Case Register'!$B$8:$B$27,MATCH($B20&amp;"",'Use Case Register'!$A$8:$A$27,0))&amp;"","")))</f>
        <v/>
      </c>
      <c r="D20" s="19" t="str">
        <f aca="false">IF($B20="","",IFERROR(IF(INDEX('Readiness Checklist'!$D$8:$D$65,MATCH($B20&amp;"",'Readiness Checklist'!$A$8:$A$65,0))="Yes","Yes",""),""))</f>
        <v/>
      </c>
      <c r="E20" s="38"/>
      <c r="F20" s="38"/>
      <c r="G20" s="38"/>
      <c r="H20" s="44"/>
      <c r="I20" s="39"/>
      <c r="J20" s="21" t="str">
        <f aca="true">IF(OR($F20="",$I20="Complete",$H20=""),"",IF(NOT(ISNUMBER($H20)),"Not a date",IF(TODAY()&gt;$H20,TODAY()-$H20,"")))</f>
        <v/>
      </c>
    </row>
    <row r="21" customFormat="false" ht="27.75" hidden="false" customHeight="true" outlineLevel="0" collapsed="false">
      <c r="A21" s="19" t="s">
        <v>208</v>
      </c>
      <c r="B21" s="43"/>
      <c r="C21" s="24" t="str">
        <f aca="false">IF($B21="","",IFERROR(INDEX('Readiness Checklist'!$B$8:$B$65,MATCH($B21&amp;"",'Readiness Checklist'!$A$8:$A$65,0))&amp;"",IFERROR(INDEX('Use Case Register'!$B$8:$B$27,MATCH($B21&amp;"",'Use Case Register'!$A$8:$A$27,0))&amp;"","")))</f>
        <v/>
      </c>
      <c r="D21" s="19" t="str">
        <f aca="false">IF($B21="","",IFERROR(IF(INDEX('Readiness Checklist'!$D$8:$D$65,MATCH($B21&amp;"",'Readiness Checklist'!$A$8:$A$65,0))="Yes","Yes",""),""))</f>
        <v/>
      </c>
      <c r="E21" s="38"/>
      <c r="F21" s="38"/>
      <c r="G21" s="38"/>
      <c r="H21" s="44"/>
      <c r="I21" s="39"/>
      <c r="J21" s="21" t="str">
        <f aca="true">IF(OR($F21="",$I21="Complete",$H21=""),"",IF(NOT(ISNUMBER($H21)),"Not a date",IF(TODAY()&gt;$H21,TODAY()-$H21,"")))</f>
        <v/>
      </c>
    </row>
    <row r="22" customFormat="false" ht="27.75" hidden="false" customHeight="true" outlineLevel="0" collapsed="false">
      <c r="A22" s="19" t="s">
        <v>209</v>
      </c>
      <c r="B22" s="43"/>
      <c r="C22" s="24" t="str">
        <f aca="false">IF($B22="","",IFERROR(INDEX('Readiness Checklist'!$B$8:$B$65,MATCH($B22&amp;"",'Readiness Checklist'!$A$8:$A$65,0))&amp;"",IFERROR(INDEX('Use Case Register'!$B$8:$B$27,MATCH($B22&amp;"",'Use Case Register'!$A$8:$A$27,0))&amp;"","")))</f>
        <v/>
      </c>
      <c r="D22" s="19" t="str">
        <f aca="false">IF($B22="","",IFERROR(IF(INDEX('Readiness Checklist'!$D$8:$D$65,MATCH($B22&amp;"",'Readiness Checklist'!$A$8:$A$65,0))="Yes","Yes",""),""))</f>
        <v/>
      </c>
      <c r="E22" s="38"/>
      <c r="F22" s="38"/>
      <c r="G22" s="38"/>
      <c r="H22" s="44"/>
      <c r="I22" s="39"/>
      <c r="J22" s="21" t="str">
        <f aca="true">IF(OR($F22="",$I22="Complete",$H22=""),"",IF(NOT(ISNUMBER($H22)),"Not a date",IF(TODAY()&gt;$H22,TODAY()-$H22,"")))</f>
        <v/>
      </c>
    </row>
    <row r="23" customFormat="false" ht="27.75" hidden="false" customHeight="true" outlineLevel="0" collapsed="false">
      <c r="A23" s="19" t="s">
        <v>210</v>
      </c>
      <c r="B23" s="43"/>
      <c r="C23" s="24" t="str">
        <f aca="false">IF($B23="","",IFERROR(INDEX('Readiness Checklist'!$B$8:$B$65,MATCH($B23&amp;"",'Readiness Checklist'!$A$8:$A$65,0))&amp;"",IFERROR(INDEX('Use Case Register'!$B$8:$B$27,MATCH($B23&amp;"",'Use Case Register'!$A$8:$A$27,0))&amp;"","")))</f>
        <v/>
      </c>
      <c r="D23" s="19" t="str">
        <f aca="false">IF($B23="","",IFERROR(IF(INDEX('Readiness Checklist'!$D$8:$D$65,MATCH($B23&amp;"",'Readiness Checklist'!$A$8:$A$65,0))="Yes","Yes",""),""))</f>
        <v/>
      </c>
      <c r="E23" s="38"/>
      <c r="F23" s="38"/>
      <c r="G23" s="38"/>
      <c r="H23" s="44"/>
      <c r="I23" s="39"/>
      <c r="J23" s="21" t="str">
        <f aca="true">IF(OR($F23="",$I23="Complete",$H23=""),"",IF(NOT(ISNUMBER($H23)),"Not a date",IF(TODAY()&gt;$H23,TODAY()-$H23,"")))</f>
        <v/>
      </c>
    </row>
    <row r="24" customFormat="false" ht="27.75" hidden="false" customHeight="true" outlineLevel="0" collapsed="false">
      <c r="A24" s="19" t="s">
        <v>211</v>
      </c>
      <c r="B24" s="43"/>
      <c r="C24" s="24" t="str">
        <f aca="false">IF($B24="","",IFERROR(INDEX('Readiness Checklist'!$B$8:$B$65,MATCH($B24&amp;"",'Readiness Checklist'!$A$8:$A$65,0))&amp;"",IFERROR(INDEX('Use Case Register'!$B$8:$B$27,MATCH($B24&amp;"",'Use Case Register'!$A$8:$A$27,0))&amp;"","")))</f>
        <v/>
      </c>
      <c r="D24" s="19" t="str">
        <f aca="false">IF($B24="","",IFERROR(IF(INDEX('Readiness Checklist'!$D$8:$D$65,MATCH($B24&amp;"",'Readiness Checklist'!$A$8:$A$65,0))="Yes","Yes",""),""))</f>
        <v/>
      </c>
      <c r="E24" s="38"/>
      <c r="F24" s="38"/>
      <c r="G24" s="38"/>
      <c r="H24" s="44"/>
      <c r="I24" s="39"/>
      <c r="J24" s="21" t="str">
        <f aca="true">IF(OR($F24="",$I24="Complete",$H24=""),"",IF(NOT(ISNUMBER($H24)),"Not a date",IF(TODAY()&gt;$H24,TODAY()-$H24,"")))</f>
        <v/>
      </c>
    </row>
    <row r="25" customFormat="false" ht="27.75" hidden="false" customHeight="true" outlineLevel="0" collapsed="false">
      <c r="A25" s="19" t="s">
        <v>212</v>
      </c>
      <c r="B25" s="43"/>
      <c r="C25" s="24" t="str">
        <f aca="false">IF($B25="","",IFERROR(INDEX('Readiness Checklist'!$B$8:$B$65,MATCH($B25&amp;"",'Readiness Checklist'!$A$8:$A$65,0))&amp;"",IFERROR(INDEX('Use Case Register'!$B$8:$B$27,MATCH($B25&amp;"",'Use Case Register'!$A$8:$A$27,0))&amp;"","")))</f>
        <v/>
      </c>
      <c r="D25" s="19" t="str">
        <f aca="false">IF($B25="","",IFERROR(IF(INDEX('Readiness Checklist'!$D$8:$D$65,MATCH($B25&amp;"",'Readiness Checklist'!$A$8:$A$65,0))="Yes","Yes",""),""))</f>
        <v/>
      </c>
      <c r="E25" s="38"/>
      <c r="F25" s="38"/>
      <c r="G25" s="38"/>
      <c r="H25" s="44"/>
      <c r="I25" s="39"/>
      <c r="J25" s="21" t="str">
        <f aca="true">IF(OR($F25="",$I25="Complete",$H25=""),"",IF(NOT(ISNUMBER($H25)),"Not a date",IF(TODAY()&gt;$H25,TODAY()-$H25,"")))</f>
        <v/>
      </c>
    </row>
    <row r="26" customFormat="false" ht="27.75" hidden="false" customHeight="true" outlineLevel="0" collapsed="false">
      <c r="A26" s="19" t="s">
        <v>213</v>
      </c>
      <c r="B26" s="43"/>
      <c r="C26" s="24" t="str">
        <f aca="false">IF($B26="","",IFERROR(INDEX('Readiness Checklist'!$B$8:$B$65,MATCH($B26&amp;"",'Readiness Checklist'!$A$8:$A$65,0))&amp;"",IFERROR(INDEX('Use Case Register'!$B$8:$B$27,MATCH($B26&amp;"",'Use Case Register'!$A$8:$A$27,0))&amp;"","")))</f>
        <v/>
      </c>
      <c r="D26" s="19" t="str">
        <f aca="false">IF($B26="","",IFERROR(IF(INDEX('Readiness Checklist'!$D$8:$D$65,MATCH($B26&amp;"",'Readiness Checklist'!$A$8:$A$65,0))="Yes","Yes",""),""))</f>
        <v/>
      </c>
      <c r="E26" s="38"/>
      <c r="F26" s="38"/>
      <c r="G26" s="38"/>
      <c r="H26" s="44"/>
      <c r="I26" s="39"/>
      <c r="J26" s="21" t="str">
        <f aca="true">IF(OR($F26="",$I26="Complete",$H26=""),"",IF(NOT(ISNUMBER($H26)),"Not a date",IF(TODAY()&gt;$H26,TODAY()-$H26,"")))</f>
        <v/>
      </c>
    </row>
    <row r="27" customFormat="false" ht="27.75" hidden="false" customHeight="true" outlineLevel="0" collapsed="false">
      <c r="A27" s="19" t="s">
        <v>214</v>
      </c>
      <c r="B27" s="43"/>
      <c r="C27" s="24" t="str">
        <f aca="false">IF($B27="","",IFERROR(INDEX('Readiness Checklist'!$B$8:$B$65,MATCH($B27&amp;"",'Readiness Checklist'!$A$8:$A$65,0))&amp;"",IFERROR(INDEX('Use Case Register'!$B$8:$B$27,MATCH($B27&amp;"",'Use Case Register'!$A$8:$A$27,0))&amp;"","")))</f>
        <v/>
      </c>
      <c r="D27" s="19" t="str">
        <f aca="false">IF($B27="","",IFERROR(IF(INDEX('Readiness Checklist'!$D$8:$D$65,MATCH($B27&amp;"",'Readiness Checklist'!$A$8:$A$65,0))="Yes","Yes",""),""))</f>
        <v/>
      </c>
      <c r="E27" s="38"/>
      <c r="F27" s="38"/>
      <c r="G27" s="38"/>
      <c r="H27" s="44"/>
      <c r="I27" s="39"/>
      <c r="J27" s="21" t="str">
        <f aca="true">IF(OR($F27="",$I27="Complete",$H27=""),"",IF(NOT(ISNUMBER($H27)),"Not a date",IF(TODAY()&gt;$H27,TODAY()-$H27,"")))</f>
        <v/>
      </c>
    </row>
    <row r="28" customFormat="false" ht="27.75" hidden="false" customHeight="true" outlineLevel="0" collapsed="false">
      <c r="A28" s="19" t="s">
        <v>215</v>
      </c>
      <c r="B28" s="43"/>
      <c r="C28" s="24" t="str">
        <f aca="false">IF($B28="","",IFERROR(INDEX('Readiness Checklist'!$B$8:$B$65,MATCH($B28&amp;"",'Readiness Checklist'!$A$8:$A$65,0))&amp;"",IFERROR(INDEX('Use Case Register'!$B$8:$B$27,MATCH($B28&amp;"",'Use Case Register'!$A$8:$A$27,0))&amp;"","")))</f>
        <v/>
      </c>
      <c r="D28" s="19" t="str">
        <f aca="false">IF($B28="","",IFERROR(IF(INDEX('Readiness Checklist'!$D$8:$D$65,MATCH($B28&amp;"",'Readiness Checklist'!$A$8:$A$65,0))="Yes","Yes",""),""))</f>
        <v/>
      </c>
      <c r="E28" s="38"/>
      <c r="F28" s="38"/>
      <c r="G28" s="38"/>
      <c r="H28" s="44"/>
      <c r="I28" s="39"/>
      <c r="J28" s="21" t="str">
        <f aca="true">IF(OR($F28="",$I28="Complete",$H28=""),"",IF(NOT(ISNUMBER($H28)),"Not a date",IF(TODAY()&gt;$H28,TODAY()-$H28,"")))</f>
        <v/>
      </c>
    </row>
    <row r="29" customFormat="false" ht="27.75" hidden="false" customHeight="true" outlineLevel="0" collapsed="false">
      <c r="A29" s="19" t="s">
        <v>216</v>
      </c>
      <c r="B29" s="43"/>
      <c r="C29" s="24" t="str">
        <f aca="false">IF($B29="","",IFERROR(INDEX('Readiness Checklist'!$B$8:$B$65,MATCH($B29&amp;"",'Readiness Checklist'!$A$8:$A$65,0))&amp;"",IFERROR(INDEX('Use Case Register'!$B$8:$B$27,MATCH($B29&amp;"",'Use Case Register'!$A$8:$A$27,0))&amp;"","")))</f>
        <v/>
      </c>
      <c r="D29" s="19" t="str">
        <f aca="false">IF($B29="","",IFERROR(IF(INDEX('Readiness Checklist'!$D$8:$D$65,MATCH($B29&amp;"",'Readiness Checklist'!$A$8:$A$65,0))="Yes","Yes",""),""))</f>
        <v/>
      </c>
      <c r="E29" s="38"/>
      <c r="F29" s="38"/>
      <c r="G29" s="38"/>
      <c r="H29" s="44"/>
      <c r="I29" s="39"/>
      <c r="J29" s="21" t="str">
        <f aca="true">IF(OR($F29="",$I29="Complete",$H29=""),"",IF(NOT(ISNUMBER($H29)),"Not a date",IF(TODAY()&gt;$H29,TODAY()-$H29,"")))</f>
        <v/>
      </c>
    </row>
    <row r="30" customFormat="false" ht="27.75" hidden="false" customHeight="true" outlineLevel="0" collapsed="false">
      <c r="A30" s="19" t="s">
        <v>217</v>
      </c>
      <c r="B30" s="43"/>
      <c r="C30" s="24" t="str">
        <f aca="false">IF($B30="","",IFERROR(INDEX('Readiness Checklist'!$B$8:$B$65,MATCH($B30&amp;"",'Readiness Checklist'!$A$8:$A$65,0))&amp;"",IFERROR(INDEX('Use Case Register'!$B$8:$B$27,MATCH($B30&amp;"",'Use Case Register'!$A$8:$A$27,0))&amp;"","")))</f>
        <v/>
      </c>
      <c r="D30" s="19" t="str">
        <f aca="false">IF($B30="","",IFERROR(IF(INDEX('Readiness Checklist'!$D$8:$D$65,MATCH($B30&amp;"",'Readiness Checklist'!$A$8:$A$65,0))="Yes","Yes",""),""))</f>
        <v/>
      </c>
      <c r="E30" s="38"/>
      <c r="F30" s="38"/>
      <c r="G30" s="38"/>
      <c r="H30" s="44"/>
      <c r="I30" s="39"/>
      <c r="J30" s="21" t="str">
        <f aca="true">IF(OR($F30="",$I30="Complete",$H30=""),"",IF(NOT(ISNUMBER($H30)),"Not a date",IF(TODAY()&gt;$H30,TODAY()-$H30,"")))</f>
        <v/>
      </c>
    </row>
    <row r="31" customFormat="false" ht="27.75" hidden="false" customHeight="true" outlineLevel="0" collapsed="false">
      <c r="A31" s="19" t="s">
        <v>218</v>
      </c>
      <c r="B31" s="43"/>
      <c r="C31" s="24" t="str">
        <f aca="false">IF($B31="","",IFERROR(INDEX('Readiness Checklist'!$B$8:$B$65,MATCH($B31&amp;"",'Readiness Checklist'!$A$8:$A$65,0))&amp;"",IFERROR(INDEX('Use Case Register'!$B$8:$B$27,MATCH($B31&amp;"",'Use Case Register'!$A$8:$A$27,0))&amp;"","")))</f>
        <v/>
      </c>
      <c r="D31" s="19" t="str">
        <f aca="false">IF($B31="","",IFERROR(IF(INDEX('Readiness Checklist'!$D$8:$D$65,MATCH($B31&amp;"",'Readiness Checklist'!$A$8:$A$65,0))="Yes","Yes",""),""))</f>
        <v/>
      </c>
      <c r="E31" s="38"/>
      <c r="F31" s="38"/>
      <c r="G31" s="38"/>
      <c r="H31" s="44"/>
      <c r="I31" s="39"/>
      <c r="J31" s="21" t="str">
        <f aca="true">IF(OR($F31="",$I31="Complete",$H31=""),"",IF(NOT(ISNUMBER($H31)),"Not a date",IF(TODAY()&gt;$H31,TODAY()-$H31,"")))</f>
        <v/>
      </c>
    </row>
    <row r="32" customFormat="false" ht="27.75" hidden="false" customHeight="true" outlineLevel="0" collapsed="false">
      <c r="A32" s="19" t="s">
        <v>219</v>
      </c>
      <c r="B32" s="43"/>
      <c r="C32" s="24" t="str">
        <f aca="false">IF($B32="","",IFERROR(INDEX('Readiness Checklist'!$B$8:$B$65,MATCH($B32&amp;"",'Readiness Checklist'!$A$8:$A$65,0))&amp;"",IFERROR(INDEX('Use Case Register'!$B$8:$B$27,MATCH($B32&amp;"",'Use Case Register'!$A$8:$A$27,0))&amp;"","")))</f>
        <v/>
      </c>
      <c r="D32" s="19" t="str">
        <f aca="false">IF($B32="","",IFERROR(IF(INDEX('Readiness Checklist'!$D$8:$D$65,MATCH($B32&amp;"",'Readiness Checklist'!$A$8:$A$65,0))="Yes","Yes",""),""))</f>
        <v/>
      </c>
      <c r="E32" s="38"/>
      <c r="F32" s="38"/>
      <c r="G32" s="38"/>
      <c r="H32" s="44"/>
      <c r="I32" s="39"/>
      <c r="J32" s="21" t="str">
        <f aca="true">IF(OR($F32="",$I32="Complete",$H32=""),"",IF(NOT(ISNUMBER($H32)),"Not a date",IF(TODAY()&gt;$H32,TODAY()-$H32,"")))</f>
        <v/>
      </c>
    </row>
    <row r="33" customFormat="false" ht="27.75" hidden="false" customHeight="true" outlineLevel="0" collapsed="false">
      <c r="A33" s="19" t="s">
        <v>220</v>
      </c>
      <c r="B33" s="43"/>
      <c r="C33" s="24" t="str">
        <f aca="false">IF($B33="","",IFERROR(INDEX('Readiness Checklist'!$B$8:$B$65,MATCH($B33&amp;"",'Readiness Checklist'!$A$8:$A$65,0))&amp;"",IFERROR(INDEX('Use Case Register'!$B$8:$B$27,MATCH($B33&amp;"",'Use Case Register'!$A$8:$A$27,0))&amp;"","")))</f>
        <v/>
      </c>
      <c r="D33" s="19" t="str">
        <f aca="false">IF($B33="","",IFERROR(IF(INDEX('Readiness Checklist'!$D$8:$D$65,MATCH($B33&amp;"",'Readiness Checklist'!$A$8:$A$65,0))="Yes","Yes",""),""))</f>
        <v/>
      </c>
      <c r="E33" s="38"/>
      <c r="F33" s="38"/>
      <c r="G33" s="38"/>
      <c r="H33" s="44"/>
      <c r="I33" s="39"/>
      <c r="J33" s="21" t="str">
        <f aca="true">IF(OR($F33="",$I33="Complete",$H33=""),"",IF(NOT(ISNUMBER($H33)),"Not a date",IF(TODAY()&gt;$H33,TODAY()-$H33,"")))</f>
        <v/>
      </c>
    </row>
    <row r="34" customFormat="false" ht="27.75" hidden="false" customHeight="true" outlineLevel="0" collapsed="false">
      <c r="A34" s="19" t="s">
        <v>221</v>
      </c>
      <c r="B34" s="43"/>
      <c r="C34" s="24" t="str">
        <f aca="false">IF($B34="","",IFERROR(INDEX('Readiness Checklist'!$B$8:$B$65,MATCH($B34&amp;"",'Readiness Checklist'!$A$8:$A$65,0))&amp;"",IFERROR(INDEX('Use Case Register'!$B$8:$B$27,MATCH($B34&amp;"",'Use Case Register'!$A$8:$A$27,0))&amp;"","")))</f>
        <v/>
      </c>
      <c r="D34" s="19" t="str">
        <f aca="false">IF($B34="","",IFERROR(IF(INDEX('Readiness Checklist'!$D$8:$D$65,MATCH($B34&amp;"",'Readiness Checklist'!$A$8:$A$65,0))="Yes","Yes",""),""))</f>
        <v/>
      </c>
      <c r="E34" s="38"/>
      <c r="F34" s="38"/>
      <c r="G34" s="38"/>
      <c r="H34" s="44"/>
      <c r="I34" s="39"/>
      <c r="J34" s="21" t="str">
        <f aca="true">IF(OR($F34="",$I34="Complete",$H34=""),"",IF(NOT(ISNUMBER($H34)),"Not a date",IF(TODAY()&gt;$H34,TODAY()-$H34,"")))</f>
        <v/>
      </c>
    </row>
    <row r="35" customFormat="false" ht="27.75" hidden="false" customHeight="true" outlineLevel="0" collapsed="false">
      <c r="A35" s="19" t="s">
        <v>222</v>
      </c>
      <c r="B35" s="43"/>
      <c r="C35" s="24" t="str">
        <f aca="false">IF($B35="","",IFERROR(INDEX('Readiness Checklist'!$B$8:$B$65,MATCH($B35&amp;"",'Readiness Checklist'!$A$8:$A$65,0))&amp;"",IFERROR(INDEX('Use Case Register'!$B$8:$B$27,MATCH($B35&amp;"",'Use Case Register'!$A$8:$A$27,0))&amp;"","")))</f>
        <v/>
      </c>
      <c r="D35" s="19" t="str">
        <f aca="false">IF($B35="","",IFERROR(IF(INDEX('Readiness Checklist'!$D$8:$D$65,MATCH($B35&amp;"",'Readiness Checklist'!$A$8:$A$65,0))="Yes","Yes",""),""))</f>
        <v/>
      </c>
      <c r="E35" s="38"/>
      <c r="F35" s="38"/>
      <c r="G35" s="38"/>
      <c r="H35" s="44"/>
      <c r="I35" s="39"/>
      <c r="J35" s="21" t="str">
        <f aca="true">IF(OR($F35="",$I35="Complete",$H35=""),"",IF(NOT(ISNUMBER($H35)),"Not a date",IF(TODAY()&gt;$H35,TODAY()-$H35,"")))</f>
        <v/>
      </c>
    </row>
    <row r="36" customFormat="false" ht="27.75" hidden="false" customHeight="true" outlineLevel="0" collapsed="false">
      <c r="A36" s="19" t="s">
        <v>223</v>
      </c>
      <c r="B36" s="43"/>
      <c r="C36" s="24" t="str">
        <f aca="false">IF($B36="","",IFERROR(INDEX('Readiness Checklist'!$B$8:$B$65,MATCH($B36&amp;"",'Readiness Checklist'!$A$8:$A$65,0))&amp;"",IFERROR(INDEX('Use Case Register'!$B$8:$B$27,MATCH($B36&amp;"",'Use Case Register'!$A$8:$A$27,0))&amp;"","")))</f>
        <v/>
      </c>
      <c r="D36" s="19" t="str">
        <f aca="false">IF($B36="","",IFERROR(IF(INDEX('Readiness Checklist'!$D$8:$D$65,MATCH($B36&amp;"",'Readiness Checklist'!$A$8:$A$65,0))="Yes","Yes",""),""))</f>
        <v/>
      </c>
      <c r="E36" s="38"/>
      <c r="F36" s="38"/>
      <c r="G36" s="38"/>
      <c r="H36" s="44"/>
      <c r="I36" s="39"/>
      <c r="J36" s="21" t="str">
        <f aca="true">IF(OR($F36="",$I36="Complete",$H36=""),"",IF(NOT(ISNUMBER($H36)),"Not a date",IF(TODAY()&gt;$H36,TODAY()-$H36,"")))</f>
        <v/>
      </c>
    </row>
    <row r="37" customFormat="false" ht="27.75" hidden="false" customHeight="true" outlineLevel="0" collapsed="false">
      <c r="A37" s="19" t="s">
        <v>224</v>
      </c>
      <c r="B37" s="43"/>
      <c r="C37" s="24" t="str">
        <f aca="false">IF($B37="","",IFERROR(INDEX('Readiness Checklist'!$B$8:$B$65,MATCH($B37&amp;"",'Readiness Checklist'!$A$8:$A$65,0))&amp;"",IFERROR(INDEX('Use Case Register'!$B$8:$B$27,MATCH($B37&amp;"",'Use Case Register'!$A$8:$A$27,0))&amp;"","")))</f>
        <v/>
      </c>
      <c r="D37" s="19" t="str">
        <f aca="false">IF($B37="","",IFERROR(IF(INDEX('Readiness Checklist'!$D$8:$D$65,MATCH($B37&amp;"",'Readiness Checklist'!$A$8:$A$65,0))="Yes","Yes",""),""))</f>
        <v/>
      </c>
      <c r="E37" s="38"/>
      <c r="F37" s="38"/>
      <c r="G37" s="38"/>
      <c r="H37" s="44"/>
      <c r="I37" s="39"/>
      <c r="J37" s="21" t="str">
        <f aca="true">IF(OR($F37="",$I37="Complete",$H37=""),"",IF(NOT(ISNUMBER($H37)),"Not a date",IF(TODAY()&gt;$H37,TODAY()-$H37,"")))</f>
        <v/>
      </c>
    </row>
    <row r="38" customFormat="false" ht="27.75" hidden="false" customHeight="true" outlineLevel="0" collapsed="false">
      <c r="A38" s="19" t="s">
        <v>225</v>
      </c>
      <c r="B38" s="43"/>
      <c r="C38" s="24" t="str">
        <f aca="false">IF($B38="","",IFERROR(INDEX('Readiness Checklist'!$B$8:$B$65,MATCH($B38&amp;"",'Readiness Checklist'!$A$8:$A$65,0))&amp;"",IFERROR(INDEX('Use Case Register'!$B$8:$B$27,MATCH($B38&amp;"",'Use Case Register'!$A$8:$A$27,0))&amp;"","")))</f>
        <v/>
      </c>
      <c r="D38" s="19" t="str">
        <f aca="false">IF($B38="","",IFERROR(IF(INDEX('Readiness Checklist'!$D$8:$D$65,MATCH($B38&amp;"",'Readiness Checklist'!$A$8:$A$65,0))="Yes","Yes",""),""))</f>
        <v/>
      </c>
      <c r="E38" s="38"/>
      <c r="F38" s="38"/>
      <c r="G38" s="38"/>
      <c r="H38" s="44"/>
      <c r="I38" s="39"/>
      <c r="J38" s="21" t="str">
        <f aca="true">IF(OR($F38="",$I38="Complete",$H38=""),"",IF(NOT(ISNUMBER($H38)),"Not a date",IF(TODAY()&gt;$H38,TODAY()-$H38,"")))</f>
        <v/>
      </c>
    </row>
    <row r="39" customFormat="false" ht="27.75" hidden="false" customHeight="true" outlineLevel="0" collapsed="false">
      <c r="A39" s="19" t="s">
        <v>226</v>
      </c>
      <c r="B39" s="43"/>
      <c r="C39" s="24" t="str">
        <f aca="false">IF($B39="","",IFERROR(INDEX('Readiness Checklist'!$B$8:$B$65,MATCH($B39&amp;"",'Readiness Checklist'!$A$8:$A$65,0))&amp;"",IFERROR(INDEX('Use Case Register'!$B$8:$B$27,MATCH($B39&amp;"",'Use Case Register'!$A$8:$A$27,0))&amp;"","")))</f>
        <v/>
      </c>
      <c r="D39" s="19" t="str">
        <f aca="false">IF($B39="","",IFERROR(IF(INDEX('Readiness Checklist'!$D$8:$D$65,MATCH($B39&amp;"",'Readiness Checklist'!$A$8:$A$65,0))="Yes","Yes",""),""))</f>
        <v/>
      </c>
      <c r="E39" s="38"/>
      <c r="F39" s="38"/>
      <c r="G39" s="38"/>
      <c r="H39" s="44"/>
      <c r="I39" s="39"/>
      <c r="J39" s="21" t="str">
        <f aca="true">IF(OR($F39="",$I39="Complete",$H39=""),"",IF(NOT(ISNUMBER($H39)),"Not a date",IF(TODAY()&gt;$H39,TODAY()-$H39,"")))</f>
        <v/>
      </c>
    </row>
    <row r="40" customFormat="false" ht="27.75" hidden="false" customHeight="true" outlineLevel="0" collapsed="false">
      <c r="A40" s="19" t="s">
        <v>227</v>
      </c>
      <c r="B40" s="43"/>
      <c r="C40" s="24" t="str">
        <f aca="false">IF($B40="","",IFERROR(INDEX('Readiness Checklist'!$B$8:$B$65,MATCH($B40&amp;"",'Readiness Checklist'!$A$8:$A$65,0))&amp;"",IFERROR(INDEX('Use Case Register'!$B$8:$B$27,MATCH($B40&amp;"",'Use Case Register'!$A$8:$A$27,0))&amp;"","")))</f>
        <v/>
      </c>
      <c r="D40" s="19" t="str">
        <f aca="false">IF($B40="","",IFERROR(IF(INDEX('Readiness Checklist'!$D$8:$D$65,MATCH($B40&amp;"",'Readiness Checklist'!$A$8:$A$65,0))="Yes","Yes",""),""))</f>
        <v/>
      </c>
      <c r="E40" s="38"/>
      <c r="F40" s="38"/>
      <c r="G40" s="38"/>
      <c r="H40" s="44"/>
      <c r="I40" s="39"/>
      <c r="J40" s="21" t="str">
        <f aca="true">IF(OR($F40="",$I40="Complete",$H40=""),"",IF(NOT(ISNUMBER($H40)),"Not a date",IF(TODAY()&gt;$H40,TODAY()-$H40,"")))</f>
        <v/>
      </c>
    </row>
    <row r="41" customFormat="false" ht="27.75" hidden="false" customHeight="true" outlineLevel="0" collapsed="false">
      <c r="A41" s="19" t="s">
        <v>228</v>
      </c>
      <c r="B41" s="43"/>
      <c r="C41" s="24" t="str">
        <f aca="false">IF($B41="","",IFERROR(INDEX('Readiness Checklist'!$B$8:$B$65,MATCH($B41&amp;"",'Readiness Checklist'!$A$8:$A$65,0))&amp;"",IFERROR(INDEX('Use Case Register'!$B$8:$B$27,MATCH($B41&amp;"",'Use Case Register'!$A$8:$A$27,0))&amp;"","")))</f>
        <v/>
      </c>
      <c r="D41" s="19" t="str">
        <f aca="false">IF($B41="","",IFERROR(IF(INDEX('Readiness Checklist'!$D$8:$D$65,MATCH($B41&amp;"",'Readiness Checklist'!$A$8:$A$65,0))="Yes","Yes",""),""))</f>
        <v/>
      </c>
      <c r="E41" s="38"/>
      <c r="F41" s="38"/>
      <c r="G41" s="38"/>
      <c r="H41" s="44"/>
      <c r="I41" s="39"/>
      <c r="J41" s="21" t="str">
        <f aca="true">IF(OR($F41="",$I41="Complete",$H41=""),"",IF(NOT(ISNUMBER($H41)),"Not a date",IF(TODAY()&gt;$H41,TODAY()-$H41,"")))</f>
        <v/>
      </c>
    </row>
    <row r="42" customFormat="false" ht="27.75" hidden="false" customHeight="true" outlineLevel="0" collapsed="false">
      <c r="A42" s="19" t="s">
        <v>229</v>
      </c>
      <c r="B42" s="43"/>
      <c r="C42" s="24" t="str">
        <f aca="false">IF($B42="","",IFERROR(INDEX('Readiness Checklist'!$B$8:$B$65,MATCH($B42&amp;"",'Readiness Checklist'!$A$8:$A$65,0))&amp;"",IFERROR(INDEX('Use Case Register'!$B$8:$B$27,MATCH($B42&amp;"",'Use Case Register'!$A$8:$A$27,0))&amp;"","")))</f>
        <v/>
      </c>
      <c r="D42" s="19" t="str">
        <f aca="false">IF($B42="","",IFERROR(IF(INDEX('Readiness Checklist'!$D$8:$D$65,MATCH($B42&amp;"",'Readiness Checklist'!$A$8:$A$65,0))="Yes","Yes",""),""))</f>
        <v/>
      </c>
      <c r="E42" s="38"/>
      <c r="F42" s="38"/>
      <c r="G42" s="38"/>
      <c r="H42" s="44"/>
      <c r="I42" s="39"/>
      <c r="J42" s="21" t="str">
        <f aca="true">IF(OR($F42="",$I42="Complete",$H42=""),"",IF(NOT(ISNUMBER($H42)),"Not a date",IF(TODAY()&gt;$H42,TODAY()-$H42,"")))</f>
        <v/>
      </c>
    </row>
    <row r="43" customFormat="false" ht="27.75" hidden="false" customHeight="true" outlineLevel="0" collapsed="false">
      <c r="A43" s="19" t="s">
        <v>230</v>
      </c>
      <c r="B43" s="43"/>
      <c r="C43" s="24" t="str">
        <f aca="false">IF($B43="","",IFERROR(INDEX('Readiness Checklist'!$B$8:$B$65,MATCH($B43&amp;"",'Readiness Checklist'!$A$8:$A$65,0))&amp;"",IFERROR(INDEX('Use Case Register'!$B$8:$B$27,MATCH($B43&amp;"",'Use Case Register'!$A$8:$A$27,0))&amp;"","")))</f>
        <v/>
      </c>
      <c r="D43" s="19" t="str">
        <f aca="false">IF($B43="","",IFERROR(IF(INDEX('Readiness Checklist'!$D$8:$D$65,MATCH($B43&amp;"",'Readiness Checklist'!$A$8:$A$65,0))="Yes","Yes",""),""))</f>
        <v/>
      </c>
      <c r="E43" s="38"/>
      <c r="F43" s="38"/>
      <c r="G43" s="38"/>
      <c r="H43" s="44"/>
      <c r="I43" s="39"/>
      <c r="J43" s="21" t="str">
        <f aca="true">IF(OR($F43="",$I43="Complete",$H43=""),"",IF(NOT(ISNUMBER($H43)),"Not a date",IF(TODAY()&gt;$H43,TODAY()-$H43,"")))</f>
        <v/>
      </c>
    </row>
    <row r="44" customFormat="false" ht="27.75" hidden="false" customHeight="true" outlineLevel="0" collapsed="false">
      <c r="A44" s="19" t="s">
        <v>231</v>
      </c>
      <c r="B44" s="43"/>
      <c r="C44" s="24" t="str">
        <f aca="false">IF($B44="","",IFERROR(INDEX('Readiness Checklist'!$B$8:$B$65,MATCH($B44&amp;"",'Readiness Checklist'!$A$8:$A$65,0))&amp;"",IFERROR(INDEX('Use Case Register'!$B$8:$B$27,MATCH($B44&amp;"",'Use Case Register'!$A$8:$A$27,0))&amp;"","")))</f>
        <v/>
      </c>
      <c r="D44" s="19" t="str">
        <f aca="false">IF($B44="","",IFERROR(IF(INDEX('Readiness Checklist'!$D$8:$D$65,MATCH($B44&amp;"",'Readiness Checklist'!$A$8:$A$65,0))="Yes","Yes",""),""))</f>
        <v/>
      </c>
      <c r="E44" s="38"/>
      <c r="F44" s="38"/>
      <c r="G44" s="38"/>
      <c r="H44" s="44"/>
      <c r="I44" s="39"/>
      <c r="J44" s="21" t="str">
        <f aca="true">IF(OR($F44="",$I44="Complete",$H44=""),"",IF(NOT(ISNUMBER($H44)),"Not a date",IF(TODAY()&gt;$H44,TODAY()-$H44,"")))</f>
        <v/>
      </c>
    </row>
    <row r="45" customFormat="false" ht="27.75" hidden="false" customHeight="true" outlineLevel="0" collapsed="false">
      <c r="A45" s="19" t="s">
        <v>232</v>
      </c>
      <c r="B45" s="43"/>
      <c r="C45" s="24" t="str">
        <f aca="false">IF($B45="","",IFERROR(INDEX('Readiness Checklist'!$B$8:$B$65,MATCH($B45&amp;"",'Readiness Checklist'!$A$8:$A$65,0))&amp;"",IFERROR(INDEX('Use Case Register'!$B$8:$B$27,MATCH($B45&amp;"",'Use Case Register'!$A$8:$A$27,0))&amp;"","")))</f>
        <v/>
      </c>
      <c r="D45" s="19" t="str">
        <f aca="false">IF($B45="","",IFERROR(IF(INDEX('Readiness Checklist'!$D$8:$D$65,MATCH($B45&amp;"",'Readiness Checklist'!$A$8:$A$65,0))="Yes","Yes",""),""))</f>
        <v/>
      </c>
      <c r="E45" s="38"/>
      <c r="F45" s="38"/>
      <c r="G45" s="38"/>
      <c r="H45" s="44"/>
      <c r="I45" s="39"/>
      <c r="J45" s="21" t="str">
        <f aca="true">IF(OR($F45="",$I45="Complete",$H45=""),"",IF(NOT(ISNUMBER($H45)),"Not a date",IF(TODAY()&gt;$H45,TODAY()-$H45,"")))</f>
        <v/>
      </c>
    </row>
    <row r="46" customFormat="false" ht="27.75" hidden="false" customHeight="true" outlineLevel="0" collapsed="false">
      <c r="A46" s="19" t="s">
        <v>233</v>
      </c>
      <c r="B46" s="43"/>
      <c r="C46" s="24" t="str">
        <f aca="false">IF($B46="","",IFERROR(INDEX('Readiness Checklist'!$B$8:$B$65,MATCH($B46&amp;"",'Readiness Checklist'!$A$8:$A$65,0))&amp;"",IFERROR(INDEX('Use Case Register'!$B$8:$B$27,MATCH($B46&amp;"",'Use Case Register'!$A$8:$A$27,0))&amp;"","")))</f>
        <v/>
      </c>
      <c r="D46" s="19" t="str">
        <f aca="false">IF($B46="","",IFERROR(IF(INDEX('Readiness Checklist'!$D$8:$D$65,MATCH($B46&amp;"",'Readiness Checklist'!$A$8:$A$65,0))="Yes","Yes",""),""))</f>
        <v/>
      </c>
      <c r="E46" s="38"/>
      <c r="F46" s="38"/>
      <c r="G46" s="38"/>
      <c r="H46" s="44"/>
      <c r="I46" s="39"/>
      <c r="J46" s="21" t="str">
        <f aca="true">IF(OR($F46="",$I46="Complete",$H46=""),"",IF(NOT(ISNUMBER($H46)),"Not a date",IF(TODAY()&gt;$H46,TODAY()-$H46,"")))</f>
        <v/>
      </c>
    </row>
    <row r="47" customFormat="false" ht="27.75" hidden="false" customHeight="true" outlineLevel="0" collapsed="false">
      <c r="A47" s="19" t="s">
        <v>234</v>
      </c>
      <c r="B47" s="43"/>
      <c r="C47" s="24" t="str">
        <f aca="false">IF($B47="","",IFERROR(INDEX('Readiness Checklist'!$B$8:$B$65,MATCH($B47&amp;"",'Readiness Checklist'!$A$8:$A$65,0))&amp;"",IFERROR(INDEX('Use Case Register'!$B$8:$B$27,MATCH($B47&amp;"",'Use Case Register'!$A$8:$A$27,0))&amp;"","")))</f>
        <v/>
      </c>
      <c r="D47" s="19" t="str">
        <f aca="false">IF($B47="","",IFERROR(IF(INDEX('Readiness Checklist'!$D$8:$D$65,MATCH($B47&amp;"",'Readiness Checklist'!$A$8:$A$65,0))="Yes","Yes",""),""))</f>
        <v/>
      </c>
      <c r="E47" s="38"/>
      <c r="F47" s="38"/>
      <c r="G47" s="38"/>
      <c r="H47" s="44"/>
      <c r="I47" s="39"/>
      <c r="J47" s="21" t="str">
        <f aca="true">IF(OR($F47="",$I47="Complete",$H47=""),"",IF(NOT(ISNUMBER($H47)),"Not a date",IF(TODAY()&gt;$H47,TODAY()-$H47,"")))</f>
        <v/>
      </c>
    </row>
    <row r="48" customFormat="false" ht="27.75" hidden="false" customHeight="true" outlineLevel="0" collapsed="false">
      <c r="A48" s="19" t="s">
        <v>235</v>
      </c>
      <c r="B48" s="43"/>
      <c r="C48" s="24" t="str">
        <f aca="false">IF($B48="","",IFERROR(INDEX('Readiness Checklist'!$B$8:$B$65,MATCH($B48&amp;"",'Readiness Checklist'!$A$8:$A$65,0))&amp;"",IFERROR(INDEX('Use Case Register'!$B$8:$B$27,MATCH($B48&amp;"",'Use Case Register'!$A$8:$A$27,0))&amp;"","")))</f>
        <v/>
      </c>
      <c r="D48" s="19" t="str">
        <f aca="false">IF($B48="","",IFERROR(IF(INDEX('Readiness Checklist'!$D$8:$D$65,MATCH($B48&amp;"",'Readiness Checklist'!$A$8:$A$65,0))="Yes","Yes",""),""))</f>
        <v/>
      </c>
      <c r="E48" s="38"/>
      <c r="F48" s="38"/>
      <c r="G48" s="38"/>
      <c r="H48" s="44"/>
      <c r="I48" s="39"/>
      <c r="J48" s="21" t="str">
        <f aca="true">IF(OR($F48="",$I48="Complete",$H48=""),"",IF(NOT(ISNUMBER($H48)),"Not a date",IF(TODAY()&gt;$H48,TODAY()-$H48,"")))</f>
        <v/>
      </c>
    </row>
    <row r="49" customFormat="false" ht="27.75" hidden="false" customHeight="true" outlineLevel="0" collapsed="false">
      <c r="A49" s="19" t="s">
        <v>236</v>
      </c>
      <c r="B49" s="43"/>
      <c r="C49" s="24" t="str">
        <f aca="false">IF($B49="","",IFERROR(INDEX('Readiness Checklist'!$B$8:$B$65,MATCH($B49&amp;"",'Readiness Checklist'!$A$8:$A$65,0))&amp;"",IFERROR(INDEX('Use Case Register'!$B$8:$B$27,MATCH($B49&amp;"",'Use Case Register'!$A$8:$A$27,0))&amp;"","")))</f>
        <v/>
      </c>
      <c r="D49" s="19" t="str">
        <f aca="false">IF($B49="","",IFERROR(IF(INDEX('Readiness Checklist'!$D$8:$D$65,MATCH($B49&amp;"",'Readiness Checklist'!$A$8:$A$65,0))="Yes","Yes",""),""))</f>
        <v/>
      </c>
      <c r="E49" s="38"/>
      <c r="F49" s="38"/>
      <c r="G49" s="38"/>
      <c r="H49" s="44"/>
      <c r="I49" s="39"/>
      <c r="J49" s="21" t="str">
        <f aca="true">IF(OR($F49="",$I49="Complete",$H49=""),"",IF(NOT(ISNUMBER($H49)),"Not a date",IF(TODAY()&gt;$H49,TODAY()-$H49,"")))</f>
        <v/>
      </c>
    </row>
    <row r="50" customFormat="false" ht="27.75" hidden="false" customHeight="true" outlineLevel="0" collapsed="false">
      <c r="A50" s="19" t="s">
        <v>237</v>
      </c>
      <c r="B50" s="43"/>
      <c r="C50" s="24" t="str">
        <f aca="false">IF($B50="","",IFERROR(INDEX('Readiness Checklist'!$B$8:$B$65,MATCH($B50&amp;"",'Readiness Checklist'!$A$8:$A$65,0))&amp;"",IFERROR(INDEX('Use Case Register'!$B$8:$B$27,MATCH($B50&amp;"",'Use Case Register'!$A$8:$A$27,0))&amp;"","")))</f>
        <v/>
      </c>
      <c r="D50" s="19" t="str">
        <f aca="false">IF($B50="","",IFERROR(IF(INDEX('Readiness Checklist'!$D$8:$D$65,MATCH($B50&amp;"",'Readiness Checklist'!$A$8:$A$65,0))="Yes","Yes",""),""))</f>
        <v/>
      </c>
      <c r="E50" s="38"/>
      <c r="F50" s="38"/>
      <c r="G50" s="38"/>
      <c r="H50" s="44"/>
      <c r="I50" s="39"/>
      <c r="J50" s="21" t="str">
        <f aca="true">IF(OR($F50="",$I50="Complete",$H50=""),"",IF(NOT(ISNUMBER($H50)),"Not a date",IF(TODAY()&gt;$H50,TODAY()-$H50,"")))</f>
        <v/>
      </c>
    </row>
    <row r="51" customFormat="false" ht="27.75" hidden="false" customHeight="true" outlineLevel="0" collapsed="false">
      <c r="A51" s="19" t="s">
        <v>238</v>
      </c>
      <c r="B51" s="43"/>
      <c r="C51" s="24" t="str">
        <f aca="false">IF($B51="","",IFERROR(INDEX('Readiness Checklist'!$B$8:$B$65,MATCH($B51&amp;"",'Readiness Checklist'!$A$8:$A$65,0))&amp;"",IFERROR(INDEX('Use Case Register'!$B$8:$B$27,MATCH($B51&amp;"",'Use Case Register'!$A$8:$A$27,0))&amp;"","")))</f>
        <v/>
      </c>
      <c r="D51" s="19" t="str">
        <f aca="false">IF($B51="","",IFERROR(IF(INDEX('Readiness Checklist'!$D$8:$D$65,MATCH($B51&amp;"",'Readiness Checklist'!$A$8:$A$65,0))="Yes","Yes",""),""))</f>
        <v/>
      </c>
      <c r="E51" s="38"/>
      <c r="F51" s="38"/>
      <c r="G51" s="38"/>
      <c r="H51" s="44"/>
      <c r="I51" s="39"/>
      <c r="J51" s="21" t="str">
        <f aca="true">IF(OR($F51="",$I51="Complete",$H51=""),"",IF(NOT(ISNUMBER($H51)),"Not a date",IF(TODAY()&gt;$H51,TODAY()-$H51,"")))</f>
        <v/>
      </c>
    </row>
    <row r="52" customFormat="false" ht="27.75" hidden="false" customHeight="true" outlineLevel="0" collapsed="false">
      <c r="A52" s="19" t="s">
        <v>239</v>
      </c>
      <c r="B52" s="43"/>
      <c r="C52" s="24" t="str">
        <f aca="false">IF($B52="","",IFERROR(INDEX('Readiness Checklist'!$B$8:$B$65,MATCH($B52&amp;"",'Readiness Checklist'!$A$8:$A$65,0))&amp;"",IFERROR(INDEX('Use Case Register'!$B$8:$B$27,MATCH($B52&amp;"",'Use Case Register'!$A$8:$A$27,0))&amp;"","")))</f>
        <v/>
      </c>
      <c r="D52" s="19" t="str">
        <f aca="false">IF($B52="","",IFERROR(IF(INDEX('Readiness Checklist'!$D$8:$D$65,MATCH($B52&amp;"",'Readiness Checklist'!$A$8:$A$65,0))="Yes","Yes",""),""))</f>
        <v/>
      </c>
      <c r="E52" s="38"/>
      <c r="F52" s="38"/>
      <c r="G52" s="38"/>
      <c r="H52" s="44"/>
      <c r="I52" s="39"/>
      <c r="J52" s="21" t="str">
        <f aca="true">IF(OR($F52="",$I52="Complete",$H52=""),"",IF(NOT(ISNUMBER($H52)),"Not a date",IF(TODAY()&gt;$H52,TODAY()-$H52,"")))</f>
        <v/>
      </c>
    </row>
    <row r="53" customFormat="false" ht="27.75" hidden="false" customHeight="true" outlineLevel="0" collapsed="false">
      <c r="A53" s="19" t="s">
        <v>240</v>
      </c>
      <c r="B53" s="43"/>
      <c r="C53" s="24" t="str">
        <f aca="false">IF($B53="","",IFERROR(INDEX('Readiness Checklist'!$B$8:$B$65,MATCH($B53&amp;"",'Readiness Checklist'!$A$8:$A$65,0))&amp;"",IFERROR(INDEX('Use Case Register'!$B$8:$B$27,MATCH($B53&amp;"",'Use Case Register'!$A$8:$A$27,0))&amp;"","")))</f>
        <v/>
      </c>
      <c r="D53" s="19" t="str">
        <f aca="false">IF($B53="","",IFERROR(IF(INDEX('Readiness Checklist'!$D$8:$D$65,MATCH($B53&amp;"",'Readiness Checklist'!$A$8:$A$65,0))="Yes","Yes",""),""))</f>
        <v/>
      </c>
      <c r="E53" s="38"/>
      <c r="F53" s="38"/>
      <c r="G53" s="38"/>
      <c r="H53" s="44"/>
      <c r="I53" s="39"/>
      <c r="J53" s="21" t="str">
        <f aca="true">IF(OR($F53="",$I53="Complete",$H53=""),"",IF(NOT(ISNUMBER($H53)),"Not a date",IF(TODAY()&gt;$H53,TODAY()-$H53,"")))</f>
        <v/>
      </c>
    </row>
    <row r="54" customFormat="false" ht="27.75" hidden="false" customHeight="true" outlineLevel="0" collapsed="false">
      <c r="A54" s="19" t="s">
        <v>241</v>
      </c>
      <c r="B54" s="43"/>
      <c r="C54" s="24" t="str">
        <f aca="false">IF($B54="","",IFERROR(INDEX('Readiness Checklist'!$B$8:$B$65,MATCH($B54&amp;"",'Readiness Checklist'!$A$8:$A$65,0))&amp;"",IFERROR(INDEX('Use Case Register'!$B$8:$B$27,MATCH($B54&amp;"",'Use Case Register'!$A$8:$A$27,0))&amp;"","")))</f>
        <v/>
      </c>
      <c r="D54" s="19" t="str">
        <f aca="false">IF($B54="","",IFERROR(IF(INDEX('Readiness Checklist'!$D$8:$D$65,MATCH($B54&amp;"",'Readiness Checklist'!$A$8:$A$65,0))="Yes","Yes",""),""))</f>
        <v/>
      </c>
      <c r="E54" s="38"/>
      <c r="F54" s="38"/>
      <c r="G54" s="38"/>
      <c r="H54" s="44"/>
      <c r="I54" s="39"/>
      <c r="J54" s="21" t="str">
        <f aca="true">IF(OR($F54="",$I54="Complete",$H54=""),"",IF(NOT(ISNUMBER($H54)),"Not a date",IF(TODAY()&gt;$H54,TODAY()-$H54,"")))</f>
        <v/>
      </c>
    </row>
    <row r="55" customFormat="false" ht="27.75" hidden="false" customHeight="true" outlineLevel="0" collapsed="false">
      <c r="A55" s="19" t="s">
        <v>242</v>
      </c>
      <c r="B55" s="43"/>
      <c r="C55" s="24" t="str">
        <f aca="false">IF($B55="","",IFERROR(INDEX('Readiness Checklist'!$B$8:$B$65,MATCH($B55&amp;"",'Readiness Checklist'!$A$8:$A$65,0))&amp;"",IFERROR(INDEX('Use Case Register'!$B$8:$B$27,MATCH($B55&amp;"",'Use Case Register'!$A$8:$A$27,0))&amp;"","")))</f>
        <v/>
      </c>
      <c r="D55" s="19" t="str">
        <f aca="false">IF($B55="","",IFERROR(IF(INDEX('Readiness Checklist'!$D$8:$D$65,MATCH($B55&amp;"",'Readiness Checklist'!$A$8:$A$65,0))="Yes","Yes",""),""))</f>
        <v/>
      </c>
      <c r="E55" s="38"/>
      <c r="F55" s="38"/>
      <c r="G55" s="38"/>
      <c r="H55" s="44"/>
      <c r="I55" s="39"/>
      <c r="J55" s="21" t="str">
        <f aca="true">IF(OR($F55="",$I55="Complete",$H55=""),"",IF(NOT(ISNUMBER($H55)),"Not a date",IF(TODAY()&gt;$H55,TODAY()-$H55,"")))</f>
        <v/>
      </c>
    </row>
    <row r="56" customFormat="false" ht="27.75" hidden="false" customHeight="true" outlineLevel="0" collapsed="false">
      <c r="A56" s="19" t="s">
        <v>243</v>
      </c>
      <c r="B56" s="43"/>
      <c r="C56" s="24" t="str">
        <f aca="false">IF($B56="","",IFERROR(INDEX('Readiness Checklist'!$B$8:$B$65,MATCH($B56&amp;"",'Readiness Checklist'!$A$8:$A$65,0))&amp;"",IFERROR(INDEX('Use Case Register'!$B$8:$B$27,MATCH($B56&amp;"",'Use Case Register'!$A$8:$A$27,0))&amp;"","")))</f>
        <v/>
      </c>
      <c r="D56" s="19" t="str">
        <f aca="false">IF($B56="","",IFERROR(IF(INDEX('Readiness Checklist'!$D$8:$D$65,MATCH($B56&amp;"",'Readiness Checklist'!$A$8:$A$65,0))="Yes","Yes",""),""))</f>
        <v/>
      </c>
      <c r="E56" s="38"/>
      <c r="F56" s="38"/>
      <c r="G56" s="38"/>
      <c r="H56" s="44"/>
      <c r="I56" s="39"/>
      <c r="J56" s="21" t="str">
        <f aca="true">IF(OR($F56="",$I56="Complete",$H56=""),"",IF(NOT(ISNUMBER($H56)),"Not a date",IF(TODAY()&gt;$H56,TODAY()-$H56,"")))</f>
        <v/>
      </c>
    </row>
    <row r="57" customFormat="false" ht="27.75" hidden="false" customHeight="true" outlineLevel="0" collapsed="false">
      <c r="A57" s="19" t="s">
        <v>244</v>
      </c>
      <c r="B57" s="43"/>
      <c r="C57" s="24" t="str">
        <f aca="false">IF($B57="","",IFERROR(INDEX('Readiness Checklist'!$B$8:$B$65,MATCH($B57&amp;"",'Readiness Checklist'!$A$8:$A$65,0))&amp;"",IFERROR(INDEX('Use Case Register'!$B$8:$B$27,MATCH($B57&amp;"",'Use Case Register'!$A$8:$A$27,0))&amp;"","")))</f>
        <v/>
      </c>
      <c r="D57" s="19" t="str">
        <f aca="false">IF($B57="","",IFERROR(IF(INDEX('Readiness Checklist'!$D$8:$D$65,MATCH($B57&amp;"",'Readiness Checklist'!$A$8:$A$65,0))="Yes","Yes",""),""))</f>
        <v/>
      </c>
      <c r="E57" s="38"/>
      <c r="F57" s="38"/>
      <c r="G57" s="38"/>
      <c r="H57" s="44"/>
      <c r="I57" s="39"/>
      <c r="J57" s="21" t="str">
        <f aca="true">IF(OR($F57="",$I57="Complete",$H57=""),"",IF(NOT(ISNUMBER($H57)),"Not a date",IF(TODAY()&gt;$H57,TODAY()-$H57,"")))</f>
        <v/>
      </c>
    </row>
    <row r="58" customFormat="false" ht="15.75" hidden="false" customHeight="true" outlineLevel="0" collapsed="false">
      <c r="A58" s="35" t="s">
        <v>45</v>
      </c>
    </row>
  </sheetData>
  <sheetProtection sheet="true" formatCells="false" formatColumns="false" formatRows="false" sort="false" autoFilter="false"/>
  <autoFilter ref="A7:J57"/>
  <mergeCells count="4">
    <mergeCell ref="A3:C3"/>
    <mergeCell ref="D3:F3"/>
    <mergeCell ref="A4:C4"/>
    <mergeCell ref="D4:F4"/>
  </mergeCells>
  <conditionalFormatting sqref="I8:I57">
    <cfRule type="expression" priority="2" aboveAverage="0" equalAverage="0" bottom="0" percent="0" rank="0" text="" dxfId="7">
      <formula>$I8="Complete"</formula>
    </cfRule>
    <cfRule type="expression" priority="3" aboveAverage="0" equalAverage="0" bottom="0" percent="0" rank="0" text="" dxfId="10">
      <formula>$I8="In Progress"</formula>
    </cfRule>
    <cfRule type="expression" priority="4" aboveAverage="0" equalAverage="0" bottom="0" percent="0" rank="0" text="" dxfId="9">
      <formula>$I8="Not Started"</formula>
    </cfRule>
  </conditionalFormatting>
  <conditionalFormatting sqref="J8:J57">
    <cfRule type="expression" priority="5" aboveAverage="0" equalAverage="0" bottom="0" percent="0" rank="0" text="" dxfId="8">
      <formula>AND($J8&lt;&gt;"",ISNUMBER($J8))</formula>
    </cfRule>
    <cfRule type="expression" priority="6" aboveAverage="0" equalAverage="0" bottom="0" percent="0" rank="0" text="" dxfId="19">
      <formula>$J8="Not a date"</formula>
    </cfRule>
  </conditionalFormatting>
  <dataValidations count="6">
    <dataValidation allowBlank="true" error="Pick a criterion number or use case ref from the list." errorStyle="stop" errorTitle="Source" operator="between" prompt="The criterion number or use case ref this action closes." promptTitle="Source" showDropDown="false" showErrorMessage="true" showInputMessage="true" sqref="B8:B57" type="list">
      <formula1>SourceList</formula1>
      <formula2>0</formula2>
    </dataValidation>
    <dataValidation allowBlank="true" errorStyle="stop" operator="between" prompt="What is missing today." promptTitle="Gap" showDropDown="false" showErrorMessage="false" showInputMessage="true" sqref="E8:E57" type="custom">
      <formula1>1</formula1>
      <formula2>0</formula2>
    </dataValidation>
    <dataValidation allowBlank="true" errorStyle="stop" operator="between" prompt="What will close the gap." promptTitle="Action" showDropDown="false" showErrorMessage="false" showInputMessage="true" sqref="F8:F57" type="custom">
      <formula1>1</formula1>
      <formula2>0</formula2>
    </dataValidation>
    <dataValidation allowBlank="true" errorStyle="stop" operator="between" prompt="The person who will close the gap." promptTitle="Owner" showDropDown="false" showErrorMessage="false" showInputMessage="true" sqref="G8:G57" type="custom">
      <formula1>1</formula1>
      <formula2>0</formula2>
    </dataValidation>
    <dataValidation allowBlank="true" errorStyle="stop" operator="between" prompt="Enter a date. Days Overdue depends on it." promptTitle="Due Date" showDropDown="false" showErrorMessage="false" showInputMessage="true" sqref="H8:H57" type="custom">
      <formula1>1</formula1>
      <formula2>0</formula2>
    </dataValidation>
    <dataValidation allowBlank="true" error="This is not on the list. Select OK to keep it." errorStyle="information" errorTitle="Status" operator="between" prompt="Anything other than Complete counts as open." promptTitle="Status" showDropDown="false" showErrorMessage="true" showInputMessage="true" sqref="I8:I57" type="list">
      <formula1>"Not Started,In Progress,Complete"</formula1>
      <formula2>0</formula2>
    </dataValidation>
  </dataValidations>
  <hyperlinks>
    <hyperlink ref="A58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ignoredErrors>
    <ignoredError sqref="B8:B5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66"/>
  </cols>
  <sheetData>
    <row r="1" customFormat="false" ht="25.5" hidden="false" customHeight="true" outlineLevel="0" collapsed="false">
      <c r="A1" s="1" t="s">
        <v>245</v>
      </c>
    </row>
    <row r="2" customFormat="false" ht="6" hidden="false" customHeight="true" outlineLevel="0" collapsed="false"/>
    <row r="3" customFormat="false" ht="18" hidden="false" customHeight="true" outlineLevel="0" collapsed="false">
      <c r="A3" s="6" t="s">
        <v>3</v>
      </c>
      <c r="B3" s="6"/>
      <c r="C3" s="20" t="str">
        <f aca="false">IF(Dashboard!$D$5="","",Dashboard!$D$5)</f>
        <v/>
      </c>
      <c r="D3" s="20"/>
    </row>
    <row r="4" customFormat="false" ht="18" hidden="false" customHeight="true" outlineLevel="0" collapsed="false">
      <c r="A4" s="6" t="s">
        <v>4</v>
      </c>
      <c r="B4" s="6"/>
      <c r="C4" s="36" t="str">
        <f aca="false">IF(Dashboard!$S$5="","",Dashboard!$S$5)</f>
        <v/>
      </c>
      <c r="D4" s="36"/>
    </row>
    <row r="5" customFormat="false" ht="7.5" hidden="false" customHeight="true" outlineLevel="0" collapsed="false"/>
    <row r="6" customFormat="false" ht="19.5" hidden="false" customHeight="true" outlineLevel="0" collapsed="false">
      <c r="A6" s="4" t="s">
        <v>246</v>
      </c>
      <c r="B6" s="5"/>
      <c r="C6" s="5"/>
      <c r="D6" s="5"/>
    </row>
    <row r="7" customFormat="false" ht="19.5" hidden="false" customHeight="true" outlineLevel="0" collapsed="false">
      <c r="A7" s="18" t="s">
        <v>26</v>
      </c>
      <c r="B7" s="18" t="s">
        <v>24</v>
      </c>
      <c r="C7" s="18" t="s">
        <v>247</v>
      </c>
      <c r="D7" s="18"/>
    </row>
    <row r="8" customFormat="false" ht="19.5" hidden="false" customHeight="true" outlineLevel="0" collapsed="false">
      <c r="A8" s="19" t="n">
        <v>0</v>
      </c>
      <c r="B8" s="45" t="s">
        <v>248</v>
      </c>
      <c r="C8" s="7" t="s">
        <v>249</v>
      </c>
      <c r="D8" s="7"/>
    </row>
    <row r="9" customFormat="false" ht="19.5" hidden="false" customHeight="true" outlineLevel="0" collapsed="false">
      <c r="A9" s="19" t="n">
        <v>1</v>
      </c>
      <c r="B9" s="45" t="s">
        <v>250</v>
      </c>
      <c r="C9" s="7" t="s">
        <v>251</v>
      </c>
      <c r="D9" s="7"/>
    </row>
    <row r="10" customFormat="false" ht="19.5" hidden="false" customHeight="true" outlineLevel="0" collapsed="false">
      <c r="A10" s="19" t="n">
        <v>2</v>
      </c>
      <c r="B10" s="45" t="s">
        <v>252</v>
      </c>
      <c r="C10" s="7" t="s">
        <v>253</v>
      </c>
      <c r="D10" s="7"/>
    </row>
    <row r="11" customFormat="false" ht="19.5" hidden="false" customHeight="true" outlineLevel="0" collapsed="false">
      <c r="A11" s="19" t="n">
        <v>3</v>
      </c>
      <c r="B11" s="45" t="s">
        <v>254</v>
      </c>
      <c r="C11" s="7" t="s">
        <v>255</v>
      </c>
      <c r="D11" s="7"/>
    </row>
    <row r="12" customFormat="false" ht="19.5" hidden="false" customHeight="true" outlineLevel="0" collapsed="false">
      <c r="A12" s="19" t="s">
        <v>256</v>
      </c>
      <c r="B12" s="45" t="s">
        <v>257</v>
      </c>
      <c r="C12" s="7" t="s">
        <v>258</v>
      </c>
      <c r="D12" s="7"/>
    </row>
    <row r="13" customFormat="false" ht="9.75" hidden="false" customHeight="true" outlineLevel="0" collapsed="false"/>
    <row r="14" customFormat="false" ht="19.5" hidden="false" customHeight="true" outlineLevel="0" collapsed="false">
      <c r="A14" s="4" t="s">
        <v>259</v>
      </c>
      <c r="B14" s="5"/>
      <c r="C14" s="5"/>
      <c r="D14" s="5"/>
    </row>
    <row r="15" customFormat="false" ht="19.5" hidden="false" customHeight="true" outlineLevel="0" collapsed="false">
      <c r="A15" s="18" t="s">
        <v>260</v>
      </c>
      <c r="B15" s="18" t="s">
        <v>24</v>
      </c>
    </row>
    <row r="16" customFormat="false" ht="19.5" hidden="false" customHeight="true" outlineLevel="0" collapsed="false">
      <c r="A16" s="22" t="n">
        <v>0</v>
      </c>
      <c r="B16" s="45" t="s">
        <v>261</v>
      </c>
    </row>
    <row r="17" customFormat="false" ht="19.5" hidden="false" customHeight="true" outlineLevel="0" collapsed="false">
      <c r="A17" s="46" t="n">
        <v>0.4</v>
      </c>
      <c r="B17" s="45" t="s">
        <v>262</v>
      </c>
    </row>
    <row r="18" customFormat="false" ht="19.5" hidden="false" customHeight="true" outlineLevel="0" collapsed="false">
      <c r="A18" s="46" t="n">
        <v>0.6</v>
      </c>
      <c r="B18" s="45" t="s">
        <v>263</v>
      </c>
    </row>
    <row r="19" customFormat="false" ht="19.5" hidden="false" customHeight="true" outlineLevel="0" collapsed="false">
      <c r="A19" s="46" t="n">
        <v>0.8</v>
      </c>
      <c r="B19" s="45" t="s">
        <v>264</v>
      </c>
    </row>
    <row r="20" customFormat="false" ht="9.75" hidden="false" customHeight="true" outlineLevel="0" collapsed="false"/>
    <row r="21" customFormat="false" ht="19.5" hidden="false" customHeight="true" outlineLevel="0" collapsed="false">
      <c r="A21" s="4" t="s">
        <v>265</v>
      </c>
      <c r="B21" s="5"/>
      <c r="C21" s="5"/>
      <c r="D21" s="5"/>
    </row>
    <row r="22" customFormat="false" ht="19.5" hidden="false" customHeight="true" outlineLevel="0" collapsed="false">
      <c r="A22" s="18" t="s">
        <v>20</v>
      </c>
      <c r="B22" s="18" t="s">
        <v>21</v>
      </c>
      <c r="C22" s="18" t="s">
        <v>266</v>
      </c>
    </row>
    <row r="23" customFormat="false" ht="19.5" hidden="false" customHeight="true" outlineLevel="0" collapsed="false">
      <c r="A23" s="19" t="n">
        <v>1</v>
      </c>
      <c r="B23" s="45" t="s">
        <v>267</v>
      </c>
      <c r="C23" s="47" t="n">
        <v>1</v>
      </c>
    </row>
    <row r="24" customFormat="false" ht="19.5" hidden="false" customHeight="true" outlineLevel="0" collapsed="false">
      <c r="A24" s="19" t="n">
        <v>2</v>
      </c>
      <c r="B24" s="45" t="s">
        <v>268</v>
      </c>
      <c r="C24" s="47" t="n">
        <v>1</v>
      </c>
    </row>
    <row r="25" customFormat="false" ht="19.5" hidden="false" customHeight="true" outlineLevel="0" collapsed="false">
      <c r="A25" s="19" t="n">
        <v>3</v>
      </c>
      <c r="B25" s="45" t="s">
        <v>269</v>
      </c>
      <c r="C25" s="47" t="n">
        <v>1</v>
      </c>
    </row>
    <row r="26" customFormat="false" ht="19.5" hidden="false" customHeight="true" outlineLevel="0" collapsed="false">
      <c r="A26" s="19" t="n">
        <v>4</v>
      </c>
      <c r="B26" s="45" t="s">
        <v>270</v>
      </c>
      <c r="C26" s="47" t="n">
        <v>1</v>
      </c>
    </row>
    <row r="27" customFormat="false" ht="19.5" hidden="false" customHeight="true" outlineLevel="0" collapsed="false">
      <c r="A27" s="19" t="n">
        <v>5</v>
      </c>
      <c r="B27" s="45" t="s">
        <v>271</v>
      </c>
      <c r="C27" s="47" t="n">
        <v>1</v>
      </c>
    </row>
    <row r="28" customFormat="false" ht="19.5" hidden="false" customHeight="true" outlineLevel="0" collapsed="false">
      <c r="A28" s="19" t="n">
        <v>6</v>
      </c>
      <c r="B28" s="45" t="s">
        <v>272</v>
      </c>
      <c r="C28" s="47" t="n">
        <v>1</v>
      </c>
    </row>
    <row r="29" customFormat="false" ht="19.5" hidden="false" customHeight="true" outlineLevel="0" collapsed="false">
      <c r="A29" s="19" t="n">
        <v>7</v>
      </c>
      <c r="B29" s="45" t="s">
        <v>273</v>
      </c>
      <c r="C29" s="47" t="n">
        <v>1</v>
      </c>
    </row>
    <row r="30" customFormat="false" ht="9.75" hidden="false" customHeight="true" outlineLevel="0" collapsed="false"/>
    <row r="31" customFormat="false" ht="19.5" hidden="false" customHeight="true" outlineLevel="0" collapsed="false">
      <c r="A31" s="4" t="s">
        <v>274</v>
      </c>
      <c r="B31" s="5"/>
      <c r="C31" s="5"/>
      <c r="D31" s="5"/>
    </row>
    <row r="32" customFormat="false" ht="19.5" hidden="false" customHeight="true" outlineLevel="0" collapsed="false">
      <c r="A32" s="18" t="s">
        <v>20</v>
      </c>
      <c r="B32" s="18" t="s">
        <v>275</v>
      </c>
      <c r="C32" s="18" t="s">
        <v>276</v>
      </c>
      <c r="D32" s="18"/>
    </row>
    <row r="33" customFormat="false" ht="19.5" hidden="false" customHeight="true" outlineLevel="0" collapsed="false">
      <c r="A33" s="19" t="n">
        <v>1</v>
      </c>
      <c r="B33" s="48" t="s">
        <v>157</v>
      </c>
      <c r="C33" s="7" t="s">
        <v>277</v>
      </c>
      <c r="D33" s="7"/>
    </row>
    <row r="34" customFormat="false" ht="19.5" hidden="false" customHeight="true" outlineLevel="0" collapsed="false">
      <c r="A34" s="19" t="n">
        <v>2</v>
      </c>
      <c r="B34" s="48" t="s">
        <v>158</v>
      </c>
      <c r="C34" s="7" t="s">
        <v>278</v>
      </c>
      <c r="D34" s="7"/>
    </row>
    <row r="35" customFormat="false" ht="19.5" hidden="false" customHeight="true" outlineLevel="0" collapsed="false">
      <c r="A35" s="19" t="n">
        <v>3</v>
      </c>
      <c r="B35" s="48" t="s">
        <v>159</v>
      </c>
      <c r="C35" s="7" t="s">
        <v>279</v>
      </c>
      <c r="D35" s="7"/>
    </row>
    <row r="36" customFormat="false" ht="19.5" hidden="false" customHeight="true" outlineLevel="0" collapsed="false">
      <c r="A36" s="19" t="n">
        <v>4</v>
      </c>
      <c r="B36" s="48" t="s">
        <v>160</v>
      </c>
      <c r="C36" s="7" t="s">
        <v>280</v>
      </c>
      <c r="D36" s="7"/>
    </row>
    <row r="37" customFormat="false" ht="19.5" hidden="false" customHeight="true" outlineLevel="0" collapsed="false">
      <c r="A37" s="19" t="n">
        <v>5</v>
      </c>
      <c r="B37" s="48" t="s">
        <v>161</v>
      </c>
      <c r="C37" s="7" t="s">
        <v>281</v>
      </c>
      <c r="D37" s="7"/>
    </row>
    <row r="38" customFormat="false" ht="19.5" hidden="false" customHeight="true" outlineLevel="0" collapsed="false">
      <c r="A38" s="19" t="n">
        <v>6</v>
      </c>
      <c r="B38" s="48" t="s">
        <v>162</v>
      </c>
      <c r="C38" s="7" t="s">
        <v>282</v>
      </c>
      <c r="D38" s="7"/>
    </row>
    <row r="39" customFormat="false" ht="19.5" hidden="false" customHeight="true" outlineLevel="0" collapsed="false">
      <c r="A39" s="19" t="n">
        <v>7</v>
      </c>
      <c r="B39" s="48" t="s">
        <v>163</v>
      </c>
      <c r="C39" s="7" t="s">
        <v>283</v>
      </c>
      <c r="D39" s="7"/>
    </row>
    <row r="40" customFormat="false" ht="19.5" hidden="false" customHeight="true" outlineLevel="0" collapsed="false">
      <c r="A40" s="19" t="n">
        <v>8</v>
      </c>
      <c r="B40" s="48" t="s">
        <v>164</v>
      </c>
      <c r="C40" s="7" t="s">
        <v>284</v>
      </c>
      <c r="D40" s="7"/>
    </row>
    <row r="41" customFormat="false" ht="9.75" hidden="false" customHeight="true" outlineLevel="0" collapsed="false"/>
    <row r="42" customFormat="false" ht="19.5" hidden="false" customHeight="true" outlineLevel="0" collapsed="false">
      <c r="A42" s="4" t="s">
        <v>285</v>
      </c>
      <c r="B42" s="5"/>
      <c r="C42" s="5"/>
      <c r="D42" s="5"/>
    </row>
    <row r="43" customFormat="false" ht="19.5" hidden="false" customHeight="true" outlineLevel="0" collapsed="false">
      <c r="A43" s="18" t="s">
        <v>33</v>
      </c>
      <c r="B43" s="18" t="s">
        <v>24</v>
      </c>
    </row>
    <row r="44" customFormat="false" ht="19.5" hidden="false" customHeight="true" outlineLevel="0" collapsed="false">
      <c r="A44" s="19" t="n">
        <v>1</v>
      </c>
      <c r="B44" s="45" t="s">
        <v>286</v>
      </c>
    </row>
    <row r="45" customFormat="false" ht="19.5" hidden="false" customHeight="true" outlineLevel="0" collapsed="false">
      <c r="A45" s="19" t="n">
        <v>2</v>
      </c>
      <c r="B45" s="45" t="s">
        <v>287</v>
      </c>
    </row>
    <row r="46" customFormat="false" ht="19.5" hidden="false" customHeight="true" outlineLevel="0" collapsed="false">
      <c r="A46" s="19" t="n">
        <v>3</v>
      </c>
      <c r="B46" s="45" t="s">
        <v>288</v>
      </c>
    </row>
    <row r="47" customFormat="false" ht="19.5" hidden="false" customHeight="true" outlineLevel="0" collapsed="false">
      <c r="A47" s="19" t="n">
        <v>4</v>
      </c>
      <c r="B47" s="45" t="s">
        <v>289</v>
      </c>
    </row>
    <row r="48" customFormat="false" ht="19.5" hidden="false" customHeight="true" outlineLevel="0" collapsed="false">
      <c r="A48" s="19" t="n">
        <v>5</v>
      </c>
      <c r="B48" s="45" t="s">
        <v>290</v>
      </c>
    </row>
    <row r="50" customFormat="false" ht="15.75" hidden="false" customHeight="true" outlineLevel="0" collapsed="false">
      <c r="A50" s="35" t="s">
        <v>45</v>
      </c>
    </row>
  </sheetData>
  <sheetProtection sheet="true" formatCells="false" formatColumns="false" formatRows="false" sort="false" autoFilter="false"/>
  <mergeCells count="19">
    <mergeCell ref="A3:B3"/>
    <mergeCell ref="C3:D3"/>
    <mergeCell ref="A4:B4"/>
    <mergeCell ref="C4:D4"/>
    <mergeCell ref="C7:D7"/>
    <mergeCell ref="C8:D8"/>
    <mergeCell ref="C9:D9"/>
    <mergeCell ref="C10:D10"/>
    <mergeCell ref="C11:D11"/>
    <mergeCell ref="C12:D12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</mergeCells>
  <dataValidations count="10">
    <dataValidation allowBlank="true" errorStyle="stop" operator="between" prompt="The name for this rating. It shows in the Rating Profile legend. The rating number does not change." promptTitle="Level" showDropDown="false" showErrorMessage="false" showInputMessage="true" sqref="B8:B12" type="custom">
      <formula1>1</formula1>
      <formula2>0</formula2>
    </dataValidation>
    <dataValidation allowBlank="true" errorStyle="stop" operator="between" prompt="What this rating means. Agree it with the reviewers before rating." promptTitle="Definition" showDropDown="false" showErrorMessage="false" showInputMessage="true" sqref="C8:C12" type="custom">
      <formula1>1</formula1>
      <formula2>0</formula2>
    </dataValidation>
    <dataValidation allowBlank="true" errorStyle="stop" operator="between" prompt="The readiness level name shown on the Dashboard." promptTitle="Level" showDropDown="false" showErrorMessage="false" showInputMessage="true" sqref="B16:B19" type="custom">
      <formula1>1</formula1>
      <formula2>0</formula2>
    </dataValidation>
    <dataValidation allowBlank="false" error="Enter a percent above the level before it and below the level after it." errorStyle="stop" errorTitle="From" operator="between" prompt="Lower bound of the level, as a percent. Each must be higher than the one above it." promptTitle="From" showDropDown="false" showErrorMessage="true" showInputMessage="true" sqref="A17" type="custom">
      <formula1>AND(ISNUMBER(A17),A17&gt;A16,A17&lt;A18)</formula1>
      <formula2>0</formula2>
    </dataValidation>
    <dataValidation allowBlank="false" error="Enter a percent above the level before it and below the level after it." errorStyle="stop" errorTitle="From" operator="between" prompt="Lower bound of the level, as a percent. Each must be higher than the one above it." promptTitle="From" showDropDown="false" showErrorMessage="true" showInputMessage="true" sqref="A18" type="custom">
      <formula1>AND(ISNUMBER(A18),A18&gt;A17,A18&lt;A19)</formula1>
      <formula2>0</formula2>
    </dataValidation>
    <dataValidation allowBlank="false" error="Enter a percent above the level before it and below the level after it." errorStyle="stop" errorTitle="From" operator="between" prompt="Lower bound of the level, as a percent. Each must be higher than the one above it." promptTitle="From" showDropDown="false" showErrorMessage="true" showInputMessage="true" sqref="A19" type="custom">
      <formula1>AND(ISNUMBER(A19),A19&gt;A18,A19&lt;=1)</formula1>
      <formula2>0</formula2>
    </dataValidation>
    <dataValidation allowBlank="true" errorStyle="stop" operator="between" prompt="Rename the dimension. The new name shows on every sheet." promptTitle="Dimension" showDropDown="false" showErrorMessage="false" showInputMessage="true" sqref="B23:B29" type="custom">
      <formula1>1</formula1>
      <formula2>0</formula2>
    </dataValidation>
    <dataValidation allowBlank="true" error="Enter a number from 0 to 100." errorStyle="stop" errorTitle="Weight" operator="between" prompt="1 each means equal weight. 0 leaves the dimension out of the Readiness Score." promptTitle="Weight" showDropDown="false" showErrorMessage="true" showInputMessage="true" sqref="C23:C29" type="decimal">
      <formula1>0</formula1>
      <formula2>100</formula2>
    </dataValidation>
    <dataValidation allowBlank="true" errorStyle="stop" operator="between" prompt="What a use case needs for this check to be Met." promptTitle="Met Means" showDropDown="false" showErrorMessage="false" showInputMessage="true" sqref="C33:C40" type="custom">
      <formula1>1</formula1>
      <formula2>0</formula2>
    </dataValidation>
    <dataValidation allowBlank="true" errorStyle="stop" operator="between" prompt="The name for this value. The value number does not change." promptTitle="Level" showDropDown="false" showErrorMessage="false" showInputMessage="true" sqref="B44:B48" type="custom">
      <formula1>1</formula1>
      <formula2>0</formula2>
    </dataValidation>
  </dataValidations>
  <hyperlinks>
    <hyperlink ref="A50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3:B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4"/>
  </cols>
  <sheetData>
    <row r="3" customFormat="false" ht="24" hidden="false" customHeight="true" outlineLevel="0" collapsed="false">
      <c r="B3" s="49" t="s">
        <v>291</v>
      </c>
    </row>
    <row r="4" customFormat="false" ht="15" hidden="false" customHeight="false" outlineLevel="0" collapsed="false">
      <c r="B4" s="2" t="s">
        <v>292</v>
      </c>
    </row>
    <row r="6" customFormat="false" ht="21.75" hidden="false" customHeight="true" outlineLevel="0" collapsed="false">
      <c r="B6" s="50" t="s">
        <v>293</v>
      </c>
    </row>
    <row r="7" customFormat="false" ht="42" hidden="false" customHeight="true" outlineLevel="0" collapsed="false">
      <c r="B7" s="51" t="s">
        <v>294</v>
      </c>
    </row>
    <row r="8" customFormat="false" ht="15.75" hidden="false" customHeight="true" outlineLevel="0" collapsed="false">
      <c r="B8" s="51" t="s">
        <v>295</v>
      </c>
    </row>
    <row r="9" customFormat="false" ht="15.75" hidden="false" customHeight="true" outlineLevel="0" collapsed="false">
      <c r="B9" s="51" t="s">
        <v>296</v>
      </c>
    </row>
    <row r="10" customFormat="false" ht="15.75" hidden="false" customHeight="true" outlineLevel="0" collapsed="false">
      <c r="B10" s="51" t="s">
        <v>297</v>
      </c>
    </row>
    <row r="11" customFormat="false" ht="28.5" hidden="false" customHeight="true" outlineLevel="0" collapsed="false">
      <c r="B11" s="51" t="s">
        <v>298</v>
      </c>
    </row>
    <row r="12" customFormat="false" ht="15.75" hidden="false" customHeight="true" outlineLevel="0" collapsed="false">
      <c r="B12" s="51" t="s">
        <v>299</v>
      </c>
    </row>
    <row r="13" customFormat="false" ht="7.5" hidden="false" customHeight="true" outlineLevel="0" collapsed="false"/>
    <row r="14" customFormat="false" ht="21.75" hidden="false" customHeight="true" outlineLevel="0" collapsed="false">
      <c r="B14" s="50" t="s">
        <v>300</v>
      </c>
    </row>
    <row r="15" customFormat="false" ht="15.75" hidden="false" customHeight="true" outlineLevel="0" collapsed="false">
      <c r="B15" s="51" t="s">
        <v>301</v>
      </c>
    </row>
    <row r="16" customFormat="false" ht="15.75" hidden="false" customHeight="true" outlineLevel="0" collapsed="false">
      <c r="B16" s="51" t="s">
        <v>302</v>
      </c>
    </row>
    <row r="17" customFormat="false" ht="28.5" hidden="false" customHeight="true" outlineLevel="0" collapsed="false">
      <c r="B17" s="51" t="s">
        <v>303</v>
      </c>
    </row>
    <row r="18" customFormat="false" ht="15.75" hidden="false" customHeight="true" outlineLevel="0" collapsed="false">
      <c r="B18" s="51" t="s">
        <v>304</v>
      </c>
    </row>
    <row r="19" customFormat="false" ht="15.75" hidden="false" customHeight="true" outlineLevel="0" collapsed="false">
      <c r="B19" s="51" t="s">
        <v>305</v>
      </c>
    </row>
    <row r="20" customFormat="false" ht="15.75" hidden="false" customHeight="true" outlineLevel="0" collapsed="false">
      <c r="B20" s="51" t="s">
        <v>306</v>
      </c>
    </row>
    <row r="21" customFormat="false" ht="28.5" hidden="false" customHeight="true" outlineLevel="0" collapsed="false">
      <c r="B21" s="51" t="s">
        <v>307</v>
      </c>
    </row>
    <row r="22" customFormat="false" ht="15.75" hidden="false" customHeight="true" outlineLevel="0" collapsed="false">
      <c r="B22" s="51" t="s">
        <v>308</v>
      </c>
    </row>
    <row r="23" customFormat="false" ht="28.5" hidden="false" customHeight="true" outlineLevel="0" collapsed="false">
      <c r="B23" s="51" t="s">
        <v>309</v>
      </c>
    </row>
    <row r="24" customFormat="false" ht="28.5" hidden="false" customHeight="true" outlineLevel="0" collapsed="false">
      <c r="B24" s="51" t="s">
        <v>310</v>
      </c>
    </row>
    <row r="25" customFormat="false" ht="15.75" hidden="false" customHeight="true" outlineLevel="0" collapsed="false">
      <c r="B25" s="51" t="s">
        <v>311</v>
      </c>
    </row>
    <row r="26" customFormat="false" ht="7.5" hidden="false" customHeight="true" outlineLevel="0" collapsed="false"/>
    <row r="27" customFormat="false" ht="21.75" hidden="false" customHeight="true" outlineLevel="0" collapsed="false">
      <c r="B27" s="50" t="s">
        <v>312</v>
      </c>
    </row>
    <row r="28" customFormat="false" ht="15.75" hidden="false" customHeight="true" outlineLevel="0" collapsed="false">
      <c r="B28" s="51" t="s">
        <v>313</v>
      </c>
    </row>
    <row r="29" customFormat="false" ht="15.75" hidden="false" customHeight="true" outlineLevel="0" collapsed="false">
      <c r="B29" s="51" t="s">
        <v>314</v>
      </c>
    </row>
    <row r="30" customFormat="false" ht="15.75" hidden="false" customHeight="true" outlineLevel="0" collapsed="false">
      <c r="B30" s="51" t="s">
        <v>315</v>
      </c>
    </row>
    <row r="31" customFormat="false" ht="15.75" hidden="false" customHeight="true" outlineLevel="0" collapsed="false">
      <c r="B31" s="51" t="s">
        <v>316</v>
      </c>
    </row>
    <row r="32" customFormat="false" ht="15.75" hidden="false" customHeight="true" outlineLevel="0" collapsed="false">
      <c r="B32" s="51" t="s">
        <v>317</v>
      </c>
    </row>
    <row r="33" customFormat="false" ht="15.75" hidden="false" customHeight="true" outlineLevel="0" collapsed="false">
      <c r="B33" s="51" t="s">
        <v>318</v>
      </c>
    </row>
    <row r="34" customFormat="false" ht="15.75" hidden="false" customHeight="true" outlineLevel="0" collapsed="false">
      <c r="B34" s="51" t="s">
        <v>319</v>
      </c>
    </row>
    <row r="35" customFormat="false" ht="7.5" hidden="false" customHeight="true" outlineLevel="0" collapsed="false"/>
    <row r="36" customFormat="false" ht="21.75" hidden="false" customHeight="true" outlineLevel="0" collapsed="false">
      <c r="B36" s="50" t="s">
        <v>320</v>
      </c>
    </row>
    <row r="37" customFormat="false" ht="28.5" hidden="false" customHeight="true" outlineLevel="0" collapsed="false">
      <c r="B37" s="51" t="s">
        <v>321</v>
      </c>
    </row>
    <row r="38" customFormat="false" ht="28.5" hidden="false" customHeight="true" outlineLevel="0" collapsed="false">
      <c r="B38" s="51" t="s">
        <v>322</v>
      </c>
    </row>
    <row r="39" customFormat="false" ht="28.5" hidden="false" customHeight="true" outlineLevel="0" collapsed="false">
      <c r="B39" s="51" t="s">
        <v>323</v>
      </c>
    </row>
    <row r="40" customFormat="false" ht="28.5" hidden="false" customHeight="true" outlineLevel="0" collapsed="false">
      <c r="B40" s="51" t="s">
        <v>324</v>
      </c>
    </row>
    <row r="41" customFormat="false" ht="15.75" hidden="false" customHeight="true" outlineLevel="0" collapsed="false">
      <c r="B41" s="51" t="s">
        <v>325</v>
      </c>
    </row>
    <row r="42" customFormat="false" ht="28.5" hidden="false" customHeight="true" outlineLevel="0" collapsed="false">
      <c r="B42" s="51" t="s">
        <v>326</v>
      </c>
    </row>
    <row r="43" customFormat="false" ht="28.5" hidden="false" customHeight="true" outlineLevel="0" collapsed="false">
      <c r="B43" s="51" t="s">
        <v>327</v>
      </c>
    </row>
    <row r="44" customFormat="false" ht="15.75" hidden="false" customHeight="true" outlineLevel="0" collapsed="false">
      <c r="B44" s="51" t="s">
        <v>328</v>
      </c>
    </row>
    <row r="45" customFormat="false" ht="15.75" hidden="false" customHeight="true" outlineLevel="0" collapsed="false">
      <c r="B45" s="51" t="s">
        <v>329</v>
      </c>
    </row>
    <row r="46" customFormat="false" ht="28.5" hidden="false" customHeight="true" outlineLevel="0" collapsed="false">
      <c r="B46" s="51" t="s">
        <v>330</v>
      </c>
    </row>
    <row r="47" customFormat="false" ht="15.75" hidden="false" customHeight="true" outlineLevel="0" collapsed="false">
      <c r="B47" s="51" t="s">
        <v>331</v>
      </c>
    </row>
    <row r="48" customFormat="false" ht="28.5" hidden="false" customHeight="true" outlineLevel="0" collapsed="false">
      <c r="B48" s="51" t="s">
        <v>332</v>
      </c>
    </row>
    <row r="49" customFormat="false" ht="7.5" hidden="false" customHeight="true" outlineLevel="0" collapsed="false"/>
    <row r="50" customFormat="false" ht="21.75" hidden="false" customHeight="true" outlineLevel="0" collapsed="false">
      <c r="B50" s="50" t="s">
        <v>333</v>
      </c>
    </row>
    <row r="51" customFormat="false" ht="15.75" hidden="false" customHeight="true" outlineLevel="0" collapsed="false">
      <c r="B51" s="51" t="s">
        <v>334</v>
      </c>
    </row>
    <row r="52" customFormat="false" ht="15.75" hidden="false" customHeight="true" outlineLevel="0" collapsed="false">
      <c r="B52" s="51" t="s">
        <v>335</v>
      </c>
    </row>
    <row r="53" customFormat="false" ht="15.75" hidden="false" customHeight="true" outlineLevel="0" collapsed="false">
      <c r="B53" s="51" t="s">
        <v>336</v>
      </c>
    </row>
    <row r="54" customFormat="false" ht="28.5" hidden="false" customHeight="true" outlineLevel="0" collapsed="false">
      <c r="B54" s="51" t="s">
        <v>337</v>
      </c>
    </row>
    <row r="55" customFormat="false" ht="15.75" hidden="false" customHeight="true" outlineLevel="0" collapsed="false">
      <c r="B55" s="51" t="s">
        <v>338</v>
      </c>
    </row>
    <row r="56" customFormat="false" ht="15.75" hidden="false" customHeight="true" outlineLevel="0" collapsed="false">
      <c r="B56" s="51" t="s">
        <v>339</v>
      </c>
    </row>
    <row r="57" customFormat="false" ht="15.75" hidden="false" customHeight="true" outlineLevel="0" collapsed="false">
      <c r="B57" s="51" t="s">
        <v>340</v>
      </c>
    </row>
    <row r="58" customFormat="false" ht="7.5" hidden="false" customHeight="true" outlineLevel="0" collapsed="false"/>
    <row r="60" customFormat="false" ht="15.75" hidden="false" customHeight="true" outlineLevel="0" collapsed="false">
      <c r="B60" s="35" t="s">
        <v>45</v>
      </c>
    </row>
  </sheetData>
  <sheetProtection sheet="true" formatCells="false" formatColumns="false" formatRows="false" sort="false" autoFilter="false"/>
  <hyperlinks>
    <hyperlink ref="B60" r:id="rId1" display="Visit mastt.com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&amp;K6b7785Page &amp;P of &amp;N</oddFooter>
  </headerFooter>
  <rowBreaks count="1" manualBreakCount="1">
    <brk id="35" man="true" max="16383" min="0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4" min="4" style="0" width="34"/>
  </cols>
  <sheetData>
    <row r="1" customFormat="false" ht="15" hidden="false" customHeight="false" outlineLevel="0" collapsed="false">
      <c r="A1" s="52" t="s">
        <v>188</v>
      </c>
      <c r="B1" s="52" t="s">
        <v>32</v>
      </c>
      <c r="D1" s="52" t="s">
        <v>21</v>
      </c>
      <c r="E1" s="52" t="str">
        <f aca="false">Scoring!$A$8&amp;" "&amp;Scoring!$B$8</f>
        <v>0 Not in place</v>
      </c>
      <c r="F1" s="52" t="str">
        <f aca="false">Scoring!$A$9&amp;" "&amp;Scoring!$B$9</f>
        <v>1 Partially in place</v>
      </c>
      <c r="G1" s="52" t="str">
        <f aca="false">Scoring!$A$10&amp;" "&amp;Scoring!$B$10</f>
        <v>2 In place</v>
      </c>
      <c r="H1" s="52" t="str">
        <f aca="false">Scoring!$A$11&amp;" "&amp;Scoring!$B$11</f>
        <v>3 Embedded</v>
      </c>
      <c r="I1" s="52" t="str">
        <f aca="false">Scoring!$A$12&amp;""</f>
        <v>N/A</v>
      </c>
      <c r="J1" s="52" t="s">
        <v>341</v>
      </c>
      <c r="L1" s="52" t="s">
        <v>31</v>
      </c>
      <c r="M1" s="52" t="s">
        <v>34</v>
      </c>
      <c r="N1" s="52" t="s">
        <v>33</v>
      </c>
      <c r="O1" s="52" t="s">
        <v>34</v>
      </c>
      <c r="P1" s="52" t="s">
        <v>33</v>
      </c>
      <c r="R1" s="9" t="s">
        <v>342</v>
      </c>
      <c r="S1" s="9" t="s">
        <v>343</v>
      </c>
      <c r="T1" s="9" t="s">
        <v>342</v>
      </c>
      <c r="U1" s="9" t="s">
        <v>343</v>
      </c>
    </row>
    <row r="2" customFormat="false" ht="15" hidden="false" customHeight="false" outlineLevel="0" collapsed="false">
      <c r="A2" s="53" t="s">
        <v>51</v>
      </c>
      <c r="B2" s="54" t="s">
        <v>344</v>
      </c>
      <c r="D2" s="0" t="str">
        <f aca="false">INDEX(Scoring!$B$23:$B$29,1)&amp;IF(ISNUMBER(Dashboard!$E$36),"  ·  "&amp;TEXT(Dashboard!$E$36,"0%"),"")</f>
        <v>Strategy and Leadership</v>
      </c>
      <c r="E2" s="9" t="n">
        <f aca="false">COUNTIFS('Readiness Checklist'!$I$8:$I$65,1,'Readiness Checklist'!$C$8:$C$65,"&lt;&gt;",'Readiness Checklist'!$E$8:$E$65,"&gt;=0",'Readiness Checklist'!$E$8:$E$65,"&lt;=0")</f>
        <v>0</v>
      </c>
      <c r="F2" s="9" t="n">
        <f aca="false">COUNTIFS('Readiness Checklist'!$I$8:$I$65,1,'Readiness Checklist'!$C$8:$C$65,"&lt;&gt;",'Readiness Checklist'!$E$8:$E$65,"&gt;=1",'Readiness Checklist'!$E$8:$E$65,"&lt;=1")</f>
        <v>0</v>
      </c>
      <c r="G2" s="9" t="n">
        <f aca="false">COUNTIFS('Readiness Checklist'!$I$8:$I$65,1,'Readiness Checklist'!$C$8:$C$65,"&lt;&gt;",'Readiness Checklist'!$E$8:$E$65,"&gt;=2",'Readiness Checklist'!$E$8:$E$65,"&lt;=2")</f>
        <v>0</v>
      </c>
      <c r="H2" s="9" t="n">
        <f aca="false">COUNTIFS('Readiness Checklist'!$I$8:$I$65,1,'Readiness Checklist'!$C$8:$C$65,"&lt;&gt;",'Readiness Checklist'!$E$8:$E$65,"&gt;=3",'Readiness Checklist'!$E$8:$E$65,"&lt;=3")</f>
        <v>0</v>
      </c>
      <c r="I2" s="9" t="n">
        <f aca="false">COUNTIFS('Readiness Checklist'!$I$8:$I$65,1,'Readiness Checklist'!$C$8:$C$65,"&lt;&gt;",'Readiness Checklist'!$E$8:$E$65,"N/A")</f>
        <v>0</v>
      </c>
      <c r="J2" s="9" t="n">
        <f aca="false">Dashboard!$Z$36-Dashboard!$Y$36</f>
        <v>6</v>
      </c>
      <c r="L2" s="0" t="str">
        <f aca="false">'Use Case Register'!$A$8&amp;IF(AND(ISNUMBER('Use Case Register'!$Q$8),0=0),IF(COUNTIFS('Use Case Register'!$Q$9:$Q$27,"&gt;=0",'Use Case Register'!$M$9:$M$27,'Use Case Register'!$M$8,'Use Case Register'!$D$9:$D$27,'Use Case Register'!$D$8)&gt;0," +"&amp;COUNTIFS('Use Case Register'!$Q$9:$Q$27,"&gt;=0",'Use Case Register'!$M$9:$M$27,'Use Case Register'!$M$8,'Use Case Register'!$D$9:$D$27,'Use Case Register'!$D$8),""),"")</f>
        <v>UC-01</v>
      </c>
      <c r="M2" s="3" t="e">
        <f aca="false">IF(AND(ISNUMBER('Use Case Register'!$Q$8),0=0),IF(MOD(ROUND('Use Case Register'!$M$8*16,0),2)=0,'Use Case Register'!$M$8,NA()),NA())</f>
        <v>#N/A</v>
      </c>
      <c r="N2" s="9" t="e">
        <f aca="false">IF(AND(ISNUMBER('Use Case Register'!$Q$8),0=0),IF(MOD(ROUND('Use Case Register'!$M$8*16,0),2)=0,'Use Case Register'!$D$8,NA()),NA())</f>
        <v>#N/A</v>
      </c>
      <c r="O2" s="3" t="e">
        <f aca="false">IF(AND(ISNUMBER('Use Case Register'!$Q$8),0=0),IF(NOT(MOD(ROUND('Use Case Register'!$M$8*16,0),2)=0),'Use Case Register'!$M$8,NA()),NA())</f>
        <v>#N/A</v>
      </c>
      <c r="P2" s="9" t="e">
        <f aca="false">IF(AND(ISNUMBER('Use Case Register'!$Q$8),0=0),IF(NOT(MOD(ROUND('Use Case Register'!$M$8*16,0),2)=0),'Use Case Register'!$D$8,NA()),NA())</f>
        <v>#N/A</v>
      </c>
      <c r="R2" s="0" t="n">
        <v>0.5</v>
      </c>
      <c r="S2" s="0" t="n">
        <v>0</v>
      </c>
      <c r="T2" s="0" t="n">
        <v>0</v>
      </c>
      <c r="U2" s="0" t="n">
        <v>3</v>
      </c>
    </row>
    <row r="3" customFormat="false" ht="15" hidden="false" customHeight="false" outlineLevel="0" collapsed="false">
      <c r="A3" s="53" t="s">
        <v>53</v>
      </c>
      <c r="B3" s="54" t="s">
        <v>345</v>
      </c>
      <c r="D3" s="0" t="str">
        <f aca="false">INDEX(Scoring!$B$23:$B$29,2)&amp;IF(ISNUMBER(Dashboard!$E$37),"  ·  "&amp;TEXT(Dashboard!$E$37,"0%"),"")</f>
        <v>Use Cases and Value</v>
      </c>
      <c r="E3" s="9" t="n">
        <f aca="false">COUNTIFS('Readiness Checklist'!$I$8:$I$65,2,'Readiness Checklist'!$C$8:$C$65,"&lt;&gt;",'Readiness Checklist'!$E$8:$E$65,"&gt;=0",'Readiness Checklist'!$E$8:$E$65,"&lt;=0")</f>
        <v>0</v>
      </c>
      <c r="F3" s="9" t="n">
        <f aca="false">COUNTIFS('Readiness Checklist'!$I$8:$I$65,2,'Readiness Checklist'!$C$8:$C$65,"&lt;&gt;",'Readiness Checklist'!$E$8:$E$65,"&gt;=1",'Readiness Checklist'!$E$8:$E$65,"&lt;=1")</f>
        <v>0</v>
      </c>
      <c r="G3" s="9" t="n">
        <f aca="false">COUNTIFS('Readiness Checklist'!$I$8:$I$65,2,'Readiness Checklist'!$C$8:$C$65,"&lt;&gt;",'Readiness Checklist'!$E$8:$E$65,"&gt;=2",'Readiness Checklist'!$E$8:$E$65,"&lt;=2")</f>
        <v>0</v>
      </c>
      <c r="H3" s="9" t="n">
        <f aca="false">COUNTIFS('Readiness Checklist'!$I$8:$I$65,2,'Readiness Checklist'!$C$8:$C$65,"&lt;&gt;",'Readiness Checklist'!$E$8:$E$65,"&gt;=3",'Readiness Checklist'!$E$8:$E$65,"&lt;=3")</f>
        <v>0</v>
      </c>
      <c r="I3" s="9" t="n">
        <f aca="false">COUNTIFS('Readiness Checklist'!$I$8:$I$65,2,'Readiness Checklist'!$C$8:$C$65,"&lt;&gt;",'Readiness Checklist'!$E$8:$E$65,"N/A")</f>
        <v>0</v>
      </c>
      <c r="J3" s="9" t="n">
        <f aca="false">Dashboard!$Z$37-Dashboard!$Y$37</f>
        <v>6</v>
      </c>
      <c r="L3" s="0" t="str">
        <f aca="false">'Use Case Register'!$A$9&amp;IF(AND(ISNUMBER('Use Case Register'!$Q$9),COUNTIFS('Use Case Register'!$Q$8:$Q$8,"&gt;=0",'Use Case Register'!$M$8:$M$8,'Use Case Register'!$M$9,'Use Case Register'!$D$8:$D$8,'Use Case Register'!$D$9)=0),IF(COUNTIFS('Use Case Register'!$Q$10:$Q$27,"&gt;=0",'Use Case Register'!$M$10:$M$27,'Use Case Register'!$M$9,'Use Case Register'!$D$10:$D$27,'Use Case Register'!$D$9)&gt;0," +"&amp;COUNTIFS('Use Case Register'!$Q$10:$Q$27,"&gt;=0",'Use Case Register'!$M$10:$M$27,'Use Case Register'!$M$9,'Use Case Register'!$D$10:$D$27,'Use Case Register'!$D$9),""),"")</f>
        <v>UC-02</v>
      </c>
      <c r="M3" s="3" t="e">
        <f aca="false">IF(AND(ISNUMBER('Use Case Register'!$Q$9),COUNTIFS('Use Case Register'!$Q$8:$Q$8,"&gt;=0",'Use Case Register'!$M$8:$M$8,'Use Case Register'!$M$9,'Use Case Register'!$D$8:$D$8,'Use Case Register'!$D$9)=0),IF(MOD(ROUND('Use Case Register'!$M$9*16,0),2)=0,'Use Case Register'!$M$9,NA()),NA())</f>
        <v>#N/A</v>
      </c>
      <c r="N3" s="9" t="e">
        <f aca="false">IF(AND(ISNUMBER('Use Case Register'!$Q$9),COUNTIFS('Use Case Register'!$Q$8:$Q$8,"&gt;=0",'Use Case Register'!$M$8:$M$8,'Use Case Register'!$M$9,'Use Case Register'!$D$8:$D$8,'Use Case Register'!$D$9)=0),IF(MOD(ROUND('Use Case Register'!$M$9*16,0),2)=0,'Use Case Register'!$D$9,NA()),NA())</f>
        <v>#N/A</v>
      </c>
      <c r="O3" s="3" t="e">
        <f aca="false">IF(AND(ISNUMBER('Use Case Register'!$Q$9),COUNTIFS('Use Case Register'!$Q$8:$Q$8,"&gt;=0",'Use Case Register'!$M$8:$M$8,'Use Case Register'!$M$9,'Use Case Register'!$D$8:$D$8,'Use Case Register'!$D$9)=0),IF(NOT(MOD(ROUND('Use Case Register'!$M$9*16,0),2)=0),'Use Case Register'!$M$9,NA()),NA())</f>
        <v>#N/A</v>
      </c>
      <c r="P3" s="9" t="e">
        <f aca="false">IF(AND(ISNUMBER('Use Case Register'!$Q$9),COUNTIFS('Use Case Register'!$Q$8:$Q$8,"&gt;=0",'Use Case Register'!$M$8:$M$8,'Use Case Register'!$M$9,'Use Case Register'!$D$8:$D$8,'Use Case Register'!$D$9)=0),IF(NOT(MOD(ROUND('Use Case Register'!$M$9*16,0),2)=0),'Use Case Register'!$D$9,NA()),NA())</f>
        <v>#N/A</v>
      </c>
      <c r="R3" s="0" t="n">
        <v>0.5</v>
      </c>
      <c r="S3" s="0" t="n">
        <v>5.5</v>
      </c>
      <c r="T3" s="0" t="n">
        <v>1</v>
      </c>
      <c r="U3" s="0" t="n">
        <v>3</v>
      </c>
    </row>
    <row r="4" customFormat="false" ht="15" hidden="false" customHeight="false" outlineLevel="0" collapsed="false">
      <c r="A4" s="53" t="s">
        <v>55</v>
      </c>
      <c r="B4" s="54" t="s">
        <v>346</v>
      </c>
      <c r="D4" s="0" t="str">
        <f aca="false">INDEX(Scoring!$B$23:$B$29,3)&amp;IF(ISNUMBER(Dashboard!$E$38),"  ·  "&amp;TEXT(Dashboard!$E$38,"0%"),"")</f>
        <v>Project Data</v>
      </c>
      <c r="E4" s="9" t="n">
        <f aca="false">COUNTIFS('Readiness Checklist'!$I$8:$I$65,3,'Readiness Checklist'!$C$8:$C$65,"&lt;&gt;",'Readiness Checklist'!$E$8:$E$65,"&gt;=0",'Readiness Checklist'!$E$8:$E$65,"&lt;=0")</f>
        <v>0</v>
      </c>
      <c r="F4" s="9" t="n">
        <f aca="false">COUNTIFS('Readiness Checklist'!$I$8:$I$65,3,'Readiness Checklist'!$C$8:$C$65,"&lt;&gt;",'Readiness Checklist'!$E$8:$E$65,"&gt;=1",'Readiness Checklist'!$E$8:$E$65,"&lt;=1")</f>
        <v>0</v>
      </c>
      <c r="G4" s="9" t="n">
        <f aca="false">COUNTIFS('Readiness Checklist'!$I$8:$I$65,3,'Readiness Checklist'!$C$8:$C$65,"&lt;&gt;",'Readiness Checklist'!$E$8:$E$65,"&gt;=2",'Readiness Checklist'!$E$8:$E$65,"&lt;=2")</f>
        <v>0</v>
      </c>
      <c r="H4" s="9" t="n">
        <f aca="false">COUNTIFS('Readiness Checklist'!$I$8:$I$65,3,'Readiness Checklist'!$C$8:$C$65,"&lt;&gt;",'Readiness Checklist'!$E$8:$E$65,"&gt;=3",'Readiness Checklist'!$E$8:$E$65,"&lt;=3")</f>
        <v>0</v>
      </c>
      <c r="I4" s="9" t="n">
        <f aca="false">COUNTIFS('Readiness Checklist'!$I$8:$I$65,3,'Readiness Checklist'!$C$8:$C$65,"&lt;&gt;",'Readiness Checklist'!$E$8:$E$65,"N/A")</f>
        <v>0</v>
      </c>
      <c r="J4" s="9" t="n">
        <f aca="false">Dashboard!$Z$38-Dashboard!$Y$38</f>
        <v>6</v>
      </c>
      <c r="L4" s="0" t="str">
        <f aca="false">'Use Case Register'!$A$10&amp;IF(AND(ISNUMBER('Use Case Register'!$Q$10),COUNTIFS('Use Case Register'!$Q$8:$Q$9,"&gt;=0",'Use Case Register'!$M$8:$M$9,'Use Case Register'!$M$10,'Use Case Register'!$D$8:$D$9,'Use Case Register'!$D$10)=0),IF(COUNTIFS('Use Case Register'!$Q$11:$Q$27,"&gt;=0",'Use Case Register'!$M$11:$M$27,'Use Case Register'!$M$10,'Use Case Register'!$D$11:$D$27,'Use Case Register'!$D$10)&gt;0," +"&amp;COUNTIFS('Use Case Register'!$Q$11:$Q$27,"&gt;=0",'Use Case Register'!$M$11:$M$27,'Use Case Register'!$M$10,'Use Case Register'!$D$11:$D$27,'Use Case Register'!$D$10),""),"")</f>
        <v>UC-03</v>
      </c>
      <c r="M4" s="3" t="e">
        <f aca="false">IF(AND(ISNUMBER('Use Case Register'!$Q$10),COUNTIFS('Use Case Register'!$Q$8:$Q$9,"&gt;=0",'Use Case Register'!$M$8:$M$9,'Use Case Register'!$M$10,'Use Case Register'!$D$8:$D$9,'Use Case Register'!$D$10)=0),IF(MOD(ROUND('Use Case Register'!$M$10*16,0),2)=0,'Use Case Register'!$M$10,NA()),NA())</f>
        <v>#N/A</v>
      </c>
      <c r="N4" s="9" t="e">
        <f aca="false">IF(AND(ISNUMBER('Use Case Register'!$Q$10),COUNTIFS('Use Case Register'!$Q$8:$Q$9,"&gt;=0",'Use Case Register'!$M$8:$M$9,'Use Case Register'!$M$10,'Use Case Register'!$D$8:$D$9,'Use Case Register'!$D$10)=0),IF(MOD(ROUND('Use Case Register'!$M$10*16,0),2)=0,'Use Case Register'!$D$10,NA()),NA())</f>
        <v>#N/A</v>
      </c>
      <c r="O4" s="3" t="e">
        <f aca="false">IF(AND(ISNUMBER('Use Case Register'!$Q$10),COUNTIFS('Use Case Register'!$Q$8:$Q$9,"&gt;=0",'Use Case Register'!$M$8:$M$9,'Use Case Register'!$M$10,'Use Case Register'!$D$8:$D$9,'Use Case Register'!$D$10)=0),IF(NOT(MOD(ROUND('Use Case Register'!$M$10*16,0),2)=0),'Use Case Register'!$M$10,NA()),NA())</f>
        <v>#N/A</v>
      </c>
      <c r="P4" s="9" t="e">
        <f aca="false">IF(AND(ISNUMBER('Use Case Register'!$Q$10),COUNTIFS('Use Case Register'!$Q$8:$Q$9,"&gt;=0",'Use Case Register'!$M$8:$M$9,'Use Case Register'!$M$10,'Use Case Register'!$D$8:$D$9,'Use Case Register'!$D$10)=0),IF(NOT(MOD(ROUND('Use Case Register'!$M$10*16,0),2)=0),'Use Case Register'!$D$10,NA()),NA())</f>
        <v>#N/A</v>
      </c>
    </row>
    <row r="5" customFormat="false" ht="15" hidden="false" customHeight="false" outlineLevel="0" collapsed="false">
      <c r="A5" s="53" t="s">
        <v>57</v>
      </c>
      <c r="B5" s="54" t="s">
        <v>347</v>
      </c>
      <c r="D5" s="0" t="str">
        <f aca="false">INDEX(Scoring!$B$23:$B$29,4)&amp;IF(ISNUMBER(Dashboard!$E$39),"  ·  "&amp;TEXT(Dashboard!$E$39,"0%"),"")</f>
        <v>Systems and Integration</v>
      </c>
      <c r="E5" s="9" t="n">
        <f aca="false">COUNTIFS('Readiness Checklist'!$I$8:$I$65,4,'Readiness Checklist'!$C$8:$C$65,"&lt;&gt;",'Readiness Checklist'!$E$8:$E$65,"&gt;=0",'Readiness Checklist'!$E$8:$E$65,"&lt;=0")</f>
        <v>0</v>
      </c>
      <c r="F5" s="9" t="n">
        <f aca="false">COUNTIFS('Readiness Checklist'!$I$8:$I$65,4,'Readiness Checklist'!$C$8:$C$65,"&lt;&gt;",'Readiness Checklist'!$E$8:$E$65,"&gt;=1",'Readiness Checklist'!$E$8:$E$65,"&lt;=1")</f>
        <v>0</v>
      </c>
      <c r="G5" s="9" t="n">
        <f aca="false">COUNTIFS('Readiness Checklist'!$I$8:$I$65,4,'Readiness Checklist'!$C$8:$C$65,"&lt;&gt;",'Readiness Checklist'!$E$8:$E$65,"&gt;=2",'Readiness Checklist'!$E$8:$E$65,"&lt;=2")</f>
        <v>0</v>
      </c>
      <c r="H5" s="9" t="n">
        <f aca="false">COUNTIFS('Readiness Checklist'!$I$8:$I$65,4,'Readiness Checklist'!$C$8:$C$65,"&lt;&gt;",'Readiness Checklist'!$E$8:$E$65,"&gt;=3",'Readiness Checklist'!$E$8:$E$65,"&lt;=3")</f>
        <v>0</v>
      </c>
      <c r="I5" s="9" t="n">
        <f aca="false">COUNTIFS('Readiness Checklist'!$I$8:$I$65,4,'Readiness Checklist'!$C$8:$C$65,"&lt;&gt;",'Readiness Checklist'!$E$8:$E$65,"N/A")</f>
        <v>0</v>
      </c>
      <c r="J5" s="9" t="n">
        <f aca="false">Dashboard!$Z$39-Dashboard!$Y$39</f>
        <v>5</v>
      </c>
      <c r="L5" s="0" t="str">
        <f aca="false">'Use Case Register'!$A$11&amp;IF(AND(ISNUMBER('Use Case Register'!$Q$11),COUNTIFS('Use Case Register'!$Q$8:$Q$10,"&gt;=0",'Use Case Register'!$M$8:$M$10,'Use Case Register'!$M$11,'Use Case Register'!$D$8:$D$10,'Use Case Register'!$D$11)=0),IF(COUNTIFS('Use Case Register'!$Q$12:$Q$27,"&gt;=0",'Use Case Register'!$M$12:$M$27,'Use Case Register'!$M$11,'Use Case Register'!$D$12:$D$27,'Use Case Register'!$D$11)&gt;0," +"&amp;COUNTIFS('Use Case Register'!$Q$12:$Q$27,"&gt;=0",'Use Case Register'!$M$12:$M$27,'Use Case Register'!$M$11,'Use Case Register'!$D$12:$D$27,'Use Case Register'!$D$11),""),"")</f>
        <v>UC-04</v>
      </c>
      <c r="M5" s="3" t="e">
        <f aca="false">IF(AND(ISNUMBER('Use Case Register'!$Q$11),COUNTIFS('Use Case Register'!$Q$8:$Q$10,"&gt;=0",'Use Case Register'!$M$8:$M$10,'Use Case Register'!$M$11,'Use Case Register'!$D$8:$D$10,'Use Case Register'!$D$11)=0),IF(MOD(ROUND('Use Case Register'!$M$11*16,0),2)=0,'Use Case Register'!$M$11,NA()),NA())</f>
        <v>#N/A</v>
      </c>
      <c r="N5" s="9" t="e">
        <f aca="false">IF(AND(ISNUMBER('Use Case Register'!$Q$11),COUNTIFS('Use Case Register'!$Q$8:$Q$10,"&gt;=0",'Use Case Register'!$M$8:$M$10,'Use Case Register'!$M$11,'Use Case Register'!$D$8:$D$10,'Use Case Register'!$D$11)=0),IF(MOD(ROUND('Use Case Register'!$M$11*16,0),2)=0,'Use Case Register'!$D$11,NA()),NA())</f>
        <v>#N/A</v>
      </c>
      <c r="O5" s="3" t="e">
        <f aca="false">IF(AND(ISNUMBER('Use Case Register'!$Q$11),COUNTIFS('Use Case Register'!$Q$8:$Q$10,"&gt;=0",'Use Case Register'!$M$8:$M$10,'Use Case Register'!$M$11,'Use Case Register'!$D$8:$D$10,'Use Case Register'!$D$11)=0),IF(NOT(MOD(ROUND('Use Case Register'!$M$11*16,0),2)=0),'Use Case Register'!$M$11,NA()),NA())</f>
        <v>#N/A</v>
      </c>
      <c r="P5" s="9" t="e">
        <f aca="false">IF(AND(ISNUMBER('Use Case Register'!$Q$11),COUNTIFS('Use Case Register'!$Q$8:$Q$10,"&gt;=0",'Use Case Register'!$M$8:$M$10,'Use Case Register'!$M$11,'Use Case Register'!$D$8:$D$10,'Use Case Register'!$D$11)=0),IF(NOT(MOD(ROUND('Use Case Register'!$M$11*16,0),2)=0),'Use Case Register'!$D$11,NA()),NA())</f>
        <v>#N/A</v>
      </c>
    </row>
    <row r="6" customFormat="false" ht="15" hidden="false" customHeight="false" outlineLevel="0" collapsed="false">
      <c r="A6" s="53" t="s">
        <v>59</v>
      </c>
      <c r="B6" s="54" t="s">
        <v>348</v>
      </c>
      <c r="D6" s="0" t="str">
        <f aca="false">INDEX(Scoring!$B$23:$B$29,5)&amp;IF(ISNUMBER(Dashboard!$E$40),"  ·  "&amp;TEXT(Dashboard!$E$40,"0%"),"")</f>
        <v>People and Skills</v>
      </c>
      <c r="E6" s="9" t="n">
        <f aca="false">COUNTIFS('Readiness Checklist'!$I$8:$I$65,5,'Readiness Checklist'!$C$8:$C$65,"&lt;&gt;",'Readiness Checklist'!$E$8:$E$65,"&gt;=0",'Readiness Checklist'!$E$8:$E$65,"&lt;=0")</f>
        <v>0</v>
      </c>
      <c r="F6" s="9" t="n">
        <f aca="false">COUNTIFS('Readiness Checklist'!$I$8:$I$65,5,'Readiness Checklist'!$C$8:$C$65,"&lt;&gt;",'Readiness Checklist'!$E$8:$E$65,"&gt;=1",'Readiness Checklist'!$E$8:$E$65,"&lt;=1")</f>
        <v>0</v>
      </c>
      <c r="G6" s="9" t="n">
        <f aca="false">COUNTIFS('Readiness Checklist'!$I$8:$I$65,5,'Readiness Checklist'!$C$8:$C$65,"&lt;&gt;",'Readiness Checklist'!$E$8:$E$65,"&gt;=2",'Readiness Checklist'!$E$8:$E$65,"&lt;=2")</f>
        <v>0</v>
      </c>
      <c r="H6" s="9" t="n">
        <f aca="false">COUNTIFS('Readiness Checklist'!$I$8:$I$65,5,'Readiness Checklist'!$C$8:$C$65,"&lt;&gt;",'Readiness Checklist'!$E$8:$E$65,"&gt;=3",'Readiness Checklist'!$E$8:$E$65,"&lt;=3")</f>
        <v>0</v>
      </c>
      <c r="I6" s="9" t="n">
        <f aca="false">COUNTIFS('Readiness Checklist'!$I$8:$I$65,5,'Readiness Checklist'!$C$8:$C$65,"&lt;&gt;",'Readiness Checklist'!$E$8:$E$65,"N/A")</f>
        <v>0</v>
      </c>
      <c r="J6" s="9" t="n">
        <f aca="false">Dashboard!$Z$40-Dashboard!$Y$40</f>
        <v>7</v>
      </c>
      <c r="L6" s="0" t="str">
        <f aca="false">'Use Case Register'!$A$12&amp;IF(AND(ISNUMBER('Use Case Register'!$Q$12),COUNTIFS('Use Case Register'!$Q$8:$Q$11,"&gt;=0",'Use Case Register'!$M$8:$M$11,'Use Case Register'!$M$12,'Use Case Register'!$D$8:$D$11,'Use Case Register'!$D$12)=0),IF(COUNTIFS('Use Case Register'!$Q$13:$Q$27,"&gt;=0",'Use Case Register'!$M$13:$M$27,'Use Case Register'!$M$12,'Use Case Register'!$D$13:$D$27,'Use Case Register'!$D$12)&gt;0," +"&amp;COUNTIFS('Use Case Register'!$Q$13:$Q$27,"&gt;=0",'Use Case Register'!$M$13:$M$27,'Use Case Register'!$M$12,'Use Case Register'!$D$13:$D$27,'Use Case Register'!$D$12),""),"")</f>
        <v>UC-05</v>
      </c>
      <c r="M6" s="3" t="e">
        <f aca="false">IF(AND(ISNUMBER('Use Case Register'!$Q$12),COUNTIFS('Use Case Register'!$Q$8:$Q$11,"&gt;=0",'Use Case Register'!$M$8:$M$11,'Use Case Register'!$M$12,'Use Case Register'!$D$8:$D$11,'Use Case Register'!$D$12)=0),IF(MOD(ROUND('Use Case Register'!$M$12*16,0),2)=0,'Use Case Register'!$M$12,NA()),NA())</f>
        <v>#N/A</v>
      </c>
      <c r="N6" s="9" t="e">
        <f aca="false">IF(AND(ISNUMBER('Use Case Register'!$Q$12),COUNTIFS('Use Case Register'!$Q$8:$Q$11,"&gt;=0",'Use Case Register'!$M$8:$M$11,'Use Case Register'!$M$12,'Use Case Register'!$D$8:$D$11,'Use Case Register'!$D$12)=0),IF(MOD(ROUND('Use Case Register'!$M$12*16,0),2)=0,'Use Case Register'!$D$12,NA()),NA())</f>
        <v>#N/A</v>
      </c>
      <c r="O6" s="3" t="e">
        <f aca="false">IF(AND(ISNUMBER('Use Case Register'!$Q$12),COUNTIFS('Use Case Register'!$Q$8:$Q$11,"&gt;=0",'Use Case Register'!$M$8:$M$11,'Use Case Register'!$M$12,'Use Case Register'!$D$8:$D$11,'Use Case Register'!$D$12)=0),IF(NOT(MOD(ROUND('Use Case Register'!$M$12*16,0),2)=0),'Use Case Register'!$M$12,NA()),NA())</f>
        <v>#N/A</v>
      </c>
      <c r="P6" s="9" t="e">
        <f aca="false">IF(AND(ISNUMBER('Use Case Register'!$Q$12),COUNTIFS('Use Case Register'!$Q$8:$Q$11,"&gt;=0",'Use Case Register'!$M$8:$M$11,'Use Case Register'!$M$12,'Use Case Register'!$D$8:$D$11,'Use Case Register'!$D$12)=0),IF(NOT(MOD(ROUND('Use Case Register'!$M$12*16,0),2)=0),'Use Case Register'!$D$12,NA()),NA())</f>
        <v>#N/A</v>
      </c>
    </row>
    <row r="7" customFormat="false" ht="15" hidden="false" customHeight="false" outlineLevel="0" collapsed="false">
      <c r="A7" s="53" t="s">
        <v>61</v>
      </c>
      <c r="B7" s="54" t="s">
        <v>349</v>
      </c>
      <c r="D7" s="0" t="str">
        <f aca="false">INDEX(Scoring!$B$23:$B$29,6)&amp;IF(ISNUMBER(Dashboard!$E$41),"  ·  "&amp;TEXT(Dashboard!$E$41,"0%"),"")</f>
        <v>Governance and Risk</v>
      </c>
      <c r="E7" s="9" t="n">
        <f aca="false">COUNTIFS('Readiness Checklist'!$I$8:$I$65,6,'Readiness Checklist'!$C$8:$C$65,"&lt;&gt;",'Readiness Checklist'!$E$8:$E$65,"&gt;=0",'Readiness Checklist'!$E$8:$E$65,"&lt;=0")</f>
        <v>0</v>
      </c>
      <c r="F7" s="9" t="n">
        <f aca="false">COUNTIFS('Readiness Checklist'!$I$8:$I$65,6,'Readiness Checklist'!$C$8:$C$65,"&lt;&gt;",'Readiness Checklist'!$E$8:$E$65,"&gt;=1",'Readiness Checklist'!$E$8:$E$65,"&lt;=1")</f>
        <v>0</v>
      </c>
      <c r="G7" s="9" t="n">
        <f aca="false">COUNTIFS('Readiness Checklist'!$I$8:$I$65,6,'Readiness Checklist'!$C$8:$C$65,"&lt;&gt;",'Readiness Checklist'!$E$8:$E$65,"&gt;=2",'Readiness Checklist'!$E$8:$E$65,"&lt;=2")</f>
        <v>0</v>
      </c>
      <c r="H7" s="9" t="n">
        <f aca="false">COUNTIFS('Readiness Checklist'!$I$8:$I$65,6,'Readiness Checklist'!$C$8:$C$65,"&lt;&gt;",'Readiness Checklist'!$E$8:$E$65,"&gt;=3",'Readiness Checklist'!$E$8:$E$65,"&lt;=3")</f>
        <v>0</v>
      </c>
      <c r="I7" s="9" t="n">
        <f aca="false">COUNTIFS('Readiness Checklist'!$I$8:$I$65,6,'Readiness Checklist'!$C$8:$C$65,"&lt;&gt;",'Readiness Checklist'!$E$8:$E$65,"N/A")</f>
        <v>0</v>
      </c>
      <c r="J7" s="9" t="n">
        <f aca="false">Dashboard!$Z$41-Dashboard!$Y$41</f>
        <v>7</v>
      </c>
      <c r="L7" s="0" t="str">
        <f aca="false">'Use Case Register'!$A$13&amp;IF(AND(ISNUMBER('Use Case Register'!$Q$13),COUNTIFS('Use Case Register'!$Q$8:$Q$12,"&gt;=0",'Use Case Register'!$M$8:$M$12,'Use Case Register'!$M$13,'Use Case Register'!$D$8:$D$12,'Use Case Register'!$D$13)=0),IF(COUNTIFS('Use Case Register'!$Q$14:$Q$27,"&gt;=0",'Use Case Register'!$M$14:$M$27,'Use Case Register'!$M$13,'Use Case Register'!$D$14:$D$27,'Use Case Register'!$D$13)&gt;0," +"&amp;COUNTIFS('Use Case Register'!$Q$14:$Q$27,"&gt;=0",'Use Case Register'!$M$14:$M$27,'Use Case Register'!$M$13,'Use Case Register'!$D$14:$D$27,'Use Case Register'!$D$13),""),"")</f>
        <v>UC-06</v>
      </c>
      <c r="M7" s="3" t="e">
        <f aca="false">IF(AND(ISNUMBER('Use Case Register'!$Q$13),COUNTIFS('Use Case Register'!$Q$8:$Q$12,"&gt;=0",'Use Case Register'!$M$8:$M$12,'Use Case Register'!$M$13,'Use Case Register'!$D$8:$D$12,'Use Case Register'!$D$13)=0),IF(MOD(ROUND('Use Case Register'!$M$13*16,0),2)=0,'Use Case Register'!$M$13,NA()),NA())</f>
        <v>#N/A</v>
      </c>
      <c r="N7" s="9" t="e">
        <f aca="false">IF(AND(ISNUMBER('Use Case Register'!$Q$13),COUNTIFS('Use Case Register'!$Q$8:$Q$12,"&gt;=0",'Use Case Register'!$M$8:$M$12,'Use Case Register'!$M$13,'Use Case Register'!$D$8:$D$12,'Use Case Register'!$D$13)=0),IF(MOD(ROUND('Use Case Register'!$M$13*16,0),2)=0,'Use Case Register'!$D$13,NA()),NA())</f>
        <v>#N/A</v>
      </c>
      <c r="O7" s="3" t="e">
        <f aca="false">IF(AND(ISNUMBER('Use Case Register'!$Q$13),COUNTIFS('Use Case Register'!$Q$8:$Q$12,"&gt;=0",'Use Case Register'!$M$8:$M$12,'Use Case Register'!$M$13,'Use Case Register'!$D$8:$D$12,'Use Case Register'!$D$13)=0),IF(NOT(MOD(ROUND('Use Case Register'!$M$13*16,0),2)=0),'Use Case Register'!$M$13,NA()),NA())</f>
        <v>#N/A</v>
      </c>
      <c r="P7" s="9" t="e">
        <f aca="false">IF(AND(ISNUMBER('Use Case Register'!$Q$13),COUNTIFS('Use Case Register'!$Q$8:$Q$12,"&gt;=0",'Use Case Register'!$M$8:$M$12,'Use Case Register'!$M$13,'Use Case Register'!$D$8:$D$12,'Use Case Register'!$D$13)=0),IF(NOT(MOD(ROUND('Use Case Register'!$M$13*16,0),2)=0),'Use Case Register'!$D$13,NA()),NA())</f>
        <v>#N/A</v>
      </c>
    </row>
    <row r="8" customFormat="false" ht="15" hidden="false" customHeight="false" outlineLevel="0" collapsed="false">
      <c r="A8" s="53" t="s">
        <v>63</v>
      </c>
      <c r="B8" s="54" t="s">
        <v>350</v>
      </c>
      <c r="D8" s="0" t="str">
        <f aca="false">INDEX(Scoring!$B$23:$B$29,7)&amp;IF(ISNUMBER(Dashboard!$E$42),"  ·  "&amp;TEXT(Dashboard!$E$42,"0%"),"")</f>
        <v>Security and Privacy</v>
      </c>
      <c r="E8" s="9" t="n">
        <f aca="false">COUNTIFS('Readiness Checklist'!$I$8:$I$65,7,'Readiness Checklist'!$C$8:$C$65,"&lt;&gt;",'Readiness Checklist'!$E$8:$E$65,"&gt;=0",'Readiness Checklist'!$E$8:$E$65,"&lt;=0")</f>
        <v>0</v>
      </c>
      <c r="F8" s="9" t="n">
        <f aca="false">COUNTIFS('Readiness Checklist'!$I$8:$I$65,7,'Readiness Checklist'!$C$8:$C$65,"&lt;&gt;",'Readiness Checklist'!$E$8:$E$65,"&gt;=1",'Readiness Checklist'!$E$8:$E$65,"&lt;=1")</f>
        <v>0</v>
      </c>
      <c r="G8" s="9" t="n">
        <f aca="false">COUNTIFS('Readiness Checklist'!$I$8:$I$65,7,'Readiness Checklist'!$C$8:$C$65,"&lt;&gt;",'Readiness Checklist'!$E$8:$E$65,"&gt;=2",'Readiness Checklist'!$E$8:$E$65,"&lt;=2")</f>
        <v>0</v>
      </c>
      <c r="H8" s="9" t="n">
        <f aca="false">COUNTIFS('Readiness Checklist'!$I$8:$I$65,7,'Readiness Checklist'!$C$8:$C$65,"&lt;&gt;",'Readiness Checklist'!$E$8:$E$65,"&gt;=3",'Readiness Checklist'!$E$8:$E$65,"&lt;=3")</f>
        <v>0</v>
      </c>
      <c r="I8" s="9" t="n">
        <f aca="false">COUNTIFS('Readiness Checklist'!$I$8:$I$65,7,'Readiness Checklist'!$C$8:$C$65,"&lt;&gt;",'Readiness Checklist'!$E$8:$E$65,"N/A")</f>
        <v>0</v>
      </c>
      <c r="J8" s="9" t="n">
        <f aca="false">Dashboard!$Z$42-Dashboard!$Y$42</f>
        <v>7</v>
      </c>
      <c r="L8" s="0" t="str">
        <f aca="false">'Use Case Register'!$A$14&amp;IF(AND(ISNUMBER('Use Case Register'!$Q$14),COUNTIFS('Use Case Register'!$Q$8:$Q$13,"&gt;=0",'Use Case Register'!$M$8:$M$13,'Use Case Register'!$M$14,'Use Case Register'!$D$8:$D$13,'Use Case Register'!$D$14)=0),IF(COUNTIFS('Use Case Register'!$Q$15:$Q$27,"&gt;=0",'Use Case Register'!$M$15:$M$27,'Use Case Register'!$M$14,'Use Case Register'!$D$15:$D$27,'Use Case Register'!$D$14)&gt;0," +"&amp;COUNTIFS('Use Case Register'!$Q$15:$Q$27,"&gt;=0",'Use Case Register'!$M$15:$M$27,'Use Case Register'!$M$14,'Use Case Register'!$D$15:$D$27,'Use Case Register'!$D$14),""),"")</f>
        <v>UC-07</v>
      </c>
      <c r="M8" s="3" t="e">
        <f aca="false">IF(AND(ISNUMBER('Use Case Register'!$Q$14),COUNTIFS('Use Case Register'!$Q$8:$Q$13,"&gt;=0",'Use Case Register'!$M$8:$M$13,'Use Case Register'!$M$14,'Use Case Register'!$D$8:$D$13,'Use Case Register'!$D$14)=0),IF(MOD(ROUND('Use Case Register'!$M$14*16,0),2)=0,'Use Case Register'!$M$14,NA()),NA())</f>
        <v>#N/A</v>
      </c>
      <c r="N8" s="9" t="e">
        <f aca="false">IF(AND(ISNUMBER('Use Case Register'!$Q$14),COUNTIFS('Use Case Register'!$Q$8:$Q$13,"&gt;=0",'Use Case Register'!$M$8:$M$13,'Use Case Register'!$M$14,'Use Case Register'!$D$8:$D$13,'Use Case Register'!$D$14)=0),IF(MOD(ROUND('Use Case Register'!$M$14*16,0),2)=0,'Use Case Register'!$D$14,NA()),NA())</f>
        <v>#N/A</v>
      </c>
      <c r="O8" s="3" t="e">
        <f aca="false">IF(AND(ISNUMBER('Use Case Register'!$Q$14),COUNTIFS('Use Case Register'!$Q$8:$Q$13,"&gt;=0",'Use Case Register'!$M$8:$M$13,'Use Case Register'!$M$14,'Use Case Register'!$D$8:$D$13,'Use Case Register'!$D$14)=0),IF(NOT(MOD(ROUND('Use Case Register'!$M$14*16,0),2)=0),'Use Case Register'!$M$14,NA()),NA())</f>
        <v>#N/A</v>
      </c>
      <c r="P8" s="9" t="e">
        <f aca="false">IF(AND(ISNUMBER('Use Case Register'!$Q$14),COUNTIFS('Use Case Register'!$Q$8:$Q$13,"&gt;=0",'Use Case Register'!$M$8:$M$13,'Use Case Register'!$M$14,'Use Case Register'!$D$8:$D$13,'Use Case Register'!$D$14)=0),IF(NOT(MOD(ROUND('Use Case Register'!$M$14*16,0),2)=0),'Use Case Register'!$D$14,NA()),NA())</f>
        <v>#N/A</v>
      </c>
    </row>
    <row r="9" customFormat="false" ht="15" hidden="false" customHeight="false" outlineLevel="0" collapsed="false">
      <c r="A9" s="53" t="s">
        <v>64</v>
      </c>
      <c r="B9" s="54" t="s">
        <v>351</v>
      </c>
      <c r="L9" s="0" t="str">
        <f aca="false">'Use Case Register'!$A$15&amp;IF(AND(ISNUMBER('Use Case Register'!$Q$15),COUNTIFS('Use Case Register'!$Q$8:$Q$14,"&gt;=0",'Use Case Register'!$M$8:$M$14,'Use Case Register'!$M$15,'Use Case Register'!$D$8:$D$14,'Use Case Register'!$D$15)=0),IF(COUNTIFS('Use Case Register'!$Q$16:$Q$27,"&gt;=0",'Use Case Register'!$M$16:$M$27,'Use Case Register'!$M$15,'Use Case Register'!$D$16:$D$27,'Use Case Register'!$D$15)&gt;0," +"&amp;COUNTIFS('Use Case Register'!$Q$16:$Q$27,"&gt;=0",'Use Case Register'!$M$16:$M$27,'Use Case Register'!$M$15,'Use Case Register'!$D$16:$D$27,'Use Case Register'!$D$15),""),"")</f>
        <v>UC-08</v>
      </c>
      <c r="M9" s="3" t="e">
        <f aca="false">IF(AND(ISNUMBER('Use Case Register'!$Q$15),COUNTIFS('Use Case Register'!$Q$8:$Q$14,"&gt;=0",'Use Case Register'!$M$8:$M$14,'Use Case Register'!$M$15,'Use Case Register'!$D$8:$D$14,'Use Case Register'!$D$15)=0),IF(MOD(ROUND('Use Case Register'!$M$15*16,0),2)=0,'Use Case Register'!$M$15,NA()),NA())</f>
        <v>#N/A</v>
      </c>
      <c r="N9" s="9" t="e">
        <f aca="false">IF(AND(ISNUMBER('Use Case Register'!$Q$15),COUNTIFS('Use Case Register'!$Q$8:$Q$14,"&gt;=0",'Use Case Register'!$M$8:$M$14,'Use Case Register'!$M$15,'Use Case Register'!$D$8:$D$14,'Use Case Register'!$D$15)=0),IF(MOD(ROUND('Use Case Register'!$M$15*16,0),2)=0,'Use Case Register'!$D$15,NA()),NA())</f>
        <v>#N/A</v>
      </c>
      <c r="O9" s="3" t="e">
        <f aca="false">IF(AND(ISNUMBER('Use Case Register'!$Q$15),COUNTIFS('Use Case Register'!$Q$8:$Q$14,"&gt;=0",'Use Case Register'!$M$8:$M$14,'Use Case Register'!$M$15,'Use Case Register'!$D$8:$D$14,'Use Case Register'!$D$15)=0),IF(NOT(MOD(ROUND('Use Case Register'!$M$15*16,0),2)=0),'Use Case Register'!$M$15,NA()),NA())</f>
        <v>#N/A</v>
      </c>
      <c r="P9" s="9" t="e">
        <f aca="false">IF(AND(ISNUMBER('Use Case Register'!$Q$15),COUNTIFS('Use Case Register'!$Q$8:$Q$14,"&gt;=0",'Use Case Register'!$M$8:$M$14,'Use Case Register'!$M$15,'Use Case Register'!$D$8:$D$14,'Use Case Register'!$D$15)=0),IF(NOT(MOD(ROUND('Use Case Register'!$M$15*16,0),2)=0),'Use Case Register'!$D$15,NA()),NA())</f>
        <v>#N/A</v>
      </c>
    </row>
    <row r="10" customFormat="false" ht="15" hidden="false" customHeight="false" outlineLevel="0" collapsed="false">
      <c r="A10" s="53" t="s">
        <v>65</v>
      </c>
      <c r="B10" s="54" t="s">
        <v>352</v>
      </c>
      <c r="L10" s="0" t="str">
        <f aca="false">'Use Case Register'!$A$16&amp;IF(AND(ISNUMBER('Use Case Register'!$Q$16),COUNTIFS('Use Case Register'!$Q$8:$Q$15,"&gt;=0",'Use Case Register'!$M$8:$M$15,'Use Case Register'!$M$16,'Use Case Register'!$D$8:$D$15,'Use Case Register'!$D$16)=0),IF(COUNTIFS('Use Case Register'!$Q$17:$Q$27,"&gt;=0",'Use Case Register'!$M$17:$M$27,'Use Case Register'!$M$16,'Use Case Register'!$D$17:$D$27,'Use Case Register'!$D$16)&gt;0," +"&amp;COUNTIFS('Use Case Register'!$Q$17:$Q$27,"&gt;=0",'Use Case Register'!$M$17:$M$27,'Use Case Register'!$M$16,'Use Case Register'!$D$17:$D$27,'Use Case Register'!$D$16),""),"")</f>
        <v>UC-09</v>
      </c>
      <c r="M10" s="3" t="e">
        <f aca="false">IF(AND(ISNUMBER('Use Case Register'!$Q$16),COUNTIFS('Use Case Register'!$Q$8:$Q$15,"&gt;=0",'Use Case Register'!$M$8:$M$15,'Use Case Register'!$M$16,'Use Case Register'!$D$8:$D$15,'Use Case Register'!$D$16)=0),IF(MOD(ROUND('Use Case Register'!$M$16*16,0),2)=0,'Use Case Register'!$M$16,NA()),NA())</f>
        <v>#N/A</v>
      </c>
      <c r="N10" s="9" t="e">
        <f aca="false">IF(AND(ISNUMBER('Use Case Register'!$Q$16),COUNTIFS('Use Case Register'!$Q$8:$Q$15,"&gt;=0",'Use Case Register'!$M$8:$M$15,'Use Case Register'!$M$16,'Use Case Register'!$D$8:$D$15,'Use Case Register'!$D$16)=0),IF(MOD(ROUND('Use Case Register'!$M$16*16,0),2)=0,'Use Case Register'!$D$16,NA()),NA())</f>
        <v>#N/A</v>
      </c>
      <c r="O10" s="3" t="e">
        <f aca="false">IF(AND(ISNUMBER('Use Case Register'!$Q$16),COUNTIFS('Use Case Register'!$Q$8:$Q$15,"&gt;=0",'Use Case Register'!$M$8:$M$15,'Use Case Register'!$M$16,'Use Case Register'!$D$8:$D$15,'Use Case Register'!$D$16)=0),IF(NOT(MOD(ROUND('Use Case Register'!$M$16*16,0),2)=0),'Use Case Register'!$M$16,NA()),NA())</f>
        <v>#N/A</v>
      </c>
      <c r="P10" s="9" t="e">
        <f aca="false">IF(AND(ISNUMBER('Use Case Register'!$Q$16),COUNTIFS('Use Case Register'!$Q$8:$Q$15,"&gt;=0",'Use Case Register'!$M$8:$M$15,'Use Case Register'!$M$16,'Use Case Register'!$D$8:$D$15,'Use Case Register'!$D$16)=0),IF(NOT(MOD(ROUND('Use Case Register'!$M$16*16,0),2)=0),'Use Case Register'!$D$16,NA()),NA())</f>
        <v>#N/A</v>
      </c>
    </row>
    <row r="11" customFormat="false" ht="15" hidden="false" customHeight="false" outlineLevel="0" collapsed="false">
      <c r="A11" s="53" t="s">
        <v>67</v>
      </c>
      <c r="B11" s="54" t="s">
        <v>353</v>
      </c>
      <c r="L11" s="0" t="str">
        <f aca="false">'Use Case Register'!$A$17&amp;IF(AND(ISNUMBER('Use Case Register'!$Q$17),COUNTIFS('Use Case Register'!$Q$8:$Q$16,"&gt;=0",'Use Case Register'!$M$8:$M$16,'Use Case Register'!$M$17,'Use Case Register'!$D$8:$D$16,'Use Case Register'!$D$17)=0),IF(COUNTIFS('Use Case Register'!$Q$18:$Q$27,"&gt;=0",'Use Case Register'!$M$18:$M$27,'Use Case Register'!$M$17,'Use Case Register'!$D$18:$D$27,'Use Case Register'!$D$17)&gt;0," +"&amp;COUNTIFS('Use Case Register'!$Q$18:$Q$27,"&gt;=0",'Use Case Register'!$M$18:$M$27,'Use Case Register'!$M$17,'Use Case Register'!$D$18:$D$27,'Use Case Register'!$D$17),""),"")</f>
        <v>UC-10</v>
      </c>
      <c r="M11" s="3" t="e">
        <f aca="false">IF(AND(ISNUMBER('Use Case Register'!$Q$17),COUNTIFS('Use Case Register'!$Q$8:$Q$16,"&gt;=0",'Use Case Register'!$M$8:$M$16,'Use Case Register'!$M$17,'Use Case Register'!$D$8:$D$16,'Use Case Register'!$D$17)=0),IF(MOD(ROUND('Use Case Register'!$M$17*16,0),2)=0,'Use Case Register'!$M$17,NA()),NA())</f>
        <v>#N/A</v>
      </c>
      <c r="N11" s="9" t="e">
        <f aca="false">IF(AND(ISNUMBER('Use Case Register'!$Q$17),COUNTIFS('Use Case Register'!$Q$8:$Q$16,"&gt;=0",'Use Case Register'!$M$8:$M$16,'Use Case Register'!$M$17,'Use Case Register'!$D$8:$D$16,'Use Case Register'!$D$17)=0),IF(MOD(ROUND('Use Case Register'!$M$17*16,0),2)=0,'Use Case Register'!$D$17,NA()),NA())</f>
        <v>#N/A</v>
      </c>
      <c r="O11" s="3" t="e">
        <f aca="false">IF(AND(ISNUMBER('Use Case Register'!$Q$17),COUNTIFS('Use Case Register'!$Q$8:$Q$16,"&gt;=0",'Use Case Register'!$M$8:$M$16,'Use Case Register'!$M$17,'Use Case Register'!$D$8:$D$16,'Use Case Register'!$D$17)=0),IF(NOT(MOD(ROUND('Use Case Register'!$M$17*16,0),2)=0),'Use Case Register'!$M$17,NA()),NA())</f>
        <v>#N/A</v>
      </c>
      <c r="P11" s="9" t="e">
        <f aca="false">IF(AND(ISNUMBER('Use Case Register'!$Q$17),COUNTIFS('Use Case Register'!$Q$8:$Q$16,"&gt;=0",'Use Case Register'!$M$8:$M$16,'Use Case Register'!$M$17,'Use Case Register'!$D$8:$D$16,'Use Case Register'!$D$17)=0),IF(NOT(MOD(ROUND('Use Case Register'!$M$17*16,0),2)=0),'Use Case Register'!$D$17,NA()),NA())</f>
        <v>#N/A</v>
      </c>
    </row>
    <row r="12" customFormat="false" ht="15" hidden="false" customHeight="false" outlineLevel="0" collapsed="false">
      <c r="A12" s="53" t="s">
        <v>69</v>
      </c>
      <c r="B12" s="54" t="s">
        <v>354</v>
      </c>
      <c r="L12" s="0" t="str">
        <f aca="false">'Use Case Register'!$A$18&amp;IF(AND(ISNUMBER('Use Case Register'!$Q$18),COUNTIFS('Use Case Register'!$Q$8:$Q$17,"&gt;=0",'Use Case Register'!$M$8:$M$17,'Use Case Register'!$M$18,'Use Case Register'!$D$8:$D$17,'Use Case Register'!$D$18)=0),IF(COUNTIFS('Use Case Register'!$Q$19:$Q$27,"&gt;=0",'Use Case Register'!$M$19:$M$27,'Use Case Register'!$M$18,'Use Case Register'!$D$19:$D$27,'Use Case Register'!$D$18)&gt;0," +"&amp;COUNTIFS('Use Case Register'!$Q$19:$Q$27,"&gt;=0",'Use Case Register'!$M$19:$M$27,'Use Case Register'!$M$18,'Use Case Register'!$D$19:$D$27,'Use Case Register'!$D$18),""),"")</f>
        <v>UC-11</v>
      </c>
      <c r="M12" s="3" t="e">
        <f aca="false">IF(AND(ISNUMBER('Use Case Register'!$Q$18),COUNTIFS('Use Case Register'!$Q$8:$Q$17,"&gt;=0",'Use Case Register'!$M$8:$M$17,'Use Case Register'!$M$18,'Use Case Register'!$D$8:$D$17,'Use Case Register'!$D$18)=0),IF(MOD(ROUND('Use Case Register'!$M$18*16,0),2)=0,'Use Case Register'!$M$18,NA()),NA())</f>
        <v>#N/A</v>
      </c>
      <c r="N12" s="9" t="e">
        <f aca="false">IF(AND(ISNUMBER('Use Case Register'!$Q$18),COUNTIFS('Use Case Register'!$Q$8:$Q$17,"&gt;=0",'Use Case Register'!$M$8:$M$17,'Use Case Register'!$M$18,'Use Case Register'!$D$8:$D$17,'Use Case Register'!$D$18)=0),IF(MOD(ROUND('Use Case Register'!$M$18*16,0),2)=0,'Use Case Register'!$D$18,NA()),NA())</f>
        <v>#N/A</v>
      </c>
      <c r="O12" s="3" t="e">
        <f aca="false">IF(AND(ISNUMBER('Use Case Register'!$Q$18),COUNTIFS('Use Case Register'!$Q$8:$Q$17,"&gt;=0",'Use Case Register'!$M$8:$M$17,'Use Case Register'!$M$18,'Use Case Register'!$D$8:$D$17,'Use Case Register'!$D$18)=0),IF(NOT(MOD(ROUND('Use Case Register'!$M$18*16,0),2)=0),'Use Case Register'!$M$18,NA()),NA())</f>
        <v>#N/A</v>
      </c>
      <c r="P12" s="9" t="e">
        <f aca="false">IF(AND(ISNUMBER('Use Case Register'!$Q$18),COUNTIFS('Use Case Register'!$Q$8:$Q$17,"&gt;=0",'Use Case Register'!$M$8:$M$17,'Use Case Register'!$M$18,'Use Case Register'!$D$8:$D$17,'Use Case Register'!$D$18)=0),IF(NOT(MOD(ROUND('Use Case Register'!$M$18*16,0),2)=0),'Use Case Register'!$D$18,NA()),NA())</f>
        <v>#N/A</v>
      </c>
    </row>
    <row r="13" customFormat="false" ht="15" hidden="false" customHeight="false" outlineLevel="0" collapsed="false">
      <c r="A13" s="53" t="s">
        <v>71</v>
      </c>
      <c r="B13" s="54" t="s">
        <v>355</v>
      </c>
      <c r="L13" s="0" t="str">
        <f aca="false">'Use Case Register'!$A$19&amp;IF(AND(ISNUMBER('Use Case Register'!$Q$19),COUNTIFS('Use Case Register'!$Q$8:$Q$18,"&gt;=0",'Use Case Register'!$M$8:$M$18,'Use Case Register'!$M$19,'Use Case Register'!$D$8:$D$18,'Use Case Register'!$D$19)=0),IF(COUNTIFS('Use Case Register'!$Q$20:$Q$27,"&gt;=0",'Use Case Register'!$M$20:$M$27,'Use Case Register'!$M$19,'Use Case Register'!$D$20:$D$27,'Use Case Register'!$D$19)&gt;0," +"&amp;COUNTIFS('Use Case Register'!$Q$20:$Q$27,"&gt;=0",'Use Case Register'!$M$20:$M$27,'Use Case Register'!$M$19,'Use Case Register'!$D$20:$D$27,'Use Case Register'!$D$19),""),"")</f>
        <v>UC-12</v>
      </c>
      <c r="M13" s="3" t="e">
        <f aca="false">IF(AND(ISNUMBER('Use Case Register'!$Q$19),COUNTIFS('Use Case Register'!$Q$8:$Q$18,"&gt;=0",'Use Case Register'!$M$8:$M$18,'Use Case Register'!$M$19,'Use Case Register'!$D$8:$D$18,'Use Case Register'!$D$19)=0),IF(MOD(ROUND('Use Case Register'!$M$19*16,0),2)=0,'Use Case Register'!$M$19,NA()),NA())</f>
        <v>#N/A</v>
      </c>
      <c r="N13" s="9" t="e">
        <f aca="false">IF(AND(ISNUMBER('Use Case Register'!$Q$19),COUNTIFS('Use Case Register'!$Q$8:$Q$18,"&gt;=0",'Use Case Register'!$M$8:$M$18,'Use Case Register'!$M$19,'Use Case Register'!$D$8:$D$18,'Use Case Register'!$D$19)=0),IF(MOD(ROUND('Use Case Register'!$M$19*16,0),2)=0,'Use Case Register'!$D$19,NA()),NA())</f>
        <v>#N/A</v>
      </c>
      <c r="O13" s="3" t="e">
        <f aca="false">IF(AND(ISNUMBER('Use Case Register'!$Q$19),COUNTIFS('Use Case Register'!$Q$8:$Q$18,"&gt;=0",'Use Case Register'!$M$8:$M$18,'Use Case Register'!$M$19,'Use Case Register'!$D$8:$D$18,'Use Case Register'!$D$19)=0),IF(NOT(MOD(ROUND('Use Case Register'!$M$19*16,0),2)=0),'Use Case Register'!$M$19,NA()),NA())</f>
        <v>#N/A</v>
      </c>
      <c r="P13" s="9" t="e">
        <f aca="false">IF(AND(ISNUMBER('Use Case Register'!$Q$19),COUNTIFS('Use Case Register'!$Q$8:$Q$18,"&gt;=0",'Use Case Register'!$M$8:$M$18,'Use Case Register'!$M$19,'Use Case Register'!$D$8:$D$18,'Use Case Register'!$D$19)=0),IF(NOT(MOD(ROUND('Use Case Register'!$M$19*16,0),2)=0),'Use Case Register'!$D$19,NA()),NA())</f>
        <v>#N/A</v>
      </c>
    </row>
    <row r="14" customFormat="false" ht="15" hidden="false" customHeight="false" outlineLevel="0" collapsed="false">
      <c r="A14" s="53" t="s">
        <v>73</v>
      </c>
      <c r="B14" s="54" t="s">
        <v>356</v>
      </c>
      <c r="L14" s="0" t="str">
        <f aca="false">'Use Case Register'!$A$20&amp;IF(AND(ISNUMBER('Use Case Register'!$Q$20),COUNTIFS('Use Case Register'!$Q$8:$Q$19,"&gt;=0",'Use Case Register'!$M$8:$M$19,'Use Case Register'!$M$20,'Use Case Register'!$D$8:$D$19,'Use Case Register'!$D$20)=0),IF(COUNTIFS('Use Case Register'!$Q$21:$Q$27,"&gt;=0",'Use Case Register'!$M$21:$M$27,'Use Case Register'!$M$20,'Use Case Register'!$D$21:$D$27,'Use Case Register'!$D$20)&gt;0," +"&amp;COUNTIFS('Use Case Register'!$Q$21:$Q$27,"&gt;=0",'Use Case Register'!$M$21:$M$27,'Use Case Register'!$M$20,'Use Case Register'!$D$21:$D$27,'Use Case Register'!$D$20),""),"")</f>
        <v>UC-13</v>
      </c>
      <c r="M14" s="3" t="e">
        <f aca="false">IF(AND(ISNUMBER('Use Case Register'!$Q$20),COUNTIFS('Use Case Register'!$Q$8:$Q$19,"&gt;=0",'Use Case Register'!$M$8:$M$19,'Use Case Register'!$M$20,'Use Case Register'!$D$8:$D$19,'Use Case Register'!$D$20)=0),IF(MOD(ROUND('Use Case Register'!$M$20*16,0),2)=0,'Use Case Register'!$M$20,NA()),NA())</f>
        <v>#N/A</v>
      </c>
      <c r="N14" s="9" t="e">
        <f aca="false">IF(AND(ISNUMBER('Use Case Register'!$Q$20),COUNTIFS('Use Case Register'!$Q$8:$Q$19,"&gt;=0",'Use Case Register'!$M$8:$M$19,'Use Case Register'!$M$20,'Use Case Register'!$D$8:$D$19,'Use Case Register'!$D$20)=0),IF(MOD(ROUND('Use Case Register'!$M$20*16,0),2)=0,'Use Case Register'!$D$20,NA()),NA())</f>
        <v>#N/A</v>
      </c>
      <c r="O14" s="3" t="e">
        <f aca="false">IF(AND(ISNUMBER('Use Case Register'!$Q$20),COUNTIFS('Use Case Register'!$Q$8:$Q$19,"&gt;=0",'Use Case Register'!$M$8:$M$19,'Use Case Register'!$M$20,'Use Case Register'!$D$8:$D$19,'Use Case Register'!$D$20)=0),IF(NOT(MOD(ROUND('Use Case Register'!$M$20*16,0),2)=0),'Use Case Register'!$M$20,NA()),NA())</f>
        <v>#N/A</v>
      </c>
      <c r="P14" s="9" t="e">
        <f aca="false">IF(AND(ISNUMBER('Use Case Register'!$Q$20),COUNTIFS('Use Case Register'!$Q$8:$Q$19,"&gt;=0",'Use Case Register'!$M$8:$M$19,'Use Case Register'!$M$20,'Use Case Register'!$D$8:$D$19,'Use Case Register'!$D$20)=0),IF(NOT(MOD(ROUND('Use Case Register'!$M$20*16,0),2)=0),'Use Case Register'!$D$20,NA()),NA())</f>
        <v>#N/A</v>
      </c>
    </row>
    <row r="15" customFormat="false" ht="15" hidden="false" customHeight="false" outlineLevel="0" collapsed="false">
      <c r="A15" s="53" t="s">
        <v>75</v>
      </c>
      <c r="B15" s="54" t="s">
        <v>357</v>
      </c>
      <c r="L15" s="0" t="str">
        <f aca="false">'Use Case Register'!$A$21&amp;IF(AND(ISNUMBER('Use Case Register'!$Q$21),COUNTIFS('Use Case Register'!$Q$8:$Q$20,"&gt;=0",'Use Case Register'!$M$8:$M$20,'Use Case Register'!$M$21,'Use Case Register'!$D$8:$D$20,'Use Case Register'!$D$21)=0),IF(COUNTIFS('Use Case Register'!$Q$22:$Q$27,"&gt;=0",'Use Case Register'!$M$22:$M$27,'Use Case Register'!$M$21,'Use Case Register'!$D$22:$D$27,'Use Case Register'!$D$21)&gt;0," +"&amp;COUNTIFS('Use Case Register'!$Q$22:$Q$27,"&gt;=0",'Use Case Register'!$M$22:$M$27,'Use Case Register'!$M$21,'Use Case Register'!$D$22:$D$27,'Use Case Register'!$D$21),""),"")</f>
        <v>UC-14</v>
      </c>
      <c r="M15" s="3" t="e">
        <f aca="false">IF(AND(ISNUMBER('Use Case Register'!$Q$21),COUNTIFS('Use Case Register'!$Q$8:$Q$20,"&gt;=0",'Use Case Register'!$M$8:$M$20,'Use Case Register'!$M$21,'Use Case Register'!$D$8:$D$20,'Use Case Register'!$D$21)=0),IF(MOD(ROUND('Use Case Register'!$M$21*16,0),2)=0,'Use Case Register'!$M$21,NA()),NA())</f>
        <v>#N/A</v>
      </c>
      <c r="N15" s="9" t="e">
        <f aca="false">IF(AND(ISNUMBER('Use Case Register'!$Q$21),COUNTIFS('Use Case Register'!$Q$8:$Q$20,"&gt;=0",'Use Case Register'!$M$8:$M$20,'Use Case Register'!$M$21,'Use Case Register'!$D$8:$D$20,'Use Case Register'!$D$21)=0),IF(MOD(ROUND('Use Case Register'!$M$21*16,0),2)=0,'Use Case Register'!$D$21,NA()),NA())</f>
        <v>#N/A</v>
      </c>
      <c r="O15" s="3" t="e">
        <f aca="false">IF(AND(ISNUMBER('Use Case Register'!$Q$21),COUNTIFS('Use Case Register'!$Q$8:$Q$20,"&gt;=0",'Use Case Register'!$M$8:$M$20,'Use Case Register'!$M$21,'Use Case Register'!$D$8:$D$20,'Use Case Register'!$D$21)=0),IF(NOT(MOD(ROUND('Use Case Register'!$M$21*16,0),2)=0),'Use Case Register'!$M$21,NA()),NA())</f>
        <v>#N/A</v>
      </c>
      <c r="P15" s="9" t="e">
        <f aca="false">IF(AND(ISNUMBER('Use Case Register'!$Q$21),COUNTIFS('Use Case Register'!$Q$8:$Q$20,"&gt;=0",'Use Case Register'!$M$8:$M$20,'Use Case Register'!$M$21,'Use Case Register'!$D$8:$D$20,'Use Case Register'!$D$21)=0),IF(NOT(MOD(ROUND('Use Case Register'!$M$21*16,0),2)=0),'Use Case Register'!$D$21,NA()),NA())</f>
        <v>#N/A</v>
      </c>
    </row>
    <row r="16" customFormat="false" ht="15" hidden="false" customHeight="false" outlineLevel="0" collapsed="false">
      <c r="A16" s="53" t="s">
        <v>77</v>
      </c>
      <c r="L16" s="0" t="str">
        <f aca="false">'Use Case Register'!$A$22&amp;IF(AND(ISNUMBER('Use Case Register'!$Q$22),COUNTIFS('Use Case Register'!$Q$8:$Q$21,"&gt;=0",'Use Case Register'!$M$8:$M$21,'Use Case Register'!$M$22,'Use Case Register'!$D$8:$D$21,'Use Case Register'!$D$22)=0),IF(COUNTIFS('Use Case Register'!$Q$23:$Q$27,"&gt;=0",'Use Case Register'!$M$23:$M$27,'Use Case Register'!$M$22,'Use Case Register'!$D$23:$D$27,'Use Case Register'!$D$22)&gt;0," +"&amp;COUNTIFS('Use Case Register'!$Q$23:$Q$27,"&gt;=0",'Use Case Register'!$M$23:$M$27,'Use Case Register'!$M$22,'Use Case Register'!$D$23:$D$27,'Use Case Register'!$D$22),""),"")</f>
        <v>UC-15</v>
      </c>
      <c r="M16" s="3" t="e">
        <f aca="false">IF(AND(ISNUMBER('Use Case Register'!$Q$22),COUNTIFS('Use Case Register'!$Q$8:$Q$21,"&gt;=0",'Use Case Register'!$M$8:$M$21,'Use Case Register'!$M$22,'Use Case Register'!$D$8:$D$21,'Use Case Register'!$D$22)=0),IF(MOD(ROUND('Use Case Register'!$M$22*16,0),2)=0,'Use Case Register'!$M$22,NA()),NA())</f>
        <v>#N/A</v>
      </c>
      <c r="N16" s="9" t="e">
        <f aca="false">IF(AND(ISNUMBER('Use Case Register'!$Q$22),COUNTIFS('Use Case Register'!$Q$8:$Q$21,"&gt;=0",'Use Case Register'!$M$8:$M$21,'Use Case Register'!$M$22,'Use Case Register'!$D$8:$D$21,'Use Case Register'!$D$22)=0),IF(MOD(ROUND('Use Case Register'!$M$22*16,0),2)=0,'Use Case Register'!$D$22,NA()),NA())</f>
        <v>#N/A</v>
      </c>
      <c r="O16" s="3" t="e">
        <f aca="false">IF(AND(ISNUMBER('Use Case Register'!$Q$22),COUNTIFS('Use Case Register'!$Q$8:$Q$21,"&gt;=0",'Use Case Register'!$M$8:$M$21,'Use Case Register'!$M$22,'Use Case Register'!$D$8:$D$21,'Use Case Register'!$D$22)=0),IF(NOT(MOD(ROUND('Use Case Register'!$M$22*16,0),2)=0),'Use Case Register'!$M$22,NA()),NA())</f>
        <v>#N/A</v>
      </c>
      <c r="P16" s="9" t="e">
        <f aca="false">IF(AND(ISNUMBER('Use Case Register'!$Q$22),COUNTIFS('Use Case Register'!$Q$8:$Q$21,"&gt;=0",'Use Case Register'!$M$8:$M$21,'Use Case Register'!$M$22,'Use Case Register'!$D$8:$D$21,'Use Case Register'!$D$22)=0),IF(NOT(MOD(ROUND('Use Case Register'!$M$22*16,0),2)=0),'Use Case Register'!$D$22,NA()),NA())</f>
        <v>#N/A</v>
      </c>
    </row>
    <row r="17" customFormat="false" ht="15" hidden="false" customHeight="false" outlineLevel="0" collapsed="false">
      <c r="A17" s="53" t="s">
        <v>78</v>
      </c>
      <c r="L17" s="0" t="str">
        <f aca="false">'Use Case Register'!$A$23&amp;IF(AND(ISNUMBER('Use Case Register'!$Q$23),COUNTIFS('Use Case Register'!$Q$8:$Q$22,"&gt;=0",'Use Case Register'!$M$8:$M$22,'Use Case Register'!$M$23,'Use Case Register'!$D$8:$D$22,'Use Case Register'!$D$23)=0),IF(COUNTIFS('Use Case Register'!$Q$24:$Q$27,"&gt;=0",'Use Case Register'!$M$24:$M$27,'Use Case Register'!$M$23,'Use Case Register'!$D$24:$D$27,'Use Case Register'!$D$23)&gt;0," +"&amp;COUNTIFS('Use Case Register'!$Q$24:$Q$27,"&gt;=0",'Use Case Register'!$M$24:$M$27,'Use Case Register'!$M$23,'Use Case Register'!$D$24:$D$27,'Use Case Register'!$D$23),""),"")</f>
        <v>UC-16</v>
      </c>
      <c r="M17" s="3" t="e">
        <f aca="false">IF(AND(ISNUMBER('Use Case Register'!$Q$23),COUNTIFS('Use Case Register'!$Q$8:$Q$22,"&gt;=0",'Use Case Register'!$M$8:$M$22,'Use Case Register'!$M$23,'Use Case Register'!$D$8:$D$22,'Use Case Register'!$D$23)=0),IF(MOD(ROUND('Use Case Register'!$M$23*16,0),2)=0,'Use Case Register'!$M$23,NA()),NA())</f>
        <v>#N/A</v>
      </c>
      <c r="N17" s="9" t="e">
        <f aca="false">IF(AND(ISNUMBER('Use Case Register'!$Q$23),COUNTIFS('Use Case Register'!$Q$8:$Q$22,"&gt;=0",'Use Case Register'!$M$8:$M$22,'Use Case Register'!$M$23,'Use Case Register'!$D$8:$D$22,'Use Case Register'!$D$23)=0),IF(MOD(ROUND('Use Case Register'!$M$23*16,0),2)=0,'Use Case Register'!$D$23,NA()),NA())</f>
        <v>#N/A</v>
      </c>
      <c r="O17" s="3" t="e">
        <f aca="false">IF(AND(ISNUMBER('Use Case Register'!$Q$23),COUNTIFS('Use Case Register'!$Q$8:$Q$22,"&gt;=0",'Use Case Register'!$M$8:$M$22,'Use Case Register'!$M$23,'Use Case Register'!$D$8:$D$22,'Use Case Register'!$D$23)=0),IF(NOT(MOD(ROUND('Use Case Register'!$M$23*16,0),2)=0),'Use Case Register'!$M$23,NA()),NA())</f>
        <v>#N/A</v>
      </c>
      <c r="P17" s="9" t="e">
        <f aca="false">IF(AND(ISNUMBER('Use Case Register'!$Q$23),COUNTIFS('Use Case Register'!$Q$8:$Q$22,"&gt;=0",'Use Case Register'!$M$8:$M$22,'Use Case Register'!$M$23,'Use Case Register'!$D$8:$D$22,'Use Case Register'!$D$23)=0),IF(NOT(MOD(ROUND('Use Case Register'!$M$23*16,0),2)=0),'Use Case Register'!$D$23,NA()),NA())</f>
        <v>#N/A</v>
      </c>
    </row>
    <row r="18" customFormat="false" ht="15" hidden="false" customHeight="false" outlineLevel="0" collapsed="false">
      <c r="A18" s="53" t="s">
        <v>79</v>
      </c>
      <c r="L18" s="0" t="str">
        <f aca="false">'Use Case Register'!$A$24&amp;IF(AND(ISNUMBER('Use Case Register'!$Q$24),COUNTIFS('Use Case Register'!$Q$8:$Q$23,"&gt;=0",'Use Case Register'!$M$8:$M$23,'Use Case Register'!$M$24,'Use Case Register'!$D$8:$D$23,'Use Case Register'!$D$24)=0),IF(COUNTIFS('Use Case Register'!$Q$25:$Q$27,"&gt;=0",'Use Case Register'!$M$25:$M$27,'Use Case Register'!$M$24,'Use Case Register'!$D$25:$D$27,'Use Case Register'!$D$24)&gt;0," +"&amp;COUNTIFS('Use Case Register'!$Q$25:$Q$27,"&gt;=0",'Use Case Register'!$M$25:$M$27,'Use Case Register'!$M$24,'Use Case Register'!$D$25:$D$27,'Use Case Register'!$D$24),""),"")</f>
        <v>UC-17</v>
      </c>
      <c r="M18" s="3" t="e">
        <f aca="false">IF(AND(ISNUMBER('Use Case Register'!$Q$24),COUNTIFS('Use Case Register'!$Q$8:$Q$23,"&gt;=0",'Use Case Register'!$M$8:$M$23,'Use Case Register'!$M$24,'Use Case Register'!$D$8:$D$23,'Use Case Register'!$D$24)=0),IF(MOD(ROUND('Use Case Register'!$M$24*16,0),2)=0,'Use Case Register'!$M$24,NA()),NA())</f>
        <v>#N/A</v>
      </c>
      <c r="N18" s="9" t="e">
        <f aca="false">IF(AND(ISNUMBER('Use Case Register'!$Q$24),COUNTIFS('Use Case Register'!$Q$8:$Q$23,"&gt;=0",'Use Case Register'!$M$8:$M$23,'Use Case Register'!$M$24,'Use Case Register'!$D$8:$D$23,'Use Case Register'!$D$24)=0),IF(MOD(ROUND('Use Case Register'!$M$24*16,0),2)=0,'Use Case Register'!$D$24,NA()),NA())</f>
        <v>#N/A</v>
      </c>
      <c r="O18" s="3" t="e">
        <f aca="false">IF(AND(ISNUMBER('Use Case Register'!$Q$24),COUNTIFS('Use Case Register'!$Q$8:$Q$23,"&gt;=0",'Use Case Register'!$M$8:$M$23,'Use Case Register'!$M$24,'Use Case Register'!$D$8:$D$23,'Use Case Register'!$D$24)=0),IF(NOT(MOD(ROUND('Use Case Register'!$M$24*16,0),2)=0),'Use Case Register'!$M$24,NA()),NA())</f>
        <v>#N/A</v>
      </c>
      <c r="P18" s="9" t="e">
        <f aca="false">IF(AND(ISNUMBER('Use Case Register'!$Q$24),COUNTIFS('Use Case Register'!$Q$8:$Q$23,"&gt;=0",'Use Case Register'!$M$8:$M$23,'Use Case Register'!$M$24,'Use Case Register'!$D$8:$D$23,'Use Case Register'!$D$24)=0),IF(NOT(MOD(ROUND('Use Case Register'!$M$24*16,0),2)=0),'Use Case Register'!$D$24,NA()),NA())</f>
        <v>#N/A</v>
      </c>
    </row>
    <row r="19" customFormat="false" ht="15" hidden="false" customHeight="false" outlineLevel="0" collapsed="false">
      <c r="A19" s="53" t="s">
        <v>81</v>
      </c>
      <c r="L19" s="0" t="str">
        <f aca="false">'Use Case Register'!$A$25&amp;IF(AND(ISNUMBER('Use Case Register'!$Q$25),COUNTIFS('Use Case Register'!$Q$8:$Q$24,"&gt;=0",'Use Case Register'!$M$8:$M$24,'Use Case Register'!$M$25,'Use Case Register'!$D$8:$D$24,'Use Case Register'!$D$25)=0),IF(COUNTIFS('Use Case Register'!$Q$26:$Q$27,"&gt;=0",'Use Case Register'!$M$26:$M$27,'Use Case Register'!$M$25,'Use Case Register'!$D$26:$D$27,'Use Case Register'!$D$25)&gt;0," +"&amp;COUNTIFS('Use Case Register'!$Q$26:$Q$27,"&gt;=0",'Use Case Register'!$M$26:$M$27,'Use Case Register'!$M$25,'Use Case Register'!$D$26:$D$27,'Use Case Register'!$D$25),""),"")</f>
        <v>UC-18</v>
      </c>
      <c r="M19" s="3" t="e">
        <f aca="false">IF(AND(ISNUMBER('Use Case Register'!$Q$25),COUNTIFS('Use Case Register'!$Q$8:$Q$24,"&gt;=0",'Use Case Register'!$M$8:$M$24,'Use Case Register'!$M$25,'Use Case Register'!$D$8:$D$24,'Use Case Register'!$D$25)=0),IF(MOD(ROUND('Use Case Register'!$M$25*16,0),2)=0,'Use Case Register'!$M$25,NA()),NA())</f>
        <v>#N/A</v>
      </c>
      <c r="N19" s="9" t="e">
        <f aca="false">IF(AND(ISNUMBER('Use Case Register'!$Q$25),COUNTIFS('Use Case Register'!$Q$8:$Q$24,"&gt;=0",'Use Case Register'!$M$8:$M$24,'Use Case Register'!$M$25,'Use Case Register'!$D$8:$D$24,'Use Case Register'!$D$25)=0),IF(MOD(ROUND('Use Case Register'!$M$25*16,0),2)=0,'Use Case Register'!$D$25,NA()),NA())</f>
        <v>#N/A</v>
      </c>
      <c r="O19" s="3" t="e">
        <f aca="false">IF(AND(ISNUMBER('Use Case Register'!$Q$25),COUNTIFS('Use Case Register'!$Q$8:$Q$24,"&gt;=0",'Use Case Register'!$M$8:$M$24,'Use Case Register'!$M$25,'Use Case Register'!$D$8:$D$24,'Use Case Register'!$D$25)=0),IF(NOT(MOD(ROUND('Use Case Register'!$M$25*16,0),2)=0),'Use Case Register'!$M$25,NA()),NA())</f>
        <v>#N/A</v>
      </c>
      <c r="P19" s="9" t="e">
        <f aca="false">IF(AND(ISNUMBER('Use Case Register'!$Q$25),COUNTIFS('Use Case Register'!$Q$8:$Q$24,"&gt;=0",'Use Case Register'!$M$8:$M$24,'Use Case Register'!$M$25,'Use Case Register'!$D$8:$D$24,'Use Case Register'!$D$25)=0),IF(NOT(MOD(ROUND('Use Case Register'!$M$25*16,0),2)=0),'Use Case Register'!$D$25,NA()),NA())</f>
        <v>#N/A</v>
      </c>
    </row>
    <row r="20" customFormat="false" ht="15" hidden="false" customHeight="false" outlineLevel="0" collapsed="false">
      <c r="A20" s="53" t="s">
        <v>83</v>
      </c>
      <c r="L20" s="0" t="str">
        <f aca="false">'Use Case Register'!$A$26&amp;IF(AND(ISNUMBER('Use Case Register'!$Q$26),COUNTIFS('Use Case Register'!$Q$8:$Q$25,"&gt;=0",'Use Case Register'!$M$8:$M$25,'Use Case Register'!$M$26,'Use Case Register'!$D$8:$D$25,'Use Case Register'!$D$26)=0),IF(COUNTIFS('Use Case Register'!$Q$27:$Q$27,"&gt;=0",'Use Case Register'!$M$27:$M$27,'Use Case Register'!$M$26,'Use Case Register'!$D$27:$D$27,'Use Case Register'!$D$26)&gt;0," +"&amp;COUNTIFS('Use Case Register'!$Q$27:$Q$27,"&gt;=0",'Use Case Register'!$M$27:$M$27,'Use Case Register'!$M$26,'Use Case Register'!$D$27:$D$27,'Use Case Register'!$D$26),""),"")</f>
        <v>UC-19</v>
      </c>
      <c r="M20" s="3" t="e">
        <f aca="false">IF(AND(ISNUMBER('Use Case Register'!$Q$26),COUNTIFS('Use Case Register'!$Q$8:$Q$25,"&gt;=0",'Use Case Register'!$M$8:$M$25,'Use Case Register'!$M$26,'Use Case Register'!$D$8:$D$25,'Use Case Register'!$D$26)=0),IF(MOD(ROUND('Use Case Register'!$M$26*16,0),2)=0,'Use Case Register'!$M$26,NA()),NA())</f>
        <v>#N/A</v>
      </c>
      <c r="N20" s="9" t="e">
        <f aca="false">IF(AND(ISNUMBER('Use Case Register'!$Q$26),COUNTIFS('Use Case Register'!$Q$8:$Q$25,"&gt;=0",'Use Case Register'!$M$8:$M$25,'Use Case Register'!$M$26,'Use Case Register'!$D$8:$D$25,'Use Case Register'!$D$26)=0),IF(MOD(ROUND('Use Case Register'!$M$26*16,0),2)=0,'Use Case Register'!$D$26,NA()),NA())</f>
        <v>#N/A</v>
      </c>
      <c r="O20" s="3" t="e">
        <f aca="false">IF(AND(ISNUMBER('Use Case Register'!$Q$26),COUNTIFS('Use Case Register'!$Q$8:$Q$25,"&gt;=0",'Use Case Register'!$M$8:$M$25,'Use Case Register'!$M$26,'Use Case Register'!$D$8:$D$25,'Use Case Register'!$D$26)=0),IF(NOT(MOD(ROUND('Use Case Register'!$M$26*16,0),2)=0),'Use Case Register'!$M$26,NA()),NA())</f>
        <v>#N/A</v>
      </c>
      <c r="P20" s="9" t="e">
        <f aca="false">IF(AND(ISNUMBER('Use Case Register'!$Q$26),COUNTIFS('Use Case Register'!$Q$8:$Q$25,"&gt;=0",'Use Case Register'!$M$8:$M$25,'Use Case Register'!$M$26,'Use Case Register'!$D$8:$D$25,'Use Case Register'!$D$26)=0),IF(NOT(MOD(ROUND('Use Case Register'!$M$26*16,0),2)=0),'Use Case Register'!$D$26,NA()),NA())</f>
        <v>#N/A</v>
      </c>
    </row>
    <row r="21" customFormat="false" ht="15" hidden="false" customHeight="false" outlineLevel="0" collapsed="false">
      <c r="A21" s="53" t="s">
        <v>85</v>
      </c>
      <c r="L21" s="0" t="str">
        <f aca="false">'Use Case Register'!$A$27&amp;IF(AND(ISNUMBER('Use Case Register'!$Q$27),COUNTIFS('Use Case Register'!$Q$8:$Q$26,"&gt;=0",'Use Case Register'!$M$8:$M$26,'Use Case Register'!$M$27,'Use Case Register'!$D$8:$D$26,'Use Case Register'!$D$27)=0),IF(0&gt;0," +"&amp;0,""),"")</f>
        <v>UC-20</v>
      </c>
      <c r="M21" s="3" t="e">
        <f aca="false">IF(AND(ISNUMBER('Use Case Register'!$Q$27),COUNTIFS('Use Case Register'!$Q$8:$Q$26,"&gt;=0",'Use Case Register'!$M$8:$M$26,'Use Case Register'!$M$27,'Use Case Register'!$D$8:$D$26,'Use Case Register'!$D$27)=0),IF(MOD(ROUND('Use Case Register'!$M$27*16,0),2)=0,'Use Case Register'!$M$27,NA()),NA())</f>
        <v>#N/A</v>
      </c>
      <c r="N21" s="9" t="e">
        <f aca="false">IF(AND(ISNUMBER('Use Case Register'!$Q$27),COUNTIFS('Use Case Register'!$Q$8:$Q$26,"&gt;=0",'Use Case Register'!$M$8:$M$26,'Use Case Register'!$M$27,'Use Case Register'!$D$8:$D$26,'Use Case Register'!$D$27)=0),IF(MOD(ROUND('Use Case Register'!$M$27*16,0),2)=0,'Use Case Register'!$D$27,NA()),NA())</f>
        <v>#N/A</v>
      </c>
      <c r="O21" s="3" t="e">
        <f aca="false">IF(AND(ISNUMBER('Use Case Register'!$Q$27),COUNTIFS('Use Case Register'!$Q$8:$Q$26,"&gt;=0",'Use Case Register'!$M$8:$M$26,'Use Case Register'!$M$27,'Use Case Register'!$D$8:$D$26,'Use Case Register'!$D$27)=0),IF(NOT(MOD(ROUND('Use Case Register'!$M$27*16,0),2)=0),'Use Case Register'!$M$27,NA()),NA())</f>
        <v>#N/A</v>
      </c>
      <c r="P21" s="9" t="e">
        <f aca="false">IF(AND(ISNUMBER('Use Case Register'!$Q$27),COUNTIFS('Use Case Register'!$Q$8:$Q$26,"&gt;=0",'Use Case Register'!$M$8:$M$26,'Use Case Register'!$M$27,'Use Case Register'!$D$8:$D$26,'Use Case Register'!$D$27)=0),IF(NOT(MOD(ROUND('Use Case Register'!$M$27*16,0),2)=0),'Use Case Register'!$D$27,NA()),NA())</f>
        <v>#N/A</v>
      </c>
    </row>
    <row r="22" customFormat="false" ht="15" hidden="false" customHeight="false" outlineLevel="0" collapsed="false">
      <c r="A22" s="53" t="s">
        <v>87</v>
      </c>
    </row>
    <row r="23" customFormat="false" ht="15" hidden="false" customHeight="false" outlineLevel="0" collapsed="false">
      <c r="A23" s="53" t="s">
        <v>89</v>
      </c>
    </row>
    <row r="24" customFormat="false" ht="15" hidden="false" customHeight="false" outlineLevel="0" collapsed="false">
      <c r="A24" s="53" t="s">
        <v>91</v>
      </c>
    </row>
    <row r="25" customFormat="false" ht="15" hidden="false" customHeight="false" outlineLevel="0" collapsed="false">
      <c r="A25" s="53" t="s">
        <v>92</v>
      </c>
    </row>
    <row r="26" customFormat="false" ht="15" hidden="false" customHeight="false" outlineLevel="0" collapsed="false">
      <c r="A26" s="53" t="s">
        <v>93</v>
      </c>
    </row>
    <row r="27" customFormat="false" ht="15" hidden="false" customHeight="false" outlineLevel="0" collapsed="false">
      <c r="A27" s="53" t="s">
        <v>95</v>
      </c>
    </row>
    <row r="28" customFormat="false" ht="15" hidden="false" customHeight="false" outlineLevel="0" collapsed="false">
      <c r="A28" s="53" t="s">
        <v>97</v>
      </c>
    </row>
    <row r="29" customFormat="false" ht="15" hidden="false" customHeight="false" outlineLevel="0" collapsed="false">
      <c r="A29" s="53" t="s">
        <v>99</v>
      </c>
    </row>
    <row r="30" customFormat="false" ht="15" hidden="false" customHeight="false" outlineLevel="0" collapsed="false">
      <c r="A30" s="53" t="s">
        <v>101</v>
      </c>
    </row>
    <row r="31" customFormat="false" ht="15" hidden="false" customHeight="false" outlineLevel="0" collapsed="false">
      <c r="A31" s="53" t="s">
        <v>103</v>
      </c>
    </row>
    <row r="32" customFormat="false" ht="15" hidden="false" customHeight="false" outlineLevel="0" collapsed="false">
      <c r="A32" s="53" t="s">
        <v>104</v>
      </c>
    </row>
    <row r="33" customFormat="false" ht="15" hidden="false" customHeight="false" outlineLevel="0" collapsed="false">
      <c r="A33" s="53" t="s">
        <v>105</v>
      </c>
    </row>
    <row r="34" customFormat="false" ht="15" hidden="false" customHeight="false" outlineLevel="0" collapsed="false">
      <c r="A34" s="53" t="s">
        <v>107</v>
      </c>
    </row>
    <row r="35" customFormat="false" ht="15" hidden="false" customHeight="false" outlineLevel="0" collapsed="false">
      <c r="A35" s="53" t="s">
        <v>109</v>
      </c>
    </row>
    <row r="36" customFormat="false" ht="15" hidden="false" customHeight="false" outlineLevel="0" collapsed="false">
      <c r="A36" s="53" t="s">
        <v>112</v>
      </c>
    </row>
    <row r="37" customFormat="false" ht="15" hidden="false" customHeight="false" outlineLevel="0" collapsed="false">
      <c r="A37" s="53" t="s">
        <v>114</v>
      </c>
    </row>
    <row r="38" customFormat="false" ht="15" hidden="false" customHeight="false" outlineLevel="0" collapsed="false">
      <c r="A38" s="53" t="s">
        <v>116</v>
      </c>
    </row>
    <row r="39" customFormat="false" ht="15" hidden="false" customHeight="false" outlineLevel="0" collapsed="false">
      <c r="A39" s="53" t="s">
        <v>118</v>
      </c>
    </row>
    <row r="40" customFormat="false" ht="15" hidden="false" customHeight="false" outlineLevel="0" collapsed="false">
      <c r="A40" s="53" t="s">
        <v>120</v>
      </c>
    </row>
    <row r="41" customFormat="false" ht="15" hidden="false" customHeight="false" outlineLevel="0" collapsed="false">
      <c r="A41" s="53" t="s">
        <v>121</v>
      </c>
    </row>
    <row r="42" customFormat="false" ht="15" hidden="false" customHeight="false" outlineLevel="0" collapsed="false">
      <c r="A42" s="53" t="s">
        <v>122</v>
      </c>
    </row>
    <row r="43" customFormat="false" ht="15" hidden="false" customHeight="false" outlineLevel="0" collapsed="false">
      <c r="A43" s="53" t="s">
        <v>124</v>
      </c>
    </row>
    <row r="44" customFormat="false" ht="15" hidden="false" customHeight="false" outlineLevel="0" collapsed="false">
      <c r="A44" s="53" t="s">
        <v>126</v>
      </c>
    </row>
    <row r="45" customFormat="false" ht="15" hidden="false" customHeight="false" outlineLevel="0" collapsed="false">
      <c r="A45" s="53" t="s">
        <v>128</v>
      </c>
    </row>
    <row r="46" customFormat="false" ht="15" hidden="false" customHeight="false" outlineLevel="0" collapsed="false">
      <c r="A46" s="53" t="s">
        <v>130</v>
      </c>
    </row>
    <row r="47" customFormat="false" ht="15" hidden="false" customHeight="false" outlineLevel="0" collapsed="false">
      <c r="A47" s="53" t="s">
        <v>132</v>
      </c>
    </row>
    <row r="48" customFormat="false" ht="15" hidden="false" customHeight="false" outlineLevel="0" collapsed="false">
      <c r="A48" s="53" t="s">
        <v>134</v>
      </c>
    </row>
    <row r="49" customFormat="false" ht="15" hidden="false" customHeight="false" outlineLevel="0" collapsed="false">
      <c r="A49" s="53" t="s">
        <v>136</v>
      </c>
    </row>
    <row r="50" customFormat="false" ht="15" hidden="false" customHeight="false" outlineLevel="0" collapsed="false">
      <c r="A50" s="53" t="s">
        <v>137</v>
      </c>
    </row>
    <row r="51" customFormat="false" ht="15" hidden="false" customHeight="false" outlineLevel="0" collapsed="false">
      <c r="A51" s="53" t="s">
        <v>138</v>
      </c>
    </row>
    <row r="52" customFormat="false" ht="15" hidden="false" customHeight="false" outlineLevel="0" collapsed="false">
      <c r="A52" s="53" t="s">
        <v>140</v>
      </c>
    </row>
    <row r="53" customFormat="false" ht="15" hidden="false" customHeight="false" outlineLevel="0" collapsed="false">
      <c r="A53" s="53" t="s">
        <v>142</v>
      </c>
    </row>
    <row r="54" customFormat="false" ht="15" hidden="false" customHeight="false" outlineLevel="0" collapsed="false">
      <c r="A54" s="53" t="s">
        <v>144</v>
      </c>
    </row>
    <row r="55" customFormat="false" ht="15" hidden="false" customHeight="false" outlineLevel="0" collapsed="false">
      <c r="A55" s="53" t="s">
        <v>146</v>
      </c>
    </row>
    <row r="56" customFormat="false" ht="15" hidden="false" customHeight="false" outlineLevel="0" collapsed="false">
      <c r="A56" s="53" t="s">
        <v>148</v>
      </c>
    </row>
    <row r="57" customFormat="false" ht="15" hidden="false" customHeight="false" outlineLevel="0" collapsed="false">
      <c r="A57" s="53" t="s">
        <v>150</v>
      </c>
    </row>
    <row r="58" customFormat="false" ht="15" hidden="false" customHeight="false" outlineLevel="0" collapsed="false">
      <c r="A58" s="53" t="s">
        <v>152</v>
      </c>
    </row>
    <row r="59" customFormat="false" ht="15" hidden="false" customHeight="false" outlineLevel="0" collapsed="false">
      <c r="A59" s="53" t="s">
        <v>153</v>
      </c>
    </row>
    <row r="60" customFormat="false" ht="15" hidden="false" customHeight="false" outlineLevel="0" collapsed="false">
      <c r="A60" s="53" t="s">
        <v>166</v>
      </c>
    </row>
    <row r="61" customFormat="false" ht="15" hidden="false" customHeight="false" outlineLevel="0" collapsed="false">
      <c r="A61" s="53" t="s">
        <v>167</v>
      </c>
    </row>
    <row r="62" customFormat="false" ht="15" hidden="false" customHeight="false" outlineLevel="0" collapsed="false">
      <c r="A62" s="53" t="s">
        <v>168</v>
      </c>
    </row>
    <row r="63" customFormat="false" ht="15" hidden="false" customHeight="false" outlineLevel="0" collapsed="false">
      <c r="A63" s="53" t="s">
        <v>169</v>
      </c>
    </row>
    <row r="64" customFormat="false" ht="15" hidden="false" customHeight="false" outlineLevel="0" collapsed="false">
      <c r="A64" s="53" t="s">
        <v>170</v>
      </c>
    </row>
    <row r="65" customFormat="false" ht="15" hidden="false" customHeight="false" outlineLevel="0" collapsed="false">
      <c r="A65" s="53" t="s">
        <v>171</v>
      </c>
    </row>
    <row r="66" customFormat="false" ht="15" hidden="false" customHeight="false" outlineLevel="0" collapsed="false">
      <c r="A66" s="53" t="s">
        <v>172</v>
      </c>
    </row>
    <row r="67" customFormat="false" ht="15" hidden="false" customHeight="false" outlineLevel="0" collapsed="false">
      <c r="A67" s="53" t="s">
        <v>173</v>
      </c>
    </row>
    <row r="68" customFormat="false" ht="15" hidden="false" customHeight="false" outlineLevel="0" collapsed="false">
      <c r="A68" s="53" t="s">
        <v>174</v>
      </c>
    </row>
    <row r="69" customFormat="false" ht="15" hidden="false" customHeight="false" outlineLevel="0" collapsed="false">
      <c r="A69" s="53" t="s">
        <v>175</v>
      </c>
    </row>
    <row r="70" customFormat="false" ht="15" hidden="false" customHeight="false" outlineLevel="0" collapsed="false">
      <c r="A70" s="53" t="s">
        <v>176</v>
      </c>
    </row>
    <row r="71" customFormat="false" ht="15" hidden="false" customHeight="false" outlineLevel="0" collapsed="false">
      <c r="A71" s="53" t="s">
        <v>177</v>
      </c>
    </row>
    <row r="72" customFormat="false" ht="15" hidden="false" customHeight="false" outlineLevel="0" collapsed="false">
      <c r="A72" s="53" t="s">
        <v>178</v>
      </c>
    </row>
    <row r="73" customFormat="false" ht="15" hidden="false" customHeight="false" outlineLevel="0" collapsed="false">
      <c r="A73" s="53" t="s">
        <v>179</v>
      </c>
    </row>
    <row r="74" customFormat="false" ht="15" hidden="false" customHeight="false" outlineLevel="0" collapsed="false">
      <c r="A74" s="53" t="s">
        <v>180</v>
      </c>
    </row>
    <row r="75" customFormat="false" ht="15" hidden="false" customHeight="false" outlineLevel="0" collapsed="false">
      <c r="A75" s="53" t="s">
        <v>181</v>
      </c>
    </row>
    <row r="76" customFormat="false" ht="15" hidden="false" customHeight="false" outlineLevel="0" collapsed="false">
      <c r="A76" s="53" t="s">
        <v>182</v>
      </c>
    </row>
    <row r="77" customFormat="false" ht="15" hidden="false" customHeight="false" outlineLevel="0" collapsed="false">
      <c r="A77" s="53" t="s">
        <v>183</v>
      </c>
    </row>
    <row r="78" customFormat="false" ht="15" hidden="false" customHeight="false" outlineLevel="0" collapsed="false">
      <c r="A78" s="53" t="s">
        <v>184</v>
      </c>
    </row>
    <row r="79" customFormat="false" ht="15" hidden="false" customHeight="false" outlineLevel="0" collapsed="false">
      <c r="A79" s="53" t="s">
        <v>185</v>
      </c>
    </row>
  </sheetData>
  <sheetProtection sheet="true" formatCells="false" formatColumns="false" formatRow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ignoredErrors>
    <ignoredError sqref="A2:A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2026-10-01T10:29:45Z</dcterms:created>
  <dc:creator>Mastt</dc:creator>
  <dc:description/>
  <dc:language>en-US</dc:language>
  <cp:lastModifiedBy/>
  <dcterms:modified xsi:type="dcterms:W3CDTF">2026-10-01T18:29:47Z</dcterms:modified>
  <cp:revision>1</cp:revision>
  <dc:subject/>
  <dc:title>AI Readiness Checklist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